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marz\Downloads\"/>
    </mc:Choice>
  </mc:AlternateContent>
  <xr:revisionPtr revIDLastSave="0" documentId="13_ncr:1_{6FD7E842-8B42-4A96-88A8-33D0F58526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.1" sheetId="4" r:id="rId1"/>
    <sheet name="NVScriptsProperties" sheetId="12" state="hidden" r:id="rId2"/>
  </sheets>
  <definedNames>
    <definedName name="Z_22F47939_08A3_4C93_BE4B_FAE9791D0864_.wvu.FilterData" localSheetId="0" hidden="1">'Respuestas de formulario 1.1'!$A$1:$CR$264</definedName>
    <definedName name="Z_3C6E18E5_6B8A_4C72_A1BB_D834D1CFF007_.wvu.FilterData" localSheetId="0" hidden="1">'Respuestas de formulario 1.1'!$A$1:$GL$322</definedName>
    <definedName name="Z_5E4E6FFC_02A2_42A1_A2D8_85052D89FD74_.wvu.FilterData" localSheetId="0" hidden="1">'Respuestas de formulario 1.1'!$E$6:$F$264</definedName>
    <definedName name="Z_5FE24D15_576F_4767_B626_4441D1B9D6F9_.wvu.FilterData" localSheetId="0" hidden="1">'Respuestas de formulario 1.1'!$A$1:$GL$322</definedName>
    <definedName name="Z_72561936_19EC_425D_905E_0FB8029A1D0D_.wvu.FilterData" localSheetId="0" hidden="1">'Respuestas de formulario 1.1'!$A$1:$GD$1</definedName>
    <definedName name="Z_7A23FF19_05F6_4BE3_B8EC_89592834B7EE_.wvu.FilterData" localSheetId="0" hidden="1">'Respuestas de formulario 1.1'!$A$1:$GL$264</definedName>
    <definedName name="Z_8169610F_F779_430B_BD62_89D7AF7B6E4D_.wvu.FilterData" localSheetId="0" hidden="1">'Respuestas de formulario 1.1'!$A$1:$GL$264</definedName>
    <definedName name="Z_844A36BB_F498_4B01_9727_53AD9F6DBBEC_.wvu.FilterData" localSheetId="0" hidden="1">'Respuestas de formulario 1.1'!$A$1:$CR$264</definedName>
    <definedName name="Z_89AE6F83_CE18_481C_9993_531587F83684_.wvu.FilterData" localSheetId="0" hidden="1">'Respuestas de formulario 1.1'!$A$1:$GL$264</definedName>
    <definedName name="Z_89BAC1B4_75D9_4093_8283_FBF8093882B1_.wvu.FilterData" localSheetId="0" hidden="1">'Respuestas de formulario 1.1'!$A$1:$GL$264</definedName>
    <definedName name="Z_8F9BF7BF_A384_435E_A174_D05BA794CCAA_.wvu.FilterData" localSheetId="0" hidden="1">'Respuestas de formulario 1.1'!$A$1:$GL$322</definedName>
    <definedName name="Z_9D058F64_5E4A_4A7B_93BB_EB3821B7380A_.wvu.FilterData" localSheetId="0" hidden="1">'Respuestas de formulario 1.1'!$A$1:$GL$264</definedName>
    <definedName name="Z_B521AC05_2DF6_4F06_A0FF_AA3D2C6FEA22_.wvu.FilterData" localSheetId="0" hidden="1">'Respuestas de formulario 1.1'!$A$1:$CR$264</definedName>
    <definedName name="Z_E7637C07_4202_40B6_9946_7FB8847B7D64_.wvu.FilterData" localSheetId="0" hidden="1">'Respuestas de formulario 1.1'!$A$1:$CR$264</definedName>
    <definedName name="Z_F4154E35_C84F_4071_9C98_381F1956A15F_.wvu.FilterData" localSheetId="0" hidden="1">'Respuestas de formulario 1.1'!$A$1:$CR$264</definedName>
    <definedName name="Z_F45CB351_C596_47DA_9935_B65C4725C8D2_.wvu.FilterData" localSheetId="0" hidden="1">'Respuestas de formulario 1.1'!#REF!</definedName>
    <definedName name="Z_F52CB57F_B9EE_4BC6_B873_4675A86942C2_.wvu.FilterData" localSheetId="0" hidden="1">'Respuestas de formulario 1.1'!$A$1:$GL$264</definedName>
    <definedName name="Z_F5BEB84D_33AA_444F_B25C_C6176CBEBD71_.wvu.FilterData" localSheetId="0" hidden="1">'Respuestas de formulario 1.1'!$A$1:$GL$264</definedName>
    <definedName name="Z_FAF6EBE3_BFD2_4A72_BD28_DEAF44C498A0_.wvu.FilterData" localSheetId="0" hidden="1">'Respuestas de formulario 1.1'!$A$1:$CR$264</definedName>
  </definedNames>
  <calcPr calcId="191029"/>
  <customWorkbookViews>
    <customWorkbookView name="Filtro 17" guid="{4AF3B617-52F7-4157-BD68-BE6D8FCB2907}" maximized="1" windowWidth="0" windowHeight="0" activeSheetId="0"/>
    <customWorkbookView name="Filtro 18" guid="{7601344E-DA9A-4778-82ED-C1817D0F221F}" maximized="1" windowWidth="0" windowHeight="0" activeSheetId="0"/>
    <customWorkbookView name="Escolar 2 T.M" guid="{DA4FFA0D-FE9D-4309-B3E8-B2295EC429D7}" maximized="1" windowWidth="0" windowHeight="0" activeSheetId="0"/>
    <customWorkbookView name="Filtro 15" guid="{BD58FB9F-4D94-42A8-8F93-133B1E07E36B}" maximized="1" windowWidth="0" windowHeight="0" activeSheetId="0"/>
    <customWorkbookView name="Filtro 16" guid="{E8A92920-EAC6-4BD1-8C25-0BD05FE828C3}" maximized="1" windowWidth="0" windowHeight="0" activeSheetId="0"/>
    <customWorkbookView name="Filtro 13" guid="{8169610F-F779-430B-BD62-89D7AF7B6E4D}" maximized="1" windowWidth="0" windowHeight="0" activeSheetId="0"/>
    <customWorkbookView name="gabriel 2" guid="{8F9BF7BF-A384-435E-A174-D05BA794CCAA}" maximized="1" windowWidth="0" windowHeight="0" activeSheetId="0"/>
    <customWorkbookView name="Filtro 14" guid="{F5BEB84D-33AA-444F-B25C-C6176CBEBD71}" maximized="1" windowWidth="0" windowHeight="0" activeSheetId="0"/>
    <customWorkbookView name="DAVID A" guid="{A3F0B265-6E7B-44ED-9FF7-923E8506977F}" maximized="1" windowWidth="0" windowHeight="0" activeSheetId="0"/>
    <customWorkbookView name="gabriel 3" guid="{7A23FF19-05F6-4BE3-B8EC-89592834B7EE}" maximized="1" windowWidth="0" windowHeight="0" activeSheetId="0"/>
    <customWorkbookView name="Filtro 11" guid="{89AE6F83-CE18-481C-9993-531587F83684}" maximized="1" windowWidth="0" windowHeight="0" activeSheetId="0"/>
    <customWorkbookView name="Filtro 12" guid="{72561936-19EC-425D-905E-0FB8029A1D0D}" maximized="1" windowWidth="0" windowHeight="0" activeSheetId="0"/>
    <customWorkbookView name="Filtro 10" guid="{F4154E35-C84F-4071-9C98-381F1956A15F}" maximized="1" windowWidth="0" windowHeight="0" activeSheetId="0"/>
    <customWorkbookView name="Alberto" guid="{22F47939-08A3-4C93-BE4B-FAE9791D0864}" maximized="1" windowWidth="0" windowHeight="0" activeSheetId="0"/>
    <customWorkbookView name="Mario" guid="{084B3345-DFC3-422A-A025-7842C1D405C7}" maximized="1" windowWidth="0" windowHeight="0" activeSheetId="0"/>
    <customWorkbookView name="ISAAC" guid="{32E0E348-7CAE-4EC1-AA12-EE6935D4CE51}" maximized="1" windowWidth="0" windowHeight="0" activeSheetId="0"/>
    <customWorkbookView name="Filtro aurora alu" guid="{9D338C82-1769-40E1-B74A-772A44B63712}" maximized="1" windowWidth="0" windowHeight="0" activeSheetId="0"/>
    <customWorkbookView name="EDUARDO FINANCIEROS" guid="{4D088444-4F06-40F7-BD9F-E113F92CB0E6}" maximized="1" windowWidth="0" windowHeight="0" activeSheetId="0"/>
    <customWorkbookView name="andrea" guid="{5C8AC03A-489A-4EED-93DE-EC61B949A72D}" maximized="1" windowWidth="0" windowHeight="0" activeSheetId="0"/>
    <customWorkbookView name="Falta inscribir" guid="{F09A392E-380D-4D47-933A-0F571D99CF40}" maximized="1" windowWidth="0" windowHeight="0" activeSheetId="0"/>
    <customWorkbookView name="Mayte" guid="{B5633209-1E38-4F96-9A41-40BD66A849D6}" maximized="1" windowWidth="0" windowHeight="0" activeSheetId="0"/>
    <customWorkbookView name="Ismael" guid="{B6A1469A-5E0B-4610-A3DF-1326AE87CBAF}" maximized="1" windowWidth="0" windowHeight="0" activeSheetId="0"/>
    <customWorkbookView name="Filtro 28" guid="{BB34A0C4-AA20-485D-9ED2-35F1200638E8}" maximized="1" windowWidth="0" windowHeight="0" activeSheetId="0"/>
    <customWorkbookView name="Filtro 29" guid="{6E8DAFE4-DCE8-4ECB-8701-A022EF995C6D}" maximized="1" windowWidth="0" windowHeight="0" activeSheetId="0"/>
    <customWorkbookView name="Escolar 3 T.M." guid="{5C70EA4B-2268-42F1-8B5D-15FADC3C702B}" maximized="1" windowWidth="0" windowHeight="0" activeSheetId="0"/>
    <customWorkbookView name="Filtro 26" guid="{6C21F4C9-B4C7-4BB3-B31B-FD50076EC8CF}" maximized="1" windowWidth="0" windowHeight="0" activeSheetId="0"/>
    <customWorkbookView name="Filtro 27" guid="{6D233CD3-04B1-427E-A9A3-47A09785FD7C}" maximized="1" windowWidth="0" windowHeight="0" activeSheetId="0"/>
    <customWorkbookView name="Filtro 8" guid="{E7637C07-4202-40B6-9946-7FB8847B7D64}" maximized="1" windowWidth="0" windowHeight="0" activeSheetId="0"/>
    <customWorkbookView name="gabriel" guid="{FAF6EBE3-BFD2-4A72-BD28-DEAF44C498A0}" maximized="1" windowWidth="0" windowHeight="0" activeSheetId="0"/>
    <customWorkbookView name="Filtro 24" guid="{BC2E7D86-AA3A-41C2-A9B7-755379BA5269}" maximized="1" windowWidth="0" windowHeight="0" activeSheetId="0"/>
    <customWorkbookView name="Filtro 9" guid="{F45CB351-C596-47DA-9935-B65C4725C8D2}" maximized="1" windowWidth="0" windowHeight="0" activeSheetId="0"/>
    <customWorkbookView name="Filtro 25" guid="{7575424A-BC25-4256-9358-2CA55135AB70}" maximized="1" windowWidth="0" windowHeight="0" activeSheetId="0"/>
    <customWorkbookView name="Filtro 22" guid="{8C84A5BF-3D22-4A07-B87F-4C0719CBEDB1}" maximized="1" windowWidth="0" windowHeight="0" activeSheetId="0"/>
    <customWorkbookView name="Filtro 23" guid="{BA8DEBAE-F189-4E14-B72A-EE80D497D035}" maximized="1" windowWidth="0" windowHeight="0" activeSheetId="0"/>
    <customWorkbookView name="Filtro 20" guid="{25A035DA-5BB4-481D-935C-0B7D82C58885}" maximized="1" windowWidth="0" windowHeight="0" activeSheetId="0"/>
    <customWorkbookView name="Filtro 21" guid="{E0EFF4F0-11E2-41BC-92FF-EBCF1438711B}" maximized="1" windowWidth="0" windowHeight="0" activeSheetId="0"/>
    <customWorkbookView name="Daniel" guid="{5CB2DB0B-B55A-4096-B245-FDB8EE55BFE2}" maximized="1" windowWidth="0" windowHeight="0" activeSheetId="0"/>
    <customWorkbookView name="Escolar 4 T.M" guid="{99B4B81D-4ACF-4560-8DEF-4911785CD63A}" maximized="1" windowWidth="0" windowHeight="0" activeSheetId="0"/>
    <customWorkbookView name="JORGE CREDENCIALES" guid="{7D3B20A9-FD3C-41B0-86FE-4CC7B3AD9EB1}" maximized="1" windowWidth="0" windowHeight="0" activeSheetId="0"/>
    <customWorkbookView name="David" guid="{D9F7DAE0-7C02-4F00-A94C-2E5582BCCBFA}" maximized="1" windowWidth="0" windowHeight="0" activeSheetId="0"/>
    <customWorkbookView name="Miguel Angel" guid="{8DA319FE-B723-4E59-9A05-E4A34CC7EA61}" maximized="1" windowWidth="0" windowHeight="0" activeSheetId="0"/>
    <customWorkbookView name="Miriam" guid="{BA490774-CD6E-4FA1-8482-C2BFD04F83B0}" maximized="1" windowWidth="0" windowHeight="0" activeSheetId="0"/>
    <customWorkbookView name="Filtro 19" guid="{08503489-EBC4-4F29-9308-7A2B99859332}" maximized="1" windowWidth="0" windowHeight="0" activeSheetId="0"/>
    <customWorkbookView name="Irma" guid="{E7684D05-3F9E-4A8C-9338-9FF59A8DBE53}" maximized="1" windowWidth="0" windowHeight="0" activeSheetId="0"/>
    <customWorkbookView name="Filtro 39" guid="{99CF9443-2676-416B-A0D3-B908232E0B3F}" maximized="1" windowWidth="0" windowHeight="0" activeSheetId="0"/>
    <customWorkbookView name="Filtro 37" guid="{5022CFB2-0DCC-4247-9137-52222204BFD7}" maximized="1" windowWidth="0" windowHeight="0" activeSheetId="0"/>
    <customWorkbookView name="Filtro 38" guid="{F9AEE994-E7EE-4E78-929A-1E0C32CA8102}" maximized="1" windowWidth="0" windowHeight="0" activeSheetId="0"/>
    <customWorkbookView name="Filtro 35" guid="{620604D5-9D45-4A57-B2DA-A836A6F896A6}" maximized="1" windowWidth="0" windowHeight="0" activeSheetId="0"/>
    <customWorkbookView name="Filtro 36" guid="{B9E86093-286C-44BC-98A2-6780941BD5FA}" maximized="1" windowWidth="0" windowHeight="0" activeSheetId="0"/>
    <customWorkbookView name="Filtro 33" guid="{4ED2AFD9-AEC3-494B-80F5-F18F1C969A7B}" maximized="1" windowWidth="0" windowHeight="0" activeSheetId="0"/>
    <customWorkbookView name="Filtro 34" guid="{60522267-ED7A-42B7-9DCD-410FB5D165DF}" maximized="1" windowWidth="0" windowHeight="0" activeSheetId="0"/>
    <customWorkbookView name="Filtro 31" guid="{665F5B53-03F9-4149-80BA-6CA04EE25C16}" maximized="1" windowWidth="0" windowHeight="0" activeSheetId="0"/>
    <customWorkbookView name="EDUARDO CREDENCIALES" guid="{C9AA1EC2-5BED-4584-8F33-2939AB7E529A}" maximized="1" windowWidth="0" windowHeight="0" activeSheetId="0"/>
    <customWorkbookView name="Filtro 32" guid="{D1CE69C8-418E-4F45-8D90-9417776FE634}" maximized="1" windowWidth="0" windowHeight="0" activeSheetId="0"/>
    <customWorkbookView name="Filtro 30" guid="{247D859D-8912-409B-9507-F8D597E59DB8}" maximized="1" windowWidth="0" windowHeight="0" activeSheetId="0"/>
    <customWorkbookView name="aurora" guid="{404BD97F-0FE1-40E6-8650-1DA23C5CB166}" maximized="1" windowWidth="0" windowHeight="0" activeSheetId="0"/>
    <customWorkbookView name="José Antonio Practicas" guid="{F52CB57F-B9EE-4BC6-B873-4675A86942C2}" maximized="1" windowWidth="0" windowHeight="0" activeSheetId="0"/>
    <customWorkbookView name="AURORA ALDA" guid="{934ABF64-5E29-4233-B27E-747C8800773A}" maximized="1" windowWidth="0" windowHeight="0" activeSheetId="0"/>
    <customWorkbookView name="Filtro 4" guid="{844A36BB-F498-4B01-9727-53AD9F6DBBEC}" maximized="1" windowWidth="0" windowHeight="0" activeSheetId="0"/>
    <customWorkbookView name="José" guid="{91300B7C-AB49-41A4-B9C6-0B0E1ECEDF43}" maximized="1" windowWidth="0" windowHeight="0" activeSheetId="0"/>
    <customWorkbookView name="Filtro 5" guid="{5E4E6FFC-02A2-42A1-A2D8-85052D89FD74}" maximized="1" windowWidth="0" windowHeight="0" activeSheetId="0"/>
    <customWorkbookView name="Filtro 6" guid="{3C6E18E5-6B8A-4C72-A1BB-D834D1CFF007}" maximized="1" windowWidth="0" windowHeight="0" activeSheetId="0"/>
    <customWorkbookView name="Filtro 7" guid="{5FE24D15-576F-4767-B626-4441D1B9D6F9}" maximized="1" windowWidth="0" windowHeight="0" activeSheetId="0"/>
    <customWorkbookView name="Filtro 1" guid="{89BAC1B4-75D9-4093-8283-FBF8093882B1}" maximized="1" windowWidth="0" windowHeight="0" activeSheetId="0"/>
    <customWorkbookView name="Filtro 2" guid="{B521AC05-2DF6-4F06-A0FF-AA3D2C6FEA22}" maximized="1" windowWidth="0" windowHeight="0" activeSheetId="0"/>
    <customWorkbookView name="Filtro 3" guid="{9D058F64-5E4A-4A7B-93BB-EB3821B7380A}" maximized="1" windowWidth="0" windowHeight="0" activeSheetId="0"/>
    <customWorkbookView name="gabriel financieros" guid="{75957177-6CBF-4DAA-B75E-0A60603B00F8}" maximized="1" windowWidth="0" windowHeight="0" activeSheetId="0"/>
    <customWorkbookView name="CHINA" guid="{5EC6B1CD-55EA-4780-96FE-194681D6400E}" maximized="1" windowWidth="0" windowHeight="0" activeSheetId="0"/>
    <customWorkbookView name="jose" guid="{3FC0157B-86DC-4875-9ADD-90FA053ECE41}" maximized="1" windowWidth="0" windowHeight="0" activeSheetId="0"/>
    <customWorkbookView name="Filtro 2Mayte" guid="{070A5367-BC41-4B17-AA5D-A1BB09369659}" maximized="1" windowWidth="0" windowHeight="0" activeSheetId="0"/>
    <customWorkbookView name="GUADALUPE TV" guid="{A4668E4B-C159-4E17-B131-66B3BE028543}" maximized="1" windowWidth="0" windowHeight="0" activeSheetId="0"/>
    <customWorkbookView name="Escolar 1 T.M." guid="{323C3539-8D96-463B-9B3E-89401AA22EEA}" maximized="1" windowWidth="0" windowHeight="0" activeSheetId="0"/>
    <customWorkbookView name="Carlos" guid="{5009DAD0-7BC8-4D77-B6FB-E75F8ABA1A4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B123" i="4" l="1" a="1"/>
  <c r="DB123" i="4" s="1"/>
  <c r="DB82" i="4" a="1"/>
  <c r="DB82" i="4" s="1"/>
  <c r="DA217" i="4" a="1"/>
  <c r="DB175" i="4" a="1"/>
  <c r="DB175" i="4" s="1"/>
  <c r="DA205" i="4" a="1"/>
  <c r="DA205" i="4" s="1"/>
  <c r="DB59" i="4" a="1"/>
  <c r="DB59" i="4" s="1"/>
  <c r="DB120" i="4" a="1"/>
  <c r="DB120" i="4" s="1"/>
  <c r="DA260" i="4" a="1"/>
  <c r="DA260" i="4" s="1"/>
  <c r="DB85" i="4" a="1"/>
  <c r="DB85" i="4" s="1"/>
  <c r="DB60" i="4" a="1"/>
  <c r="DB60" i="4" s="1"/>
  <c r="DB179" i="4" a="1"/>
  <c r="DB179" i="4" s="1"/>
  <c r="DB35" i="4" a="1"/>
  <c r="DB35" i="4" s="1"/>
  <c r="DA137" i="4" a="1"/>
  <c r="DA137" i="4" s="1"/>
  <c r="DA74" i="4" a="1"/>
  <c r="DA74" i="4" s="1"/>
  <c r="DB39" i="4" a="1"/>
  <c r="DB39" i="4" s="1"/>
  <c r="DB142" i="4" a="1"/>
  <c r="DB142" i="4" s="1"/>
  <c r="DB83" i="4" a="1"/>
  <c r="DB73" i="4" a="1"/>
  <c r="DB73" i="4" s="1"/>
  <c r="DB92" i="4" a="1"/>
  <c r="DB92" i="4" s="1"/>
  <c r="DA125" i="4" a="1"/>
  <c r="DA125" i="4" s="1"/>
  <c r="DB167" i="4" a="1"/>
  <c r="DB167" i="4" s="1"/>
  <c r="DB79" i="4" a="1"/>
  <c r="DB79" i="4" s="1"/>
  <c r="DB111" i="4" a="1"/>
  <c r="DB111" i="4" s="1"/>
  <c r="DB52" i="4" a="1"/>
  <c r="DB52" i="4" s="1"/>
  <c r="DA253" i="4" a="1"/>
  <c r="DA253" i="4" s="1"/>
  <c r="DA44" i="4" a="1"/>
  <c r="DA44" i="4" s="1"/>
  <c r="GK264" i="4"/>
  <c r="GC264" i="4"/>
  <c r="DO264" i="4"/>
  <c r="DN264" i="4"/>
  <c r="DM264" i="4"/>
  <c r="DL264" i="4"/>
  <c r="DK264" i="4"/>
  <c r="DJ264" i="4" a="1"/>
  <c r="DJ264" i="4" s="1"/>
  <c r="DH264" i="4" a="1"/>
  <c r="DH264" i="4" s="1"/>
  <c r="DG264" i="4" a="1"/>
  <c r="DG264" i="4" s="1"/>
  <c r="DF264" i="4" a="1"/>
  <c r="DF264" i="4" s="1"/>
  <c r="DE264" i="4" a="1"/>
  <c r="DE264" i="4" s="1"/>
  <c r="DD264" i="4" a="1"/>
  <c r="DD264" i="4" s="1"/>
  <c r="DC264" i="4" a="1"/>
  <c r="DC264" i="4" s="1"/>
  <c r="DB264" i="4" a="1"/>
  <c r="DB264" i="4" s="1"/>
  <c r="DA264" i="4" a="1"/>
  <c r="DA264" i="4" s="1"/>
  <c r="GK263" i="4"/>
  <c r="GC263" i="4"/>
  <c r="DN263" i="4"/>
  <c r="DM263" i="4"/>
  <c r="DL263" i="4"/>
  <c r="DK263" i="4"/>
  <c r="DJ263" i="4" a="1"/>
  <c r="DJ263" i="4" s="1"/>
  <c r="DH263" i="4" a="1"/>
  <c r="DH263" i="4" s="1"/>
  <c r="DG263" i="4" a="1"/>
  <c r="DG263" i="4" s="1"/>
  <c r="DF263" i="4" a="1"/>
  <c r="DF263" i="4" s="1"/>
  <c r="DE263" i="4" a="1"/>
  <c r="DE263" i="4" s="1"/>
  <c r="DD263" i="4" a="1"/>
  <c r="DD263" i="4" s="1"/>
  <c r="DC263" i="4" a="1"/>
  <c r="DC263" i="4" s="1"/>
  <c r="DB263" i="4" a="1"/>
  <c r="DB263" i="4" s="1"/>
  <c r="DA263" i="4" a="1"/>
  <c r="DA263" i="4" s="1"/>
  <c r="GK262" i="4"/>
  <c r="GC262" i="4"/>
  <c r="DN262" i="4"/>
  <c r="DM262" i="4"/>
  <c r="DL262" i="4"/>
  <c r="DK262" i="4"/>
  <c r="DJ262" i="4" a="1"/>
  <c r="DJ262" i="4" s="1"/>
  <c r="DH262" i="4" a="1"/>
  <c r="DH262" i="4" s="1"/>
  <c r="DG262" i="4" a="1"/>
  <c r="DG262" i="4" s="1"/>
  <c r="DF262" i="4" a="1"/>
  <c r="DF262" i="4" s="1"/>
  <c r="DE262" i="4" a="1"/>
  <c r="DE262" i="4" s="1"/>
  <c r="DD262" i="4" a="1"/>
  <c r="DD262" i="4" s="1"/>
  <c r="DC262" i="4" a="1"/>
  <c r="DC262" i="4" s="1"/>
  <c r="DB262" i="4" a="1"/>
  <c r="DB262" i="4" s="1"/>
  <c r="DA262" i="4" a="1"/>
  <c r="DA262" i="4" s="1"/>
  <c r="GK261" i="4"/>
  <c r="GC261" i="4"/>
  <c r="DN261" i="4"/>
  <c r="DM261" i="4"/>
  <c r="DL261" i="4"/>
  <c r="DK261" i="4"/>
  <c r="DJ261" i="4" a="1"/>
  <c r="DJ261" i="4" s="1"/>
  <c r="DH261" i="4" a="1"/>
  <c r="DH261" i="4" s="1"/>
  <c r="DG261" i="4" a="1"/>
  <c r="DG261" i="4" s="1"/>
  <c r="DF261" i="4" a="1"/>
  <c r="DF261" i="4" s="1"/>
  <c r="DE261" i="4" a="1"/>
  <c r="DE261" i="4" s="1"/>
  <c r="DD261" i="4" a="1"/>
  <c r="DD261" i="4" s="1"/>
  <c r="DC261" i="4" a="1"/>
  <c r="DC261" i="4" s="1"/>
  <c r="DB261" i="4" a="1"/>
  <c r="DB261" i="4" s="1"/>
  <c r="DA261" i="4" a="1"/>
  <c r="DA261" i="4" s="1"/>
  <c r="GK260" i="4"/>
  <c r="GC260" i="4"/>
  <c r="DO260" i="4"/>
  <c r="DN260" i="4"/>
  <c r="DM260" i="4"/>
  <c r="DL260" i="4"/>
  <c r="DK260" i="4"/>
  <c r="DJ260" i="4" a="1"/>
  <c r="DJ260" i="4" s="1"/>
  <c r="DH260" i="4" a="1"/>
  <c r="DH260" i="4" s="1"/>
  <c r="DG260" i="4" a="1"/>
  <c r="DG260" i="4" s="1"/>
  <c r="DF260" i="4" a="1"/>
  <c r="DF260" i="4" s="1"/>
  <c r="DE260" i="4" a="1"/>
  <c r="DE260" i="4" s="1"/>
  <c r="DD260" i="4" a="1"/>
  <c r="DD260" i="4" s="1"/>
  <c r="DC260" i="4" a="1"/>
  <c r="DC260" i="4" s="1"/>
  <c r="DB260" i="4" a="1"/>
  <c r="DB260" i="4" s="1"/>
  <c r="GK259" i="4"/>
  <c r="GC259" i="4"/>
  <c r="DN259" i="4"/>
  <c r="DM259" i="4"/>
  <c r="DL259" i="4"/>
  <c r="DK259" i="4"/>
  <c r="DJ259" i="4" a="1"/>
  <c r="DJ259" i="4" s="1"/>
  <c r="DH259" i="4" a="1"/>
  <c r="DH259" i="4" s="1"/>
  <c r="DG259" i="4" a="1"/>
  <c r="DG259" i="4" s="1"/>
  <c r="DF259" i="4" a="1"/>
  <c r="DF259" i="4" s="1"/>
  <c r="DE259" i="4" a="1"/>
  <c r="DE259" i="4" s="1"/>
  <c r="DD259" i="4" a="1"/>
  <c r="DD259" i="4" s="1"/>
  <c r="DC259" i="4" a="1"/>
  <c r="DC259" i="4" s="1"/>
  <c r="DB259" i="4" a="1"/>
  <c r="DB259" i="4" s="1"/>
  <c r="DA259" i="4" a="1"/>
  <c r="DA259" i="4" s="1"/>
  <c r="GK258" i="4"/>
  <c r="GC258" i="4"/>
  <c r="DX258" i="4"/>
  <c r="DN258" i="4"/>
  <c r="DM258" i="4"/>
  <c r="DL258" i="4"/>
  <c r="DK258" i="4"/>
  <c r="DJ258" i="4" a="1"/>
  <c r="DJ258" i="4" s="1"/>
  <c r="DH258" i="4" a="1"/>
  <c r="DH258" i="4" s="1"/>
  <c r="DG258" i="4" a="1"/>
  <c r="DG258" i="4" s="1"/>
  <c r="DF258" i="4" a="1"/>
  <c r="DF258" i="4" s="1"/>
  <c r="DE258" i="4" a="1"/>
  <c r="DE258" i="4" s="1"/>
  <c r="DD258" i="4" a="1"/>
  <c r="DD258" i="4" s="1"/>
  <c r="DC258" i="4" a="1"/>
  <c r="DC258" i="4" s="1"/>
  <c r="DB258" i="4" a="1"/>
  <c r="DB258" i="4" s="1"/>
  <c r="DA258" i="4" a="1"/>
  <c r="DA258" i="4" s="1"/>
  <c r="GK257" i="4"/>
  <c r="GC257" i="4"/>
  <c r="DN257" i="4"/>
  <c r="DM257" i="4"/>
  <c r="DL257" i="4"/>
  <c r="DK257" i="4"/>
  <c r="DJ257" i="4" a="1"/>
  <c r="DJ257" i="4" s="1"/>
  <c r="DH257" i="4" a="1"/>
  <c r="DH257" i="4" s="1"/>
  <c r="DG257" i="4" a="1"/>
  <c r="DG257" i="4" s="1"/>
  <c r="DF257" i="4" a="1"/>
  <c r="DF257" i="4" s="1"/>
  <c r="DE257" i="4" a="1"/>
  <c r="DE257" i="4" s="1"/>
  <c r="DD257" i="4" a="1"/>
  <c r="DD257" i="4" s="1"/>
  <c r="DC257" i="4" a="1"/>
  <c r="DC257" i="4" s="1"/>
  <c r="DB257" i="4" a="1"/>
  <c r="DB257" i="4" s="1"/>
  <c r="DA257" i="4" a="1"/>
  <c r="DA257" i="4" s="1"/>
  <c r="GK256" i="4"/>
  <c r="GC256" i="4"/>
  <c r="DN256" i="4"/>
  <c r="DM256" i="4"/>
  <c r="DL256" i="4"/>
  <c r="DK256" i="4"/>
  <c r="DJ256" i="4" a="1"/>
  <c r="DJ256" i="4" s="1"/>
  <c r="DH256" i="4" a="1"/>
  <c r="DH256" i="4" s="1"/>
  <c r="DG256" i="4" a="1"/>
  <c r="DG256" i="4" s="1"/>
  <c r="DF256" i="4" a="1"/>
  <c r="DF256" i="4" s="1"/>
  <c r="DE256" i="4" a="1"/>
  <c r="DE256" i="4" s="1"/>
  <c r="DD256" i="4" a="1"/>
  <c r="DD256" i="4" s="1"/>
  <c r="DC256" i="4" a="1"/>
  <c r="DC256" i="4" s="1"/>
  <c r="DB256" i="4" a="1"/>
  <c r="DB256" i="4" s="1"/>
  <c r="DA256" i="4" a="1"/>
  <c r="DA256" i="4" s="1"/>
  <c r="GK255" i="4"/>
  <c r="GC255" i="4"/>
  <c r="DN255" i="4"/>
  <c r="DM255" i="4"/>
  <c r="DL255" i="4"/>
  <c r="DK255" i="4"/>
  <c r="DJ255" i="4" a="1"/>
  <c r="DJ255" i="4" s="1"/>
  <c r="DH255" i="4" a="1"/>
  <c r="DH255" i="4" s="1"/>
  <c r="DG255" i="4" a="1"/>
  <c r="DG255" i="4" s="1"/>
  <c r="DF255" i="4" a="1"/>
  <c r="DF255" i="4" s="1"/>
  <c r="DE255" i="4" a="1"/>
  <c r="DE255" i="4" s="1"/>
  <c r="DD255" i="4" a="1"/>
  <c r="DD255" i="4" s="1"/>
  <c r="DC255" i="4" a="1"/>
  <c r="DC255" i="4" s="1"/>
  <c r="DB255" i="4" a="1"/>
  <c r="DB255" i="4" s="1"/>
  <c r="DA255" i="4" a="1"/>
  <c r="DA255" i="4" s="1"/>
  <c r="GK254" i="4"/>
  <c r="GC254" i="4"/>
  <c r="DN254" i="4"/>
  <c r="DM254" i="4"/>
  <c r="DL254" i="4"/>
  <c r="DK254" i="4"/>
  <c r="DJ254" i="4" a="1"/>
  <c r="DJ254" i="4" s="1"/>
  <c r="DH254" i="4" a="1"/>
  <c r="DH254" i="4" s="1"/>
  <c r="DG254" i="4" a="1"/>
  <c r="DG254" i="4" s="1"/>
  <c r="DF254" i="4" a="1"/>
  <c r="DF254" i="4" s="1"/>
  <c r="DE254" i="4" a="1"/>
  <c r="DE254" i="4" s="1"/>
  <c r="DD254" i="4" a="1"/>
  <c r="DD254" i="4" s="1"/>
  <c r="DC254" i="4" a="1"/>
  <c r="DC254" i="4" s="1"/>
  <c r="DB254" i="4" a="1"/>
  <c r="DB254" i="4" s="1"/>
  <c r="DA254" i="4" a="1"/>
  <c r="DA254" i="4" s="1"/>
  <c r="GK253" i="4"/>
  <c r="GC253" i="4"/>
  <c r="DN253" i="4"/>
  <c r="DM253" i="4"/>
  <c r="DL253" i="4"/>
  <c r="DK253" i="4"/>
  <c r="DJ253" i="4" a="1"/>
  <c r="DJ253" i="4" s="1"/>
  <c r="DH253" i="4" a="1"/>
  <c r="DH253" i="4" s="1"/>
  <c r="DG253" i="4" a="1"/>
  <c r="DG253" i="4" s="1"/>
  <c r="DF253" i="4" a="1"/>
  <c r="DF253" i="4" s="1"/>
  <c r="DE253" i="4" a="1"/>
  <c r="DE253" i="4" s="1"/>
  <c r="DD253" i="4" a="1"/>
  <c r="DD253" i="4" s="1"/>
  <c r="DC253" i="4" a="1"/>
  <c r="DC253" i="4" s="1"/>
  <c r="DB253" i="4" a="1"/>
  <c r="DB253" i="4" s="1"/>
  <c r="GK252" i="4"/>
  <c r="GC252" i="4"/>
  <c r="DN252" i="4"/>
  <c r="DM252" i="4"/>
  <c r="DL252" i="4"/>
  <c r="DK252" i="4"/>
  <c r="DJ252" i="4" a="1"/>
  <c r="DJ252" i="4" s="1"/>
  <c r="DH252" i="4" a="1"/>
  <c r="DH252" i="4" s="1"/>
  <c r="DG252" i="4" a="1"/>
  <c r="DG252" i="4" s="1"/>
  <c r="DF252" i="4" a="1"/>
  <c r="DF252" i="4" s="1"/>
  <c r="DE252" i="4" a="1"/>
  <c r="DE252" i="4" s="1"/>
  <c r="DD252" i="4" a="1"/>
  <c r="DD252" i="4" s="1"/>
  <c r="DC252" i="4" a="1"/>
  <c r="DC252" i="4" s="1"/>
  <c r="DB252" i="4" a="1"/>
  <c r="DB252" i="4" s="1"/>
  <c r="DA252" i="4" a="1"/>
  <c r="DA252" i="4" s="1"/>
  <c r="GK251" i="4"/>
  <c r="GC251" i="4"/>
  <c r="DN251" i="4"/>
  <c r="DM251" i="4"/>
  <c r="DL251" i="4"/>
  <c r="DK251" i="4"/>
  <c r="DJ251" i="4" a="1"/>
  <c r="DJ251" i="4" s="1"/>
  <c r="DH251" i="4" a="1"/>
  <c r="DH251" i="4" s="1"/>
  <c r="DG251" i="4" a="1"/>
  <c r="DG251" i="4" s="1"/>
  <c r="DF251" i="4" a="1"/>
  <c r="DF251" i="4" s="1"/>
  <c r="DE251" i="4" a="1"/>
  <c r="DE251" i="4" s="1"/>
  <c r="DD251" i="4" a="1"/>
  <c r="DD251" i="4" s="1"/>
  <c r="DC251" i="4" a="1"/>
  <c r="DC251" i="4" s="1"/>
  <c r="DB251" i="4" a="1"/>
  <c r="DB251" i="4" s="1"/>
  <c r="DA251" i="4" a="1"/>
  <c r="DA251" i="4" s="1"/>
  <c r="GK250" i="4"/>
  <c r="GC250" i="4"/>
  <c r="EB250" i="4"/>
  <c r="DN250" i="4"/>
  <c r="DM250" i="4"/>
  <c r="DL250" i="4"/>
  <c r="DK250" i="4"/>
  <c r="DJ250" i="4" a="1"/>
  <c r="DJ250" i="4" s="1"/>
  <c r="DH250" i="4" a="1"/>
  <c r="DH250" i="4" s="1"/>
  <c r="DG250" i="4" a="1"/>
  <c r="DG250" i="4" s="1"/>
  <c r="DF250" i="4" a="1"/>
  <c r="DF250" i="4" s="1"/>
  <c r="DE250" i="4" a="1"/>
  <c r="DE250" i="4" s="1"/>
  <c r="DD250" i="4" a="1"/>
  <c r="DD250" i="4" s="1"/>
  <c r="DC250" i="4" a="1"/>
  <c r="DC250" i="4" s="1"/>
  <c r="DB250" i="4" a="1"/>
  <c r="DB250" i="4" s="1"/>
  <c r="DA250" i="4" a="1"/>
  <c r="DA250" i="4" s="1"/>
  <c r="GC249" i="4"/>
  <c r="ED249" i="4"/>
  <c r="DN249" i="4"/>
  <c r="DM249" i="4"/>
  <c r="DL249" i="4"/>
  <c r="DK249" i="4"/>
  <c r="DJ249" i="4" a="1"/>
  <c r="DJ249" i="4" s="1"/>
  <c r="DH249" i="4" a="1"/>
  <c r="DH249" i="4" s="1"/>
  <c r="DG249" i="4" a="1"/>
  <c r="DG249" i="4" s="1"/>
  <c r="DF249" i="4" a="1"/>
  <c r="DF249" i="4" s="1"/>
  <c r="DE249" i="4" a="1"/>
  <c r="DE249" i="4" s="1"/>
  <c r="DD249" i="4" a="1"/>
  <c r="DD249" i="4" s="1"/>
  <c r="DC249" i="4" a="1"/>
  <c r="DC249" i="4" s="1"/>
  <c r="DB249" i="4" a="1"/>
  <c r="DB249" i="4" s="1"/>
  <c r="DA249" i="4" a="1"/>
  <c r="DA249" i="4" s="1"/>
  <c r="GK248" i="4"/>
  <c r="GC248" i="4"/>
  <c r="DN248" i="4"/>
  <c r="DM248" i="4"/>
  <c r="DL248" i="4"/>
  <c r="DK248" i="4"/>
  <c r="DJ248" i="4" a="1"/>
  <c r="DJ248" i="4" s="1"/>
  <c r="DH248" i="4" a="1"/>
  <c r="DH248" i="4" s="1"/>
  <c r="DG248" i="4" a="1"/>
  <c r="DG248" i="4" s="1"/>
  <c r="DF248" i="4" a="1"/>
  <c r="DF248" i="4" s="1"/>
  <c r="DE248" i="4" a="1"/>
  <c r="DE248" i="4" s="1"/>
  <c r="DD248" i="4" a="1"/>
  <c r="DD248" i="4" s="1"/>
  <c r="DC248" i="4" a="1"/>
  <c r="DC248" i="4" s="1"/>
  <c r="DB248" i="4" a="1"/>
  <c r="DB248" i="4" s="1"/>
  <c r="DA248" i="4" a="1"/>
  <c r="DA248" i="4" s="1"/>
  <c r="DN247" i="4"/>
  <c r="DM247" i="4"/>
  <c r="DL247" i="4"/>
  <c r="DK247" i="4"/>
  <c r="DJ247" i="4" a="1"/>
  <c r="DJ247" i="4" s="1"/>
  <c r="DH247" i="4" a="1"/>
  <c r="DH247" i="4" s="1"/>
  <c r="DG247" i="4" a="1"/>
  <c r="DG247" i="4" s="1"/>
  <c r="DF247" i="4" a="1"/>
  <c r="DF247" i="4" s="1"/>
  <c r="DE247" i="4" a="1"/>
  <c r="DE247" i="4" s="1"/>
  <c r="DD247" i="4" a="1"/>
  <c r="DD247" i="4" s="1"/>
  <c r="DC247" i="4" a="1"/>
  <c r="DC247" i="4" s="1"/>
  <c r="DB247" i="4" a="1"/>
  <c r="DB247" i="4" s="1"/>
  <c r="DA247" i="4" a="1"/>
  <c r="DA247" i="4" s="1"/>
  <c r="GK246" i="4"/>
  <c r="GC246" i="4"/>
  <c r="DN246" i="4"/>
  <c r="DM246" i="4"/>
  <c r="DL246" i="4"/>
  <c r="DK246" i="4"/>
  <c r="DJ246" i="4" a="1"/>
  <c r="DJ246" i="4" s="1"/>
  <c r="DH246" i="4" a="1"/>
  <c r="DH246" i="4" s="1"/>
  <c r="DG246" i="4" a="1"/>
  <c r="DG246" i="4" s="1"/>
  <c r="DF246" i="4" a="1"/>
  <c r="DF246" i="4" s="1"/>
  <c r="DE246" i="4" a="1"/>
  <c r="DE246" i="4" s="1"/>
  <c r="DD246" i="4" a="1"/>
  <c r="DD246" i="4" s="1"/>
  <c r="DC246" i="4" a="1"/>
  <c r="DC246" i="4" s="1"/>
  <c r="DB246" i="4" a="1"/>
  <c r="DB246" i="4" s="1"/>
  <c r="DA246" i="4" a="1"/>
  <c r="DA246" i="4" s="1"/>
  <c r="GK245" i="4"/>
  <c r="GC245" i="4"/>
  <c r="DN245" i="4"/>
  <c r="DM245" i="4"/>
  <c r="DL245" i="4"/>
  <c r="DK245" i="4"/>
  <c r="DJ245" i="4" a="1"/>
  <c r="DJ245" i="4" s="1"/>
  <c r="DH245" i="4" a="1"/>
  <c r="DH245" i="4" s="1"/>
  <c r="DG245" i="4" a="1"/>
  <c r="DG245" i="4" s="1"/>
  <c r="DF245" i="4" a="1"/>
  <c r="DF245" i="4" s="1"/>
  <c r="DE245" i="4" a="1"/>
  <c r="DE245" i="4" s="1"/>
  <c r="DD245" i="4" a="1"/>
  <c r="DD245" i="4" s="1"/>
  <c r="DC245" i="4" a="1"/>
  <c r="DC245" i="4" s="1"/>
  <c r="DB245" i="4" a="1"/>
  <c r="DB245" i="4" s="1"/>
  <c r="DA245" i="4" a="1"/>
  <c r="DA245" i="4" s="1"/>
  <c r="GK244" i="4"/>
  <c r="GC244" i="4"/>
  <c r="DN244" i="4"/>
  <c r="DM244" i="4"/>
  <c r="DL244" i="4"/>
  <c r="DK244" i="4"/>
  <c r="DJ244" i="4" a="1"/>
  <c r="DJ244" i="4" s="1"/>
  <c r="DH244" i="4" a="1"/>
  <c r="DH244" i="4" s="1"/>
  <c r="DG244" i="4" a="1"/>
  <c r="DG244" i="4" s="1"/>
  <c r="DF244" i="4" a="1"/>
  <c r="DF244" i="4" s="1"/>
  <c r="DE244" i="4" a="1"/>
  <c r="DE244" i="4" s="1"/>
  <c r="DD244" i="4" a="1"/>
  <c r="DD244" i="4" s="1"/>
  <c r="DC244" i="4" a="1"/>
  <c r="DC244" i="4" s="1"/>
  <c r="DB244" i="4" a="1"/>
  <c r="DB244" i="4" s="1"/>
  <c r="DA244" i="4" a="1"/>
  <c r="DA244" i="4" s="1"/>
  <c r="GK243" i="4"/>
  <c r="GC243" i="4"/>
  <c r="DN243" i="4"/>
  <c r="DM243" i="4"/>
  <c r="DL243" i="4"/>
  <c r="DK243" i="4"/>
  <c r="DJ243" i="4" a="1"/>
  <c r="DJ243" i="4" s="1"/>
  <c r="DH243" i="4" a="1"/>
  <c r="DH243" i="4" s="1"/>
  <c r="DG243" i="4" a="1"/>
  <c r="DG243" i="4" s="1"/>
  <c r="DF243" i="4" a="1"/>
  <c r="DF243" i="4" s="1"/>
  <c r="DE243" i="4" a="1"/>
  <c r="DE243" i="4" s="1"/>
  <c r="DD243" i="4" a="1"/>
  <c r="DD243" i="4" s="1"/>
  <c r="DC243" i="4" a="1"/>
  <c r="DC243" i="4" s="1"/>
  <c r="DB243" i="4" a="1"/>
  <c r="DB243" i="4" s="1"/>
  <c r="DA243" i="4" a="1"/>
  <c r="DA243" i="4" s="1"/>
  <c r="GK242" i="4"/>
  <c r="GC242" i="4"/>
  <c r="EI242" i="4"/>
  <c r="EC242" i="4"/>
  <c r="DN242" i="4"/>
  <c r="DM242" i="4"/>
  <c r="DL242" i="4"/>
  <c r="DK242" i="4"/>
  <c r="DJ242" i="4" a="1"/>
  <c r="DJ242" i="4" s="1"/>
  <c r="DH242" i="4" a="1"/>
  <c r="DH242" i="4" s="1"/>
  <c r="DG242" i="4" a="1"/>
  <c r="DG242" i="4" s="1"/>
  <c r="DF242" i="4" a="1"/>
  <c r="DF242" i="4" s="1"/>
  <c r="DE242" i="4" a="1"/>
  <c r="DE242" i="4" s="1"/>
  <c r="DD242" i="4" a="1"/>
  <c r="DD242" i="4" s="1"/>
  <c r="DC242" i="4" a="1"/>
  <c r="DC242" i="4" s="1"/>
  <c r="DB242" i="4" a="1"/>
  <c r="DB242" i="4" s="1"/>
  <c r="DA242" i="4" a="1"/>
  <c r="DA242" i="4" s="1"/>
  <c r="GK241" i="4"/>
  <c r="GC241" i="4"/>
  <c r="DN241" i="4"/>
  <c r="DM241" i="4"/>
  <c r="DL241" i="4"/>
  <c r="DK241" i="4"/>
  <c r="DJ241" i="4" a="1"/>
  <c r="DJ241" i="4" s="1"/>
  <c r="DH241" i="4" a="1"/>
  <c r="DH241" i="4" s="1"/>
  <c r="DG241" i="4" a="1"/>
  <c r="DG241" i="4" s="1"/>
  <c r="DF241" i="4" a="1"/>
  <c r="DF241" i="4" s="1"/>
  <c r="DE241" i="4" a="1"/>
  <c r="DE241" i="4" s="1"/>
  <c r="DD241" i="4" a="1"/>
  <c r="DD241" i="4" s="1"/>
  <c r="DC241" i="4" a="1"/>
  <c r="DC241" i="4" s="1"/>
  <c r="DB241" i="4" a="1"/>
  <c r="DB241" i="4" s="1"/>
  <c r="DA241" i="4" a="1"/>
  <c r="DA241" i="4" s="1"/>
  <c r="GK240" i="4"/>
  <c r="GC240" i="4"/>
  <c r="DS240" i="4"/>
  <c r="DN240" i="4"/>
  <c r="DM240" i="4"/>
  <c r="DL240" i="4"/>
  <c r="DK240" i="4"/>
  <c r="DJ240" i="4" a="1"/>
  <c r="DJ240" i="4" s="1"/>
  <c r="DH240" i="4" a="1"/>
  <c r="DH240" i="4" s="1"/>
  <c r="DG240" i="4" a="1"/>
  <c r="DG240" i="4" s="1"/>
  <c r="DF240" i="4" a="1"/>
  <c r="DF240" i="4" s="1"/>
  <c r="DE240" i="4" a="1"/>
  <c r="DE240" i="4" s="1"/>
  <c r="DD240" i="4" a="1"/>
  <c r="DD240" i="4" s="1"/>
  <c r="DC240" i="4" a="1"/>
  <c r="DC240" i="4" s="1"/>
  <c r="DB240" i="4" a="1"/>
  <c r="DB240" i="4" s="1"/>
  <c r="DA240" i="4" a="1"/>
  <c r="DA240" i="4" s="1"/>
  <c r="GK239" i="4"/>
  <c r="GC239" i="4"/>
  <c r="DN239" i="4"/>
  <c r="DM239" i="4"/>
  <c r="DL239" i="4"/>
  <c r="DK239" i="4"/>
  <c r="DJ239" i="4" a="1"/>
  <c r="DJ239" i="4" s="1"/>
  <c r="DH239" i="4" a="1"/>
  <c r="DH239" i="4" s="1"/>
  <c r="DG239" i="4" a="1"/>
  <c r="DG239" i="4" s="1"/>
  <c r="DF239" i="4" a="1"/>
  <c r="DF239" i="4" s="1"/>
  <c r="DE239" i="4" a="1"/>
  <c r="DE239" i="4" s="1"/>
  <c r="DD239" i="4" a="1"/>
  <c r="DD239" i="4" s="1"/>
  <c r="DC239" i="4" a="1"/>
  <c r="DC239" i="4" s="1"/>
  <c r="DB239" i="4" a="1"/>
  <c r="DB239" i="4" s="1"/>
  <c r="DA239" i="4" a="1"/>
  <c r="DA239" i="4" s="1"/>
  <c r="GK238" i="4"/>
  <c r="GC238" i="4"/>
  <c r="DX238" i="4"/>
  <c r="DN238" i="4"/>
  <c r="DM238" i="4"/>
  <c r="DL238" i="4"/>
  <c r="DK238" i="4"/>
  <c r="DJ238" i="4" a="1"/>
  <c r="DJ238" i="4" s="1"/>
  <c r="DH238" i="4" a="1"/>
  <c r="DH238" i="4" s="1"/>
  <c r="DG238" i="4" a="1"/>
  <c r="DG238" i="4" s="1"/>
  <c r="DF238" i="4" a="1"/>
  <c r="DF238" i="4" s="1"/>
  <c r="DE238" i="4" a="1"/>
  <c r="DE238" i="4" s="1"/>
  <c r="DD238" i="4" a="1"/>
  <c r="DD238" i="4" s="1"/>
  <c r="DC238" i="4" a="1"/>
  <c r="DC238" i="4" s="1"/>
  <c r="DB238" i="4" a="1"/>
  <c r="DB238" i="4" s="1"/>
  <c r="DA238" i="4" a="1"/>
  <c r="DA238" i="4" s="1"/>
  <c r="GK237" i="4"/>
  <c r="GC237" i="4"/>
  <c r="EA237" i="4"/>
  <c r="DN237" i="4"/>
  <c r="DM237" i="4"/>
  <c r="DL237" i="4"/>
  <c r="DK237" i="4"/>
  <c r="DJ237" i="4" a="1"/>
  <c r="DJ237" i="4" s="1"/>
  <c r="DH237" i="4" a="1"/>
  <c r="DH237" i="4" s="1"/>
  <c r="DG237" i="4" a="1"/>
  <c r="DG237" i="4" s="1"/>
  <c r="DF237" i="4" a="1"/>
  <c r="DF237" i="4" s="1"/>
  <c r="DE237" i="4" a="1"/>
  <c r="DE237" i="4" s="1"/>
  <c r="DD237" i="4" a="1"/>
  <c r="DD237" i="4" s="1"/>
  <c r="DC237" i="4" a="1"/>
  <c r="DC237" i="4" s="1"/>
  <c r="DB237" i="4" a="1"/>
  <c r="DB237" i="4" s="1"/>
  <c r="DA237" i="4" a="1"/>
  <c r="DA237" i="4" s="1"/>
  <c r="GC236" i="4"/>
  <c r="DN236" i="4"/>
  <c r="DM236" i="4"/>
  <c r="DL236" i="4"/>
  <c r="DK236" i="4"/>
  <c r="DJ236" i="4" a="1"/>
  <c r="DJ236" i="4" s="1"/>
  <c r="DH236" i="4" a="1"/>
  <c r="DH236" i="4" s="1"/>
  <c r="DG236" i="4" a="1"/>
  <c r="DG236" i="4" s="1"/>
  <c r="DF236" i="4" a="1"/>
  <c r="DF236" i="4" s="1"/>
  <c r="DE236" i="4" a="1"/>
  <c r="DE236" i="4" s="1"/>
  <c r="DD236" i="4" a="1"/>
  <c r="DD236" i="4" s="1"/>
  <c r="DC236" i="4" a="1"/>
  <c r="DC236" i="4" s="1"/>
  <c r="DB236" i="4" a="1"/>
  <c r="DB236" i="4" s="1"/>
  <c r="DA236" i="4" a="1"/>
  <c r="DA236" i="4" s="1"/>
  <c r="GK235" i="4"/>
  <c r="GC235" i="4"/>
  <c r="DO235" i="4"/>
  <c r="DN235" i="4"/>
  <c r="DM235" i="4"/>
  <c r="DL235" i="4"/>
  <c r="DK235" i="4"/>
  <c r="DJ235" i="4" a="1"/>
  <c r="DJ235" i="4" s="1"/>
  <c r="DH235" i="4" a="1"/>
  <c r="DH235" i="4" s="1"/>
  <c r="DG235" i="4" a="1"/>
  <c r="DG235" i="4" s="1"/>
  <c r="DF235" i="4" a="1"/>
  <c r="DF235" i="4" s="1"/>
  <c r="DE235" i="4" a="1"/>
  <c r="DE235" i="4" s="1"/>
  <c r="DD235" i="4" a="1"/>
  <c r="DD235" i="4" s="1"/>
  <c r="DC235" i="4" a="1"/>
  <c r="DC235" i="4" s="1"/>
  <c r="DB235" i="4" a="1"/>
  <c r="DB235" i="4" s="1"/>
  <c r="DA235" i="4" a="1"/>
  <c r="DA235" i="4" s="1"/>
  <c r="GK234" i="4"/>
  <c r="GC234" i="4"/>
  <c r="DN234" i="4"/>
  <c r="DM234" i="4"/>
  <c r="DL234" i="4"/>
  <c r="DK234" i="4"/>
  <c r="DJ234" i="4" a="1"/>
  <c r="DJ234" i="4" s="1"/>
  <c r="DH234" i="4" a="1"/>
  <c r="DH234" i="4" s="1"/>
  <c r="DG234" i="4" a="1"/>
  <c r="DG234" i="4" s="1"/>
  <c r="DF234" i="4" a="1"/>
  <c r="DF234" i="4" s="1"/>
  <c r="DE234" i="4" a="1"/>
  <c r="DE234" i="4" s="1"/>
  <c r="DD234" i="4" a="1"/>
  <c r="DD234" i="4" s="1"/>
  <c r="DC234" i="4" a="1"/>
  <c r="DC234" i="4" s="1"/>
  <c r="DB234" i="4" a="1"/>
  <c r="DB234" i="4" s="1"/>
  <c r="DA234" i="4" a="1"/>
  <c r="DA234" i="4" s="1"/>
  <c r="GK233" i="4"/>
  <c r="GC233" i="4"/>
  <c r="DN233" i="4"/>
  <c r="DM233" i="4"/>
  <c r="DL233" i="4"/>
  <c r="DK233" i="4"/>
  <c r="DJ233" i="4" a="1"/>
  <c r="DJ233" i="4" s="1"/>
  <c r="DH233" i="4" a="1"/>
  <c r="DH233" i="4" s="1"/>
  <c r="DG233" i="4" a="1"/>
  <c r="DG233" i="4" s="1"/>
  <c r="DF233" i="4" a="1"/>
  <c r="DF233" i="4" s="1"/>
  <c r="DE233" i="4" a="1"/>
  <c r="DE233" i="4" s="1"/>
  <c r="DD233" i="4" a="1"/>
  <c r="DD233" i="4" s="1"/>
  <c r="DC233" i="4" a="1"/>
  <c r="DC233" i="4" s="1"/>
  <c r="DB233" i="4" a="1"/>
  <c r="DB233" i="4" s="1"/>
  <c r="DA233" i="4" a="1"/>
  <c r="DA233" i="4" s="1"/>
  <c r="GK232" i="4"/>
  <c r="GC232" i="4"/>
  <c r="DN232" i="4"/>
  <c r="DM232" i="4"/>
  <c r="DL232" i="4"/>
  <c r="DK232" i="4"/>
  <c r="DJ232" i="4" a="1"/>
  <c r="DJ232" i="4" s="1"/>
  <c r="DH232" i="4" a="1"/>
  <c r="DH232" i="4" s="1"/>
  <c r="DG232" i="4" a="1"/>
  <c r="DG232" i="4" s="1"/>
  <c r="DF232" i="4" a="1"/>
  <c r="DF232" i="4" s="1"/>
  <c r="DE232" i="4" a="1"/>
  <c r="DE232" i="4" s="1"/>
  <c r="DD232" i="4" a="1"/>
  <c r="DD232" i="4" s="1"/>
  <c r="DC232" i="4" a="1"/>
  <c r="DC232" i="4" s="1"/>
  <c r="DB232" i="4" a="1"/>
  <c r="DB232" i="4" s="1"/>
  <c r="DA232" i="4" a="1"/>
  <c r="DA232" i="4" s="1"/>
  <c r="GK231" i="4"/>
  <c r="GC231" i="4"/>
  <c r="DO231" i="4"/>
  <c r="DN231" i="4"/>
  <c r="DM231" i="4"/>
  <c r="DL231" i="4"/>
  <c r="DK231" i="4"/>
  <c r="DJ231" i="4" a="1"/>
  <c r="DJ231" i="4" s="1"/>
  <c r="DH231" i="4" a="1"/>
  <c r="DH231" i="4" s="1"/>
  <c r="DG231" i="4" a="1"/>
  <c r="DG231" i="4" s="1"/>
  <c r="DF231" i="4" a="1"/>
  <c r="DF231" i="4" s="1"/>
  <c r="DE231" i="4" a="1"/>
  <c r="DE231" i="4" s="1"/>
  <c r="DD231" i="4" a="1"/>
  <c r="DD231" i="4" s="1"/>
  <c r="DC231" i="4" a="1"/>
  <c r="DC231" i="4" s="1"/>
  <c r="DB231" i="4" a="1"/>
  <c r="DB231" i="4" s="1"/>
  <c r="DA231" i="4" a="1"/>
  <c r="DA231" i="4" s="1"/>
  <c r="GK230" i="4"/>
  <c r="GC230" i="4"/>
  <c r="DN230" i="4"/>
  <c r="DM230" i="4"/>
  <c r="DL230" i="4"/>
  <c r="DK230" i="4"/>
  <c r="DJ230" i="4" a="1"/>
  <c r="DJ230" i="4" s="1"/>
  <c r="DH230" i="4" a="1"/>
  <c r="DH230" i="4" s="1"/>
  <c r="DG230" i="4" a="1"/>
  <c r="DG230" i="4" s="1"/>
  <c r="DF230" i="4" a="1"/>
  <c r="DF230" i="4" s="1"/>
  <c r="DE230" i="4" a="1"/>
  <c r="DE230" i="4" s="1"/>
  <c r="DD230" i="4" a="1"/>
  <c r="DD230" i="4" s="1"/>
  <c r="DC230" i="4" a="1"/>
  <c r="DC230" i="4" s="1"/>
  <c r="DB230" i="4" a="1"/>
  <c r="DB230" i="4" s="1"/>
  <c r="DA230" i="4" a="1"/>
  <c r="DA230" i="4" s="1"/>
  <c r="GK229" i="4"/>
  <c r="GC229" i="4"/>
  <c r="DN229" i="4"/>
  <c r="DM229" i="4"/>
  <c r="DL229" i="4"/>
  <c r="DK229" i="4"/>
  <c r="DJ229" i="4" a="1"/>
  <c r="DJ229" i="4" s="1"/>
  <c r="DH229" i="4" a="1"/>
  <c r="DH229" i="4" s="1"/>
  <c r="DG229" i="4" a="1"/>
  <c r="DG229" i="4" s="1"/>
  <c r="DF229" i="4" a="1"/>
  <c r="DF229" i="4" s="1"/>
  <c r="DE229" i="4" a="1"/>
  <c r="DE229" i="4" s="1"/>
  <c r="DD229" i="4" a="1"/>
  <c r="DD229" i="4" s="1"/>
  <c r="DC229" i="4" a="1"/>
  <c r="DC229" i="4" s="1"/>
  <c r="DB229" i="4" a="1"/>
  <c r="DB229" i="4" s="1"/>
  <c r="DA229" i="4" a="1"/>
  <c r="DA229" i="4" s="1"/>
  <c r="GK228" i="4"/>
  <c r="GC228" i="4"/>
  <c r="DN228" i="4"/>
  <c r="DM228" i="4"/>
  <c r="DL228" i="4"/>
  <c r="DK228" i="4"/>
  <c r="DJ228" i="4" a="1"/>
  <c r="DJ228" i="4" s="1"/>
  <c r="DH228" i="4" a="1"/>
  <c r="DH228" i="4" s="1"/>
  <c r="DG228" i="4" a="1"/>
  <c r="DG228" i="4" s="1"/>
  <c r="DF228" i="4" a="1"/>
  <c r="DF228" i="4" s="1"/>
  <c r="DE228" i="4" a="1"/>
  <c r="DE228" i="4" s="1"/>
  <c r="DD228" i="4" a="1"/>
  <c r="DD228" i="4" s="1"/>
  <c r="DC228" i="4" a="1"/>
  <c r="DC228" i="4" s="1"/>
  <c r="DB228" i="4" a="1"/>
  <c r="DB228" i="4" s="1"/>
  <c r="DA228" i="4" a="1"/>
  <c r="DA228" i="4" s="1"/>
  <c r="GK227" i="4"/>
  <c r="GC227" i="4"/>
  <c r="DO227" i="4"/>
  <c r="DN227" i="4"/>
  <c r="DM227" i="4"/>
  <c r="DL227" i="4"/>
  <c r="DK227" i="4"/>
  <c r="DJ227" i="4" a="1"/>
  <c r="DJ227" i="4" s="1"/>
  <c r="DH227" i="4" a="1"/>
  <c r="DH227" i="4" s="1"/>
  <c r="DG227" i="4" a="1"/>
  <c r="DG227" i="4" s="1"/>
  <c r="DF227" i="4" a="1"/>
  <c r="DF227" i="4" s="1"/>
  <c r="DE227" i="4" a="1"/>
  <c r="DE227" i="4" s="1"/>
  <c r="DD227" i="4" a="1"/>
  <c r="DD227" i="4" s="1"/>
  <c r="DC227" i="4" a="1"/>
  <c r="DC227" i="4" s="1"/>
  <c r="DB227" i="4" a="1"/>
  <c r="DB227" i="4" s="1"/>
  <c r="DA227" i="4" a="1"/>
  <c r="DA227" i="4" s="1"/>
  <c r="GK226" i="4"/>
  <c r="GC226" i="4"/>
  <c r="DN226" i="4"/>
  <c r="DM226" i="4"/>
  <c r="DL226" i="4"/>
  <c r="DK226" i="4"/>
  <c r="DJ226" i="4" a="1"/>
  <c r="DJ226" i="4" s="1"/>
  <c r="DH226" i="4" a="1"/>
  <c r="DH226" i="4" s="1"/>
  <c r="DG226" i="4" a="1"/>
  <c r="DG226" i="4" s="1"/>
  <c r="DF226" i="4" a="1"/>
  <c r="DF226" i="4" s="1"/>
  <c r="DE226" i="4" a="1"/>
  <c r="DE226" i="4" s="1"/>
  <c r="DD226" i="4" a="1"/>
  <c r="DD226" i="4" s="1"/>
  <c r="DC226" i="4" a="1"/>
  <c r="DC226" i="4" s="1"/>
  <c r="DB226" i="4" a="1"/>
  <c r="DB226" i="4" s="1"/>
  <c r="DA226" i="4" a="1"/>
  <c r="DA226" i="4" s="1"/>
  <c r="GK225" i="4"/>
  <c r="GC225" i="4"/>
  <c r="DN225" i="4"/>
  <c r="DM225" i="4"/>
  <c r="DL225" i="4"/>
  <c r="DK225" i="4"/>
  <c r="DJ225" i="4" a="1"/>
  <c r="DJ225" i="4" s="1"/>
  <c r="DH225" i="4" a="1"/>
  <c r="DH225" i="4" s="1"/>
  <c r="DG225" i="4" a="1"/>
  <c r="DG225" i="4" s="1"/>
  <c r="DF225" i="4" a="1"/>
  <c r="DF225" i="4" s="1"/>
  <c r="DE225" i="4" a="1"/>
  <c r="DE225" i="4" s="1"/>
  <c r="DD225" i="4" a="1"/>
  <c r="DD225" i="4" s="1"/>
  <c r="DC225" i="4" a="1"/>
  <c r="DC225" i="4" s="1"/>
  <c r="DB225" i="4" a="1"/>
  <c r="DB225" i="4" s="1"/>
  <c r="DA225" i="4" a="1"/>
  <c r="DA225" i="4" s="1"/>
  <c r="GK224" i="4"/>
  <c r="GC224" i="4"/>
  <c r="DN224" i="4"/>
  <c r="DM224" i="4"/>
  <c r="DL224" i="4"/>
  <c r="DK224" i="4"/>
  <c r="DJ224" i="4" a="1"/>
  <c r="DJ224" i="4" s="1"/>
  <c r="DH224" i="4" a="1"/>
  <c r="DH224" i="4" s="1"/>
  <c r="DG224" i="4" a="1"/>
  <c r="DG224" i="4" s="1"/>
  <c r="DF224" i="4" a="1"/>
  <c r="DF224" i="4" s="1"/>
  <c r="DE224" i="4" a="1"/>
  <c r="DE224" i="4" s="1"/>
  <c r="DD224" i="4" a="1"/>
  <c r="DD224" i="4" s="1"/>
  <c r="DC224" i="4" a="1"/>
  <c r="DC224" i="4" s="1"/>
  <c r="DB224" i="4" a="1"/>
  <c r="DB224" i="4" s="1"/>
  <c r="DA224" i="4" a="1"/>
  <c r="DA224" i="4" s="1"/>
  <c r="GK223" i="4"/>
  <c r="GC223" i="4"/>
  <c r="DO223" i="4"/>
  <c r="DN223" i="4"/>
  <c r="DM223" i="4"/>
  <c r="DL223" i="4"/>
  <c r="DK223" i="4"/>
  <c r="DJ223" i="4" a="1"/>
  <c r="DJ223" i="4" s="1"/>
  <c r="DH223" i="4" a="1"/>
  <c r="DH223" i="4" s="1"/>
  <c r="DG223" i="4" a="1"/>
  <c r="DG223" i="4" s="1"/>
  <c r="DF223" i="4" a="1"/>
  <c r="DF223" i="4" s="1"/>
  <c r="DE223" i="4" a="1"/>
  <c r="DE223" i="4" s="1"/>
  <c r="DD223" i="4" a="1"/>
  <c r="DD223" i="4" s="1"/>
  <c r="DC223" i="4" a="1"/>
  <c r="DC223" i="4" s="1"/>
  <c r="DB223" i="4" a="1"/>
  <c r="DB223" i="4" s="1"/>
  <c r="DA223" i="4" a="1"/>
  <c r="DA223" i="4" s="1"/>
  <c r="GK222" i="4"/>
  <c r="GC222" i="4"/>
  <c r="DN222" i="4"/>
  <c r="DM222" i="4"/>
  <c r="DL222" i="4"/>
  <c r="DK222" i="4"/>
  <c r="DJ222" i="4" a="1"/>
  <c r="DJ222" i="4" s="1"/>
  <c r="DH222" i="4" a="1"/>
  <c r="DH222" i="4" s="1"/>
  <c r="DG222" i="4" a="1"/>
  <c r="DG222" i="4" s="1"/>
  <c r="DF222" i="4" a="1"/>
  <c r="DF222" i="4" s="1"/>
  <c r="DE222" i="4" a="1"/>
  <c r="DE222" i="4" s="1"/>
  <c r="DD222" i="4" a="1"/>
  <c r="DD222" i="4" s="1"/>
  <c r="DC222" i="4" a="1"/>
  <c r="DC222" i="4" s="1"/>
  <c r="DB222" i="4" a="1"/>
  <c r="DB222" i="4" s="1"/>
  <c r="DA222" i="4" a="1"/>
  <c r="DA222" i="4" s="1"/>
  <c r="GK221" i="4"/>
  <c r="GC221" i="4"/>
  <c r="DN221" i="4"/>
  <c r="DM221" i="4"/>
  <c r="DL221" i="4"/>
  <c r="DK221" i="4"/>
  <c r="DJ221" i="4" a="1"/>
  <c r="DJ221" i="4" s="1"/>
  <c r="DH221" i="4" a="1"/>
  <c r="DH221" i="4" s="1"/>
  <c r="DG221" i="4" a="1"/>
  <c r="DG221" i="4" s="1"/>
  <c r="DF221" i="4" a="1"/>
  <c r="DF221" i="4" s="1"/>
  <c r="DE221" i="4" a="1"/>
  <c r="DE221" i="4" s="1"/>
  <c r="DD221" i="4" a="1"/>
  <c r="DD221" i="4" s="1"/>
  <c r="DC221" i="4" a="1"/>
  <c r="DC221" i="4" s="1"/>
  <c r="DB221" i="4" a="1"/>
  <c r="DB221" i="4" s="1"/>
  <c r="DA221" i="4" a="1"/>
  <c r="DA221" i="4" s="1"/>
  <c r="GK220" i="4"/>
  <c r="GC220" i="4"/>
  <c r="DN220" i="4"/>
  <c r="DM220" i="4"/>
  <c r="DL220" i="4"/>
  <c r="DK220" i="4"/>
  <c r="DJ220" i="4" a="1"/>
  <c r="DJ220" i="4" s="1"/>
  <c r="DH220" i="4" a="1"/>
  <c r="DH220" i="4" s="1"/>
  <c r="DG220" i="4" a="1"/>
  <c r="DG220" i="4" s="1"/>
  <c r="DF220" i="4" a="1"/>
  <c r="DF220" i="4" s="1"/>
  <c r="DE220" i="4" a="1"/>
  <c r="DE220" i="4" s="1"/>
  <c r="DD220" i="4" a="1"/>
  <c r="DD220" i="4" s="1"/>
  <c r="DC220" i="4" a="1"/>
  <c r="DC220" i="4" s="1"/>
  <c r="DB220" i="4" a="1"/>
  <c r="DB220" i="4" s="1"/>
  <c r="DA220" i="4" a="1"/>
  <c r="DA220" i="4" s="1"/>
  <c r="GK219" i="4"/>
  <c r="GC219" i="4"/>
  <c r="DO219" i="4"/>
  <c r="DN219" i="4"/>
  <c r="DM219" i="4"/>
  <c r="DL219" i="4"/>
  <c r="DK219" i="4"/>
  <c r="DJ219" i="4" a="1"/>
  <c r="DJ219" i="4" s="1"/>
  <c r="DH219" i="4" a="1"/>
  <c r="DH219" i="4" s="1"/>
  <c r="DG219" i="4" a="1"/>
  <c r="DG219" i="4" s="1"/>
  <c r="DF219" i="4" a="1"/>
  <c r="DF219" i="4" s="1"/>
  <c r="DE219" i="4" a="1"/>
  <c r="DE219" i="4" s="1"/>
  <c r="DD219" i="4" a="1"/>
  <c r="DD219" i="4" s="1"/>
  <c r="DC219" i="4" a="1"/>
  <c r="DC219" i="4" s="1"/>
  <c r="DB219" i="4" a="1"/>
  <c r="DB219" i="4" s="1"/>
  <c r="DA219" i="4" a="1"/>
  <c r="DA219" i="4" s="1"/>
  <c r="GK218" i="4"/>
  <c r="GC218" i="4"/>
  <c r="DN218" i="4"/>
  <c r="DM218" i="4"/>
  <c r="DL218" i="4"/>
  <c r="DK218" i="4"/>
  <c r="DJ218" i="4" a="1"/>
  <c r="DJ218" i="4" s="1"/>
  <c r="DH218" i="4" a="1"/>
  <c r="DH218" i="4" s="1"/>
  <c r="DG218" i="4" a="1"/>
  <c r="DG218" i="4" s="1"/>
  <c r="DF218" i="4" a="1"/>
  <c r="DF218" i="4" s="1"/>
  <c r="DE218" i="4" a="1"/>
  <c r="DE218" i="4" s="1"/>
  <c r="DD218" i="4" a="1"/>
  <c r="DD218" i="4" s="1"/>
  <c r="DC218" i="4" a="1"/>
  <c r="DC218" i="4" s="1"/>
  <c r="DB218" i="4" a="1"/>
  <c r="DB218" i="4" s="1"/>
  <c r="DA218" i="4" a="1"/>
  <c r="DA218" i="4" s="1"/>
  <c r="GK217" i="4"/>
  <c r="GC217" i="4"/>
  <c r="DN217" i="4"/>
  <c r="DM217" i="4"/>
  <c r="DL217" i="4"/>
  <c r="DK217" i="4"/>
  <c r="DJ217" i="4" a="1"/>
  <c r="DJ217" i="4" s="1"/>
  <c r="DH217" i="4" a="1"/>
  <c r="DH217" i="4" s="1"/>
  <c r="DG217" i="4" a="1"/>
  <c r="DG217" i="4" s="1"/>
  <c r="DE217" i="4" a="1"/>
  <c r="DE217" i="4" s="1"/>
  <c r="DD217" i="4" a="1"/>
  <c r="DD217" i="4" s="1"/>
  <c r="DC217" i="4" a="1"/>
  <c r="DC217" i="4" s="1"/>
  <c r="DB217" i="4" a="1"/>
  <c r="DB217" i="4" s="1"/>
  <c r="DA217" i="4"/>
  <c r="GK216" i="4"/>
  <c r="GC216" i="4"/>
  <c r="DP216" i="4"/>
  <c r="DN216" i="4"/>
  <c r="DM216" i="4"/>
  <c r="DL216" i="4"/>
  <c r="DK216" i="4"/>
  <c r="DJ216" i="4" a="1"/>
  <c r="DJ216" i="4" s="1"/>
  <c r="DH216" i="4" a="1"/>
  <c r="DH216" i="4" s="1"/>
  <c r="DG216" i="4" a="1"/>
  <c r="DG216" i="4" s="1"/>
  <c r="DF216" i="4" a="1"/>
  <c r="DF216" i="4" s="1"/>
  <c r="DE216" i="4" a="1"/>
  <c r="DE216" i="4" s="1"/>
  <c r="DD216" i="4" a="1"/>
  <c r="DD216" i="4" s="1"/>
  <c r="DC216" i="4" a="1"/>
  <c r="DC216" i="4" s="1"/>
  <c r="DB216" i="4" a="1"/>
  <c r="DB216" i="4" s="1"/>
  <c r="DA216" i="4" a="1"/>
  <c r="DA216" i="4" s="1"/>
  <c r="GK215" i="4"/>
  <c r="GC215" i="4"/>
  <c r="DN215" i="4"/>
  <c r="DM215" i="4"/>
  <c r="DL215" i="4"/>
  <c r="DK215" i="4"/>
  <c r="DJ215" i="4" a="1"/>
  <c r="DJ215" i="4" s="1"/>
  <c r="DH215" i="4" a="1"/>
  <c r="DH215" i="4" s="1"/>
  <c r="DG215" i="4" a="1"/>
  <c r="DG215" i="4" s="1"/>
  <c r="DF215" i="4" a="1"/>
  <c r="DF215" i="4" s="1"/>
  <c r="DE215" i="4" a="1"/>
  <c r="DE215" i="4" s="1"/>
  <c r="DD215" i="4" a="1"/>
  <c r="DD215" i="4" s="1"/>
  <c r="DC215" i="4" a="1"/>
  <c r="DC215" i="4" s="1"/>
  <c r="DB215" i="4" a="1"/>
  <c r="DB215" i="4" s="1"/>
  <c r="DA215" i="4" a="1"/>
  <c r="DA215" i="4" s="1"/>
  <c r="GK214" i="4"/>
  <c r="GC214" i="4"/>
  <c r="DN214" i="4"/>
  <c r="DM214" i="4"/>
  <c r="DL214" i="4"/>
  <c r="DK214" i="4"/>
  <c r="DJ214" i="4" a="1"/>
  <c r="DJ214" i="4" s="1"/>
  <c r="DH214" i="4" a="1"/>
  <c r="DH214" i="4" s="1"/>
  <c r="DG214" i="4" a="1"/>
  <c r="DG214" i="4" s="1"/>
  <c r="DF214" i="4" a="1"/>
  <c r="DF214" i="4" s="1"/>
  <c r="DE214" i="4" a="1"/>
  <c r="DE214" i="4" s="1"/>
  <c r="DD214" i="4" a="1"/>
  <c r="DD214" i="4" s="1"/>
  <c r="DC214" i="4" a="1"/>
  <c r="DC214" i="4" s="1"/>
  <c r="DB214" i="4" a="1"/>
  <c r="DB214" i="4" s="1"/>
  <c r="DA214" i="4" a="1"/>
  <c r="DA214" i="4" s="1"/>
  <c r="GK213" i="4"/>
  <c r="GC213" i="4"/>
  <c r="DN213" i="4"/>
  <c r="DM213" i="4"/>
  <c r="DL213" i="4"/>
  <c r="DK213" i="4"/>
  <c r="DJ213" i="4" a="1"/>
  <c r="DJ213" i="4" s="1"/>
  <c r="DH213" i="4" a="1"/>
  <c r="DH213" i="4" s="1"/>
  <c r="DG213" i="4" a="1"/>
  <c r="DG213" i="4" s="1"/>
  <c r="DF213" i="4" a="1"/>
  <c r="DF213" i="4" s="1"/>
  <c r="DE213" i="4" a="1"/>
  <c r="DE213" i="4" s="1"/>
  <c r="DD213" i="4" a="1"/>
  <c r="DD213" i="4" s="1"/>
  <c r="DC213" i="4" a="1"/>
  <c r="DC213" i="4" s="1"/>
  <c r="DB213" i="4" a="1"/>
  <c r="DB213" i="4" s="1"/>
  <c r="DA213" i="4" a="1"/>
  <c r="DA213" i="4" s="1"/>
  <c r="GK212" i="4"/>
  <c r="GC212" i="4"/>
  <c r="DN212" i="4"/>
  <c r="DM212" i="4"/>
  <c r="DL212" i="4"/>
  <c r="DK212" i="4"/>
  <c r="DJ212" i="4" a="1"/>
  <c r="DJ212" i="4" s="1"/>
  <c r="DH212" i="4" a="1"/>
  <c r="DH212" i="4" s="1"/>
  <c r="DG212" i="4" a="1"/>
  <c r="DG212" i="4" s="1"/>
  <c r="DF212" i="4" a="1"/>
  <c r="DF212" i="4" s="1"/>
  <c r="DE212" i="4" a="1"/>
  <c r="DE212" i="4" s="1"/>
  <c r="DD212" i="4" a="1"/>
  <c r="DD212" i="4" s="1"/>
  <c r="DC212" i="4" a="1"/>
  <c r="DC212" i="4" s="1"/>
  <c r="DB212" i="4" a="1"/>
  <c r="DB212" i="4" s="1"/>
  <c r="DA212" i="4" a="1"/>
  <c r="DA212" i="4" s="1"/>
  <c r="GK211" i="4"/>
  <c r="GC211" i="4"/>
  <c r="DN211" i="4"/>
  <c r="DM211" i="4"/>
  <c r="DL211" i="4"/>
  <c r="DK211" i="4"/>
  <c r="DJ211" i="4" a="1"/>
  <c r="DJ211" i="4" s="1"/>
  <c r="DH211" i="4" a="1"/>
  <c r="DH211" i="4" s="1"/>
  <c r="DG211" i="4" a="1"/>
  <c r="DG211" i="4" s="1"/>
  <c r="DF211" i="4" a="1"/>
  <c r="DF211" i="4" s="1"/>
  <c r="DE211" i="4" a="1"/>
  <c r="DE211" i="4" s="1"/>
  <c r="DD211" i="4" a="1"/>
  <c r="DD211" i="4" s="1"/>
  <c r="DC211" i="4" a="1"/>
  <c r="DC211" i="4" s="1"/>
  <c r="DB211" i="4" a="1"/>
  <c r="DB211" i="4" s="1"/>
  <c r="DA211" i="4" a="1"/>
  <c r="DA211" i="4" s="1"/>
  <c r="GK210" i="4"/>
  <c r="GC210" i="4"/>
  <c r="DN210" i="4"/>
  <c r="DM210" i="4"/>
  <c r="DL210" i="4"/>
  <c r="DK210" i="4"/>
  <c r="DJ210" i="4" a="1"/>
  <c r="DJ210" i="4" s="1"/>
  <c r="DH210" i="4" a="1"/>
  <c r="DH210" i="4" s="1"/>
  <c r="DG210" i="4" a="1"/>
  <c r="DG210" i="4" s="1"/>
  <c r="DF210" i="4" a="1"/>
  <c r="DF210" i="4" s="1"/>
  <c r="DE210" i="4" a="1"/>
  <c r="DE210" i="4" s="1"/>
  <c r="DD210" i="4" a="1"/>
  <c r="DD210" i="4" s="1"/>
  <c r="DC210" i="4" a="1"/>
  <c r="DC210" i="4" s="1"/>
  <c r="DB210" i="4" a="1"/>
  <c r="DB210" i="4" s="1"/>
  <c r="DA210" i="4" a="1"/>
  <c r="DA210" i="4" s="1"/>
  <c r="GK209" i="4"/>
  <c r="GC209" i="4"/>
  <c r="ED209" i="4"/>
  <c r="DN209" i="4"/>
  <c r="DM209" i="4"/>
  <c r="DL209" i="4"/>
  <c r="DK209" i="4"/>
  <c r="DJ209" i="4" a="1"/>
  <c r="DJ209" i="4" s="1"/>
  <c r="DH209" i="4" a="1"/>
  <c r="DH209" i="4" s="1"/>
  <c r="DG209" i="4" a="1"/>
  <c r="DG209" i="4" s="1"/>
  <c r="DF209" i="4" a="1"/>
  <c r="DF209" i="4" s="1"/>
  <c r="DE209" i="4" a="1"/>
  <c r="DE209" i="4" s="1"/>
  <c r="DD209" i="4" a="1"/>
  <c r="DD209" i="4" s="1"/>
  <c r="DC209" i="4" a="1"/>
  <c r="DC209" i="4" s="1"/>
  <c r="DB209" i="4" a="1"/>
  <c r="DB209" i="4" s="1"/>
  <c r="DA209" i="4" a="1"/>
  <c r="DA209" i="4" s="1"/>
  <c r="GK208" i="4"/>
  <c r="GC208" i="4"/>
  <c r="DN208" i="4"/>
  <c r="DM208" i="4"/>
  <c r="DL208" i="4"/>
  <c r="DK208" i="4"/>
  <c r="DJ208" i="4" a="1"/>
  <c r="DJ208" i="4" s="1"/>
  <c r="DH208" i="4" a="1"/>
  <c r="DH208" i="4" s="1"/>
  <c r="DG208" i="4" a="1"/>
  <c r="DG208" i="4" s="1"/>
  <c r="DF208" i="4" a="1"/>
  <c r="DF208" i="4" s="1"/>
  <c r="DE208" i="4" a="1"/>
  <c r="DE208" i="4" s="1"/>
  <c r="DD208" i="4" a="1"/>
  <c r="DD208" i="4" s="1"/>
  <c r="DC208" i="4" a="1"/>
  <c r="DC208" i="4" s="1"/>
  <c r="DB208" i="4" a="1"/>
  <c r="DB208" i="4" s="1"/>
  <c r="DA208" i="4" a="1"/>
  <c r="DA208" i="4" s="1"/>
  <c r="GK207" i="4"/>
  <c r="GC207" i="4"/>
  <c r="DN207" i="4"/>
  <c r="DM207" i="4"/>
  <c r="DL207" i="4"/>
  <c r="DK207" i="4"/>
  <c r="DJ207" i="4" a="1"/>
  <c r="DJ207" i="4" s="1"/>
  <c r="DH207" i="4" a="1"/>
  <c r="DH207" i="4" s="1"/>
  <c r="DG207" i="4" a="1"/>
  <c r="DG207" i="4" s="1"/>
  <c r="DF207" i="4" a="1"/>
  <c r="DF207" i="4" s="1"/>
  <c r="DE207" i="4" a="1"/>
  <c r="DE207" i="4" s="1"/>
  <c r="DD207" i="4" a="1"/>
  <c r="DD207" i="4" s="1"/>
  <c r="DC207" i="4" a="1"/>
  <c r="DC207" i="4" s="1"/>
  <c r="DB207" i="4" a="1"/>
  <c r="DB207" i="4" s="1"/>
  <c r="DA207" i="4" a="1"/>
  <c r="DA207" i="4" s="1"/>
  <c r="GK206" i="4"/>
  <c r="GC206" i="4"/>
  <c r="DN206" i="4"/>
  <c r="DM206" i="4"/>
  <c r="DL206" i="4"/>
  <c r="DK206" i="4"/>
  <c r="DJ206" i="4" a="1"/>
  <c r="DJ206" i="4" s="1"/>
  <c r="DH206" i="4" a="1"/>
  <c r="DH206" i="4" s="1"/>
  <c r="DG206" i="4" a="1"/>
  <c r="DG206" i="4" s="1"/>
  <c r="DF206" i="4" a="1"/>
  <c r="DF206" i="4" s="1"/>
  <c r="DE206" i="4" a="1"/>
  <c r="DE206" i="4" s="1"/>
  <c r="DD206" i="4" a="1"/>
  <c r="DD206" i="4" s="1"/>
  <c r="DC206" i="4" a="1"/>
  <c r="DC206" i="4" s="1"/>
  <c r="DB206" i="4" a="1"/>
  <c r="DB206" i="4" s="1"/>
  <c r="DA206" i="4" a="1"/>
  <c r="DA206" i="4" s="1"/>
  <c r="GK205" i="4"/>
  <c r="GC205" i="4"/>
  <c r="DN205" i="4"/>
  <c r="DM205" i="4"/>
  <c r="DL205" i="4"/>
  <c r="DK205" i="4"/>
  <c r="DJ205" i="4" a="1"/>
  <c r="DJ205" i="4" s="1"/>
  <c r="DH205" i="4" a="1"/>
  <c r="DH205" i="4" s="1"/>
  <c r="DG205" i="4" a="1"/>
  <c r="DG205" i="4" s="1"/>
  <c r="DF205" i="4" a="1"/>
  <c r="DF205" i="4" s="1"/>
  <c r="DE205" i="4" a="1"/>
  <c r="DE205" i="4" s="1"/>
  <c r="DD205" i="4" a="1"/>
  <c r="DD205" i="4" s="1"/>
  <c r="DC205" i="4" a="1"/>
  <c r="DC205" i="4" s="1"/>
  <c r="DB205" i="4" a="1"/>
  <c r="DB205" i="4" s="1"/>
  <c r="GK204" i="4"/>
  <c r="GC204" i="4"/>
  <c r="DN204" i="4"/>
  <c r="DM204" i="4"/>
  <c r="DL204" i="4"/>
  <c r="DK204" i="4"/>
  <c r="DJ204" i="4" a="1"/>
  <c r="DJ204" i="4" s="1"/>
  <c r="DH204" i="4" a="1"/>
  <c r="DH204" i="4" s="1"/>
  <c r="DG204" i="4" a="1"/>
  <c r="DG204" i="4" s="1"/>
  <c r="DF204" i="4" a="1"/>
  <c r="DF204" i="4" s="1"/>
  <c r="DE204" i="4" a="1"/>
  <c r="DE204" i="4" s="1"/>
  <c r="DD204" i="4" a="1"/>
  <c r="DD204" i="4" s="1"/>
  <c r="DC204" i="4" a="1"/>
  <c r="DC204" i="4" s="1"/>
  <c r="DB204" i="4" a="1"/>
  <c r="DB204" i="4" s="1"/>
  <c r="DA204" i="4" a="1"/>
  <c r="DA204" i="4" s="1"/>
  <c r="GK203" i="4"/>
  <c r="GC203" i="4"/>
  <c r="DN203" i="4"/>
  <c r="DM203" i="4"/>
  <c r="DL203" i="4"/>
  <c r="DK203" i="4"/>
  <c r="DJ203" i="4" a="1"/>
  <c r="DJ203" i="4" s="1"/>
  <c r="DH203" i="4" a="1"/>
  <c r="DH203" i="4" s="1"/>
  <c r="DG203" i="4" a="1"/>
  <c r="DG203" i="4" s="1"/>
  <c r="DF203" i="4" a="1"/>
  <c r="DF203" i="4" s="1"/>
  <c r="DE203" i="4" a="1"/>
  <c r="DE203" i="4" s="1"/>
  <c r="DD203" i="4" a="1"/>
  <c r="DD203" i="4" s="1"/>
  <c r="DC203" i="4" a="1"/>
  <c r="DC203" i="4" s="1"/>
  <c r="DB203" i="4" a="1"/>
  <c r="DB203" i="4" s="1"/>
  <c r="DA203" i="4" a="1"/>
  <c r="DA203" i="4" s="1"/>
  <c r="GK202" i="4"/>
  <c r="GC202" i="4"/>
  <c r="DO202" i="4"/>
  <c r="DN202" i="4"/>
  <c r="DM202" i="4"/>
  <c r="DL202" i="4"/>
  <c r="DK202" i="4"/>
  <c r="DJ202" i="4" a="1"/>
  <c r="DJ202" i="4" s="1"/>
  <c r="DH202" i="4" a="1"/>
  <c r="DH202" i="4" s="1"/>
  <c r="DG202" i="4" a="1"/>
  <c r="DG202" i="4" s="1"/>
  <c r="DF202" i="4" a="1"/>
  <c r="DF202" i="4" s="1"/>
  <c r="DE202" i="4" a="1"/>
  <c r="DE202" i="4" s="1"/>
  <c r="DD202" i="4" a="1"/>
  <c r="DD202" i="4" s="1"/>
  <c r="DC202" i="4" a="1"/>
  <c r="DC202" i="4" s="1"/>
  <c r="DB202" i="4" a="1"/>
  <c r="DB202" i="4" s="1"/>
  <c r="DA202" i="4" a="1"/>
  <c r="DA202" i="4" s="1"/>
  <c r="GK201" i="4"/>
  <c r="GC201" i="4"/>
  <c r="DN201" i="4"/>
  <c r="DM201" i="4"/>
  <c r="DL201" i="4"/>
  <c r="DK201" i="4"/>
  <c r="DJ201" i="4" a="1"/>
  <c r="DJ201" i="4" s="1"/>
  <c r="DH201" i="4" a="1"/>
  <c r="DH201" i="4" s="1"/>
  <c r="DG201" i="4" a="1"/>
  <c r="DG201" i="4" s="1"/>
  <c r="DF201" i="4" a="1"/>
  <c r="DF201" i="4" s="1"/>
  <c r="DE201" i="4" a="1"/>
  <c r="DE201" i="4" s="1"/>
  <c r="DD201" i="4" a="1"/>
  <c r="DD201" i="4" s="1"/>
  <c r="DC201" i="4" a="1"/>
  <c r="DC201" i="4" s="1"/>
  <c r="DB201" i="4" a="1"/>
  <c r="DB201" i="4" s="1"/>
  <c r="DA201" i="4" a="1"/>
  <c r="DA201" i="4" s="1"/>
  <c r="GK200" i="4"/>
  <c r="GC200" i="4"/>
  <c r="DN200" i="4"/>
  <c r="DM200" i="4"/>
  <c r="DL200" i="4"/>
  <c r="DK200" i="4"/>
  <c r="DJ200" i="4" a="1"/>
  <c r="DJ200" i="4" s="1"/>
  <c r="DH200" i="4" a="1"/>
  <c r="DH200" i="4" s="1"/>
  <c r="DG200" i="4" a="1"/>
  <c r="DG200" i="4" s="1"/>
  <c r="DF200" i="4" a="1"/>
  <c r="DF200" i="4" s="1"/>
  <c r="DE200" i="4" a="1"/>
  <c r="DE200" i="4" s="1"/>
  <c r="DD200" i="4" a="1"/>
  <c r="DD200" i="4" s="1"/>
  <c r="DC200" i="4" a="1"/>
  <c r="DC200" i="4" s="1"/>
  <c r="DB200" i="4" a="1"/>
  <c r="DB200" i="4" s="1"/>
  <c r="DA200" i="4" a="1"/>
  <c r="DA200" i="4" s="1"/>
  <c r="GK199" i="4"/>
  <c r="GC199" i="4"/>
  <c r="DN199" i="4"/>
  <c r="DM199" i="4"/>
  <c r="DL199" i="4"/>
  <c r="DK199" i="4"/>
  <c r="DJ199" i="4" a="1"/>
  <c r="DJ199" i="4" s="1"/>
  <c r="DH199" i="4" a="1"/>
  <c r="DH199" i="4" s="1"/>
  <c r="DG199" i="4" a="1"/>
  <c r="DG199" i="4" s="1"/>
  <c r="DF199" i="4" a="1"/>
  <c r="DF199" i="4" s="1"/>
  <c r="DE199" i="4" a="1"/>
  <c r="DE199" i="4" s="1"/>
  <c r="DD199" i="4" a="1"/>
  <c r="DD199" i="4" s="1"/>
  <c r="DC199" i="4" a="1"/>
  <c r="DC199" i="4" s="1"/>
  <c r="DB199" i="4" a="1"/>
  <c r="DB199" i="4" s="1"/>
  <c r="DA199" i="4" a="1"/>
  <c r="DA199" i="4" s="1"/>
  <c r="GK198" i="4"/>
  <c r="GC198" i="4"/>
  <c r="DO198" i="4"/>
  <c r="DN198" i="4"/>
  <c r="DM198" i="4"/>
  <c r="DL198" i="4"/>
  <c r="DK198" i="4"/>
  <c r="DJ198" i="4" a="1"/>
  <c r="DJ198" i="4" s="1"/>
  <c r="DH198" i="4" a="1"/>
  <c r="DH198" i="4" s="1"/>
  <c r="DG198" i="4" a="1"/>
  <c r="DG198" i="4" s="1"/>
  <c r="DF198" i="4" a="1"/>
  <c r="DF198" i="4" s="1"/>
  <c r="DE198" i="4" a="1"/>
  <c r="DE198" i="4" s="1"/>
  <c r="DD198" i="4" a="1"/>
  <c r="DD198" i="4" s="1"/>
  <c r="DC198" i="4" a="1"/>
  <c r="DC198" i="4" s="1"/>
  <c r="DB198" i="4" a="1"/>
  <c r="DB198" i="4" s="1"/>
  <c r="DA198" i="4" a="1"/>
  <c r="DA198" i="4" s="1"/>
  <c r="GK197" i="4"/>
  <c r="GC197" i="4"/>
  <c r="DN197" i="4"/>
  <c r="DM197" i="4"/>
  <c r="DL197" i="4"/>
  <c r="DK197" i="4"/>
  <c r="DJ197" i="4" a="1"/>
  <c r="DJ197" i="4" s="1"/>
  <c r="DH197" i="4" a="1"/>
  <c r="DH197" i="4" s="1"/>
  <c r="DG197" i="4" a="1"/>
  <c r="DG197" i="4" s="1"/>
  <c r="DF197" i="4" a="1"/>
  <c r="DF197" i="4" s="1"/>
  <c r="DE197" i="4" a="1"/>
  <c r="DE197" i="4" s="1"/>
  <c r="DD197" i="4" a="1"/>
  <c r="DD197" i="4" s="1"/>
  <c r="DC197" i="4" a="1"/>
  <c r="DC197" i="4" s="1"/>
  <c r="DB197" i="4" a="1"/>
  <c r="DB197" i="4" s="1"/>
  <c r="DA197" i="4" a="1"/>
  <c r="DA197" i="4" s="1"/>
  <c r="GK196" i="4"/>
  <c r="GC196" i="4"/>
  <c r="DN196" i="4"/>
  <c r="DM196" i="4"/>
  <c r="DL196" i="4"/>
  <c r="DK196" i="4"/>
  <c r="DJ196" i="4" a="1"/>
  <c r="DJ196" i="4" s="1"/>
  <c r="DH196" i="4" a="1"/>
  <c r="DH196" i="4" s="1"/>
  <c r="DG196" i="4" a="1"/>
  <c r="DG196" i="4" s="1"/>
  <c r="DF196" i="4" a="1"/>
  <c r="DF196" i="4" s="1"/>
  <c r="DE196" i="4" a="1"/>
  <c r="DE196" i="4" s="1"/>
  <c r="DD196" i="4" a="1"/>
  <c r="DD196" i="4" s="1"/>
  <c r="DC196" i="4" a="1"/>
  <c r="DC196" i="4" s="1"/>
  <c r="DB196" i="4" a="1"/>
  <c r="DB196" i="4" s="1"/>
  <c r="DA196" i="4" a="1"/>
  <c r="DA196" i="4" s="1"/>
  <c r="GK195" i="4"/>
  <c r="GC195" i="4"/>
  <c r="DN195" i="4"/>
  <c r="DM195" i="4"/>
  <c r="DL195" i="4"/>
  <c r="DK195" i="4"/>
  <c r="DJ195" i="4" a="1"/>
  <c r="DJ195" i="4" s="1"/>
  <c r="DH195" i="4" a="1"/>
  <c r="DH195" i="4" s="1"/>
  <c r="DG195" i="4" a="1"/>
  <c r="DG195" i="4" s="1"/>
  <c r="DF195" i="4" a="1"/>
  <c r="DF195" i="4" s="1"/>
  <c r="DE195" i="4" a="1"/>
  <c r="DE195" i="4" s="1"/>
  <c r="DD195" i="4" a="1"/>
  <c r="DD195" i="4" s="1"/>
  <c r="DC195" i="4" a="1"/>
  <c r="DC195" i="4" s="1"/>
  <c r="DB195" i="4" a="1"/>
  <c r="DB195" i="4" s="1"/>
  <c r="DA195" i="4" a="1"/>
  <c r="DA195" i="4" s="1"/>
  <c r="GK194" i="4"/>
  <c r="GC194" i="4"/>
  <c r="DO194" i="4"/>
  <c r="DN194" i="4"/>
  <c r="DM194" i="4"/>
  <c r="DL194" i="4"/>
  <c r="DK194" i="4"/>
  <c r="DJ194" i="4" a="1"/>
  <c r="DJ194" i="4" s="1"/>
  <c r="DH194" i="4" a="1"/>
  <c r="DH194" i="4" s="1"/>
  <c r="DG194" i="4" a="1"/>
  <c r="DG194" i="4" s="1"/>
  <c r="DF194" i="4" a="1"/>
  <c r="DF194" i="4" s="1"/>
  <c r="DE194" i="4" a="1"/>
  <c r="DE194" i="4" s="1"/>
  <c r="DD194" i="4" a="1"/>
  <c r="DD194" i="4" s="1"/>
  <c r="DC194" i="4" a="1"/>
  <c r="DC194" i="4" s="1"/>
  <c r="DB194" i="4" a="1"/>
  <c r="DB194" i="4" s="1"/>
  <c r="DA194" i="4" a="1"/>
  <c r="DA194" i="4" s="1"/>
  <c r="GK193" i="4"/>
  <c r="GC193" i="4"/>
  <c r="DN193" i="4"/>
  <c r="DM193" i="4"/>
  <c r="DL193" i="4"/>
  <c r="DK193" i="4"/>
  <c r="DJ193" i="4" a="1"/>
  <c r="DJ193" i="4" s="1"/>
  <c r="DH193" i="4" a="1"/>
  <c r="DH193" i="4" s="1"/>
  <c r="DG193" i="4" a="1"/>
  <c r="DG193" i="4" s="1"/>
  <c r="DF193" i="4" a="1"/>
  <c r="DF193" i="4" s="1"/>
  <c r="DE193" i="4" a="1"/>
  <c r="DE193" i="4" s="1"/>
  <c r="DD193" i="4" a="1"/>
  <c r="DD193" i="4" s="1"/>
  <c r="DC193" i="4" a="1"/>
  <c r="DC193" i="4" s="1"/>
  <c r="DB193" i="4" a="1"/>
  <c r="DB193" i="4" s="1"/>
  <c r="DA193" i="4" a="1"/>
  <c r="DA193" i="4" s="1"/>
  <c r="GK192" i="4"/>
  <c r="GC192" i="4"/>
  <c r="DN192" i="4"/>
  <c r="DM192" i="4"/>
  <c r="DL192" i="4"/>
  <c r="DK192" i="4"/>
  <c r="DJ192" i="4" a="1"/>
  <c r="DJ192" i="4" s="1"/>
  <c r="DH192" i="4" a="1"/>
  <c r="DH192" i="4" s="1"/>
  <c r="DG192" i="4" a="1"/>
  <c r="DG192" i="4" s="1"/>
  <c r="DF192" i="4" a="1"/>
  <c r="DF192" i="4" s="1"/>
  <c r="DE192" i="4" a="1"/>
  <c r="DE192" i="4" s="1"/>
  <c r="DD192" i="4" a="1"/>
  <c r="DD192" i="4" s="1"/>
  <c r="DC192" i="4" a="1"/>
  <c r="DC192" i="4" s="1"/>
  <c r="DB192" i="4" a="1"/>
  <c r="DB192" i="4" s="1"/>
  <c r="DA192" i="4" a="1"/>
  <c r="DA192" i="4" s="1"/>
  <c r="GK191" i="4"/>
  <c r="GC191" i="4"/>
  <c r="DN191" i="4"/>
  <c r="DM191" i="4"/>
  <c r="DL191" i="4"/>
  <c r="DK191" i="4"/>
  <c r="DJ191" i="4" a="1"/>
  <c r="DJ191" i="4" s="1"/>
  <c r="DH191" i="4" a="1"/>
  <c r="DH191" i="4" s="1"/>
  <c r="DG191" i="4" a="1"/>
  <c r="DG191" i="4" s="1"/>
  <c r="DF191" i="4" a="1"/>
  <c r="DF191" i="4" s="1"/>
  <c r="DE191" i="4" a="1"/>
  <c r="DE191" i="4" s="1"/>
  <c r="DD191" i="4" a="1"/>
  <c r="DD191" i="4" s="1"/>
  <c r="DC191" i="4" a="1"/>
  <c r="DC191" i="4" s="1"/>
  <c r="DB191" i="4" a="1"/>
  <c r="DB191" i="4" s="1"/>
  <c r="DA191" i="4" a="1"/>
  <c r="DA191" i="4" s="1"/>
  <c r="DN190" i="4"/>
  <c r="DM190" i="4"/>
  <c r="DL190" i="4"/>
  <c r="DK190" i="4"/>
  <c r="DJ190" i="4" a="1"/>
  <c r="DJ190" i="4" s="1"/>
  <c r="DH190" i="4" a="1"/>
  <c r="DH190" i="4" s="1"/>
  <c r="DG190" i="4" a="1"/>
  <c r="DG190" i="4" s="1"/>
  <c r="DF190" i="4" a="1"/>
  <c r="DF190" i="4" s="1"/>
  <c r="DE190" i="4" a="1"/>
  <c r="DE190" i="4" s="1"/>
  <c r="DD190" i="4" a="1"/>
  <c r="DD190" i="4" s="1"/>
  <c r="DC190" i="4" a="1"/>
  <c r="DC190" i="4" s="1"/>
  <c r="DB190" i="4" a="1"/>
  <c r="DB190" i="4" s="1"/>
  <c r="DA190" i="4" a="1"/>
  <c r="DA190" i="4" s="1"/>
  <c r="GK189" i="4"/>
  <c r="GC189" i="4"/>
  <c r="DN189" i="4"/>
  <c r="DM189" i="4"/>
  <c r="DL189" i="4"/>
  <c r="DK189" i="4"/>
  <c r="DJ189" i="4" a="1"/>
  <c r="DJ189" i="4" s="1"/>
  <c r="DH189" i="4" a="1"/>
  <c r="DH189" i="4" s="1"/>
  <c r="DG189" i="4" a="1"/>
  <c r="DG189" i="4" s="1"/>
  <c r="DF189" i="4" a="1"/>
  <c r="DF189" i="4" s="1"/>
  <c r="DE189" i="4" a="1"/>
  <c r="DE189" i="4" s="1"/>
  <c r="DD189" i="4" a="1"/>
  <c r="DD189" i="4" s="1"/>
  <c r="DC189" i="4" a="1"/>
  <c r="DC189" i="4" s="1"/>
  <c r="DB189" i="4" a="1"/>
  <c r="DB189" i="4" s="1"/>
  <c r="DA189" i="4" a="1"/>
  <c r="DA189" i="4" s="1"/>
  <c r="GK188" i="4"/>
  <c r="GC188" i="4"/>
  <c r="DN188" i="4"/>
  <c r="DM188" i="4"/>
  <c r="DL188" i="4"/>
  <c r="DK188" i="4"/>
  <c r="DJ188" i="4" a="1"/>
  <c r="DJ188" i="4" s="1"/>
  <c r="DH188" i="4" a="1"/>
  <c r="DH188" i="4" s="1"/>
  <c r="DG188" i="4" a="1"/>
  <c r="DG188" i="4" s="1"/>
  <c r="DF188" i="4" a="1"/>
  <c r="DF188" i="4" s="1"/>
  <c r="DE188" i="4" a="1"/>
  <c r="DE188" i="4" s="1"/>
  <c r="DD188" i="4" a="1"/>
  <c r="DD188" i="4" s="1"/>
  <c r="DC188" i="4" a="1"/>
  <c r="DC188" i="4" s="1"/>
  <c r="DB188" i="4" a="1"/>
  <c r="DB188" i="4" s="1"/>
  <c r="DA188" i="4" a="1"/>
  <c r="DA188" i="4" s="1"/>
  <c r="GK187" i="4"/>
  <c r="GC187" i="4"/>
  <c r="DN187" i="4"/>
  <c r="DM187" i="4"/>
  <c r="DL187" i="4"/>
  <c r="DK187" i="4"/>
  <c r="DJ187" i="4" a="1"/>
  <c r="DJ187" i="4" s="1"/>
  <c r="DH187" i="4" a="1"/>
  <c r="DH187" i="4" s="1"/>
  <c r="DG187" i="4" a="1"/>
  <c r="DG187" i="4" s="1"/>
  <c r="DF187" i="4" a="1"/>
  <c r="DF187" i="4" s="1"/>
  <c r="DE187" i="4" a="1"/>
  <c r="DE187" i="4" s="1"/>
  <c r="DD187" i="4" a="1"/>
  <c r="DD187" i="4" s="1"/>
  <c r="DC187" i="4" a="1"/>
  <c r="DC187" i="4" s="1"/>
  <c r="DB187" i="4" a="1"/>
  <c r="DB187" i="4" s="1"/>
  <c r="DA187" i="4" a="1"/>
  <c r="DA187" i="4" s="1"/>
  <c r="GK186" i="4"/>
  <c r="GC186" i="4"/>
  <c r="DN186" i="4"/>
  <c r="DM186" i="4"/>
  <c r="DL186" i="4"/>
  <c r="DK186" i="4"/>
  <c r="DJ186" i="4" a="1"/>
  <c r="DJ186" i="4" s="1"/>
  <c r="DH186" i="4" a="1"/>
  <c r="DH186" i="4" s="1"/>
  <c r="DG186" i="4" a="1"/>
  <c r="DG186" i="4" s="1"/>
  <c r="DF186" i="4" a="1"/>
  <c r="DF186" i="4" s="1"/>
  <c r="DE186" i="4" a="1"/>
  <c r="DE186" i="4" s="1"/>
  <c r="DD186" i="4" a="1"/>
  <c r="DD186" i="4" s="1"/>
  <c r="DC186" i="4" a="1"/>
  <c r="DC186" i="4" s="1"/>
  <c r="DB186" i="4" a="1"/>
  <c r="DB186" i="4" s="1"/>
  <c r="DA186" i="4" a="1"/>
  <c r="DA186" i="4" s="1"/>
  <c r="GK185" i="4"/>
  <c r="GC185" i="4"/>
  <c r="DN185" i="4"/>
  <c r="DM185" i="4"/>
  <c r="DL185" i="4"/>
  <c r="DK185" i="4"/>
  <c r="DJ185" i="4" a="1"/>
  <c r="DJ185" i="4" s="1"/>
  <c r="DH185" i="4" a="1"/>
  <c r="DH185" i="4" s="1"/>
  <c r="DG185" i="4" a="1"/>
  <c r="DG185" i="4" s="1"/>
  <c r="DF185" i="4" a="1"/>
  <c r="DF185" i="4" s="1"/>
  <c r="DE185" i="4" a="1"/>
  <c r="DE185" i="4" s="1"/>
  <c r="DD185" i="4" a="1"/>
  <c r="DD185" i="4" s="1"/>
  <c r="DC185" i="4" a="1"/>
  <c r="DC185" i="4" s="1"/>
  <c r="DB185" i="4" a="1"/>
  <c r="DB185" i="4" s="1"/>
  <c r="DA185" i="4" a="1"/>
  <c r="DA185" i="4" s="1"/>
  <c r="GK184" i="4"/>
  <c r="GC184" i="4"/>
  <c r="DT184" i="4"/>
  <c r="DN184" i="4"/>
  <c r="DM184" i="4"/>
  <c r="DL184" i="4"/>
  <c r="DK184" i="4"/>
  <c r="DJ184" i="4" a="1"/>
  <c r="DJ184" i="4" s="1"/>
  <c r="DH184" i="4" a="1"/>
  <c r="DH184" i="4" s="1"/>
  <c r="DG184" i="4" a="1"/>
  <c r="DG184" i="4" s="1"/>
  <c r="DF184" i="4" a="1"/>
  <c r="DF184" i="4" s="1"/>
  <c r="DE184" i="4" a="1"/>
  <c r="DE184" i="4" s="1"/>
  <c r="DD184" i="4" a="1"/>
  <c r="DD184" i="4" s="1"/>
  <c r="DC184" i="4" a="1"/>
  <c r="DC184" i="4" s="1"/>
  <c r="DB184" i="4" a="1"/>
  <c r="DB184" i="4" s="1"/>
  <c r="DA184" i="4" a="1"/>
  <c r="DA184" i="4" s="1"/>
  <c r="GK183" i="4"/>
  <c r="GC183" i="4"/>
  <c r="DN183" i="4"/>
  <c r="DM183" i="4"/>
  <c r="DL183" i="4"/>
  <c r="DK183" i="4"/>
  <c r="DJ183" i="4" a="1"/>
  <c r="DJ183" i="4" s="1"/>
  <c r="DH183" i="4" a="1"/>
  <c r="DH183" i="4" s="1"/>
  <c r="DG183" i="4" a="1"/>
  <c r="DG183" i="4" s="1"/>
  <c r="DF183" i="4" a="1"/>
  <c r="DF183" i="4" s="1"/>
  <c r="DE183" i="4" a="1"/>
  <c r="DE183" i="4" s="1"/>
  <c r="DD183" i="4" a="1"/>
  <c r="DD183" i="4" s="1"/>
  <c r="DC183" i="4" a="1"/>
  <c r="DC183" i="4" s="1"/>
  <c r="DB183" i="4" a="1"/>
  <c r="DB183" i="4" s="1"/>
  <c r="DA183" i="4" a="1"/>
  <c r="DA183" i="4" s="1"/>
  <c r="GK182" i="4"/>
  <c r="GC182" i="4"/>
  <c r="EC182" i="4"/>
  <c r="DV182" i="4"/>
  <c r="DO182" i="4"/>
  <c r="DN182" i="4"/>
  <c r="DM182" i="4"/>
  <c r="DL182" i="4"/>
  <c r="DK182" i="4"/>
  <c r="DJ182" i="4" a="1"/>
  <c r="DJ182" i="4" s="1"/>
  <c r="DH182" i="4" a="1"/>
  <c r="DH182" i="4" s="1"/>
  <c r="DG182" i="4" a="1"/>
  <c r="DG182" i="4" s="1"/>
  <c r="DF182" i="4" a="1"/>
  <c r="DF182" i="4" s="1"/>
  <c r="DE182" i="4" a="1"/>
  <c r="DE182" i="4" s="1"/>
  <c r="DD182" i="4" a="1"/>
  <c r="DD182" i="4" s="1"/>
  <c r="DC182" i="4" a="1"/>
  <c r="DC182" i="4" s="1"/>
  <c r="DB182" i="4" a="1"/>
  <c r="DB182" i="4" s="1"/>
  <c r="DA182" i="4" a="1"/>
  <c r="DA182" i="4" s="1"/>
  <c r="GK181" i="4"/>
  <c r="GC181" i="4"/>
  <c r="DN181" i="4"/>
  <c r="DM181" i="4"/>
  <c r="DL181" i="4"/>
  <c r="DK181" i="4"/>
  <c r="DJ181" i="4" a="1"/>
  <c r="DJ181" i="4" s="1"/>
  <c r="DH181" i="4" a="1"/>
  <c r="DH181" i="4" s="1"/>
  <c r="DG181" i="4" a="1"/>
  <c r="DG181" i="4" s="1"/>
  <c r="DF181" i="4" a="1"/>
  <c r="DF181" i="4" s="1"/>
  <c r="DE181" i="4" a="1"/>
  <c r="DE181" i="4" s="1"/>
  <c r="DD181" i="4" a="1"/>
  <c r="DD181" i="4" s="1"/>
  <c r="DC181" i="4" a="1"/>
  <c r="DC181" i="4" s="1"/>
  <c r="DB181" i="4" a="1"/>
  <c r="DB181" i="4" s="1"/>
  <c r="DA181" i="4" a="1"/>
  <c r="DA181" i="4" s="1"/>
  <c r="GK180" i="4"/>
  <c r="GC180" i="4"/>
  <c r="DU180" i="4"/>
  <c r="DN180" i="4"/>
  <c r="DM180" i="4"/>
  <c r="DL180" i="4"/>
  <c r="DK180" i="4"/>
  <c r="DJ180" i="4" a="1"/>
  <c r="DJ180" i="4" s="1"/>
  <c r="DH180" i="4" a="1"/>
  <c r="DH180" i="4" s="1"/>
  <c r="DG180" i="4" a="1"/>
  <c r="DG180" i="4" s="1"/>
  <c r="DF180" i="4" a="1"/>
  <c r="DF180" i="4" s="1"/>
  <c r="DE180" i="4" a="1"/>
  <c r="DE180" i="4" s="1"/>
  <c r="DD180" i="4" a="1"/>
  <c r="DD180" i="4" s="1"/>
  <c r="DC180" i="4" a="1"/>
  <c r="DC180" i="4" s="1"/>
  <c r="DB180" i="4" a="1"/>
  <c r="DB180" i="4" s="1"/>
  <c r="DA180" i="4" a="1"/>
  <c r="DA180" i="4" s="1"/>
  <c r="GK179" i="4"/>
  <c r="GC179" i="4"/>
  <c r="DN179" i="4"/>
  <c r="DM179" i="4"/>
  <c r="DL179" i="4"/>
  <c r="DK179" i="4"/>
  <c r="DJ179" i="4" a="1"/>
  <c r="DJ179" i="4" s="1"/>
  <c r="DH179" i="4" a="1"/>
  <c r="DH179" i="4" s="1"/>
  <c r="DG179" i="4" a="1"/>
  <c r="DG179" i="4" s="1"/>
  <c r="DF179" i="4" a="1"/>
  <c r="DF179" i="4" s="1"/>
  <c r="DE179" i="4" a="1"/>
  <c r="DE179" i="4" s="1"/>
  <c r="DD179" i="4" a="1"/>
  <c r="DD179" i="4" s="1"/>
  <c r="DC179" i="4" a="1"/>
  <c r="DC179" i="4" s="1"/>
  <c r="DA179" i="4" a="1"/>
  <c r="DA179" i="4" s="1"/>
  <c r="GK178" i="4"/>
  <c r="GC178" i="4"/>
  <c r="DN178" i="4"/>
  <c r="DM178" i="4"/>
  <c r="DL178" i="4"/>
  <c r="DK178" i="4"/>
  <c r="DJ178" i="4" a="1"/>
  <c r="DJ178" i="4" s="1"/>
  <c r="DH178" i="4" a="1"/>
  <c r="DH178" i="4" s="1"/>
  <c r="DG178" i="4" a="1"/>
  <c r="DG178" i="4" s="1"/>
  <c r="DF178" i="4" a="1"/>
  <c r="DF178" i="4" s="1"/>
  <c r="DE178" i="4" a="1"/>
  <c r="DE178" i="4" s="1"/>
  <c r="DD178" i="4" a="1"/>
  <c r="DD178" i="4" s="1"/>
  <c r="DC178" i="4" a="1"/>
  <c r="DC178" i="4" s="1"/>
  <c r="DB178" i="4" a="1"/>
  <c r="DB178" i="4" s="1"/>
  <c r="DA178" i="4" a="1"/>
  <c r="DA178" i="4" s="1"/>
  <c r="GK177" i="4"/>
  <c r="GC177" i="4"/>
  <c r="DN177" i="4"/>
  <c r="DM177" i="4"/>
  <c r="DL177" i="4"/>
  <c r="DK177" i="4"/>
  <c r="DJ177" i="4" a="1"/>
  <c r="DJ177" i="4" s="1"/>
  <c r="DH177" i="4" a="1"/>
  <c r="DH177" i="4" s="1"/>
  <c r="DG177" i="4" a="1"/>
  <c r="DG177" i="4" s="1"/>
  <c r="DE177" i="4" a="1"/>
  <c r="DE177" i="4" s="1"/>
  <c r="DD177" i="4" a="1"/>
  <c r="DD177" i="4" s="1"/>
  <c r="DC177" i="4" a="1"/>
  <c r="DC177" i="4" s="1"/>
  <c r="DB177" i="4" a="1"/>
  <c r="DB177" i="4" s="1"/>
  <c r="DA177" i="4" a="1"/>
  <c r="DA177" i="4" s="1"/>
  <c r="GK176" i="4"/>
  <c r="GC176" i="4"/>
  <c r="DN176" i="4"/>
  <c r="DM176" i="4"/>
  <c r="DL176" i="4"/>
  <c r="DK176" i="4"/>
  <c r="DJ176" i="4" a="1"/>
  <c r="DJ176" i="4" s="1"/>
  <c r="DH176" i="4" a="1"/>
  <c r="DH176" i="4" s="1"/>
  <c r="DG176" i="4" a="1"/>
  <c r="DG176" i="4" s="1"/>
  <c r="DF176" i="4" a="1"/>
  <c r="DF176" i="4" s="1"/>
  <c r="DE176" i="4" a="1"/>
  <c r="DE176" i="4" s="1"/>
  <c r="DD176" i="4" a="1"/>
  <c r="DD176" i="4" s="1"/>
  <c r="DC176" i="4" a="1"/>
  <c r="DC176" i="4" s="1"/>
  <c r="DB176" i="4" a="1"/>
  <c r="DB176" i="4" s="1"/>
  <c r="DA176" i="4" a="1"/>
  <c r="DA176" i="4" s="1"/>
  <c r="GK175" i="4"/>
  <c r="GC175" i="4"/>
  <c r="DN175" i="4"/>
  <c r="DM175" i="4"/>
  <c r="DL175" i="4"/>
  <c r="DK175" i="4"/>
  <c r="DJ175" i="4" a="1"/>
  <c r="DJ175" i="4" s="1"/>
  <c r="DH175" i="4" a="1"/>
  <c r="DH175" i="4" s="1"/>
  <c r="DG175" i="4" a="1"/>
  <c r="DG175" i="4" s="1"/>
  <c r="DF175" i="4" a="1"/>
  <c r="DF175" i="4" s="1"/>
  <c r="DE175" i="4" a="1"/>
  <c r="DE175" i="4" s="1"/>
  <c r="DD175" i="4" a="1"/>
  <c r="DD175" i="4" s="1"/>
  <c r="DC175" i="4" a="1"/>
  <c r="DC175" i="4" s="1"/>
  <c r="DA175" i="4" a="1"/>
  <c r="DA175" i="4" s="1"/>
  <c r="GK174" i="4"/>
  <c r="GC174" i="4"/>
  <c r="DN174" i="4"/>
  <c r="DM174" i="4"/>
  <c r="DL174" i="4"/>
  <c r="DK174" i="4"/>
  <c r="DJ174" i="4" a="1"/>
  <c r="DJ174" i="4" s="1"/>
  <c r="DH174" i="4" a="1"/>
  <c r="DH174" i="4" s="1"/>
  <c r="DG174" i="4" a="1"/>
  <c r="DG174" i="4" s="1"/>
  <c r="DE174" i="4" a="1"/>
  <c r="DE174" i="4" s="1"/>
  <c r="DD174" i="4" a="1"/>
  <c r="DD174" i="4" s="1"/>
  <c r="DC174" i="4" a="1"/>
  <c r="DC174" i="4" s="1"/>
  <c r="DB174" i="4" a="1"/>
  <c r="DB174" i="4" s="1"/>
  <c r="DA174" i="4" a="1"/>
  <c r="DA174" i="4" s="1"/>
  <c r="GK173" i="4"/>
  <c r="GC173" i="4"/>
  <c r="DT173" i="4"/>
  <c r="DN173" i="4"/>
  <c r="DM173" i="4"/>
  <c r="DL173" i="4"/>
  <c r="DK173" i="4"/>
  <c r="DJ173" i="4" a="1"/>
  <c r="DJ173" i="4" s="1"/>
  <c r="DH173" i="4" a="1"/>
  <c r="DH173" i="4" s="1"/>
  <c r="DG173" i="4" a="1"/>
  <c r="DG173" i="4" s="1"/>
  <c r="DF173" i="4" a="1"/>
  <c r="DF173" i="4" s="1"/>
  <c r="DE173" i="4" a="1"/>
  <c r="DE173" i="4" s="1"/>
  <c r="DD173" i="4" a="1"/>
  <c r="DD173" i="4" s="1"/>
  <c r="DC173" i="4" a="1"/>
  <c r="DC173" i="4" s="1"/>
  <c r="DB173" i="4" a="1"/>
  <c r="DB173" i="4" s="1"/>
  <c r="DA173" i="4" a="1"/>
  <c r="DA173" i="4" s="1"/>
  <c r="GK172" i="4"/>
  <c r="GC172" i="4"/>
  <c r="DN172" i="4"/>
  <c r="DM172" i="4"/>
  <c r="DL172" i="4"/>
  <c r="DK172" i="4"/>
  <c r="DJ172" i="4" a="1"/>
  <c r="DJ172" i="4" s="1"/>
  <c r="DH172" i="4" a="1"/>
  <c r="DH172" i="4" s="1"/>
  <c r="DG172" i="4" a="1"/>
  <c r="DG172" i="4" s="1"/>
  <c r="DF172" i="4" a="1"/>
  <c r="DF172" i="4" s="1"/>
  <c r="DE172" i="4" a="1"/>
  <c r="DE172" i="4" s="1"/>
  <c r="DD172" i="4" a="1"/>
  <c r="DD172" i="4" s="1"/>
  <c r="DC172" i="4" a="1"/>
  <c r="DC172" i="4" s="1"/>
  <c r="DB172" i="4" a="1"/>
  <c r="DB172" i="4" s="1"/>
  <c r="DA172" i="4" a="1"/>
  <c r="DA172" i="4" s="1"/>
  <c r="GK171" i="4"/>
  <c r="GC171" i="4"/>
  <c r="DN171" i="4"/>
  <c r="DM171" i="4"/>
  <c r="DL171" i="4"/>
  <c r="DK171" i="4"/>
  <c r="DJ171" i="4" a="1"/>
  <c r="DJ171" i="4" s="1"/>
  <c r="DH171" i="4" a="1"/>
  <c r="DH171" i="4" s="1"/>
  <c r="DG171" i="4" a="1"/>
  <c r="DG171" i="4" s="1"/>
  <c r="DF171" i="4" a="1"/>
  <c r="DF171" i="4" s="1"/>
  <c r="DE171" i="4" a="1"/>
  <c r="DE171" i="4" s="1"/>
  <c r="DD171" i="4" a="1"/>
  <c r="DD171" i="4" s="1"/>
  <c r="DC171" i="4" a="1"/>
  <c r="DC171" i="4" s="1"/>
  <c r="DB171" i="4" a="1"/>
  <c r="DB171" i="4" s="1"/>
  <c r="DA171" i="4" a="1"/>
  <c r="DA171" i="4" s="1"/>
  <c r="GK170" i="4"/>
  <c r="GC170" i="4"/>
  <c r="EC170" i="4"/>
  <c r="DN170" i="4"/>
  <c r="DM170" i="4"/>
  <c r="DL170" i="4"/>
  <c r="DK170" i="4"/>
  <c r="DJ170" i="4" a="1"/>
  <c r="DJ170" i="4" s="1"/>
  <c r="DH170" i="4" a="1"/>
  <c r="DH170" i="4" s="1"/>
  <c r="DG170" i="4" a="1"/>
  <c r="DG170" i="4" s="1"/>
  <c r="DF170" i="4" a="1"/>
  <c r="DF170" i="4" s="1"/>
  <c r="DE170" i="4" a="1"/>
  <c r="DE170" i="4" s="1"/>
  <c r="DD170" i="4" a="1"/>
  <c r="DD170" i="4" s="1"/>
  <c r="DC170" i="4" a="1"/>
  <c r="DC170" i="4" s="1"/>
  <c r="DB170" i="4" a="1"/>
  <c r="DB170" i="4" s="1"/>
  <c r="DA170" i="4" a="1"/>
  <c r="DA170" i="4" s="1"/>
  <c r="GK169" i="4"/>
  <c r="GC169" i="4"/>
  <c r="DN169" i="4"/>
  <c r="DM169" i="4"/>
  <c r="DL169" i="4"/>
  <c r="DK169" i="4"/>
  <c r="DJ169" i="4" a="1"/>
  <c r="DJ169" i="4" s="1"/>
  <c r="DH169" i="4" a="1"/>
  <c r="DH169" i="4" s="1"/>
  <c r="DG169" i="4" a="1"/>
  <c r="DG169" i="4" s="1"/>
  <c r="DF169" i="4" a="1"/>
  <c r="DF169" i="4" s="1"/>
  <c r="DE169" i="4" a="1"/>
  <c r="DE169" i="4" s="1"/>
  <c r="DD169" i="4" a="1"/>
  <c r="DD169" i="4" s="1"/>
  <c r="DC169" i="4" a="1"/>
  <c r="DC169" i="4" s="1"/>
  <c r="DB169" i="4" a="1"/>
  <c r="DB169" i="4" s="1"/>
  <c r="DA169" i="4" a="1"/>
  <c r="DA169" i="4" s="1"/>
  <c r="GK168" i="4"/>
  <c r="GC168" i="4"/>
  <c r="DU168" i="4"/>
  <c r="DN168" i="4"/>
  <c r="DM168" i="4"/>
  <c r="DL168" i="4"/>
  <c r="DK168" i="4"/>
  <c r="DJ168" i="4" a="1"/>
  <c r="DJ168" i="4" s="1"/>
  <c r="DH168" i="4" a="1"/>
  <c r="DH168" i="4" s="1"/>
  <c r="DG168" i="4" a="1"/>
  <c r="DG168" i="4" s="1"/>
  <c r="DF168" i="4" a="1"/>
  <c r="DF168" i="4" s="1"/>
  <c r="DE168" i="4" a="1"/>
  <c r="DE168" i="4" s="1"/>
  <c r="DD168" i="4" a="1"/>
  <c r="DD168" i="4" s="1"/>
  <c r="DC168" i="4" a="1"/>
  <c r="DC168" i="4" s="1"/>
  <c r="DB168" i="4" a="1"/>
  <c r="DB168" i="4" s="1"/>
  <c r="DA168" i="4" a="1"/>
  <c r="DA168" i="4" s="1"/>
  <c r="GK167" i="4"/>
  <c r="GC167" i="4"/>
  <c r="DN167" i="4"/>
  <c r="DM167" i="4"/>
  <c r="DL167" i="4"/>
  <c r="DK167" i="4"/>
  <c r="DJ167" i="4" a="1"/>
  <c r="DJ167" i="4" s="1"/>
  <c r="DH167" i="4" a="1"/>
  <c r="DH167" i="4" s="1"/>
  <c r="DG167" i="4" a="1"/>
  <c r="DG167" i="4" s="1"/>
  <c r="DF167" i="4" a="1"/>
  <c r="DF167" i="4" s="1"/>
  <c r="DE167" i="4" a="1"/>
  <c r="DE167" i="4" s="1"/>
  <c r="DD167" i="4" a="1"/>
  <c r="DD167" i="4" s="1"/>
  <c r="DC167" i="4" a="1"/>
  <c r="DC167" i="4" s="1"/>
  <c r="DA167" i="4" a="1"/>
  <c r="DA167" i="4" s="1"/>
  <c r="GK166" i="4"/>
  <c r="GC166" i="4"/>
  <c r="DN166" i="4"/>
  <c r="DM166" i="4"/>
  <c r="DL166" i="4"/>
  <c r="DK166" i="4"/>
  <c r="DJ166" i="4" a="1"/>
  <c r="DJ166" i="4" s="1"/>
  <c r="DH166" i="4" a="1"/>
  <c r="DH166" i="4" s="1"/>
  <c r="DG166" i="4" a="1"/>
  <c r="DG166" i="4" s="1"/>
  <c r="DF166" i="4" a="1"/>
  <c r="DF166" i="4" s="1"/>
  <c r="DE166" i="4" a="1"/>
  <c r="DE166" i="4" s="1"/>
  <c r="DD166" i="4" a="1"/>
  <c r="DD166" i="4" s="1"/>
  <c r="DC166" i="4" a="1"/>
  <c r="DC166" i="4" s="1"/>
  <c r="DB166" i="4" a="1"/>
  <c r="DB166" i="4" s="1"/>
  <c r="DA166" i="4" a="1"/>
  <c r="DA166" i="4" s="1"/>
  <c r="GK165" i="4"/>
  <c r="GC165" i="4"/>
  <c r="DN165" i="4"/>
  <c r="DM165" i="4"/>
  <c r="DL165" i="4"/>
  <c r="DK165" i="4"/>
  <c r="DJ165" i="4" a="1"/>
  <c r="DJ165" i="4" s="1"/>
  <c r="DH165" i="4" a="1"/>
  <c r="DH165" i="4" s="1"/>
  <c r="DG165" i="4" a="1"/>
  <c r="DG165" i="4" s="1"/>
  <c r="DF165" i="4" a="1"/>
  <c r="DF165" i="4" s="1"/>
  <c r="DE165" i="4" a="1"/>
  <c r="DE165" i="4" s="1"/>
  <c r="DD165" i="4" a="1"/>
  <c r="DD165" i="4" s="1"/>
  <c r="DC165" i="4" a="1"/>
  <c r="DC165" i="4" s="1"/>
  <c r="DB165" i="4" a="1"/>
  <c r="DB165" i="4" s="1"/>
  <c r="DA165" i="4" a="1"/>
  <c r="DA165" i="4" s="1"/>
  <c r="GK164" i="4"/>
  <c r="GC164" i="4"/>
  <c r="DN164" i="4"/>
  <c r="DM164" i="4"/>
  <c r="DL164" i="4"/>
  <c r="DK164" i="4"/>
  <c r="DJ164" i="4" a="1"/>
  <c r="DJ164" i="4" s="1"/>
  <c r="DH164" i="4" a="1"/>
  <c r="DH164" i="4" s="1"/>
  <c r="DG164" i="4" a="1"/>
  <c r="DG164" i="4" s="1"/>
  <c r="DF164" i="4" a="1"/>
  <c r="DF164" i="4" s="1"/>
  <c r="DE164" i="4" a="1"/>
  <c r="DE164" i="4" s="1"/>
  <c r="DD164" i="4" a="1"/>
  <c r="DD164" i="4" s="1"/>
  <c r="DC164" i="4" a="1"/>
  <c r="DC164" i="4" s="1"/>
  <c r="DB164" i="4" a="1"/>
  <c r="DB164" i="4" s="1"/>
  <c r="DA164" i="4" a="1"/>
  <c r="DA164" i="4" s="1"/>
  <c r="GK163" i="4"/>
  <c r="GC163" i="4"/>
  <c r="DN163" i="4"/>
  <c r="DM163" i="4"/>
  <c r="DL163" i="4"/>
  <c r="DK163" i="4"/>
  <c r="DJ163" i="4" a="1"/>
  <c r="DJ163" i="4" s="1"/>
  <c r="DH163" i="4" a="1"/>
  <c r="DH163" i="4" s="1"/>
  <c r="DG163" i="4" a="1"/>
  <c r="DG163" i="4" s="1"/>
  <c r="DE163" i="4" a="1"/>
  <c r="DE163" i="4" s="1"/>
  <c r="DD163" i="4" a="1"/>
  <c r="DD163" i="4" s="1"/>
  <c r="DC163" i="4" a="1"/>
  <c r="DC163" i="4" s="1"/>
  <c r="DB163" i="4" a="1"/>
  <c r="DB163" i="4" s="1"/>
  <c r="DA163" i="4" a="1"/>
  <c r="DA163" i="4" s="1"/>
  <c r="GK162" i="4"/>
  <c r="GC162" i="4"/>
  <c r="DN162" i="4"/>
  <c r="DM162" i="4"/>
  <c r="DL162" i="4"/>
  <c r="DK162" i="4"/>
  <c r="DJ162" i="4" a="1"/>
  <c r="DJ162" i="4" s="1"/>
  <c r="DH162" i="4" a="1"/>
  <c r="DH162" i="4" s="1"/>
  <c r="DG162" i="4" a="1"/>
  <c r="DG162" i="4" s="1"/>
  <c r="DF162" i="4" a="1"/>
  <c r="DF162" i="4" s="1"/>
  <c r="DE162" i="4" a="1"/>
  <c r="DE162" i="4" s="1"/>
  <c r="DD162" i="4" a="1"/>
  <c r="DD162" i="4" s="1"/>
  <c r="DC162" i="4" a="1"/>
  <c r="DC162" i="4" s="1"/>
  <c r="DB162" i="4" a="1"/>
  <c r="DB162" i="4" s="1"/>
  <c r="DA162" i="4" a="1"/>
  <c r="DA162" i="4" s="1"/>
  <c r="GK161" i="4"/>
  <c r="GC161" i="4"/>
  <c r="DN161" i="4"/>
  <c r="DM161" i="4"/>
  <c r="DL161" i="4"/>
  <c r="DK161" i="4"/>
  <c r="DJ161" i="4" a="1"/>
  <c r="DJ161" i="4" s="1"/>
  <c r="DH161" i="4" a="1"/>
  <c r="DH161" i="4" s="1"/>
  <c r="DG161" i="4" a="1"/>
  <c r="DG161" i="4" s="1"/>
  <c r="DE161" i="4" a="1"/>
  <c r="DE161" i="4" s="1"/>
  <c r="DD161" i="4" a="1"/>
  <c r="DD161" i="4" s="1"/>
  <c r="DC161" i="4" a="1"/>
  <c r="DC161" i="4" s="1"/>
  <c r="DB161" i="4" a="1"/>
  <c r="DB161" i="4" s="1"/>
  <c r="DA161" i="4" a="1"/>
  <c r="DA161" i="4" s="1"/>
  <c r="GK160" i="4"/>
  <c r="GC160" i="4"/>
  <c r="DN160" i="4"/>
  <c r="DM160" i="4"/>
  <c r="DL160" i="4"/>
  <c r="DK160" i="4"/>
  <c r="DJ160" i="4" a="1"/>
  <c r="DJ160" i="4" s="1"/>
  <c r="DH160" i="4" a="1"/>
  <c r="DH160" i="4" s="1"/>
  <c r="DG160" i="4" a="1"/>
  <c r="DG160" i="4" s="1"/>
  <c r="DF160" i="4" a="1"/>
  <c r="DF160" i="4" s="1"/>
  <c r="DE160" i="4" a="1"/>
  <c r="DE160" i="4" s="1"/>
  <c r="DD160" i="4" a="1"/>
  <c r="DD160" i="4" s="1"/>
  <c r="DC160" i="4" a="1"/>
  <c r="DC160" i="4" s="1"/>
  <c r="DB160" i="4" a="1"/>
  <c r="DB160" i="4" s="1"/>
  <c r="DA160" i="4" a="1"/>
  <c r="DA160" i="4" s="1"/>
  <c r="GK159" i="4"/>
  <c r="GC159" i="4"/>
  <c r="DN159" i="4"/>
  <c r="DM159" i="4"/>
  <c r="DL159" i="4"/>
  <c r="DK159" i="4"/>
  <c r="DJ159" i="4" a="1"/>
  <c r="DJ159" i="4" s="1"/>
  <c r="DH159" i="4" a="1"/>
  <c r="DH159" i="4" s="1"/>
  <c r="DG159" i="4" a="1"/>
  <c r="DG159" i="4" s="1"/>
  <c r="DF159" i="4" a="1"/>
  <c r="DF159" i="4" s="1"/>
  <c r="DE159" i="4" a="1"/>
  <c r="DE159" i="4" s="1"/>
  <c r="DD159" i="4" a="1"/>
  <c r="DD159" i="4" s="1"/>
  <c r="DC159" i="4" a="1"/>
  <c r="DC159" i="4" s="1"/>
  <c r="DB159" i="4" a="1"/>
  <c r="DB159" i="4" s="1"/>
  <c r="DA159" i="4" a="1"/>
  <c r="DA159" i="4" s="1"/>
  <c r="GK158" i="4"/>
  <c r="GC158" i="4"/>
  <c r="DN158" i="4"/>
  <c r="DM158" i="4"/>
  <c r="DL158" i="4"/>
  <c r="DK158" i="4"/>
  <c r="DJ158" i="4" a="1"/>
  <c r="DJ158" i="4" s="1"/>
  <c r="DH158" i="4" a="1"/>
  <c r="DH158" i="4" s="1"/>
  <c r="DG158" i="4" a="1"/>
  <c r="DG158" i="4" s="1"/>
  <c r="DF158" i="4" a="1"/>
  <c r="DF158" i="4" s="1"/>
  <c r="DE158" i="4" a="1"/>
  <c r="DE158" i="4" s="1"/>
  <c r="DD158" i="4" a="1"/>
  <c r="DD158" i="4" s="1"/>
  <c r="DC158" i="4" a="1"/>
  <c r="DC158" i="4" s="1"/>
  <c r="DB158" i="4" a="1"/>
  <c r="DB158" i="4" s="1"/>
  <c r="DA158" i="4" a="1"/>
  <c r="DA158" i="4" s="1"/>
  <c r="GK157" i="4"/>
  <c r="GC157" i="4"/>
  <c r="DZ157" i="4"/>
  <c r="DN157" i="4"/>
  <c r="DM157" i="4"/>
  <c r="DL157" i="4"/>
  <c r="DK157" i="4"/>
  <c r="DJ157" i="4" a="1"/>
  <c r="DJ157" i="4" s="1"/>
  <c r="DH157" i="4" a="1"/>
  <c r="DH157" i="4" s="1"/>
  <c r="DG157" i="4" a="1"/>
  <c r="DG157" i="4" s="1"/>
  <c r="DF157" i="4" a="1"/>
  <c r="DF157" i="4" s="1"/>
  <c r="DE157" i="4" a="1"/>
  <c r="DE157" i="4" s="1"/>
  <c r="DD157" i="4" a="1"/>
  <c r="DD157" i="4" s="1"/>
  <c r="DC157" i="4" a="1"/>
  <c r="DC157" i="4" s="1"/>
  <c r="DB157" i="4" a="1"/>
  <c r="DB157" i="4" s="1"/>
  <c r="DA157" i="4" a="1"/>
  <c r="DA157" i="4" s="1"/>
  <c r="GK156" i="4"/>
  <c r="GC156" i="4"/>
  <c r="DN156" i="4"/>
  <c r="DM156" i="4"/>
  <c r="DL156" i="4"/>
  <c r="DK156" i="4"/>
  <c r="DJ156" i="4" a="1"/>
  <c r="DJ156" i="4" s="1"/>
  <c r="DH156" i="4" a="1"/>
  <c r="DH156" i="4" s="1"/>
  <c r="DG156" i="4" a="1"/>
  <c r="DG156" i="4" s="1"/>
  <c r="DF156" i="4" a="1"/>
  <c r="DF156" i="4" s="1"/>
  <c r="DE156" i="4" a="1"/>
  <c r="DE156" i="4" s="1"/>
  <c r="DD156" i="4" a="1"/>
  <c r="DD156" i="4" s="1"/>
  <c r="DC156" i="4" a="1"/>
  <c r="DC156" i="4" s="1"/>
  <c r="DB156" i="4" a="1"/>
  <c r="DB156" i="4" s="1"/>
  <c r="DA156" i="4" a="1"/>
  <c r="DA156" i="4" s="1"/>
  <c r="GK155" i="4"/>
  <c r="GC155" i="4"/>
  <c r="DN155" i="4"/>
  <c r="DM155" i="4"/>
  <c r="DL155" i="4"/>
  <c r="DK155" i="4"/>
  <c r="DJ155" i="4" a="1"/>
  <c r="DJ155" i="4" s="1"/>
  <c r="DH155" i="4" a="1"/>
  <c r="DH155" i="4" s="1"/>
  <c r="DG155" i="4" a="1"/>
  <c r="DG155" i="4" s="1"/>
  <c r="DE155" i="4" a="1"/>
  <c r="DE155" i="4" s="1"/>
  <c r="DD155" i="4" a="1"/>
  <c r="DD155" i="4" s="1"/>
  <c r="DC155" i="4" a="1"/>
  <c r="DC155" i="4" s="1"/>
  <c r="DB155" i="4" a="1"/>
  <c r="DB155" i="4" s="1"/>
  <c r="DA155" i="4" a="1"/>
  <c r="DA155" i="4" s="1"/>
  <c r="GK154" i="4"/>
  <c r="GC154" i="4"/>
  <c r="DN154" i="4"/>
  <c r="DM154" i="4"/>
  <c r="DL154" i="4"/>
  <c r="DK154" i="4"/>
  <c r="DJ154" i="4" a="1"/>
  <c r="DJ154" i="4" s="1"/>
  <c r="DH154" i="4" a="1"/>
  <c r="DH154" i="4" s="1"/>
  <c r="DG154" i="4" a="1"/>
  <c r="DG154" i="4" s="1"/>
  <c r="DF154" i="4" a="1"/>
  <c r="DF154" i="4" s="1"/>
  <c r="DE154" i="4" a="1"/>
  <c r="DE154" i="4" s="1"/>
  <c r="DD154" i="4" a="1"/>
  <c r="DD154" i="4" s="1"/>
  <c r="DC154" i="4" a="1"/>
  <c r="DC154" i="4" s="1"/>
  <c r="DB154" i="4" a="1"/>
  <c r="DB154" i="4" s="1"/>
  <c r="DA154" i="4" a="1"/>
  <c r="DA154" i="4" s="1"/>
  <c r="GK153" i="4"/>
  <c r="GC153" i="4"/>
  <c r="DN153" i="4"/>
  <c r="DM153" i="4"/>
  <c r="DL153" i="4"/>
  <c r="DK153" i="4"/>
  <c r="DJ153" i="4" a="1"/>
  <c r="DJ153" i="4" s="1"/>
  <c r="DH153" i="4" a="1"/>
  <c r="DH153" i="4" s="1"/>
  <c r="DG153" i="4" a="1"/>
  <c r="DG153" i="4" s="1"/>
  <c r="DF153" i="4" a="1"/>
  <c r="DF153" i="4" s="1"/>
  <c r="DE153" i="4" a="1"/>
  <c r="DE153" i="4" s="1"/>
  <c r="DD153" i="4" a="1"/>
  <c r="DD153" i="4" s="1"/>
  <c r="DC153" i="4" a="1"/>
  <c r="DC153" i="4" s="1"/>
  <c r="DB153" i="4" a="1"/>
  <c r="DB153" i="4" s="1"/>
  <c r="DA153" i="4" a="1"/>
  <c r="DA153" i="4" s="1"/>
  <c r="GK152" i="4"/>
  <c r="GC152" i="4"/>
  <c r="EF152" i="4"/>
  <c r="DN152" i="4"/>
  <c r="DM152" i="4"/>
  <c r="DL152" i="4"/>
  <c r="DK152" i="4"/>
  <c r="DJ152" i="4" a="1"/>
  <c r="DJ152" i="4" s="1"/>
  <c r="DH152" i="4" a="1"/>
  <c r="DH152" i="4" s="1"/>
  <c r="DG152" i="4" a="1"/>
  <c r="DG152" i="4" s="1"/>
  <c r="DF152" i="4" a="1"/>
  <c r="DF152" i="4" s="1"/>
  <c r="DE152" i="4" a="1"/>
  <c r="DE152" i="4" s="1"/>
  <c r="DD152" i="4" a="1"/>
  <c r="DD152" i="4" s="1"/>
  <c r="DC152" i="4" a="1"/>
  <c r="DC152" i="4" s="1"/>
  <c r="DB152" i="4" a="1"/>
  <c r="DB152" i="4" s="1"/>
  <c r="DA152" i="4" a="1"/>
  <c r="DA152" i="4" s="1"/>
  <c r="GK151" i="4"/>
  <c r="GC151" i="4"/>
  <c r="DV151" i="4"/>
  <c r="DN151" i="4"/>
  <c r="DM151" i="4"/>
  <c r="DL151" i="4"/>
  <c r="DK151" i="4"/>
  <c r="DJ151" i="4" a="1"/>
  <c r="DJ151" i="4" s="1"/>
  <c r="DH151" i="4" a="1"/>
  <c r="DH151" i="4" s="1"/>
  <c r="DG151" i="4" a="1"/>
  <c r="DG151" i="4" s="1"/>
  <c r="DF151" i="4" a="1"/>
  <c r="DF151" i="4" s="1"/>
  <c r="DE151" i="4" a="1"/>
  <c r="DE151" i="4" s="1"/>
  <c r="DD151" i="4" a="1"/>
  <c r="DD151" i="4" s="1"/>
  <c r="DC151" i="4" a="1"/>
  <c r="DC151" i="4" s="1"/>
  <c r="DB151" i="4" a="1"/>
  <c r="DB151" i="4" s="1"/>
  <c r="DA151" i="4" a="1"/>
  <c r="DA151" i="4" s="1"/>
  <c r="GK150" i="4"/>
  <c r="GC150" i="4"/>
  <c r="DN150" i="4"/>
  <c r="DM150" i="4"/>
  <c r="DL150" i="4"/>
  <c r="DK150" i="4"/>
  <c r="DJ150" i="4" a="1"/>
  <c r="DJ150" i="4" s="1"/>
  <c r="DH150" i="4" a="1"/>
  <c r="DH150" i="4" s="1"/>
  <c r="DG150" i="4" a="1"/>
  <c r="DG150" i="4" s="1"/>
  <c r="DF150" i="4" a="1"/>
  <c r="DF150" i="4" s="1"/>
  <c r="DE150" i="4" a="1"/>
  <c r="DE150" i="4" s="1"/>
  <c r="DD150" i="4" a="1"/>
  <c r="DD150" i="4" s="1"/>
  <c r="DC150" i="4" a="1"/>
  <c r="DC150" i="4" s="1"/>
  <c r="DB150" i="4" a="1"/>
  <c r="DB150" i="4" s="1"/>
  <c r="DA150" i="4" a="1"/>
  <c r="DA150" i="4" s="1"/>
  <c r="GK149" i="4"/>
  <c r="GC149" i="4"/>
  <c r="DN149" i="4"/>
  <c r="DM149" i="4"/>
  <c r="DL149" i="4"/>
  <c r="DK149" i="4"/>
  <c r="DJ149" i="4" a="1"/>
  <c r="DJ149" i="4" s="1"/>
  <c r="DH149" i="4" a="1"/>
  <c r="DH149" i="4" s="1"/>
  <c r="DG149" i="4" a="1"/>
  <c r="DG149" i="4" s="1"/>
  <c r="DF149" i="4" a="1"/>
  <c r="DF149" i="4" s="1"/>
  <c r="DE149" i="4" a="1"/>
  <c r="DE149" i="4" s="1"/>
  <c r="DD149" i="4" a="1"/>
  <c r="DD149" i="4" s="1"/>
  <c r="DC149" i="4" a="1"/>
  <c r="DC149" i="4" s="1"/>
  <c r="DB149" i="4" a="1"/>
  <c r="DB149" i="4" s="1"/>
  <c r="DA149" i="4" a="1"/>
  <c r="DA149" i="4" s="1"/>
  <c r="GK148" i="4"/>
  <c r="GC148" i="4"/>
  <c r="DN148" i="4"/>
  <c r="DM148" i="4"/>
  <c r="DL148" i="4"/>
  <c r="DK148" i="4"/>
  <c r="DJ148" i="4" a="1"/>
  <c r="DJ148" i="4" s="1"/>
  <c r="DH148" i="4" a="1"/>
  <c r="DH148" i="4" s="1"/>
  <c r="DG148" i="4" a="1"/>
  <c r="DG148" i="4" s="1"/>
  <c r="DF148" i="4" a="1"/>
  <c r="DF148" i="4" s="1"/>
  <c r="DE148" i="4" a="1"/>
  <c r="DE148" i="4" s="1"/>
  <c r="DD148" i="4" a="1"/>
  <c r="DD148" i="4" s="1"/>
  <c r="DC148" i="4" a="1"/>
  <c r="DC148" i="4" s="1"/>
  <c r="DB148" i="4" a="1"/>
  <c r="DB148" i="4" s="1"/>
  <c r="DA148" i="4" a="1"/>
  <c r="DA148" i="4" s="1"/>
  <c r="GK147" i="4"/>
  <c r="GC147" i="4"/>
  <c r="DV147" i="4"/>
  <c r="DN147" i="4"/>
  <c r="DM147" i="4"/>
  <c r="DL147" i="4"/>
  <c r="DK147" i="4"/>
  <c r="DJ147" i="4" a="1"/>
  <c r="DJ147" i="4" s="1"/>
  <c r="DH147" i="4" a="1"/>
  <c r="DH147" i="4" s="1"/>
  <c r="DG147" i="4" a="1"/>
  <c r="DG147" i="4" s="1"/>
  <c r="DE147" i="4" a="1"/>
  <c r="DE147" i="4" s="1"/>
  <c r="DD147" i="4" a="1"/>
  <c r="DD147" i="4" s="1"/>
  <c r="DC147" i="4" a="1"/>
  <c r="DC147" i="4" s="1"/>
  <c r="DB147" i="4" a="1"/>
  <c r="DB147" i="4" s="1"/>
  <c r="DA147" i="4" a="1"/>
  <c r="DA147" i="4" s="1"/>
  <c r="GK146" i="4"/>
  <c r="GC146" i="4"/>
  <c r="DN146" i="4"/>
  <c r="DM146" i="4"/>
  <c r="DL146" i="4"/>
  <c r="DK146" i="4"/>
  <c r="DJ146" i="4" a="1"/>
  <c r="DJ146" i="4" s="1"/>
  <c r="DH146" i="4" a="1"/>
  <c r="DH146" i="4" s="1"/>
  <c r="DG146" i="4" a="1"/>
  <c r="DG146" i="4" s="1"/>
  <c r="DF146" i="4" a="1"/>
  <c r="DF146" i="4" s="1"/>
  <c r="DE146" i="4" a="1"/>
  <c r="DE146" i="4" s="1"/>
  <c r="DD146" i="4" a="1"/>
  <c r="DD146" i="4" s="1"/>
  <c r="DC146" i="4" a="1"/>
  <c r="DC146" i="4" s="1"/>
  <c r="DB146" i="4" a="1"/>
  <c r="DB146" i="4" s="1"/>
  <c r="DA146" i="4" a="1"/>
  <c r="DA146" i="4" s="1"/>
  <c r="GK145" i="4"/>
  <c r="GC145" i="4"/>
  <c r="DN145" i="4"/>
  <c r="DM145" i="4"/>
  <c r="DL145" i="4"/>
  <c r="DK145" i="4"/>
  <c r="DJ145" i="4" a="1"/>
  <c r="DJ145" i="4" s="1"/>
  <c r="DH145" i="4" a="1"/>
  <c r="DH145" i="4" s="1"/>
  <c r="DG145" i="4" a="1"/>
  <c r="DG145" i="4" s="1"/>
  <c r="DF145" i="4" a="1"/>
  <c r="DF145" i="4" s="1"/>
  <c r="DE145" i="4" a="1"/>
  <c r="DE145" i="4" s="1"/>
  <c r="DD145" i="4" a="1"/>
  <c r="DD145" i="4" s="1"/>
  <c r="DC145" i="4" a="1"/>
  <c r="DC145" i="4" s="1"/>
  <c r="DB145" i="4" a="1"/>
  <c r="DB145" i="4" s="1"/>
  <c r="DA145" i="4" a="1"/>
  <c r="DA145" i="4" s="1"/>
  <c r="GK144" i="4"/>
  <c r="GC144" i="4"/>
  <c r="DY144" i="4"/>
  <c r="DN144" i="4"/>
  <c r="DM144" i="4"/>
  <c r="DL144" i="4"/>
  <c r="DK144" i="4"/>
  <c r="DJ144" i="4" a="1"/>
  <c r="DJ144" i="4" s="1"/>
  <c r="DH144" i="4" a="1"/>
  <c r="DH144" i="4" s="1"/>
  <c r="DG144" i="4" a="1"/>
  <c r="DG144" i="4" s="1"/>
  <c r="DF144" i="4" a="1"/>
  <c r="DF144" i="4" s="1"/>
  <c r="DE144" i="4" a="1"/>
  <c r="DE144" i="4" s="1"/>
  <c r="DD144" i="4" a="1"/>
  <c r="DD144" i="4" s="1"/>
  <c r="DC144" i="4" a="1"/>
  <c r="DC144" i="4" s="1"/>
  <c r="DB144" i="4" a="1"/>
  <c r="DB144" i="4" s="1"/>
  <c r="DA144" i="4" a="1"/>
  <c r="DA144" i="4" s="1"/>
  <c r="GK143" i="4"/>
  <c r="GC143" i="4"/>
  <c r="DN143" i="4"/>
  <c r="DM143" i="4"/>
  <c r="DL143" i="4"/>
  <c r="DK143" i="4"/>
  <c r="DJ143" i="4" a="1"/>
  <c r="DJ143" i="4" s="1"/>
  <c r="DH143" i="4" a="1"/>
  <c r="DH143" i="4" s="1"/>
  <c r="DG143" i="4" a="1"/>
  <c r="DG143" i="4" s="1"/>
  <c r="DF143" i="4" a="1"/>
  <c r="DF143" i="4" s="1"/>
  <c r="DE143" i="4" a="1"/>
  <c r="DE143" i="4" s="1"/>
  <c r="DD143" i="4" a="1"/>
  <c r="DD143" i="4" s="1"/>
  <c r="DC143" i="4" a="1"/>
  <c r="DC143" i="4" s="1"/>
  <c r="DB143" i="4" a="1"/>
  <c r="DB143" i="4" s="1"/>
  <c r="DA143" i="4" a="1"/>
  <c r="DA143" i="4" s="1"/>
  <c r="GK142" i="4"/>
  <c r="GC142" i="4"/>
  <c r="DN142" i="4"/>
  <c r="DM142" i="4"/>
  <c r="DL142" i="4"/>
  <c r="DK142" i="4"/>
  <c r="DJ142" i="4" a="1"/>
  <c r="DJ142" i="4" s="1"/>
  <c r="DH142" i="4" a="1"/>
  <c r="DH142" i="4" s="1"/>
  <c r="DG142" i="4" a="1"/>
  <c r="DG142" i="4" s="1"/>
  <c r="DF142" i="4" a="1"/>
  <c r="DF142" i="4" s="1"/>
  <c r="DE142" i="4" a="1"/>
  <c r="DE142" i="4" s="1"/>
  <c r="DD142" i="4" a="1"/>
  <c r="DD142" i="4" s="1"/>
  <c r="DC142" i="4" a="1"/>
  <c r="DC142" i="4" s="1"/>
  <c r="DA142" i="4" a="1"/>
  <c r="DA142" i="4" s="1"/>
  <c r="GK141" i="4"/>
  <c r="GC141" i="4"/>
  <c r="DN141" i="4"/>
  <c r="DM141" i="4"/>
  <c r="DL141" i="4"/>
  <c r="DK141" i="4"/>
  <c r="DJ141" i="4" a="1"/>
  <c r="DJ141" i="4" s="1"/>
  <c r="DH141" i="4" a="1"/>
  <c r="DH141" i="4" s="1"/>
  <c r="DG141" i="4" a="1"/>
  <c r="DG141" i="4" s="1"/>
  <c r="DE141" i="4" a="1"/>
  <c r="DE141" i="4" s="1"/>
  <c r="DD141" i="4" a="1"/>
  <c r="DD141" i="4" s="1"/>
  <c r="DC141" i="4" a="1"/>
  <c r="DC141" i="4" s="1"/>
  <c r="DB141" i="4" a="1"/>
  <c r="DB141" i="4" s="1"/>
  <c r="DA141" i="4" a="1"/>
  <c r="DA141" i="4" s="1"/>
  <c r="GK140" i="4"/>
  <c r="GC140" i="4"/>
  <c r="DN140" i="4"/>
  <c r="DM140" i="4"/>
  <c r="DL140" i="4"/>
  <c r="DK140" i="4"/>
  <c r="DJ140" i="4" a="1"/>
  <c r="DJ140" i="4" s="1"/>
  <c r="DH140" i="4" a="1"/>
  <c r="DH140" i="4" s="1"/>
  <c r="DG140" i="4" a="1"/>
  <c r="DG140" i="4" s="1"/>
  <c r="DF140" i="4" a="1"/>
  <c r="DF140" i="4" s="1"/>
  <c r="DE140" i="4" a="1"/>
  <c r="DE140" i="4" s="1"/>
  <c r="DD140" i="4" a="1"/>
  <c r="DD140" i="4" s="1"/>
  <c r="DC140" i="4" a="1"/>
  <c r="DC140" i="4" s="1"/>
  <c r="DB140" i="4" a="1"/>
  <c r="DB140" i="4" s="1"/>
  <c r="GK139" i="4"/>
  <c r="GC139" i="4"/>
  <c r="DN139" i="4"/>
  <c r="DM139" i="4"/>
  <c r="DL139" i="4"/>
  <c r="DK139" i="4"/>
  <c r="DJ139" i="4" a="1"/>
  <c r="DJ139" i="4" s="1"/>
  <c r="DH139" i="4" a="1"/>
  <c r="DH139" i="4" s="1"/>
  <c r="DG139" i="4" a="1"/>
  <c r="DG139" i="4" s="1"/>
  <c r="DF139" i="4" a="1"/>
  <c r="DF139" i="4" s="1"/>
  <c r="DE139" i="4" a="1"/>
  <c r="DE139" i="4" s="1"/>
  <c r="DD139" i="4" a="1"/>
  <c r="DD139" i="4" s="1"/>
  <c r="DC139" i="4" a="1"/>
  <c r="DC139" i="4" s="1"/>
  <c r="DB139" i="4" a="1"/>
  <c r="DB139" i="4" s="1"/>
  <c r="DA139" i="4" a="1"/>
  <c r="DA139" i="4" s="1"/>
  <c r="GK138" i="4"/>
  <c r="GC138" i="4"/>
  <c r="DN138" i="4"/>
  <c r="DM138" i="4"/>
  <c r="DL138" i="4"/>
  <c r="DK138" i="4"/>
  <c r="DJ138" i="4" a="1"/>
  <c r="DJ138" i="4" s="1"/>
  <c r="DH138" i="4" a="1"/>
  <c r="DH138" i="4" s="1"/>
  <c r="DG138" i="4" a="1"/>
  <c r="DG138" i="4" s="1"/>
  <c r="DF138" i="4" a="1"/>
  <c r="DF138" i="4" s="1"/>
  <c r="DE138" i="4" a="1"/>
  <c r="DE138" i="4" s="1"/>
  <c r="DD138" i="4" a="1"/>
  <c r="DD138" i="4" s="1"/>
  <c r="DC138" i="4" a="1"/>
  <c r="DC138" i="4" s="1"/>
  <c r="DB138" i="4" a="1"/>
  <c r="DB138" i="4" s="1"/>
  <c r="DA138" i="4" a="1"/>
  <c r="DA138" i="4" s="1"/>
  <c r="GK137" i="4"/>
  <c r="GC137" i="4"/>
  <c r="DZ137" i="4"/>
  <c r="DN137" i="4"/>
  <c r="DM137" i="4"/>
  <c r="DL137" i="4"/>
  <c r="DK137" i="4"/>
  <c r="DJ137" i="4" a="1"/>
  <c r="DJ137" i="4" s="1"/>
  <c r="DH137" i="4" a="1"/>
  <c r="DH137" i="4" s="1"/>
  <c r="DG137" i="4" a="1"/>
  <c r="DG137" i="4" s="1"/>
  <c r="DF137" i="4" a="1"/>
  <c r="DF137" i="4" s="1"/>
  <c r="DE137" i="4" a="1"/>
  <c r="DE137" i="4" s="1"/>
  <c r="DD137" i="4" a="1"/>
  <c r="DD137" i="4" s="1"/>
  <c r="DC137" i="4" a="1"/>
  <c r="DC137" i="4" s="1"/>
  <c r="DB137" i="4" a="1"/>
  <c r="DB137" i="4" s="1"/>
  <c r="GK136" i="4"/>
  <c r="GC136" i="4"/>
  <c r="DN136" i="4"/>
  <c r="DM136" i="4"/>
  <c r="DL136" i="4"/>
  <c r="DK136" i="4"/>
  <c r="DJ136" i="4" a="1"/>
  <c r="DJ136" i="4" s="1"/>
  <c r="DH136" i="4" a="1"/>
  <c r="DH136" i="4" s="1"/>
  <c r="DG136" i="4" a="1"/>
  <c r="DG136" i="4" s="1"/>
  <c r="DF136" i="4" a="1"/>
  <c r="DF136" i="4" s="1"/>
  <c r="DE136" i="4" a="1"/>
  <c r="DE136" i="4" s="1"/>
  <c r="DD136" i="4" a="1"/>
  <c r="DD136" i="4" s="1"/>
  <c r="DC136" i="4" a="1"/>
  <c r="DC136" i="4" s="1"/>
  <c r="DB136" i="4" a="1"/>
  <c r="DB136" i="4" s="1"/>
  <c r="DA136" i="4" a="1"/>
  <c r="DA136" i="4" s="1"/>
  <c r="GK135" i="4"/>
  <c r="GC135" i="4"/>
  <c r="DR135" i="4"/>
  <c r="DN135" i="4"/>
  <c r="DM135" i="4"/>
  <c r="DL135" i="4"/>
  <c r="DK135" i="4"/>
  <c r="DJ135" i="4" a="1"/>
  <c r="DJ135" i="4" s="1"/>
  <c r="DH135" i="4" a="1"/>
  <c r="DH135" i="4" s="1"/>
  <c r="DG135" i="4" a="1"/>
  <c r="DG135" i="4" s="1"/>
  <c r="DF135" i="4" a="1"/>
  <c r="DF135" i="4" s="1"/>
  <c r="DE135" i="4" a="1"/>
  <c r="DE135" i="4" s="1"/>
  <c r="DD135" i="4" a="1"/>
  <c r="DD135" i="4" s="1"/>
  <c r="DC135" i="4" a="1"/>
  <c r="DC135" i="4" s="1"/>
  <c r="DB135" i="4" a="1"/>
  <c r="DB135" i="4" s="1"/>
  <c r="DA135" i="4" a="1"/>
  <c r="DA135" i="4" s="1"/>
  <c r="GK134" i="4"/>
  <c r="GC134" i="4"/>
  <c r="DN134" i="4"/>
  <c r="DM134" i="4"/>
  <c r="DL134" i="4"/>
  <c r="DK134" i="4"/>
  <c r="DJ134" i="4" a="1"/>
  <c r="DJ134" i="4" s="1"/>
  <c r="DH134" i="4" a="1"/>
  <c r="DH134" i="4" s="1"/>
  <c r="DG134" i="4" a="1"/>
  <c r="DG134" i="4" s="1"/>
  <c r="DE134" i="4" a="1"/>
  <c r="DE134" i="4" s="1"/>
  <c r="DD134" i="4" a="1"/>
  <c r="DD134" i="4" s="1"/>
  <c r="DC134" i="4" a="1"/>
  <c r="DC134" i="4" s="1"/>
  <c r="DB134" i="4" a="1"/>
  <c r="DB134" i="4" s="1"/>
  <c r="DA134" i="4" a="1"/>
  <c r="DA134" i="4" s="1"/>
  <c r="GK133" i="4"/>
  <c r="GC133" i="4"/>
  <c r="DN133" i="4"/>
  <c r="DM133" i="4"/>
  <c r="DL133" i="4"/>
  <c r="DK133" i="4"/>
  <c r="DJ133" i="4" a="1"/>
  <c r="DJ133" i="4" s="1"/>
  <c r="DH133" i="4" a="1"/>
  <c r="DH133" i="4" s="1"/>
  <c r="DG133" i="4" a="1"/>
  <c r="DG133" i="4" s="1"/>
  <c r="DF133" i="4" a="1"/>
  <c r="DF133" i="4" s="1"/>
  <c r="DE133" i="4" a="1"/>
  <c r="DE133" i="4" s="1"/>
  <c r="DD133" i="4" a="1"/>
  <c r="DD133" i="4" s="1"/>
  <c r="DC133" i="4" a="1"/>
  <c r="DC133" i="4" s="1"/>
  <c r="DB133" i="4" a="1"/>
  <c r="DB133" i="4" s="1"/>
  <c r="DA133" i="4" a="1"/>
  <c r="DA133" i="4" s="1"/>
  <c r="GK132" i="4"/>
  <c r="GC132" i="4"/>
  <c r="DN132" i="4"/>
  <c r="DM132" i="4"/>
  <c r="DL132" i="4"/>
  <c r="DK132" i="4"/>
  <c r="DJ132" i="4" a="1"/>
  <c r="DJ132" i="4" s="1"/>
  <c r="DH132" i="4" a="1"/>
  <c r="DH132" i="4" s="1"/>
  <c r="DG132" i="4" a="1"/>
  <c r="DG132" i="4" s="1"/>
  <c r="DE132" i="4" a="1"/>
  <c r="DE132" i="4" s="1"/>
  <c r="DD132" i="4" a="1"/>
  <c r="DD132" i="4" s="1"/>
  <c r="DC132" i="4" a="1"/>
  <c r="DC132" i="4" s="1"/>
  <c r="DB132" i="4" a="1"/>
  <c r="DB132" i="4" s="1"/>
  <c r="DA132" i="4" a="1"/>
  <c r="DA132" i="4" s="1"/>
  <c r="GK131" i="4"/>
  <c r="GC131" i="4"/>
  <c r="DN131" i="4"/>
  <c r="DM131" i="4"/>
  <c r="DL131" i="4"/>
  <c r="DK131" i="4"/>
  <c r="DJ131" i="4" a="1"/>
  <c r="DJ131" i="4" s="1"/>
  <c r="DH131" i="4" a="1"/>
  <c r="DH131" i="4" s="1"/>
  <c r="DG131" i="4" a="1"/>
  <c r="DG131" i="4" s="1"/>
  <c r="DF131" i="4" a="1"/>
  <c r="DF131" i="4" s="1"/>
  <c r="DE131" i="4" a="1"/>
  <c r="DE131" i="4" s="1"/>
  <c r="DD131" i="4" a="1"/>
  <c r="DD131" i="4" s="1"/>
  <c r="DC131" i="4" a="1"/>
  <c r="DC131" i="4" s="1"/>
  <c r="DB131" i="4" a="1"/>
  <c r="DB131" i="4" s="1"/>
  <c r="GK130" i="4"/>
  <c r="GC130" i="4"/>
  <c r="DN130" i="4"/>
  <c r="DM130" i="4"/>
  <c r="DL130" i="4"/>
  <c r="DK130" i="4"/>
  <c r="DJ130" i="4" a="1"/>
  <c r="DJ130" i="4" s="1"/>
  <c r="DH130" i="4" a="1"/>
  <c r="DH130" i="4" s="1"/>
  <c r="DG130" i="4" a="1"/>
  <c r="DG130" i="4" s="1"/>
  <c r="DF130" i="4" a="1"/>
  <c r="DF130" i="4" s="1"/>
  <c r="DE130" i="4" a="1"/>
  <c r="DE130" i="4" s="1"/>
  <c r="DD130" i="4" a="1"/>
  <c r="DD130" i="4" s="1"/>
  <c r="DC130" i="4" a="1"/>
  <c r="DC130" i="4" s="1"/>
  <c r="DB130" i="4" a="1"/>
  <c r="DB130" i="4" s="1"/>
  <c r="DA130" i="4" a="1"/>
  <c r="DA130" i="4" s="1"/>
  <c r="GK129" i="4"/>
  <c r="GC129" i="4"/>
  <c r="DX129" i="4"/>
  <c r="DN129" i="4"/>
  <c r="DM129" i="4"/>
  <c r="DL129" i="4"/>
  <c r="DK129" i="4"/>
  <c r="DJ129" i="4" a="1"/>
  <c r="DJ129" i="4" s="1"/>
  <c r="DH129" i="4" a="1"/>
  <c r="DH129" i="4" s="1"/>
  <c r="DG129" i="4" a="1"/>
  <c r="DG129" i="4" s="1"/>
  <c r="DF129" i="4" a="1"/>
  <c r="DF129" i="4" s="1"/>
  <c r="DE129" i="4" a="1"/>
  <c r="DE129" i="4" s="1"/>
  <c r="DD129" i="4" a="1"/>
  <c r="DD129" i="4" s="1"/>
  <c r="DC129" i="4" a="1"/>
  <c r="DC129" i="4" s="1"/>
  <c r="DB129" i="4" a="1"/>
  <c r="DB129" i="4" s="1"/>
  <c r="DA129" i="4" a="1"/>
  <c r="DA129" i="4" s="1"/>
  <c r="GK128" i="4"/>
  <c r="GC128" i="4"/>
  <c r="DN128" i="4"/>
  <c r="DM128" i="4"/>
  <c r="DL128" i="4"/>
  <c r="DK128" i="4"/>
  <c r="DJ128" i="4" a="1"/>
  <c r="DJ128" i="4" s="1"/>
  <c r="DH128" i="4" a="1"/>
  <c r="DH128" i="4" s="1"/>
  <c r="DG128" i="4" a="1"/>
  <c r="DG128" i="4" s="1"/>
  <c r="DE128" i="4" a="1"/>
  <c r="DE128" i="4" s="1"/>
  <c r="DD128" i="4" a="1"/>
  <c r="DD128" i="4" s="1"/>
  <c r="DC128" i="4" a="1"/>
  <c r="DC128" i="4" s="1"/>
  <c r="DB128" i="4" a="1"/>
  <c r="DB128" i="4" s="1"/>
  <c r="DA128" i="4" a="1"/>
  <c r="DA128" i="4" s="1"/>
  <c r="GK127" i="4"/>
  <c r="GC127" i="4"/>
  <c r="DT127" i="4"/>
  <c r="DN127" i="4"/>
  <c r="DM127" i="4"/>
  <c r="DL127" i="4"/>
  <c r="DK127" i="4"/>
  <c r="DJ127" i="4" a="1"/>
  <c r="DJ127" i="4" s="1"/>
  <c r="DH127" i="4" a="1"/>
  <c r="DH127" i="4" s="1"/>
  <c r="DG127" i="4" a="1"/>
  <c r="DG127" i="4" s="1"/>
  <c r="DE127" i="4" a="1"/>
  <c r="DE127" i="4" s="1"/>
  <c r="DD127" i="4" a="1"/>
  <c r="DD127" i="4" s="1"/>
  <c r="DC127" i="4" a="1"/>
  <c r="DC127" i="4" s="1"/>
  <c r="DB127" i="4" a="1"/>
  <c r="DB127" i="4" s="1"/>
  <c r="DA127" i="4" a="1"/>
  <c r="DA127" i="4" s="1"/>
  <c r="GK126" i="4"/>
  <c r="GC126" i="4"/>
  <c r="DN126" i="4"/>
  <c r="DM126" i="4"/>
  <c r="DL126" i="4"/>
  <c r="DK126" i="4"/>
  <c r="DJ126" i="4" a="1"/>
  <c r="DJ126" i="4" s="1"/>
  <c r="DH126" i="4" a="1"/>
  <c r="DH126" i="4" s="1"/>
  <c r="DG126" i="4" a="1"/>
  <c r="DG126" i="4" s="1"/>
  <c r="DF126" i="4" a="1"/>
  <c r="DF126" i="4" s="1"/>
  <c r="DE126" i="4" a="1"/>
  <c r="DE126" i="4" s="1"/>
  <c r="DD126" i="4" a="1"/>
  <c r="DD126" i="4" s="1"/>
  <c r="DC126" i="4" a="1"/>
  <c r="DC126" i="4" s="1"/>
  <c r="DB126" i="4" a="1"/>
  <c r="DB126" i="4" s="1"/>
  <c r="DA126" i="4" a="1"/>
  <c r="DA126" i="4" s="1"/>
  <c r="GK125" i="4"/>
  <c r="GC125" i="4"/>
  <c r="DP125" i="4"/>
  <c r="DN125" i="4"/>
  <c r="DM125" i="4"/>
  <c r="DL125" i="4"/>
  <c r="DK125" i="4"/>
  <c r="DJ125" i="4" a="1"/>
  <c r="DJ125" i="4" s="1"/>
  <c r="DH125" i="4" a="1"/>
  <c r="DH125" i="4" s="1"/>
  <c r="DG125" i="4" a="1"/>
  <c r="DG125" i="4" s="1"/>
  <c r="DE125" i="4" a="1"/>
  <c r="DE125" i="4" s="1"/>
  <c r="DD125" i="4" a="1"/>
  <c r="DD125" i="4" s="1"/>
  <c r="DC125" i="4" a="1"/>
  <c r="DC125" i="4" s="1"/>
  <c r="DB125" i="4" a="1"/>
  <c r="DB125" i="4" s="1"/>
  <c r="GK124" i="4"/>
  <c r="GC124" i="4"/>
  <c r="DN124" i="4"/>
  <c r="DM124" i="4"/>
  <c r="DL124" i="4"/>
  <c r="DK124" i="4"/>
  <c r="DJ124" i="4" a="1"/>
  <c r="DJ124" i="4" s="1"/>
  <c r="DH124" i="4" a="1"/>
  <c r="DH124" i="4" s="1"/>
  <c r="DG124" i="4" a="1"/>
  <c r="DG124" i="4" s="1"/>
  <c r="DF124" i="4" a="1"/>
  <c r="DF124" i="4" s="1"/>
  <c r="DE124" i="4" a="1"/>
  <c r="DE124" i="4" s="1"/>
  <c r="DD124" i="4" a="1"/>
  <c r="DD124" i="4" s="1"/>
  <c r="DC124" i="4" a="1"/>
  <c r="DC124" i="4" s="1"/>
  <c r="DB124" i="4" a="1"/>
  <c r="DB124" i="4" s="1"/>
  <c r="DA124" i="4" a="1"/>
  <c r="DA124" i="4" s="1"/>
  <c r="GK123" i="4"/>
  <c r="GC123" i="4"/>
  <c r="DN123" i="4"/>
  <c r="DM123" i="4"/>
  <c r="DL123" i="4"/>
  <c r="DK123" i="4"/>
  <c r="DJ123" i="4" a="1"/>
  <c r="DJ123" i="4" s="1"/>
  <c r="DH123" i="4" a="1"/>
  <c r="DH123" i="4" s="1"/>
  <c r="DG123" i="4" a="1"/>
  <c r="DG123" i="4" s="1"/>
  <c r="DF123" i="4" a="1"/>
  <c r="DF123" i="4" s="1"/>
  <c r="DE123" i="4" a="1"/>
  <c r="DE123" i="4" s="1"/>
  <c r="DD123" i="4" a="1"/>
  <c r="DD123" i="4" s="1"/>
  <c r="DC123" i="4" a="1"/>
  <c r="DC123" i="4" s="1"/>
  <c r="DA123" i="4" a="1"/>
  <c r="DA123" i="4" s="1"/>
  <c r="GK122" i="4"/>
  <c r="GC122" i="4"/>
  <c r="DN122" i="4"/>
  <c r="DM122" i="4"/>
  <c r="DL122" i="4"/>
  <c r="DK122" i="4"/>
  <c r="DJ122" i="4" a="1"/>
  <c r="DJ122" i="4" s="1"/>
  <c r="DH122" i="4" a="1"/>
  <c r="DH122" i="4" s="1"/>
  <c r="DG122" i="4" a="1"/>
  <c r="DG122" i="4" s="1"/>
  <c r="DF122" i="4" a="1"/>
  <c r="DF122" i="4" s="1"/>
  <c r="DE122" i="4" a="1"/>
  <c r="DE122" i="4" s="1"/>
  <c r="DD122" i="4" a="1"/>
  <c r="DD122" i="4" s="1"/>
  <c r="DC122" i="4" a="1"/>
  <c r="DC122" i="4" s="1"/>
  <c r="DB122" i="4" a="1"/>
  <c r="DB122" i="4" s="1"/>
  <c r="DA122" i="4" a="1"/>
  <c r="DA122" i="4" s="1"/>
  <c r="GK121" i="4"/>
  <c r="GC121" i="4"/>
  <c r="DN121" i="4"/>
  <c r="DM121" i="4"/>
  <c r="DL121" i="4"/>
  <c r="DK121" i="4"/>
  <c r="DJ121" i="4" a="1"/>
  <c r="DJ121" i="4" s="1"/>
  <c r="DH121" i="4" a="1"/>
  <c r="DH121" i="4" s="1"/>
  <c r="DG121" i="4" a="1"/>
  <c r="DG121" i="4" s="1"/>
  <c r="DF121" i="4" a="1"/>
  <c r="DF121" i="4" s="1"/>
  <c r="DE121" i="4" a="1"/>
  <c r="DE121" i="4" s="1"/>
  <c r="DD121" i="4" a="1"/>
  <c r="DD121" i="4" s="1"/>
  <c r="DC121" i="4" a="1"/>
  <c r="DC121" i="4" s="1"/>
  <c r="DB121" i="4" a="1"/>
  <c r="DB121" i="4" s="1"/>
  <c r="DA121" i="4" a="1"/>
  <c r="DA121" i="4" s="1"/>
  <c r="GK120" i="4"/>
  <c r="GC120" i="4"/>
  <c r="DT120" i="4"/>
  <c r="DN120" i="4"/>
  <c r="DM120" i="4"/>
  <c r="DL120" i="4"/>
  <c r="DK120" i="4"/>
  <c r="DJ120" i="4" a="1"/>
  <c r="DJ120" i="4" s="1"/>
  <c r="DH120" i="4" a="1"/>
  <c r="DH120" i="4" s="1"/>
  <c r="DG120" i="4" a="1"/>
  <c r="DG120" i="4" s="1"/>
  <c r="DF120" i="4" a="1"/>
  <c r="DF120" i="4" s="1"/>
  <c r="DE120" i="4" a="1"/>
  <c r="DE120" i="4" s="1"/>
  <c r="DD120" i="4" a="1"/>
  <c r="DD120" i="4" s="1"/>
  <c r="DC120" i="4" a="1"/>
  <c r="DC120" i="4" s="1"/>
  <c r="DA120" i="4" a="1"/>
  <c r="DA120" i="4" s="1"/>
  <c r="GK119" i="4"/>
  <c r="GC119" i="4"/>
  <c r="DN119" i="4"/>
  <c r="DM119" i="4"/>
  <c r="DL119" i="4"/>
  <c r="DK119" i="4"/>
  <c r="DJ119" i="4" a="1"/>
  <c r="DJ119" i="4" s="1"/>
  <c r="DH119" i="4" a="1"/>
  <c r="DH119" i="4" s="1"/>
  <c r="DG119" i="4" a="1"/>
  <c r="DG119" i="4" s="1"/>
  <c r="DF119" i="4" a="1"/>
  <c r="DF119" i="4" s="1"/>
  <c r="DE119" i="4" a="1"/>
  <c r="DE119" i="4" s="1"/>
  <c r="DD119" i="4" a="1"/>
  <c r="DD119" i="4" s="1"/>
  <c r="DC119" i="4" a="1"/>
  <c r="DC119" i="4" s="1"/>
  <c r="DB119" i="4" a="1"/>
  <c r="DB119" i="4" s="1"/>
  <c r="DA119" i="4" a="1"/>
  <c r="DA119" i="4" s="1"/>
  <c r="GK118" i="4"/>
  <c r="GC118" i="4"/>
  <c r="DP118" i="4"/>
  <c r="DN118" i="4"/>
  <c r="DM118" i="4"/>
  <c r="DL118" i="4"/>
  <c r="DK118" i="4"/>
  <c r="DJ118" i="4" a="1"/>
  <c r="DJ118" i="4" s="1"/>
  <c r="DH118" i="4" a="1"/>
  <c r="DH118" i="4" s="1"/>
  <c r="DG118" i="4" a="1"/>
  <c r="DG118" i="4" s="1"/>
  <c r="DE118" i="4" a="1"/>
  <c r="DE118" i="4" s="1"/>
  <c r="DD118" i="4" a="1"/>
  <c r="DD118" i="4" s="1"/>
  <c r="DC118" i="4" a="1"/>
  <c r="DC118" i="4" s="1"/>
  <c r="DB118" i="4" a="1"/>
  <c r="DB118" i="4" s="1"/>
  <c r="DA118" i="4" a="1"/>
  <c r="DA118" i="4" s="1"/>
  <c r="GK117" i="4"/>
  <c r="GC117" i="4"/>
  <c r="DZ117" i="4"/>
  <c r="DN117" i="4"/>
  <c r="DM117" i="4"/>
  <c r="DL117" i="4"/>
  <c r="DK117" i="4"/>
  <c r="DJ117" i="4" a="1"/>
  <c r="DJ117" i="4" s="1"/>
  <c r="DH117" i="4" a="1"/>
  <c r="DH117" i="4" s="1"/>
  <c r="DG117" i="4" a="1"/>
  <c r="DG117" i="4" s="1"/>
  <c r="DF117" i="4" a="1"/>
  <c r="DF117" i="4" s="1"/>
  <c r="DE117" i="4" a="1"/>
  <c r="DE117" i="4" s="1"/>
  <c r="DD117" i="4" a="1"/>
  <c r="DD117" i="4" s="1"/>
  <c r="DC117" i="4" a="1"/>
  <c r="DC117" i="4" s="1"/>
  <c r="DB117" i="4" a="1"/>
  <c r="DB117" i="4" s="1"/>
  <c r="DA117" i="4" a="1"/>
  <c r="DA117" i="4" s="1"/>
  <c r="GK116" i="4"/>
  <c r="GC116" i="4"/>
  <c r="DN116" i="4"/>
  <c r="DM116" i="4"/>
  <c r="DL116" i="4"/>
  <c r="DK116" i="4"/>
  <c r="DJ116" i="4" a="1"/>
  <c r="DJ116" i="4" s="1"/>
  <c r="DH116" i="4" a="1"/>
  <c r="DH116" i="4" s="1"/>
  <c r="DG116" i="4" a="1"/>
  <c r="DG116" i="4" s="1"/>
  <c r="DE116" i="4" a="1"/>
  <c r="DE116" i="4" s="1"/>
  <c r="DD116" i="4" a="1"/>
  <c r="DD116" i="4" s="1"/>
  <c r="DC116" i="4" a="1"/>
  <c r="DC116" i="4" s="1"/>
  <c r="DB116" i="4" a="1"/>
  <c r="DB116" i="4" s="1"/>
  <c r="DA116" i="4" a="1"/>
  <c r="DA116" i="4" s="1"/>
  <c r="GK115" i="4"/>
  <c r="GC115" i="4"/>
  <c r="DN115" i="4"/>
  <c r="DM115" i="4"/>
  <c r="DL115" i="4"/>
  <c r="DK115" i="4"/>
  <c r="DJ115" i="4" a="1"/>
  <c r="DJ115" i="4" s="1"/>
  <c r="DH115" i="4" a="1"/>
  <c r="DH115" i="4" s="1"/>
  <c r="DG115" i="4" a="1"/>
  <c r="DG115" i="4" s="1"/>
  <c r="DF115" i="4" a="1"/>
  <c r="DF115" i="4" s="1"/>
  <c r="DE115" i="4" a="1"/>
  <c r="DE115" i="4" s="1"/>
  <c r="DD115" i="4" a="1"/>
  <c r="DD115" i="4" s="1"/>
  <c r="DC115" i="4" a="1"/>
  <c r="DC115" i="4" s="1"/>
  <c r="DB115" i="4" a="1"/>
  <c r="DB115" i="4" s="1"/>
  <c r="DA115" i="4" a="1"/>
  <c r="DA115" i="4" s="1"/>
  <c r="GK114" i="4"/>
  <c r="GC114" i="4"/>
  <c r="DN114" i="4"/>
  <c r="DM114" i="4"/>
  <c r="DL114" i="4"/>
  <c r="DK114" i="4"/>
  <c r="DJ114" i="4" a="1"/>
  <c r="DJ114" i="4" s="1"/>
  <c r="DH114" i="4" a="1"/>
  <c r="DH114" i="4" s="1"/>
  <c r="DG114" i="4" a="1"/>
  <c r="DG114" i="4" s="1"/>
  <c r="DF114" i="4" a="1"/>
  <c r="DF114" i="4" s="1"/>
  <c r="DE114" i="4" a="1"/>
  <c r="DE114" i="4" s="1"/>
  <c r="DD114" i="4" a="1"/>
  <c r="DD114" i="4" s="1"/>
  <c r="DC114" i="4" a="1"/>
  <c r="DC114" i="4" s="1"/>
  <c r="DB114" i="4" a="1"/>
  <c r="DB114" i="4" s="1"/>
  <c r="DA114" i="4" a="1"/>
  <c r="DA114" i="4" s="1"/>
  <c r="GK113" i="4"/>
  <c r="GC113" i="4"/>
  <c r="DY113" i="4"/>
  <c r="DN113" i="4"/>
  <c r="DM113" i="4"/>
  <c r="DL113" i="4"/>
  <c r="DK113" i="4"/>
  <c r="DJ113" i="4" a="1"/>
  <c r="DJ113" i="4" s="1"/>
  <c r="DH113" i="4" a="1"/>
  <c r="DH113" i="4" s="1"/>
  <c r="DG113" i="4" a="1"/>
  <c r="DG113" i="4" s="1"/>
  <c r="DF113" i="4" a="1"/>
  <c r="DF113" i="4" s="1"/>
  <c r="DE113" i="4" a="1"/>
  <c r="DE113" i="4" s="1"/>
  <c r="DD113" i="4" a="1"/>
  <c r="DD113" i="4" s="1"/>
  <c r="DC113" i="4" a="1"/>
  <c r="DC113" i="4" s="1"/>
  <c r="DB113" i="4" a="1"/>
  <c r="DB113" i="4" s="1"/>
  <c r="DA113" i="4" a="1"/>
  <c r="DA113" i="4" s="1"/>
  <c r="GK112" i="4"/>
  <c r="GC112" i="4"/>
  <c r="DN112" i="4"/>
  <c r="DM112" i="4"/>
  <c r="DL112" i="4"/>
  <c r="DK112" i="4"/>
  <c r="DJ112" i="4" a="1"/>
  <c r="DJ112" i="4" s="1"/>
  <c r="DH112" i="4" a="1"/>
  <c r="DH112" i="4" s="1"/>
  <c r="DG112" i="4" a="1"/>
  <c r="DG112" i="4" s="1"/>
  <c r="DF112" i="4" a="1"/>
  <c r="DF112" i="4" s="1"/>
  <c r="DE112" i="4" a="1"/>
  <c r="DE112" i="4" s="1"/>
  <c r="DD112" i="4" a="1"/>
  <c r="DD112" i="4" s="1"/>
  <c r="DC112" i="4" a="1"/>
  <c r="DC112" i="4" s="1"/>
  <c r="DB112" i="4" a="1"/>
  <c r="DB112" i="4" s="1"/>
  <c r="DA112" i="4" a="1"/>
  <c r="DA112" i="4" s="1"/>
  <c r="GK111" i="4"/>
  <c r="GC111" i="4"/>
  <c r="DN111" i="4"/>
  <c r="DM111" i="4"/>
  <c r="DL111" i="4"/>
  <c r="DK111" i="4"/>
  <c r="DJ111" i="4" a="1"/>
  <c r="DJ111" i="4" s="1"/>
  <c r="DH111" i="4" a="1"/>
  <c r="DH111" i="4" s="1"/>
  <c r="DG111" i="4" a="1"/>
  <c r="DG111" i="4" s="1"/>
  <c r="DF111" i="4" a="1"/>
  <c r="DF111" i="4" s="1"/>
  <c r="DE111" i="4" a="1"/>
  <c r="DE111" i="4" s="1"/>
  <c r="DD111" i="4" a="1"/>
  <c r="DD111" i="4" s="1"/>
  <c r="DC111" i="4" a="1"/>
  <c r="DC111" i="4" s="1"/>
  <c r="DA111" i="4" a="1"/>
  <c r="DA111" i="4" s="1"/>
  <c r="GK110" i="4"/>
  <c r="GC110" i="4"/>
  <c r="DV110" i="4"/>
  <c r="DQ110" i="4"/>
  <c r="DN110" i="4"/>
  <c r="DM110" i="4"/>
  <c r="DL110" i="4"/>
  <c r="DK110" i="4"/>
  <c r="DJ110" i="4" a="1"/>
  <c r="DJ110" i="4" s="1"/>
  <c r="DH110" i="4" a="1"/>
  <c r="DH110" i="4" s="1"/>
  <c r="DG110" i="4" a="1"/>
  <c r="DG110" i="4" s="1"/>
  <c r="DF110" i="4" a="1"/>
  <c r="DF110" i="4" s="1"/>
  <c r="DE110" i="4" a="1"/>
  <c r="DE110" i="4" s="1"/>
  <c r="DD110" i="4" a="1"/>
  <c r="DD110" i="4" s="1"/>
  <c r="DC110" i="4" a="1"/>
  <c r="DC110" i="4" s="1"/>
  <c r="DB110" i="4" a="1"/>
  <c r="DB110" i="4" s="1"/>
  <c r="DA110" i="4" a="1"/>
  <c r="DA110" i="4" s="1"/>
  <c r="GK109" i="4"/>
  <c r="GC109" i="4"/>
  <c r="DN109" i="4"/>
  <c r="DM109" i="4"/>
  <c r="DL109" i="4"/>
  <c r="DK109" i="4"/>
  <c r="DJ109" i="4" a="1"/>
  <c r="DJ109" i="4" s="1"/>
  <c r="DH109" i="4" a="1"/>
  <c r="DH109" i="4" s="1"/>
  <c r="DG109" i="4" a="1"/>
  <c r="DG109" i="4" s="1"/>
  <c r="DF109" i="4" a="1"/>
  <c r="DF109" i="4" s="1"/>
  <c r="DE109" i="4" a="1"/>
  <c r="DE109" i="4" s="1"/>
  <c r="DD109" i="4" a="1"/>
  <c r="DD109" i="4" s="1"/>
  <c r="DC109" i="4" a="1"/>
  <c r="DC109" i="4" s="1"/>
  <c r="DB109" i="4" a="1"/>
  <c r="DB109" i="4" s="1"/>
  <c r="DA109" i="4" a="1"/>
  <c r="DA109" i="4" s="1"/>
  <c r="GK108" i="4"/>
  <c r="GC108" i="4"/>
  <c r="DN108" i="4"/>
  <c r="DM108" i="4"/>
  <c r="DL108" i="4"/>
  <c r="DK108" i="4"/>
  <c r="DJ108" i="4" a="1"/>
  <c r="DJ108" i="4" s="1"/>
  <c r="DH108" i="4" a="1"/>
  <c r="DH108" i="4" s="1"/>
  <c r="DG108" i="4" a="1"/>
  <c r="DG108" i="4" s="1"/>
  <c r="DF108" i="4" a="1"/>
  <c r="DF108" i="4" s="1"/>
  <c r="DE108" i="4" a="1"/>
  <c r="DE108" i="4" s="1"/>
  <c r="DD108" i="4" a="1"/>
  <c r="DD108" i="4" s="1"/>
  <c r="DC108" i="4" a="1"/>
  <c r="DC108" i="4" s="1"/>
  <c r="DB108" i="4" a="1"/>
  <c r="DB108" i="4" s="1"/>
  <c r="DA108" i="4" a="1"/>
  <c r="DA108" i="4" s="1"/>
  <c r="GK107" i="4"/>
  <c r="GC107" i="4"/>
  <c r="DN107" i="4"/>
  <c r="DM107" i="4"/>
  <c r="DL107" i="4"/>
  <c r="DK107" i="4"/>
  <c r="DJ107" i="4" a="1"/>
  <c r="DJ107" i="4" s="1"/>
  <c r="DH107" i="4" a="1"/>
  <c r="DH107" i="4" s="1"/>
  <c r="DG107" i="4" a="1"/>
  <c r="DG107" i="4" s="1"/>
  <c r="DF107" i="4" a="1"/>
  <c r="DF107" i="4" s="1"/>
  <c r="DE107" i="4" a="1"/>
  <c r="DE107" i="4" s="1"/>
  <c r="DD107" i="4" a="1"/>
  <c r="DD107" i="4" s="1"/>
  <c r="DC107" i="4" a="1"/>
  <c r="DC107" i="4" s="1"/>
  <c r="DA107" i="4" a="1"/>
  <c r="DA107" i="4" s="1"/>
  <c r="GK106" i="4"/>
  <c r="GC106" i="4"/>
  <c r="DN106" i="4"/>
  <c r="DM106" i="4"/>
  <c r="DL106" i="4"/>
  <c r="DK106" i="4"/>
  <c r="DJ106" i="4" a="1"/>
  <c r="DJ106" i="4" s="1"/>
  <c r="DH106" i="4" a="1"/>
  <c r="DH106" i="4" s="1"/>
  <c r="DG106" i="4" a="1"/>
  <c r="DG106" i="4" s="1"/>
  <c r="DF106" i="4" a="1"/>
  <c r="DF106" i="4" s="1"/>
  <c r="DE106" i="4" a="1"/>
  <c r="DE106" i="4" s="1"/>
  <c r="DD106" i="4" a="1"/>
  <c r="DD106" i="4" s="1"/>
  <c r="DC106" i="4" a="1"/>
  <c r="DC106" i="4" s="1"/>
  <c r="DB106" i="4" a="1"/>
  <c r="DB106" i="4" s="1"/>
  <c r="DA106" i="4" a="1"/>
  <c r="DA106" i="4" s="1"/>
  <c r="GK105" i="4"/>
  <c r="GC105" i="4"/>
  <c r="EG105" i="4"/>
  <c r="DN105" i="4"/>
  <c r="DM105" i="4"/>
  <c r="DL105" i="4"/>
  <c r="DK105" i="4"/>
  <c r="DJ105" i="4" a="1"/>
  <c r="DJ105" i="4" s="1"/>
  <c r="DH105" i="4" a="1"/>
  <c r="DH105" i="4" s="1"/>
  <c r="DG105" i="4" a="1"/>
  <c r="DG105" i="4" s="1"/>
  <c r="DF105" i="4" a="1"/>
  <c r="DF105" i="4" s="1"/>
  <c r="DE105" i="4" a="1"/>
  <c r="DE105" i="4" s="1"/>
  <c r="DD105" i="4" a="1"/>
  <c r="DD105" i="4" s="1"/>
  <c r="DC105" i="4" a="1"/>
  <c r="DC105" i="4" s="1"/>
  <c r="DB105" i="4" a="1"/>
  <c r="DB105" i="4" s="1"/>
  <c r="DA105" i="4" a="1"/>
  <c r="DA105" i="4" s="1"/>
  <c r="GK104" i="4"/>
  <c r="GC104" i="4"/>
  <c r="DN104" i="4"/>
  <c r="DM104" i="4"/>
  <c r="DL104" i="4"/>
  <c r="DK104" i="4"/>
  <c r="DJ104" i="4" a="1"/>
  <c r="DJ104" i="4" s="1"/>
  <c r="DH104" i="4" a="1"/>
  <c r="DH104" i="4" s="1"/>
  <c r="DG104" i="4" a="1"/>
  <c r="DG104" i="4" s="1"/>
  <c r="DF104" i="4" a="1"/>
  <c r="DF104" i="4" s="1"/>
  <c r="DE104" i="4" a="1"/>
  <c r="DE104" i="4" s="1"/>
  <c r="DD104" i="4" a="1"/>
  <c r="DD104" i="4" s="1"/>
  <c r="DC104" i="4" a="1"/>
  <c r="DC104" i="4" s="1"/>
  <c r="DB104" i="4" a="1"/>
  <c r="DB104" i="4" s="1"/>
  <c r="DA104" i="4" a="1"/>
  <c r="DA104" i="4" s="1"/>
  <c r="GK103" i="4"/>
  <c r="GC103" i="4"/>
  <c r="ED103" i="4"/>
  <c r="DN103" i="4"/>
  <c r="DM103" i="4"/>
  <c r="DL103" i="4"/>
  <c r="DK103" i="4"/>
  <c r="DJ103" i="4" a="1"/>
  <c r="DJ103" i="4" s="1"/>
  <c r="DH103" i="4" a="1"/>
  <c r="DH103" i="4" s="1"/>
  <c r="DG103" i="4" a="1"/>
  <c r="DG103" i="4" s="1"/>
  <c r="DF103" i="4" a="1"/>
  <c r="DF103" i="4" s="1"/>
  <c r="DE103" i="4" a="1"/>
  <c r="DE103" i="4" s="1"/>
  <c r="DD103" i="4" a="1"/>
  <c r="DD103" i="4" s="1"/>
  <c r="DC103" i="4" a="1"/>
  <c r="DC103" i="4" s="1"/>
  <c r="DB103" i="4" a="1"/>
  <c r="DB103" i="4" s="1"/>
  <c r="DA103" i="4" a="1"/>
  <c r="DA103" i="4" s="1"/>
  <c r="GK102" i="4"/>
  <c r="GC102" i="4"/>
  <c r="DN102" i="4"/>
  <c r="DM102" i="4"/>
  <c r="DL102" i="4"/>
  <c r="DK102" i="4"/>
  <c r="DJ102" i="4" a="1"/>
  <c r="DJ102" i="4" s="1"/>
  <c r="DH102" i="4" a="1"/>
  <c r="DH102" i="4" s="1"/>
  <c r="DG102" i="4" a="1"/>
  <c r="DG102" i="4" s="1"/>
  <c r="DF102" i="4" a="1"/>
  <c r="DF102" i="4" s="1"/>
  <c r="DE102" i="4" a="1"/>
  <c r="DE102" i="4" s="1"/>
  <c r="DD102" i="4" a="1"/>
  <c r="DD102" i="4" s="1"/>
  <c r="DC102" i="4" a="1"/>
  <c r="DC102" i="4" s="1"/>
  <c r="DB102" i="4" a="1"/>
  <c r="DB102" i="4" s="1"/>
  <c r="DA102" i="4" a="1"/>
  <c r="DA102" i="4" s="1"/>
  <c r="GK101" i="4"/>
  <c r="GC101" i="4"/>
  <c r="DN101" i="4"/>
  <c r="DM101" i="4"/>
  <c r="DL101" i="4"/>
  <c r="DK101" i="4"/>
  <c r="DJ101" i="4" a="1"/>
  <c r="DJ101" i="4" s="1"/>
  <c r="DH101" i="4" a="1"/>
  <c r="DH101" i="4" s="1"/>
  <c r="DG101" i="4" a="1"/>
  <c r="DG101" i="4" s="1"/>
  <c r="DF101" i="4" a="1"/>
  <c r="DF101" i="4" s="1"/>
  <c r="DE101" i="4" a="1"/>
  <c r="DE101" i="4" s="1"/>
  <c r="DD101" i="4" a="1"/>
  <c r="DD101" i="4" s="1"/>
  <c r="DC101" i="4" a="1"/>
  <c r="DC101" i="4" s="1"/>
  <c r="DB101" i="4" a="1"/>
  <c r="DB101" i="4" s="1"/>
  <c r="DA101" i="4" a="1"/>
  <c r="DA101" i="4" s="1"/>
  <c r="GK100" i="4"/>
  <c r="GC100" i="4"/>
  <c r="DN100" i="4"/>
  <c r="DM100" i="4"/>
  <c r="DL100" i="4"/>
  <c r="DK100" i="4"/>
  <c r="DJ100" i="4" a="1"/>
  <c r="DJ100" i="4" s="1"/>
  <c r="DH100" i="4" a="1"/>
  <c r="DH100" i="4" s="1"/>
  <c r="DG100" i="4" a="1"/>
  <c r="DG100" i="4" s="1"/>
  <c r="DF100" i="4" a="1"/>
  <c r="DF100" i="4" s="1"/>
  <c r="DE100" i="4" a="1"/>
  <c r="DE100" i="4" s="1"/>
  <c r="DD100" i="4" a="1"/>
  <c r="DD100" i="4" s="1"/>
  <c r="DC100" i="4" a="1"/>
  <c r="DC100" i="4" s="1"/>
  <c r="DB100" i="4" a="1"/>
  <c r="DB100" i="4" s="1"/>
  <c r="DA100" i="4" a="1"/>
  <c r="DA100" i="4" s="1"/>
  <c r="GK99" i="4"/>
  <c r="GC99" i="4"/>
  <c r="DN99" i="4"/>
  <c r="DM99" i="4"/>
  <c r="DL99" i="4"/>
  <c r="DK99" i="4"/>
  <c r="DJ99" i="4" a="1"/>
  <c r="DJ99" i="4" s="1"/>
  <c r="DH99" i="4" a="1"/>
  <c r="DH99" i="4" s="1"/>
  <c r="DG99" i="4" a="1"/>
  <c r="DG99" i="4" s="1"/>
  <c r="DF99" i="4" a="1"/>
  <c r="DF99" i="4" s="1"/>
  <c r="DE99" i="4" a="1"/>
  <c r="DE99" i="4" s="1"/>
  <c r="DD99" i="4" a="1"/>
  <c r="DD99" i="4" s="1"/>
  <c r="DC99" i="4" a="1"/>
  <c r="DC99" i="4" s="1"/>
  <c r="DB99" i="4" a="1"/>
  <c r="DB99" i="4" s="1"/>
  <c r="DA99" i="4" a="1"/>
  <c r="DA99" i="4" s="1"/>
  <c r="GK98" i="4"/>
  <c r="GC98" i="4"/>
  <c r="DN98" i="4"/>
  <c r="DM98" i="4"/>
  <c r="DL98" i="4"/>
  <c r="DK98" i="4"/>
  <c r="DJ98" i="4" a="1"/>
  <c r="DJ98" i="4" s="1"/>
  <c r="DH98" i="4" a="1"/>
  <c r="DH98" i="4" s="1"/>
  <c r="DG98" i="4" a="1"/>
  <c r="DG98" i="4" s="1"/>
  <c r="DE98" i="4" a="1"/>
  <c r="DE98" i="4" s="1"/>
  <c r="DD98" i="4" a="1"/>
  <c r="DD98" i="4" s="1"/>
  <c r="DC98" i="4" a="1"/>
  <c r="DC98" i="4" s="1"/>
  <c r="DB98" i="4" a="1"/>
  <c r="DB98" i="4" s="1"/>
  <c r="DA98" i="4" a="1"/>
  <c r="DA98" i="4" s="1"/>
  <c r="GK97" i="4"/>
  <c r="GC97" i="4"/>
  <c r="DN97" i="4"/>
  <c r="DM97" i="4"/>
  <c r="DL97" i="4"/>
  <c r="DK97" i="4"/>
  <c r="DJ97" i="4" a="1"/>
  <c r="DJ97" i="4" s="1"/>
  <c r="DH97" i="4" a="1"/>
  <c r="DH97" i="4" s="1"/>
  <c r="DG97" i="4" a="1"/>
  <c r="DG97" i="4" s="1"/>
  <c r="DF97" i="4" a="1"/>
  <c r="DF97" i="4" s="1"/>
  <c r="DE97" i="4" a="1"/>
  <c r="DE97" i="4" s="1"/>
  <c r="DD97" i="4" a="1"/>
  <c r="DD97" i="4" s="1"/>
  <c r="DC97" i="4" a="1"/>
  <c r="DC97" i="4" s="1"/>
  <c r="DB97" i="4" a="1"/>
  <c r="DB97" i="4" s="1"/>
  <c r="DA97" i="4" a="1"/>
  <c r="DA97" i="4" s="1"/>
  <c r="GK96" i="4"/>
  <c r="GC96" i="4"/>
  <c r="DN96" i="4"/>
  <c r="DM96" i="4"/>
  <c r="DL96" i="4"/>
  <c r="DK96" i="4"/>
  <c r="DJ96" i="4" a="1"/>
  <c r="DJ96" i="4" s="1"/>
  <c r="DH96" i="4" a="1"/>
  <c r="DH96" i="4" s="1"/>
  <c r="DG96" i="4" a="1"/>
  <c r="DG96" i="4" s="1"/>
  <c r="DF96" i="4" a="1"/>
  <c r="DF96" i="4" s="1"/>
  <c r="DE96" i="4" a="1"/>
  <c r="DE96" i="4" s="1"/>
  <c r="DD96" i="4" a="1"/>
  <c r="DD96" i="4" s="1"/>
  <c r="DC96" i="4" a="1"/>
  <c r="DC96" i="4" s="1"/>
  <c r="DB96" i="4" a="1"/>
  <c r="DB96" i="4" s="1"/>
  <c r="DA96" i="4" a="1"/>
  <c r="DA96" i="4" s="1"/>
  <c r="GK95" i="4"/>
  <c r="GC95" i="4"/>
  <c r="DX95" i="4"/>
  <c r="DN95" i="4"/>
  <c r="DM95" i="4"/>
  <c r="DL95" i="4"/>
  <c r="DK95" i="4"/>
  <c r="DJ95" i="4" a="1"/>
  <c r="DJ95" i="4" s="1"/>
  <c r="DH95" i="4" a="1"/>
  <c r="DH95" i="4" s="1"/>
  <c r="DG95" i="4" a="1"/>
  <c r="DG95" i="4" s="1"/>
  <c r="DF95" i="4" a="1"/>
  <c r="DF95" i="4" s="1"/>
  <c r="DE95" i="4" a="1"/>
  <c r="DE95" i="4" s="1"/>
  <c r="DD95" i="4" a="1"/>
  <c r="DD95" i="4" s="1"/>
  <c r="DC95" i="4" a="1"/>
  <c r="DC95" i="4" s="1"/>
  <c r="DB95" i="4" a="1"/>
  <c r="DB95" i="4" s="1"/>
  <c r="DA95" i="4" a="1"/>
  <c r="DA95" i="4" s="1"/>
  <c r="GK94" i="4"/>
  <c r="GC94" i="4"/>
  <c r="DN94" i="4"/>
  <c r="DM94" i="4"/>
  <c r="DL94" i="4"/>
  <c r="DK94" i="4"/>
  <c r="DJ94" i="4" a="1"/>
  <c r="DJ94" i="4" s="1"/>
  <c r="DH94" i="4" a="1"/>
  <c r="DH94" i="4" s="1"/>
  <c r="DG94" i="4" a="1"/>
  <c r="DG94" i="4" s="1"/>
  <c r="DF94" i="4" a="1"/>
  <c r="DF94" i="4" s="1"/>
  <c r="DE94" i="4" a="1"/>
  <c r="DE94" i="4" s="1"/>
  <c r="DD94" i="4" a="1"/>
  <c r="DD94" i="4" s="1"/>
  <c r="DC94" i="4" a="1"/>
  <c r="DC94" i="4" s="1"/>
  <c r="DB94" i="4" a="1"/>
  <c r="DB94" i="4" s="1"/>
  <c r="DA94" i="4" a="1"/>
  <c r="DA94" i="4" s="1"/>
  <c r="GK93" i="4"/>
  <c r="GC93" i="4"/>
  <c r="DN93" i="4"/>
  <c r="DM93" i="4"/>
  <c r="DL93" i="4"/>
  <c r="DK93" i="4"/>
  <c r="DJ93" i="4" a="1"/>
  <c r="DJ93" i="4" s="1"/>
  <c r="DH93" i="4" a="1"/>
  <c r="DH93" i="4" s="1"/>
  <c r="DG93" i="4" a="1"/>
  <c r="DG93" i="4" s="1"/>
  <c r="DF93" i="4" a="1"/>
  <c r="DF93" i="4" s="1"/>
  <c r="DE93" i="4" a="1"/>
  <c r="DE93" i="4" s="1"/>
  <c r="DD93" i="4" a="1"/>
  <c r="DD93" i="4" s="1"/>
  <c r="DC93" i="4" a="1"/>
  <c r="DC93" i="4" s="1"/>
  <c r="DB93" i="4" a="1"/>
  <c r="DB93" i="4" s="1"/>
  <c r="DA93" i="4" a="1"/>
  <c r="DA93" i="4" s="1"/>
  <c r="GK92" i="4"/>
  <c r="GC92" i="4"/>
  <c r="EB92" i="4"/>
  <c r="DN92" i="4"/>
  <c r="DM92" i="4"/>
  <c r="DL92" i="4"/>
  <c r="DK92" i="4"/>
  <c r="DJ92" i="4" a="1"/>
  <c r="DJ92" i="4" s="1"/>
  <c r="DH92" i="4" a="1"/>
  <c r="DH92" i="4" s="1"/>
  <c r="DG92" i="4" a="1"/>
  <c r="DG92" i="4" s="1"/>
  <c r="DF92" i="4" a="1"/>
  <c r="DF92" i="4" s="1"/>
  <c r="DE92" i="4" a="1"/>
  <c r="DE92" i="4" s="1"/>
  <c r="DD92" i="4" a="1"/>
  <c r="DD92" i="4" s="1"/>
  <c r="DC92" i="4" a="1"/>
  <c r="DC92" i="4" s="1"/>
  <c r="DA92" i="4" a="1"/>
  <c r="DA92" i="4" s="1"/>
  <c r="GK91" i="4"/>
  <c r="GC91" i="4"/>
  <c r="DV91" i="4"/>
  <c r="DN91" i="4"/>
  <c r="DM91" i="4"/>
  <c r="DL91" i="4"/>
  <c r="DK91" i="4"/>
  <c r="DJ91" i="4" a="1"/>
  <c r="DJ91" i="4" s="1"/>
  <c r="DH91" i="4" a="1"/>
  <c r="DH91" i="4" s="1"/>
  <c r="DG91" i="4" a="1"/>
  <c r="DG91" i="4" s="1"/>
  <c r="DF91" i="4" a="1"/>
  <c r="DF91" i="4" s="1"/>
  <c r="DE91" i="4" a="1"/>
  <c r="DE91" i="4" s="1"/>
  <c r="DD91" i="4" a="1"/>
  <c r="DD91" i="4" s="1"/>
  <c r="DC91" i="4" a="1"/>
  <c r="DC91" i="4" s="1"/>
  <c r="DB91" i="4" a="1"/>
  <c r="DB91" i="4" s="1"/>
  <c r="DA91" i="4" a="1"/>
  <c r="DA91" i="4" s="1"/>
  <c r="GK90" i="4"/>
  <c r="GC90" i="4"/>
  <c r="DN90" i="4"/>
  <c r="DM90" i="4"/>
  <c r="DL90" i="4"/>
  <c r="DK90" i="4"/>
  <c r="DJ90" i="4" a="1"/>
  <c r="DJ90" i="4" s="1"/>
  <c r="DH90" i="4" a="1"/>
  <c r="DH90" i="4" s="1"/>
  <c r="DG90" i="4" a="1"/>
  <c r="DG90" i="4" s="1"/>
  <c r="DF90" i="4" a="1"/>
  <c r="DF90" i="4" s="1"/>
  <c r="DE90" i="4" a="1"/>
  <c r="DE90" i="4" s="1"/>
  <c r="DD90" i="4" a="1"/>
  <c r="DD90" i="4" s="1"/>
  <c r="DC90" i="4" a="1"/>
  <c r="DC90" i="4" s="1"/>
  <c r="DB90" i="4" a="1"/>
  <c r="DB90" i="4" s="1"/>
  <c r="DA90" i="4" a="1"/>
  <c r="DA90" i="4" s="1"/>
  <c r="GK89" i="4"/>
  <c r="GC89" i="4"/>
  <c r="DN89" i="4"/>
  <c r="DM89" i="4"/>
  <c r="DL89" i="4"/>
  <c r="DK89" i="4"/>
  <c r="DJ89" i="4" a="1"/>
  <c r="DJ89" i="4" s="1"/>
  <c r="DH89" i="4" a="1"/>
  <c r="DH89" i="4" s="1"/>
  <c r="DG89" i="4" a="1"/>
  <c r="DG89" i="4" s="1"/>
  <c r="DF89" i="4" a="1"/>
  <c r="DF89" i="4" s="1"/>
  <c r="DE89" i="4" a="1"/>
  <c r="DE89" i="4" s="1"/>
  <c r="DD89" i="4" a="1"/>
  <c r="DD89" i="4" s="1"/>
  <c r="DC89" i="4" a="1"/>
  <c r="DC89" i="4" s="1"/>
  <c r="DB89" i="4" a="1"/>
  <c r="DB89" i="4" s="1"/>
  <c r="DA89" i="4" a="1"/>
  <c r="DA89" i="4" s="1"/>
  <c r="GK88" i="4"/>
  <c r="GC88" i="4"/>
  <c r="DN88" i="4"/>
  <c r="DM88" i="4"/>
  <c r="DL88" i="4"/>
  <c r="DK88" i="4"/>
  <c r="DJ88" i="4" a="1"/>
  <c r="DJ88" i="4" s="1"/>
  <c r="DH88" i="4" a="1"/>
  <c r="DH88" i="4" s="1"/>
  <c r="DG88" i="4" a="1"/>
  <c r="DG88" i="4" s="1"/>
  <c r="DF88" i="4" a="1"/>
  <c r="DF88" i="4" s="1"/>
  <c r="DE88" i="4" a="1"/>
  <c r="DE88" i="4" s="1"/>
  <c r="DD88" i="4" a="1"/>
  <c r="DD88" i="4" s="1"/>
  <c r="DC88" i="4" a="1"/>
  <c r="DC88" i="4" s="1"/>
  <c r="DB88" i="4" a="1"/>
  <c r="DB88" i="4" s="1"/>
  <c r="DA88" i="4" a="1"/>
  <c r="DA88" i="4" s="1"/>
  <c r="GK87" i="4"/>
  <c r="GC87" i="4"/>
  <c r="DQ87" i="4"/>
  <c r="DN87" i="4"/>
  <c r="DM87" i="4"/>
  <c r="DL87" i="4"/>
  <c r="DK87" i="4"/>
  <c r="DJ87" i="4" a="1"/>
  <c r="DJ87" i="4" s="1"/>
  <c r="DH87" i="4" a="1"/>
  <c r="DH87" i="4" s="1"/>
  <c r="DG87" i="4" a="1"/>
  <c r="DG87" i="4" s="1"/>
  <c r="DF87" i="4" a="1"/>
  <c r="DF87" i="4" s="1"/>
  <c r="DE87" i="4" a="1"/>
  <c r="DE87" i="4" s="1"/>
  <c r="DD87" i="4" a="1"/>
  <c r="DD87" i="4" s="1"/>
  <c r="DC87" i="4" a="1"/>
  <c r="DC87" i="4" s="1"/>
  <c r="DB87" i="4" a="1"/>
  <c r="DB87" i="4" s="1"/>
  <c r="DA87" i="4" a="1"/>
  <c r="DA87" i="4" s="1"/>
  <c r="GK86" i="4"/>
  <c r="GC86" i="4"/>
  <c r="DN86" i="4"/>
  <c r="DM86" i="4"/>
  <c r="DL86" i="4"/>
  <c r="DK86" i="4"/>
  <c r="DJ86" i="4" a="1"/>
  <c r="DJ86" i="4" s="1"/>
  <c r="DH86" i="4" a="1"/>
  <c r="DH86" i="4" s="1"/>
  <c r="DG86" i="4" a="1"/>
  <c r="DG86" i="4" s="1"/>
  <c r="DF86" i="4" a="1"/>
  <c r="DF86" i="4" s="1"/>
  <c r="DE86" i="4" a="1"/>
  <c r="DE86" i="4" s="1"/>
  <c r="DD86" i="4" a="1"/>
  <c r="DD86" i="4" s="1"/>
  <c r="DC86" i="4" a="1"/>
  <c r="DC86" i="4" s="1"/>
  <c r="DB86" i="4" a="1"/>
  <c r="DB86" i="4" s="1"/>
  <c r="DA86" i="4" a="1"/>
  <c r="DA86" i="4" s="1"/>
  <c r="GK85" i="4"/>
  <c r="GC85" i="4"/>
  <c r="DN85" i="4"/>
  <c r="DM85" i="4"/>
  <c r="DL85" i="4"/>
  <c r="DK85" i="4"/>
  <c r="DJ85" i="4" a="1"/>
  <c r="DJ85" i="4" s="1"/>
  <c r="DH85" i="4" a="1"/>
  <c r="DH85" i="4" s="1"/>
  <c r="DG85" i="4" a="1"/>
  <c r="DG85" i="4" s="1"/>
  <c r="DF85" i="4" a="1"/>
  <c r="DF85" i="4" s="1"/>
  <c r="DE85" i="4" a="1"/>
  <c r="DE85" i="4" s="1"/>
  <c r="DD85" i="4" a="1"/>
  <c r="DD85" i="4" s="1"/>
  <c r="DC85" i="4" a="1"/>
  <c r="DC85" i="4" s="1"/>
  <c r="DA85" i="4" a="1"/>
  <c r="DA85" i="4" s="1"/>
  <c r="GK84" i="4"/>
  <c r="GC84" i="4"/>
  <c r="DN84" i="4"/>
  <c r="DM84" i="4"/>
  <c r="DL84" i="4"/>
  <c r="DK84" i="4"/>
  <c r="DJ84" i="4" a="1"/>
  <c r="DJ84" i="4" s="1"/>
  <c r="DH84" i="4" a="1"/>
  <c r="DH84" i="4" s="1"/>
  <c r="DG84" i="4" a="1"/>
  <c r="DG84" i="4" s="1"/>
  <c r="DF84" i="4" a="1"/>
  <c r="DF84" i="4" s="1"/>
  <c r="DE84" i="4" a="1"/>
  <c r="DE84" i="4" s="1"/>
  <c r="DD84" i="4" a="1"/>
  <c r="DD84" i="4" s="1"/>
  <c r="DC84" i="4" a="1"/>
  <c r="DC84" i="4" s="1"/>
  <c r="DB84" i="4" a="1"/>
  <c r="DB84" i="4" s="1"/>
  <c r="DA84" i="4" a="1"/>
  <c r="DA84" i="4" s="1"/>
  <c r="GK83" i="4"/>
  <c r="GC83" i="4"/>
  <c r="DN83" i="4"/>
  <c r="DM83" i="4"/>
  <c r="DL83" i="4"/>
  <c r="DK83" i="4"/>
  <c r="DJ83" i="4" a="1"/>
  <c r="DJ83" i="4" s="1"/>
  <c r="DH83" i="4" a="1"/>
  <c r="DH83" i="4" s="1"/>
  <c r="DG83" i="4" a="1"/>
  <c r="DG83" i="4" s="1"/>
  <c r="DF83" i="4" a="1"/>
  <c r="DF83" i="4" s="1"/>
  <c r="DE83" i="4" a="1"/>
  <c r="DE83" i="4" s="1"/>
  <c r="DD83" i="4" a="1"/>
  <c r="DD83" i="4" s="1"/>
  <c r="DC83" i="4" a="1"/>
  <c r="DC83" i="4" s="1"/>
  <c r="DB83" i="4"/>
  <c r="DA83" i="4" a="1"/>
  <c r="DA83" i="4" s="1"/>
  <c r="GK82" i="4"/>
  <c r="GC82" i="4"/>
  <c r="DN82" i="4"/>
  <c r="DM82" i="4"/>
  <c r="DL82" i="4"/>
  <c r="DK82" i="4"/>
  <c r="DJ82" i="4" a="1"/>
  <c r="DJ82" i="4" s="1"/>
  <c r="DH82" i="4" a="1"/>
  <c r="DH82" i="4" s="1"/>
  <c r="DG82" i="4" a="1"/>
  <c r="DG82" i="4" s="1"/>
  <c r="DF82" i="4" a="1"/>
  <c r="DF82" i="4" s="1"/>
  <c r="DE82" i="4" a="1"/>
  <c r="DE82" i="4" s="1"/>
  <c r="DD82" i="4" a="1"/>
  <c r="DD82" i="4" s="1"/>
  <c r="DC82" i="4" a="1"/>
  <c r="DC82" i="4" s="1"/>
  <c r="DA82" i="4" a="1"/>
  <c r="DA82" i="4" s="1"/>
  <c r="GK81" i="4"/>
  <c r="GC81" i="4"/>
  <c r="DN81" i="4"/>
  <c r="DM81" i="4"/>
  <c r="DL81" i="4"/>
  <c r="DK81" i="4"/>
  <c r="DJ81" i="4" a="1"/>
  <c r="DJ81" i="4" s="1"/>
  <c r="DH81" i="4" a="1"/>
  <c r="DH81" i="4" s="1"/>
  <c r="DG81" i="4" a="1"/>
  <c r="DG81" i="4" s="1"/>
  <c r="DF81" i="4" a="1"/>
  <c r="DF81" i="4" s="1"/>
  <c r="DE81" i="4" a="1"/>
  <c r="DE81" i="4" s="1"/>
  <c r="DD81" i="4" a="1"/>
  <c r="DD81" i="4" s="1"/>
  <c r="DC81" i="4" a="1"/>
  <c r="DC81" i="4" s="1"/>
  <c r="DB81" i="4" a="1"/>
  <c r="DB81" i="4" s="1"/>
  <c r="DA81" i="4" a="1"/>
  <c r="DA81" i="4" s="1"/>
  <c r="GK80" i="4"/>
  <c r="GC80" i="4"/>
  <c r="DN80" i="4"/>
  <c r="DM80" i="4"/>
  <c r="DL80" i="4"/>
  <c r="DK80" i="4"/>
  <c r="DJ80" i="4" a="1"/>
  <c r="DJ80" i="4" s="1"/>
  <c r="DH80" i="4" a="1"/>
  <c r="DH80" i="4" s="1"/>
  <c r="DG80" i="4" a="1"/>
  <c r="DG80" i="4" s="1"/>
  <c r="DF80" i="4" a="1"/>
  <c r="DF80" i="4" s="1"/>
  <c r="DE80" i="4" a="1"/>
  <c r="DE80" i="4" s="1"/>
  <c r="DD80" i="4" a="1"/>
  <c r="DD80" i="4" s="1"/>
  <c r="DC80" i="4" a="1"/>
  <c r="DC80" i="4" s="1"/>
  <c r="DB80" i="4" a="1"/>
  <c r="DB80" i="4" s="1"/>
  <c r="DA80" i="4" a="1"/>
  <c r="DA80" i="4" s="1"/>
  <c r="GK79" i="4"/>
  <c r="GC79" i="4"/>
  <c r="DN79" i="4"/>
  <c r="DM79" i="4"/>
  <c r="DL79" i="4"/>
  <c r="DK79" i="4"/>
  <c r="DJ79" i="4" a="1"/>
  <c r="DJ79" i="4" s="1"/>
  <c r="DH79" i="4" a="1"/>
  <c r="DH79" i="4" s="1"/>
  <c r="DG79" i="4" a="1"/>
  <c r="DG79" i="4" s="1"/>
  <c r="DF79" i="4" a="1"/>
  <c r="DF79" i="4" s="1"/>
  <c r="DE79" i="4" a="1"/>
  <c r="DE79" i="4" s="1"/>
  <c r="DD79" i="4" a="1"/>
  <c r="DD79" i="4" s="1"/>
  <c r="DC79" i="4" a="1"/>
  <c r="DC79" i="4" s="1"/>
  <c r="DA79" i="4" a="1"/>
  <c r="DA79" i="4" s="1"/>
  <c r="GK78" i="4"/>
  <c r="GC78" i="4"/>
  <c r="DN78" i="4"/>
  <c r="DM78" i="4"/>
  <c r="DL78" i="4"/>
  <c r="DK78" i="4"/>
  <c r="DJ78" i="4" a="1"/>
  <c r="DJ78" i="4" s="1"/>
  <c r="DH78" i="4" a="1"/>
  <c r="DH78" i="4" s="1"/>
  <c r="DG78" i="4" a="1"/>
  <c r="DG78" i="4" s="1"/>
  <c r="DF78" i="4" a="1"/>
  <c r="DF78" i="4" s="1"/>
  <c r="DE78" i="4" a="1"/>
  <c r="DE78" i="4" s="1"/>
  <c r="DD78" i="4" a="1"/>
  <c r="DD78" i="4" s="1"/>
  <c r="DC78" i="4" a="1"/>
  <c r="DC78" i="4" s="1"/>
  <c r="DB78" i="4" a="1"/>
  <c r="DB78" i="4" s="1"/>
  <c r="DA78" i="4" a="1"/>
  <c r="DA78" i="4" s="1"/>
  <c r="GK77" i="4"/>
  <c r="GC77" i="4"/>
  <c r="DN77" i="4"/>
  <c r="DM77" i="4"/>
  <c r="DL77" i="4"/>
  <c r="DK77" i="4"/>
  <c r="DJ77" i="4" a="1"/>
  <c r="DJ77" i="4" s="1"/>
  <c r="DH77" i="4" a="1"/>
  <c r="DH77" i="4" s="1"/>
  <c r="DG77" i="4" a="1"/>
  <c r="DG77" i="4" s="1"/>
  <c r="DE77" i="4" a="1"/>
  <c r="DE77" i="4" s="1"/>
  <c r="DD77" i="4" a="1"/>
  <c r="DD77" i="4" s="1"/>
  <c r="DC77" i="4" a="1"/>
  <c r="DC77" i="4" s="1"/>
  <c r="DB77" i="4" a="1"/>
  <c r="DB77" i="4" s="1"/>
  <c r="DA77" i="4" a="1"/>
  <c r="DA77" i="4" s="1"/>
  <c r="GK76" i="4"/>
  <c r="GC76" i="4"/>
  <c r="DN76" i="4"/>
  <c r="DM76" i="4"/>
  <c r="DL76" i="4"/>
  <c r="DK76" i="4"/>
  <c r="DJ76" i="4" a="1"/>
  <c r="DJ76" i="4" s="1"/>
  <c r="DH76" i="4" a="1"/>
  <c r="DH76" i="4" s="1"/>
  <c r="DG76" i="4" a="1"/>
  <c r="DG76" i="4" s="1"/>
  <c r="DF76" i="4" a="1"/>
  <c r="DF76" i="4" s="1"/>
  <c r="DE76" i="4" a="1"/>
  <c r="DE76" i="4" s="1"/>
  <c r="DD76" i="4" a="1"/>
  <c r="DD76" i="4" s="1"/>
  <c r="DC76" i="4" a="1"/>
  <c r="DC76" i="4" s="1"/>
  <c r="DB76" i="4" a="1"/>
  <c r="DB76" i="4" s="1"/>
  <c r="DA76" i="4" a="1"/>
  <c r="DA76" i="4" s="1"/>
  <c r="GK75" i="4"/>
  <c r="GC75" i="4"/>
  <c r="DN75" i="4"/>
  <c r="DM75" i="4"/>
  <c r="DL75" i="4"/>
  <c r="DK75" i="4"/>
  <c r="DJ75" i="4" a="1"/>
  <c r="DJ75" i="4" s="1"/>
  <c r="DH75" i="4" a="1"/>
  <c r="DH75" i="4" s="1"/>
  <c r="DG75" i="4" a="1"/>
  <c r="DG75" i="4" s="1"/>
  <c r="DE75" i="4" a="1"/>
  <c r="DE75" i="4" s="1"/>
  <c r="DD75" i="4" a="1"/>
  <c r="DD75" i="4" s="1"/>
  <c r="DC75" i="4" a="1"/>
  <c r="DC75" i="4" s="1"/>
  <c r="DB75" i="4" a="1"/>
  <c r="DB75" i="4" s="1"/>
  <c r="DA75" i="4" a="1"/>
  <c r="DA75" i="4" s="1"/>
  <c r="GK74" i="4"/>
  <c r="GC74" i="4"/>
  <c r="DN74" i="4"/>
  <c r="DM74" i="4"/>
  <c r="DL74" i="4"/>
  <c r="DK74" i="4"/>
  <c r="DJ74" i="4" a="1"/>
  <c r="DJ74" i="4" s="1"/>
  <c r="DH74" i="4" a="1"/>
  <c r="DH74" i="4" s="1"/>
  <c r="DG74" i="4" a="1"/>
  <c r="DG74" i="4" s="1"/>
  <c r="DF74" i="4" a="1"/>
  <c r="DF74" i="4" s="1"/>
  <c r="DE74" i="4" a="1"/>
  <c r="DE74" i="4" s="1"/>
  <c r="DD74" i="4" a="1"/>
  <c r="DD74" i="4" s="1"/>
  <c r="DC74" i="4" a="1"/>
  <c r="DC74" i="4" s="1"/>
  <c r="DB74" i="4" a="1"/>
  <c r="DB74" i="4" s="1"/>
  <c r="GK73" i="4"/>
  <c r="GC73" i="4"/>
  <c r="DN73" i="4"/>
  <c r="DM73" i="4"/>
  <c r="DL73" i="4"/>
  <c r="DK73" i="4"/>
  <c r="DJ73" i="4" a="1"/>
  <c r="DJ73" i="4" s="1"/>
  <c r="DH73" i="4" a="1"/>
  <c r="DH73" i="4" s="1"/>
  <c r="DG73" i="4" a="1"/>
  <c r="DG73" i="4" s="1"/>
  <c r="DF73" i="4" a="1"/>
  <c r="DF73" i="4" s="1"/>
  <c r="DE73" i="4" a="1"/>
  <c r="DE73" i="4" s="1"/>
  <c r="DD73" i="4" a="1"/>
  <c r="DD73" i="4" s="1"/>
  <c r="DC73" i="4" a="1"/>
  <c r="DC73" i="4" s="1"/>
  <c r="DA73" i="4" a="1"/>
  <c r="DA73" i="4" s="1"/>
  <c r="GK72" i="4"/>
  <c r="GC72" i="4"/>
  <c r="DN72" i="4"/>
  <c r="DM72" i="4"/>
  <c r="DL72" i="4"/>
  <c r="DK72" i="4"/>
  <c r="DJ72" i="4" a="1"/>
  <c r="DJ72" i="4" s="1"/>
  <c r="DH72" i="4" a="1"/>
  <c r="DH72" i="4" s="1"/>
  <c r="DG72" i="4" a="1"/>
  <c r="DG72" i="4" s="1"/>
  <c r="DF72" i="4" a="1"/>
  <c r="DF72" i="4" s="1"/>
  <c r="DE72" i="4" a="1"/>
  <c r="DE72" i="4" s="1"/>
  <c r="DD72" i="4" a="1"/>
  <c r="DD72" i="4" s="1"/>
  <c r="DC72" i="4" a="1"/>
  <c r="DC72" i="4" s="1"/>
  <c r="DB72" i="4" a="1"/>
  <c r="DB72" i="4" s="1"/>
  <c r="DA72" i="4" a="1"/>
  <c r="DA72" i="4" s="1"/>
  <c r="GK71" i="4"/>
  <c r="GC71" i="4"/>
  <c r="DN71" i="4"/>
  <c r="DM71" i="4"/>
  <c r="DL71" i="4"/>
  <c r="DK71" i="4"/>
  <c r="DJ71" i="4" a="1"/>
  <c r="DJ71" i="4" s="1"/>
  <c r="DH71" i="4" a="1"/>
  <c r="DH71" i="4" s="1"/>
  <c r="DG71" i="4" a="1"/>
  <c r="DG71" i="4" s="1"/>
  <c r="DE71" i="4" a="1"/>
  <c r="DE71" i="4" s="1"/>
  <c r="DD71" i="4" a="1"/>
  <c r="DD71" i="4" s="1"/>
  <c r="DC71" i="4" a="1"/>
  <c r="DC71" i="4" s="1"/>
  <c r="DB71" i="4" a="1"/>
  <c r="DB71" i="4" s="1"/>
  <c r="DA71" i="4" a="1"/>
  <c r="DA71" i="4" s="1"/>
  <c r="GK70" i="4"/>
  <c r="GC70" i="4"/>
  <c r="DN70" i="4"/>
  <c r="DM70" i="4"/>
  <c r="DL70" i="4"/>
  <c r="DK70" i="4"/>
  <c r="DJ70" i="4" a="1"/>
  <c r="DJ70" i="4" s="1"/>
  <c r="DH70" i="4" a="1"/>
  <c r="DH70" i="4" s="1"/>
  <c r="DG70" i="4" a="1"/>
  <c r="DG70" i="4" s="1"/>
  <c r="DF70" i="4" a="1"/>
  <c r="DF70" i="4" s="1"/>
  <c r="DE70" i="4" a="1"/>
  <c r="DE70" i="4" s="1"/>
  <c r="DD70" i="4" a="1"/>
  <c r="DD70" i="4" s="1"/>
  <c r="DC70" i="4" a="1"/>
  <c r="DC70" i="4" s="1"/>
  <c r="DB70" i="4" a="1"/>
  <c r="DB70" i="4" s="1"/>
  <c r="DA70" i="4" a="1"/>
  <c r="DA70" i="4" s="1"/>
  <c r="GK69" i="4"/>
  <c r="GC69" i="4"/>
  <c r="DN69" i="4"/>
  <c r="DM69" i="4"/>
  <c r="DL69" i="4"/>
  <c r="DK69" i="4"/>
  <c r="DJ69" i="4" a="1"/>
  <c r="DJ69" i="4" s="1"/>
  <c r="DH69" i="4" a="1"/>
  <c r="DH69" i="4" s="1"/>
  <c r="DG69" i="4" a="1"/>
  <c r="DG69" i="4" s="1"/>
  <c r="DE69" i="4" a="1"/>
  <c r="DE69" i="4" s="1"/>
  <c r="DD69" i="4" a="1"/>
  <c r="DD69" i="4" s="1"/>
  <c r="DC69" i="4" a="1"/>
  <c r="DC69" i="4" s="1"/>
  <c r="DB69" i="4" a="1"/>
  <c r="DB69" i="4" s="1"/>
  <c r="DA69" i="4" a="1"/>
  <c r="DA69" i="4" s="1"/>
  <c r="GK68" i="4"/>
  <c r="GC68" i="4"/>
  <c r="DN68" i="4"/>
  <c r="DM68" i="4"/>
  <c r="DL68" i="4"/>
  <c r="DK68" i="4"/>
  <c r="DJ68" i="4" a="1"/>
  <c r="DJ68" i="4" s="1"/>
  <c r="DH68" i="4" a="1"/>
  <c r="DH68" i="4" s="1"/>
  <c r="DG68" i="4" a="1"/>
  <c r="DG68" i="4" s="1"/>
  <c r="DF68" i="4" a="1"/>
  <c r="DF68" i="4" s="1"/>
  <c r="DE68" i="4" a="1"/>
  <c r="DE68" i="4" s="1"/>
  <c r="DD68" i="4" a="1"/>
  <c r="DD68" i="4" s="1"/>
  <c r="DC68" i="4" a="1"/>
  <c r="DC68" i="4" s="1"/>
  <c r="DB68" i="4" a="1"/>
  <c r="DB68" i="4" s="1"/>
  <c r="DA68" i="4" a="1"/>
  <c r="DA68" i="4" s="1"/>
  <c r="GK67" i="4"/>
  <c r="GC67" i="4"/>
  <c r="DN67" i="4"/>
  <c r="DM67" i="4"/>
  <c r="DL67" i="4"/>
  <c r="DK67" i="4"/>
  <c r="DJ67" i="4" a="1"/>
  <c r="DJ67" i="4" s="1"/>
  <c r="DH67" i="4" a="1"/>
  <c r="DH67" i="4" s="1"/>
  <c r="DG67" i="4" a="1"/>
  <c r="DG67" i="4" s="1"/>
  <c r="DF67" i="4" a="1"/>
  <c r="DF67" i="4" s="1"/>
  <c r="DE67" i="4" a="1"/>
  <c r="DE67" i="4" s="1"/>
  <c r="DD67" i="4" a="1"/>
  <c r="DD67" i="4" s="1"/>
  <c r="DC67" i="4" a="1"/>
  <c r="DC67" i="4" s="1"/>
  <c r="DB67" i="4" a="1"/>
  <c r="DB67" i="4" s="1"/>
  <c r="DA67" i="4" a="1"/>
  <c r="DA67" i="4" s="1"/>
  <c r="GK66" i="4"/>
  <c r="GC66" i="4"/>
  <c r="DN66" i="4"/>
  <c r="DM66" i="4"/>
  <c r="DL66" i="4"/>
  <c r="DK66" i="4"/>
  <c r="DJ66" i="4" a="1"/>
  <c r="DJ66" i="4" s="1"/>
  <c r="DH66" i="4" a="1"/>
  <c r="DH66" i="4" s="1"/>
  <c r="DG66" i="4" a="1"/>
  <c r="DG66" i="4" s="1"/>
  <c r="DF66" i="4" a="1"/>
  <c r="DF66" i="4" s="1"/>
  <c r="DE66" i="4" a="1"/>
  <c r="DE66" i="4" s="1"/>
  <c r="DD66" i="4" a="1"/>
  <c r="DD66" i="4" s="1"/>
  <c r="DC66" i="4" a="1"/>
  <c r="DC66" i="4" s="1"/>
  <c r="DB66" i="4" a="1"/>
  <c r="DB66" i="4" s="1"/>
  <c r="DA66" i="4" a="1"/>
  <c r="DA66" i="4" s="1"/>
  <c r="GK65" i="4"/>
  <c r="GC65" i="4"/>
  <c r="DN65" i="4"/>
  <c r="DM65" i="4"/>
  <c r="DL65" i="4"/>
  <c r="DK65" i="4"/>
  <c r="DJ65" i="4" a="1"/>
  <c r="DJ65" i="4" s="1"/>
  <c r="DH65" i="4" a="1"/>
  <c r="DH65" i="4" s="1"/>
  <c r="DG65" i="4" a="1"/>
  <c r="DG65" i="4" s="1"/>
  <c r="DF65" i="4" a="1"/>
  <c r="DF65" i="4" s="1"/>
  <c r="DE65" i="4" a="1"/>
  <c r="DE65" i="4" s="1"/>
  <c r="DD65" i="4" a="1"/>
  <c r="DD65" i="4" s="1"/>
  <c r="DC65" i="4" a="1"/>
  <c r="DC65" i="4" s="1"/>
  <c r="DB65" i="4" a="1"/>
  <c r="DB65" i="4" s="1"/>
  <c r="DA65" i="4" a="1"/>
  <c r="DA65" i="4" s="1"/>
  <c r="GK64" i="4"/>
  <c r="GC64" i="4"/>
  <c r="DT64" i="4"/>
  <c r="DN64" i="4"/>
  <c r="DM64" i="4"/>
  <c r="DL64" i="4"/>
  <c r="DK64" i="4"/>
  <c r="DJ64" i="4" a="1"/>
  <c r="DJ64" i="4" s="1"/>
  <c r="DH64" i="4" a="1"/>
  <c r="DH64" i="4" s="1"/>
  <c r="DG64" i="4" a="1"/>
  <c r="DG64" i="4" s="1"/>
  <c r="DE64" i="4" a="1"/>
  <c r="DE64" i="4" s="1"/>
  <c r="DD64" i="4" a="1"/>
  <c r="DD64" i="4" s="1"/>
  <c r="DC64" i="4" a="1"/>
  <c r="DC64" i="4" s="1"/>
  <c r="DB64" i="4" a="1"/>
  <c r="DB64" i="4" s="1"/>
  <c r="DA64" i="4" a="1"/>
  <c r="DA64" i="4" s="1"/>
  <c r="GK63" i="4"/>
  <c r="GC63" i="4"/>
  <c r="DN63" i="4"/>
  <c r="DM63" i="4"/>
  <c r="DL63" i="4"/>
  <c r="DK63" i="4"/>
  <c r="DJ63" i="4" a="1"/>
  <c r="DJ63" i="4" s="1"/>
  <c r="DH63" i="4" a="1"/>
  <c r="DH63" i="4" s="1"/>
  <c r="DG63" i="4" a="1"/>
  <c r="DG63" i="4" s="1"/>
  <c r="DF63" i="4" a="1"/>
  <c r="DF63" i="4" s="1"/>
  <c r="DE63" i="4" a="1"/>
  <c r="DE63" i="4" s="1"/>
  <c r="DD63" i="4" a="1"/>
  <c r="DD63" i="4" s="1"/>
  <c r="DC63" i="4" a="1"/>
  <c r="DC63" i="4" s="1"/>
  <c r="DB63" i="4" a="1"/>
  <c r="DB63" i="4" s="1"/>
  <c r="DA63" i="4" a="1"/>
  <c r="DA63" i="4" s="1"/>
  <c r="GK62" i="4"/>
  <c r="GC62" i="4"/>
  <c r="DP62" i="4"/>
  <c r="DN62" i="4"/>
  <c r="DM62" i="4"/>
  <c r="DL62" i="4"/>
  <c r="DK62" i="4"/>
  <c r="DJ62" i="4" a="1"/>
  <c r="DJ62" i="4" s="1"/>
  <c r="DH62" i="4" a="1"/>
  <c r="DH62" i="4" s="1"/>
  <c r="DG62" i="4" a="1"/>
  <c r="DG62" i="4" s="1"/>
  <c r="DF62" i="4" a="1"/>
  <c r="DF62" i="4" s="1"/>
  <c r="DE62" i="4" a="1"/>
  <c r="DE62" i="4" s="1"/>
  <c r="DD62" i="4" a="1"/>
  <c r="DD62" i="4" s="1"/>
  <c r="DC62" i="4" a="1"/>
  <c r="DC62" i="4" s="1"/>
  <c r="DB62" i="4" a="1"/>
  <c r="DB62" i="4" s="1"/>
  <c r="DA62" i="4" a="1"/>
  <c r="DA62" i="4" s="1"/>
  <c r="DN61" i="4"/>
  <c r="DM61" i="4"/>
  <c r="DL61" i="4"/>
  <c r="DK61" i="4"/>
  <c r="DJ61" i="4" a="1"/>
  <c r="DJ61" i="4" s="1"/>
  <c r="DH61" i="4" a="1"/>
  <c r="DH61" i="4" s="1"/>
  <c r="DG61" i="4" a="1"/>
  <c r="DG61" i="4" s="1"/>
  <c r="DF61" i="4" a="1"/>
  <c r="DF61" i="4" s="1"/>
  <c r="DE61" i="4" a="1"/>
  <c r="DE61" i="4" s="1"/>
  <c r="DD61" i="4" a="1"/>
  <c r="DD61" i="4" s="1"/>
  <c r="DC61" i="4" a="1"/>
  <c r="DC61" i="4" s="1"/>
  <c r="DB61" i="4" a="1"/>
  <c r="DB61" i="4" s="1"/>
  <c r="DA61" i="4" a="1"/>
  <c r="DA61" i="4" s="1"/>
  <c r="GK60" i="4"/>
  <c r="GC60" i="4"/>
  <c r="EB60" i="4"/>
  <c r="DN60" i="4"/>
  <c r="DM60" i="4"/>
  <c r="DL60" i="4"/>
  <c r="DK60" i="4"/>
  <c r="DJ60" i="4" a="1"/>
  <c r="DJ60" i="4" s="1"/>
  <c r="DH60" i="4" a="1"/>
  <c r="DH60" i="4" s="1"/>
  <c r="DG60" i="4" a="1"/>
  <c r="DG60" i="4" s="1"/>
  <c r="DF60" i="4" a="1"/>
  <c r="DF60" i="4" s="1"/>
  <c r="DE60" i="4" a="1"/>
  <c r="DE60" i="4" s="1"/>
  <c r="DD60" i="4" a="1"/>
  <c r="DD60" i="4" s="1"/>
  <c r="DC60" i="4" a="1"/>
  <c r="DC60" i="4" s="1"/>
  <c r="DA60" i="4" a="1"/>
  <c r="DA60" i="4" s="1"/>
  <c r="GK59" i="4"/>
  <c r="GC59" i="4"/>
  <c r="DN59" i="4"/>
  <c r="DM59" i="4"/>
  <c r="DL59" i="4"/>
  <c r="DK59" i="4"/>
  <c r="DJ59" i="4" a="1"/>
  <c r="DJ59" i="4" s="1"/>
  <c r="DH59" i="4" a="1"/>
  <c r="DH59" i="4" s="1"/>
  <c r="DG59" i="4" a="1"/>
  <c r="DG59" i="4" s="1"/>
  <c r="DF59" i="4" a="1"/>
  <c r="DF59" i="4" s="1"/>
  <c r="DE59" i="4" a="1"/>
  <c r="DE59" i="4" s="1"/>
  <c r="DD59" i="4" a="1"/>
  <c r="DD59" i="4" s="1"/>
  <c r="DC59" i="4" a="1"/>
  <c r="DC59" i="4" s="1"/>
  <c r="DA59" i="4" a="1"/>
  <c r="DA59" i="4" s="1"/>
  <c r="GK58" i="4"/>
  <c r="GC58" i="4"/>
  <c r="DR58" i="4"/>
  <c r="DN58" i="4"/>
  <c r="DM58" i="4"/>
  <c r="DL58" i="4"/>
  <c r="DK58" i="4"/>
  <c r="DJ58" i="4" a="1"/>
  <c r="DJ58" i="4" s="1"/>
  <c r="DH58" i="4" a="1"/>
  <c r="DH58" i="4" s="1"/>
  <c r="DG58" i="4" a="1"/>
  <c r="DG58" i="4" s="1"/>
  <c r="DF58" i="4" a="1"/>
  <c r="DF58" i="4" s="1"/>
  <c r="DE58" i="4" a="1"/>
  <c r="DE58" i="4" s="1"/>
  <c r="DD58" i="4" a="1"/>
  <c r="DD58" i="4" s="1"/>
  <c r="DC58" i="4" a="1"/>
  <c r="DC58" i="4" s="1"/>
  <c r="DB58" i="4" a="1"/>
  <c r="DB58" i="4" s="1"/>
  <c r="DA58" i="4" a="1"/>
  <c r="DA58" i="4" s="1"/>
  <c r="GK57" i="4"/>
  <c r="GC57" i="4"/>
  <c r="DN57" i="4"/>
  <c r="DM57" i="4"/>
  <c r="DL57" i="4"/>
  <c r="DK57" i="4"/>
  <c r="DJ57" i="4" a="1"/>
  <c r="DJ57" i="4" s="1"/>
  <c r="DH57" i="4" a="1"/>
  <c r="DH57" i="4" s="1"/>
  <c r="DG57" i="4" a="1"/>
  <c r="DG57" i="4" s="1"/>
  <c r="DF57" i="4" a="1"/>
  <c r="DF57" i="4" s="1"/>
  <c r="DE57" i="4" a="1"/>
  <c r="DE57" i="4" s="1"/>
  <c r="DD57" i="4" a="1"/>
  <c r="DD57" i="4" s="1"/>
  <c r="DC57" i="4" a="1"/>
  <c r="DC57" i="4" s="1"/>
  <c r="DB57" i="4" a="1"/>
  <c r="DB57" i="4" s="1"/>
  <c r="DA57" i="4" a="1"/>
  <c r="DA57" i="4" s="1"/>
  <c r="GK56" i="4"/>
  <c r="GC56" i="4"/>
  <c r="DN56" i="4"/>
  <c r="DM56" i="4"/>
  <c r="DL56" i="4"/>
  <c r="DK56" i="4"/>
  <c r="DJ56" i="4" a="1"/>
  <c r="DJ56" i="4" s="1"/>
  <c r="DH56" i="4" a="1"/>
  <c r="DH56" i="4" s="1"/>
  <c r="DG56" i="4" a="1"/>
  <c r="DG56" i="4" s="1"/>
  <c r="DF56" i="4" a="1"/>
  <c r="DF56" i="4" s="1"/>
  <c r="DE56" i="4" a="1"/>
  <c r="DE56" i="4" s="1"/>
  <c r="DD56" i="4" a="1"/>
  <c r="DD56" i="4" s="1"/>
  <c r="DC56" i="4" a="1"/>
  <c r="DC56" i="4" s="1"/>
  <c r="DB56" i="4" a="1"/>
  <c r="DB56" i="4" s="1"/>
  <c r="DA56" i="4" a="1"/>
  <c r="DA56" i="4" s="1"/>
  <c r="GK55" i="4"/>
  <c r="GC55" i="4"/>
  <c r="DN55" i="4"/>
  <c r="DM55" i="4"/>
  <c r="DL55" i="4"/>
  <c r="DK55" i="4"/>
  <c r="DJ55" i="4" a="1"/>
  <c r="DJ55" i="4" s="1"/>
  <c r="DH55" i="4" a="1"/>
  <c r="DH55" i="4" s="1"/>
  <c r="DG55" i="4" a="1"/>
  <c r="DG55" i="4" s="1"/>
  <c r="DF55" i="4" a="1"/>
  <c r="DF55" i="4" s="1"/>
  <c r="DE55" i="4" a="1"/>
  <c r="DE55" i="4" s="1"/>
  <c r="DD55" i="4" a="1"/>
  <c r="DD55" i="4" s="1"/>
  <c r="DC55" i="4" a="1"/>
  <c r="DC55" i="4" s="1"/>
  <c r="DB55" i="4" a="1"/>
  <c r="DB55" i="4" s="1"/>
  <c r="DA55" i="4" a="1"/>
  <c r="DA55" i="4" s="1"/>
  <c r="GK54" i="4"/>
  <c r="GC54" i="4"/>
  <c r="DR54" i="4"/>
  <c r="DN54" i="4"/>
  <c r="DM54" i="4"/>
  <c r="DL54" i="4"/>
  <c r="DK54" i="4"/>
  <c r="DJ54" i="4" a="1"/>
  <c r="DJ54" i="4" s="1"/>
  <c r="DH54" i="4" a="1"/>
  <c r="DH54" i="4" s="1"/>
  <c r="DG54" i="4" a="1"/>
  <c r="DG54" i="4" s="1"/>
  <c r="DF54" i="4" a="1"/>
  <c r="DF54" i="4" s="1"/>
  <c r="DE54" i="4" a="1"/>
  <c r="DE54" i="4" s="1"/>
  <c r="DD54" i="4" a="1"/>
  <c r="DD54" i="4" s="1"/>
  <c r="DC54" i="4" a="1"/>
  <c r="DC54" i="4" s="1"/>
  <c r="DB54" i="4" a="1"/>
  <c r="DB54" i="4" s="1"/>
  <c r="DA54" i="4" a="1"/>
  <c r="DA54" i="4" s="1"/>
  <c r="GK53" i="4"/>
  <c r="GC53" i="4"/>
  <c r="DN53" i="4"/>
  <c r="DM53" i="4"/>
  <c r="DL53" i="4"/>
  <c r="DK53" i="4"/>
  <c r="DJ53" i="4" a="1"/>
  <c r="DJ53" i="4" s="1"/>
  <c r="DH53" i="4" a="1"/>
  <c r="DH53" i="4" s="1"/>
  <c r="DG53" i="4" a="1"/>
  <c r="DG53" i="4" s="1"/>
  <c r="DF53" i="4" a="1"/>
  <c r="DF53" i="4" s="1"/>
  <c r="DE53" i="4" a="1"/>
  <c r="DE53" i="4" s="1"/>
  <c r="DD53" i="4" a="1"/>
  <c r="DD53" i="4" s="1"/>
  <c r="DC53" i="4" a="1"/>
  <c r="DC53" i="4" s="1"/>
  <c r="DB53" i="4" a="1"/>
  <c r="DB53" i="4" s="1"/>
  <c r="DA53" i="4" a="1"/>
  <c r="DA53" i="4" s="1"/>
  <c r="GK52" i="4"/>
  <c r="GC52" i="4"/>
  <c r="DN52" i="4"/>
  <c r="DM52" i="4"/>
  <c r="DL52" i="4"/>
  <c r="DK52" i="4"/>
  <c r="DJ52" i="4" a="1"/>
  <c r="DJ52" i="4" s="1"/>
  <c r="DH52" i="4" a="1"/>
  <c r="DH52" i="4" s="1"/>
  <c r="DG52" i="4" a="1"/>
  <c r="DG52" i="4" s="1"/>
  <c r="DF52" i="4" a="1"/>
  <c r="DF52" i="4" s="1"/>
  <c r="DE52" i="4" a="1"/>
  <c r="DE52" i="4" s="1"/>
  <c r="DD52" i="4" a="1"/>
  <c r="DD52" i="4" s="1"/>
  <c r="DC52" i="4" a="1"/>
  <c r="DC52" i="4" s="1"/>
  <c r="DA52" i="4" a="1"/>
  <c r="DA52" i="4" s="1"/>
  <c r="GK51" i="4"/>
  <c r="GC51" i="4"/>
  <c r="DN51" i="4"/>
  <c r="DM51" i="4"/>
  <c r="DL51" i="4"/>
  <c r="DK51" i="4"/>
  <c r="DJ51" i="4" a="1"/>
  <c r="DJ51" i="4" s="1"/>
  <c r="DH51" i="4" a="1"/>
  <c r="DH51" i="4" s="1"/>
  <c r="DG51" i="4" a="1"/>
  <c r="DG51" i="4" s="1"/>
  <c r="DF51" i="4" a="1"/>
  <c r="DF51" i="4" s="1"/>
  <c r="DE51" i="4" a="1"/>
  <c r="DE51" i="4" s="1"/>
  <c r="DD51" i="4" a="1"/>
  <c r="DD51" i="4" s="1"/>
  <c r="DC51" i="4" a="1"/>
  <c r="DC51" i="4" s="1"/>
  <c r="DB51" i="4" a="1"/>
  <c r="DB51" i="4" s="1"/>
  <c r="DA51" i="4" a="1"/>
  <c r="DA51" i="4" s="1"/>
  <c r="GK50" i="4"/>
  <c r="GG50" i="4"/>
  <c r="GC50" i="4"/>
  <c r="DN50" i="4"/>
  <c r="DM50" i="4"/>
  <c r="DL50" i="4"/>
  <c r="DK50" i="4"/>
  <c r="DJ50" i="4" a="1"/>
  <c r="DJ50" i="4" s="1"/>
  <c r="DH50" i="4" a="1"/>
  <c r="DH50" i="4" s="1"/>
  <c r="DG50" i="4" a="1"/>
  <c r="DG50" i="4" s="1"/>
  <c r="DF50" i="4" a="1"/>
  <c r="DF50" i="4" s="1"/>
  <c r="DE50" i="4" a="1"/>
  <c r="DE50" i="4" s="1"/>
  <c r="DD50" i="4" a="1"/>
  <c r="DD50" i="4" s="1"/>
  <c r="DC50" i="4" a="1"/>
  <c r="DC50" i="4" s="1"/>
  <c r="DB50" i="4" a="1"/>
  <c r="DB50" i="4" s="1"/>
  <c r="DA50" i="4" a="1"/>
  <c r="DA50" i="4" s="1"/>
  <c r="GK49" i="4"/>
  <c r="GC49" i="4"/>
  <c r="DN49" i="4"/>
  <c r="DM49" i="4"/>
  <c r="DL49" i="4"/>
  <c r="DK49" i="4"/>
  <c r="DJ49" i="4" a="1"/>
  <c r="DJ49" i="4" s="1"/>
  <c r="DH49" i="4" a="1"/>
  <c r="DH49" i="4" s="1"/>
  <c r="DG49" i="4" a="1"/>
  <c r="DG49" i="4" s="1"/>
  <c r="DF49" i="4" a="1"/>
  <c r="DF49" i="4" s="1"/>
  <c r="DE49" i="4" a="1"/>
  <c r="DE49" i="4" s="1"/>
  <c r="DD49" i="4" a="1"/>
  <c r="DD49" i="4" s="1"/>
  <c r="DC49" i="4" a="1"/>
  <c r="DC49" i="4" s="1"/>
  <c r="DB49" i="4" a="1"/>
  <c r="DB49" i="4" s="1"/>
  <c r="DA49" i="4" a="1"/>
  <c r="DA49" i="4" s="1"/>
  <c r="GK48" i="4"/>
  <c r="GC48" i="4"/>
  <c r="DN48" i="4"/>
  <c r="DM48" i="4"/>
  <c r="DL48" i="4"/>
  <c r="DK48" i="4"/>
  <c r="DJ48" i="4" a="1"/>
  <c r="DJ48" i="4" s="1"/>
  <c r="DH48" i="4" a="1"/>
  <c r="DH48" i="4" s="1"/>
  <c r="DG48" i="4" a="1"/>
  <c r="DG48" i="4" s="1"/>
  <c r="DF48" i="4" a="1"/>
  <c r="DF48" i="4" s="1"/>
  <c r="DE48" i="4" a="1"/>
  <c r="DE48" i="4" s="1"/>
  <c r="DD48" i="4" a="1"/>
  <c r="DD48" i="4" s="1"/>
  <c r="DC48" i="4" a="1"/>
  <c r="DC48" i="4" s="1"/>
  <c r="DB48" i="4" a="1"/>
  <c r="DB48" i="4" s="1"/>
  <c r="DA48" i="4" a="1"/>
  <c r="DA48" i="4" s="1"/>
  <c r="GK47" i="4"/>
  <c r="GC47" i="4"/>
  <c r="DU47" i="4"/>
  <c r="DN47" i="4"/>
  <c r="DM47" i="4"/>
  <c r="DL47" i="4"/>
  <c r="DK47" i="4"/>
  <c r="DJ47" i="4" a="1"/>
  <c r="DJ47" i="4" s="1"/>
  <c r="DH47" i="4" a="1"/>
  <c r="DH47" i="4" s="1"/>
  <c r="DG47" i="4" a="1"/>
  <c r="DG47" i="4" s="1"/>
  <c r="DF47" i="4" a="1"/>
  <c r="DF47" i="4" s="1"/>
  <c r="DE47" i="4" a="1"/>
  <c r="DE47" i="4" s="1"/>
  <c r="DD47" i="4" a="1"/>
  <c r="DD47" i="4" s="1"/>
  <c r="DC47" i="4" a="1"/>
  <c r="DC47" i="4" s="1"/>
  <c r="DB47" i="4" a="1"/>
  <c r="DB47" i="4" s="1"/>
  <c r="DA47" i="4" a="1"/>
  <c r="DA47" i="4" s="1"/>
  <c r="GK46" i="4"/>
  <c r="GC46" i="4"/>
  <c r="DN46" i="4"/>
  <c r="DM46" i="4"/>
  <c r="DL46" i="4"/>
  <c r="DK46" i="4"/>
  <c r="DJ46" i="4" a="1"/>
  <c r="DJ46" i="4" s="1"/>
  <c r="DH46" i="4" a="1"/>
  <c r="DH46" i="4" s="1"/>
  <c r="DG46" i="4" a="1"/>
  <c r="DG46" i="4" s="1"/>
  <c r="DF46" i="4" a="1"/>
  <c r="DF46" i="4" s="1"/>
  <c r="DE46" i="4" a="1"/>
  <c r="DE46" i="4" s="1"/>
  <c r="DD46" i="4" a="1"/>
  <c r="DD46" i="4" s="1"/>
  <c r="DC46" i="4" a="1"/>
  <c r="DC46" i="4" s="1"/>
  <c r="DB46" i="4" a="1"/>
  <c r="DB46" i="4" s="1"/>
  <c r="DA46" i="4" a="1"/>
  <c r="DA46" i="4" s="1"/>
  <c r="GK45" i="4"/>
  <c r="GC45" i="4"/>
  <c r="DN45" i="4"/>
  <c r="DM45" i="4"/>
  <c r="DL45" i="4"/>
  <c r="DK45" i="4"/>
  <c r="DJ45" i="4" a="1"/>
  <c r="DJ45" i="4" s="1"/>
  <c r="DH45" i="4" a="1"/>
  <c r="DH45" i="4" s="1"/>
  <c r="DG45" i="4" a="1"/>
  <c r="DG45" i="4" s="1"/>
  <c r="DF45" i="4" a="1"/>
  <c r="DF45" i="4" s="1"/>
  <c r="DE45" i="4" a="1"/>
  <c r="DE45" i="4" s="1"/>
  <c r="DD45" i="4" a="1"/>
  <c r="DD45" i="4" s="1"/>
  <c r="DC45" i="4" a="1"/>
  <c r="DC45" i="4" s="1"/>
  <c r="DB45" i="4" a="1"/>
  <c r="DB45" i="4" s="1"/>
  <c r="DA45" i="4" a="1"/>
  <c r="DA45" i="4" s="1"/>
  <c r="GK44" i="4"/>
  <c r="GC44" i="4"/>
  <c r="EC44" i="4"/>
  <c r="DV44" i="4"/>
  <c r="DO44" i="4"/>
  <c r="DN44" i="4"/>
  <c r="DM44" i="4"/>
  <c r="DL44" i="4"/>
  <c r="DK44" i="4"/>
  <c r="DJ44" i="4" a="1"/>
  <c r="DJ44" i="4" s="1"/>
  <c r="DH44" i="4" a="1"/>
  <c r="DH44" i="4" s="1"/>
  <c r="DG44" i="4" a="1"/>
  <c r="DG44" i="4" s="1"/>
  <c r="DF44" i="4" a="1"/>
  <c r="DF44" i="4" s="1"/>
  <c r="DE44" i="4" a="1"/>
  <c r="DE44" i="4" s="1"/>
  <c r="DD44" i="4" a="1"/>
  <c r="DD44" i="4" s="1"/>
  <c r="DC44" i="4" a="1"/>
  <c r="DC44" i="4" s="1"/>
  <c r="DB44" i="4" a="1"/>
  <c r="DB44" i="4" s="1"/>
  <c r="GK43" i="4"/>
  <c r="GC43" i="4"/>
  <c r="DN43" i="4"/>
  <c r="DM43" i="4"/>
  <c r="DL43" i="4"/>
  <c r="DK43" i="4"/>
  <c r="DJ43" i="4" a="1"/>
  <c r="DJ43" i="4" s="1"/>
  <c r="DH43" i="4" a="1"/>
  <c r="DH43" i="4" s="1"/>
  <c r="DG43" i="4" a="1"/>
  <c r="DG43" i="4" s="1"/>
  <c r="DF43" i="4" a="1"/>
  <c r="DF43" i="4" s="1"/>
  <c r="DE43" i="4" a="1"/>
  <c r="DE43" i="4" s="1"/>
  <c r="DD43" i="4" a="1"/>
  <c r="DD43" i="4" s="1"/>
  <c r="DC43" i="4" a="1"/>
  <c r="DC43" i="4" s="1"/>
  <c r="DB43" i="4" a="1"/>
  <c r="DB43" i="4" s="1"/>
  <c r="DA43" i="4" a="1"/>
  <c r="DA43" i="4" s="1"/>
  <c r="GK42" i="4"/>
  <c r="GC42" i="4"/>
  <c r="DN42" i="4"/>
  <c r="DM42" i="4"/>
  <c r="DL42" i="4"/>
  <c r="DK42" i="4"/>
  <c r="DJ42" i="4" a="1"/>
  <c r="DJ42" i="4" s="1"/>
  <c r="DH42" i="4" a="1"/>
  <c r="DH42" i="4" s="1"/>
  <c r="DG42" i="4" a="1"/>
  <c r="DG42" i="4" s="1"/>
  <c r="DF42" i="4" a="1"/>
  <c r="DF42" i="4" s="1"/>
  <c r="DE42" i="4" a="1"/>
  <c r="DE42" i="4" s="1"/>
  <c r="DD42" i="4" a="1"/>
  <c r="DD42" i="4" s="1"/>
  <c r="DC42" i="4" a="1"/>
  <c r="DC42" i="4" s="1"/>
  <c r="DB42" i="4" a="1"/>
  <c r="DB42" i="4" s="1"/>
  <c r="DA42" i="4" a="1"/>
  <c r="DA42" i="4" s="1"/>
  <c r="GK41" i="4"/>
  <c r="GC41" i="4"/>
  <c r="DN41" i="4"/>
  <c r="DM41" i="4"/>
  <c r="DL41" i="4"/>
  <c r="DK41" i="4"/>
  <c r="DJ41" i="4" a="1"/>
  <c r="DJ41" i="4" s="1"/>
  <c r="DH41" i="4" a="1"/>
  <c r="DH41" i="4" s="1"/>
  <c r="DG41" i="4" a="1"/>
  <c r="DG41" i="4" s="1"/>
  <c r="DF41" i="4" a="1"/>
  <c r="DF41" i="4" s="1"/>
  <c r="DE41" i="4" a="1"/>
  <c r="DE41" i="4" s="1"/>
  <c r="DD41" i="4" a="1"/>
  <c r="DD41" i="4" s="1"/>
  <c r="DC41" i="4" a="1"/>
  <c r="DC41" i="4" s="1"/>
  <c r="DB41" i="4" a="1"/>
  <c r="DB41" i="4" s="1"/>
  <c r="DA41" i="4" a="1"/>
  <c r="DA41" i="4" s="1"/>
  <c r="GK40" i="4"/>
  <c r="GC40" i="4"/>
  <c r="DO40" i="4"/>
  <c r="DN40" i="4"/>
  <c r="DM40" i="4"/>
  <c r="DL40" i="4"/>
  <c r="DK40" i="4"/>
  <c r="DJ40" i="4" a="1"/>
  <c r="DJ40" i="4" s="1"/>
  <c r="DH40" i="4" a="1"/>
  <c r="DH40" i="4" s="1"/>
  <c r="DG40" i="4" a="1"/>
  <c r="DG40" i="4" s="1"/>
  <c r="DF40" i="4" a="1"/>
  <c r="DF40" i="4" s="1"/>
  <c r="DE40" i="4" a="1"/>
  <c r="DE40" i="4" s="1"/>
  <c r="DD40" i="4" a="1"/>
  <c r="DD40" i="4" s="1"/>
  <c r="DC40" i="4" a="1"/>
  <c r="DC40" i="4" s="1"/>
  <c r="DB40" i="4" a="1"/>
  <c r="DB40" i="4" s="1"/>
  <c r="DA40" i="4" a="1"/>
  <c r="DA40" i="4" s="1"/>
  <c r="GK39" i="4"/>
  <c r="GC39" i="4"/>
  <c r="DN39" i="4"/>
  <c r="DM39" i="4"/>
  <c r="DL39" i="4"/>
  <c r="DK39" i="4"/>
  <c r="DJ39" i="4" a="1"/>
  <c r="DJ39" i="4" s="1"/>
  <c r="DH39" i="4" a="1"/>
  <c r="DH39" i="4" s="1"/>
  <c r="DG39" i="4" a="1"/>
  <c r="DG39" i="4" s="1"/>
  <c r="DF39" i="4" a="1"/>
  <c r="DF39" i="4" s="1"/>
  <c r="DE39" i="4" a="1"/>
  <c r="DE39" i="4" s="1"/>
  <c r="DD39" i="4" a="1"/>
  <c r="DD39" i="4" s="1"/>
  <c r="DC39" i="4" a="1"/>
  <c r="DC39" i="4" s="1"/>
  <c r="DA39" i="4" a="1"/>
  <c r="DA39" i="4" s="1"/>
  <c r="GK38" i="4"/>
  <c r="GC38" i="4"/>
  <c r="DN38" i="4"/>
  <c r="DM38" i="4"/>
  <c r="DL38" i="4"/>
  <c r="DK38" i="4"/>
  <c r="DJ38" i="4" a="1"/>
  <c r="DJ38" i="4" s="1"/>
  <c r="DH38" i="4" a="1"/>
  <c r="DH38" i="4" s="1"/>
  <c r="DG38" i="4" a="1"/>
  <c r="DG38" i="4" s="1"/>
  <c r="DF38" i="4" a="1"/>
  <c r="DF38" i="4" s="1"/>
  <c r="DE38" i="4" a="1"/>
  <c r="DE38" i="4" s="1"/>
  <c r="DD38" i="4" a="1"/>
  <c r="DD38" i="4" s="1"/>
  <c r="DC38" i="4" a="1"/>
  <c r="DC38" i="4" s="1"/>
  <c r="DB38" i="4" a="1"/>
  <c r="DB38" i="4" s="1"/>
  <c r="DA38" i="4" a="1"/>
  <c r="DA38" i="4" s="1"/>
  <c r="GK37" i="4"/>
  <c r="GC37" i="4"/>
  <c r="DW37" i="4"/>
  <c r="DN37" i="4"/>
  <c r="DM37" i="4"/>
  <c r="DL37" i="4"/>
  <c r="DK37" i="4"/>
  <c r="DJ37" i="4" a="1"/>
  <c r="DJ37" i="4" s="1"/>
  <c r="DH37" i="4" a="1"/>
  <c r="DH37" i="4" s="1"/>
  <c r="DG37" i="4" a="1"/>
  <c r="DG37" i="4" s="1"/>
  <c r="DE37" i="4" a="1"/>
  <c r="DE37" i="4" s="1"/>
  <c r="DD37" i="4" a="1"/>
  <c r="DD37" i="4" s="1"/>
  <c r="DC37" i="4" a="1"/>
  <c r="DC37" i="4" s="1"/>
  <c r="DB37" i="4" a="1"/>
  <c r="DB37" i="4" s="1"/>
  <c r="DA37" i="4" a="1"/>
  <c r="DA37" i="4" s="1"/>
  <c r="GK36" i="4"/>
  <c r="GC36" i="4"/>
  <c r="DN36" i="4"/>
  <c r="DM36" i="4"/>
  <c r="DL36" i="4"/>
  <c r="DK36" i="4"/>
  <c r="DJ36" i="4" a="1"/>
  <c r="DJ36" i="4" s="1"/>
  <c r="DH36" i="4" a="1"/>
  <c r="DH36" i="4" s="1"/>
  <c r="DG36" i="4" a="1"/>
  <c r="DG36" i="4" s="1"/>
  <c r="DF36" i="4" a="1"/>
  <c r="DF36" i="4" s="1"/>
  <c r="DE36" i="4" a="1"/>
  <c r="DE36" i="4" s="1"/>
  <c r="DD36" i="4" a="1"/>
  <c r="DD36" i="4" s="1"/>
  <c r="DC36" i="4" a="1"/>
  <c r="DC36" i="4" s="1"/>
  <c r="DB36" i="4" a="1"/>
  <c r="DB36" i="4" s="1"/>
  <c r="DA36" i="4" a="1"/>
  <c r="DA36" i="4" s="1"/>
  <c r="GK35" i="4"/>
  <c r="GC35" i="4"/>
  <c r="DN35" i="4"/>
  <c r="DM35" i="4"/>
  <c r="DL35" i="4"/>
  <c r="DK35" i="4"/>
  <c r="DJ35" i="4" a="1"/>
  <c r="DJ35" i="4" s="1"/>
  <c r="DH35" i="4" a="1"/>
  <c r="DH35" i="4" s="1"/>
  <c r="DG35" i="4" a="1"/>
  <c r="DG35" i="4" s="1"/>
  <c r="DF35" i="4" a="1"/>
  <c r="DF35" i="4" s="1"/>
  <c r="DE35" i="4" a="1"/>
  <c r="DE35" i="4" s="1"/>
  <c r="DD35" i="4" a="1"/>
  <c r="DD35" i="4" s="1"/>
  <c r="DC35" i="4" a="1"/>
  <c r="DC35" i="4" s="1"/>
  <c r="DA35" i="4" a="1"/>
  <c r="DA35" i="4" s="1"/>
  <c r="GK34" i="4"/>
  <c r="GC34" i="4"/>
  <c r="DN34" i="4"/>
  <c r="DM34" i="4"/>
  <c r="DL34" i="4"/>
  <c r="DK34" i="4"/>
  <c r="DJ34" i="4" a="1"/>
  <c r="DJ34" i="4" s="1"/>
  <c r="DH34" i="4" a="1"/>
  <c r="DH34" i="4" s="1"/>
  <c r="DG34" i="4" a="1"/>
  <c r="DG34" i="4" s="1"/>
  <c r="DF34" i="4" a="1"/>
  <c r="DF34" i="4" s="1"/>
  <c r="DE34" i="4" a="1"/>
  <c r="DE34" i="4" s="1"/>
  <c r="DD34" i="4" a="1"/>
  <c r="DD34" i="4" s="1"/>
  <c r="DC34" i="4" a="1"/>
  <c r="DC34" i="4" s="1"/>
  <c r="DB34" i="4" a="1"/>
  <c r="DB34" i="4" s="1"/>
  <c r="DA34" i="4" a="1"/>
  <c r="DA34" i="4" s="1"/>
  <c r="GK33" i="4"/>
  <c r="GC33" i="4"/>
  <c r="DN33" i="4"/>
  <c r="DM33" i="4"/>
  <c r="DL33" i="4"/>
  <c r="DK33" i="4"/>
  <c r="DJ33" i="4" a="1"/>
  <c r="DJ33" i="4" s="1"/>
  <c r="DH33" i="4" a="1"/>
  <c r="DH33" i="4" s="1"/>
  <c r="DG33" i="4" a="1"/>
  <c r="DG33" i="4" s="1"/>
  <c r="DF33" i="4" a="1"/>
  <c r="DF33" i="4" s="1"/>
  <c r="DE33" i="4" a="1"/>
  <c r="DE33" i="4" s="1"/>
  <c r="DD33" i="4" a="1"/>
  <c r="DD33" i="4" s="1"/>
  <c r="DC33" i="4" a="1"/>
  <c r="DC33" i="4" s="1"/>
  <c r="DB33" i="4" a="1"/>
  <c r="DB33" i="4" s="1"/>
  <c r="DA33" i="4" a="1"/>
  <c r="DA33" i="4" s="1"/>
  <c r="GK32" i="4"/>
  <c r="GC32" i="4"/>
  <c r="DN32" i="4"/>
  <c r="DM32" i="4"/>
  <c r="DL32" i="4"/>
  <c r="DK32" i="4"/>
  <c r="DJ32" i="4" a="1"/>
  <c r="DJ32" i="4" s="1"/>
  <c r="DH32" i="4" a="1"/>
  <c r="DH32" i="4" s="1"/>
  <c r="DG32" i="4" a="1"/>
  <c r="DG32" i="4" s="1"/>
  <c r="DF32" i="4" a="1"/>
  <c r="DF32" i="4" s="1"/>
  <c r="DE32" i="4" a="1"/>
  <c r="DE32" i="4" s="1"/>
  <c r="DD32" i="4" a="1"/>
  <c r="DD32" i="4" s="1"/>
  <c r="DC32" i="4" a="1"/>
  <c r="DC32" i="4" s="1"/>
  <c r="DB32" i="4" a="1"/>
  <c r="DB32" i="4" s="1"/>
  <c r="DA32" i="4" a="1"/>
  <c r="DA32" i="4" s="1"/>
  <c r="GK31" i="4"/>
  <c r="GC31" i="4"/>
  <c r="DN31" i="4"/>
  <c r="DM31" i="4"/>
  <c r="DL31" i="4"/>
  <c r="DK31" i="4"/>
  <c r="DJ31" i="4" a="1"/>
  <c r="DJ31" i="4" s="1"/>
  <c r="DH31" i="4" a="1"/>
  <c r="DH31" i="4" s="1"/>
  <c r="DG31" i="4" a="1"/>
  <c r="DG31" i="4" s="1"/>
  <c r="DF31" i="4" a="1"/>
  <c r="DF31" i="4" s="1"/>
  <c r="DE31" i="4" a="1"/>
  <c r="DE31" i="4" s="1"/>
  <c r="DD31" i="4" a="1"/>
  <c r="DD31" i="4" s="1"/>
  <c r="DC31" i="4" a="1"/>
  <c r="DC31" i="4" s="1"/>
  <c r="DB31" i="4" a="1"/>
  <c r="DB31" i="4" s="1"/>
  <c r="DA31" i="4" a="1"/>
  <c r="DA31" i="4" s="1"/>
  <c r="GK30" i="4"/>
  <c r="GC30" i="4"/>
  <c r="DN30" i="4"/>
  <c r="DM30" i="4"/>
  <c r="DL30" i="4"/>
  <c r="DK30" i="4"/>
  <c r="DJ30" i="4" a="1"/>
  <c r="DJ30" i="4" s="1"/>
  <c r="DH30" i="4" a="1"/>
  <c r="DH30" i="4" s="1"/>
  <c r="DG30" i="4" a="1"/>
  <c r="DG30" i="4" s="1"/>
  <c r="DF30" i="4" a="1"/>
  <c r="DF30" i="4" s="1"/>
  <c r="DE30" i="4" a="1"/>
  <c r="DE30" i="4" s="1"/>
  <c r="DD30" i="4" a="1"/>
  <c r="DD30" i="4" s="1"/>
  <c r="DC30" i="4" a="1"/>
  <c r="DC30" i="4" s="1"/>
  <c r="DB30" i="4" a="1"/>
  <c r="DB30" i="4" s="1"/>
  <c r="DA30" i="4" a="1"/>
  <c r="DA30" i="4" s="1"/>
  <c r="DN29" i="4"/>
  <c r="DM29" i="4"/>
  <c r="DL29" i="4"/>
  <c r="DK29" i="4"/>
  <c r="DJ29" i="4" a="1"/>
  <c r="DJ29" i="4" s="1"/>
  <c r="DH29" i="4" a="1"/>
  <c r="DH29" i="4" s="1"/>
  <c r="DG29" i="4" a="1"/>
  <c r="DG29" i="4" s="1"/>
  <c r="DF29" i="4" a="1"/>
  <c r="DF29" i="4" s="1"/>
  <c r="DE29" i="4" a="1"/>
  <c r="DE29" i="4" s="1"/>
  <c r="DD29" i="4" a="1"/>
  <c r="DD29" i="4" s="1"/>
  <c r="DC29" i="4" a="1"/>
  <c r="DC29" i="4" s="1"/>
  <c r="DB29" i="4" a="1"/>
  <c r="DB29" i="4" s="1"/>
  <c r="DA29" i="4" a="1"/>
  <c r="DA29" i="4" s="1"/>
  <c r="GK28" i="4"/>
  <c r="GC28" i="4"/>
  <c r="EC28" i="4"/>
  <c r="DN28" i="4"/>
  <c r="DM28" i="4"/>
  <c r="DL28" i="4"/>
  <c r="DK28" i="4"/>
  <c r="DJ28" i="4" a="1"/>
  <c r="DJ28" i="4" s="1"/>
  <c r="DH28" i="4" a="1"/>
  <c r="DH28" i="4" s="1"/>
  <c r="DG28" i="4" a="1"/>
  <c r="DG28" i="4" s="1"/>
  <c r="DF28" i="4" a="1"/>
  <c r="DF28" i="4" s="1"/>
  <c r="DE28" i="4" a="1"/>
  <c r="DE28" i="4" s="1"/>
  <c r="DD28" i="4" a="1"/>
  <c r="DD28" i="4" s="1"/>
  <c r="DC28" i="4" a="1"/>
  <c r="DC28" i="4" s="1"/>
  <c r="DB28" i="4" a="1"/>
  <c r="DB28" i="4" s="1"/>
  <c r="DA28" i="4" a="1"/>
  <c r="DA28" i="4" s="1"/>
  <c r="GK27" i="4"/>
  <c r="GC27" i="4"/>
  <c r="DN27" i="4"/>
  <c r="DM27" i="4"/>
  <c r="DL27" i="4"/>
  <c r="DK27" i="4"/>
  <c r="DJ27" i="4" a="1"/>
  <c r="DJ27" i="4" s="1"/>
  <c r="DH27" i="4" a="1"/>
  <c r="DH27" i="4" s="1"/>
  <c r="DG27" i="4" a="1"/>
  <c r="DG27" i="4" s="1"/>
  <c r="DF27" i="4" a="1"/>
  <c r="DF27" i="4" s="1"/>
  <c r="DE27" i="4" a="1"/>
  <c r="DE27" i="4" s="1"/>
  <c r="DD27" i="4" a="1"/>
  <c r="DD27" i="4" s="1"/>
  <c r="DC27" i="4" a="1"/>
  <c r="DC27" i="4" s="1"/>
  <c r="DB27" i="4" a="1"/>
  <c r="DB27" i="4" s="1"/>
  <c r="DA27" i="4" a="1"/>
  <c r="DA27" i="4" s="1"/>
  <c r="GK26" i="4"/>
  <c r="GC26" i="4"/>
  <c r="DN26" i="4"/>
  <c r="DM26" i="4"/>
  <c r="DL26" i="4"/>
  <c r="DK26" i="4"/>
  <c r="DJ26" i="4" a="1"/>
  <c r="DJ26" i="4" s="1"/>
  <c r="DH26" i="4" a="1"/>
  <c r="DH26" i="4" s="1"/>
  <c r="DG26" i="4" a="1"/>
  <c r="DG26" i="4" s="1"/>
  <c r="DF26" i="4" a="1"/>
  <c r="DF26" i="4" s="1"/>
  <c r="DE26" i="4" a="1"/>
  <c r="DE26" i="4" s="1"/>
  <c r="DD26" i="4" a="1"/>
  <c r="DD26" i="4" s="1"/>
  <c r="DC26" i="4" a="1"/>
  <c r="DC26" i="4" s="1"/>
  <c r="DB26" i="4" a="1"/>
  <c r="DB26" i="4" s="1"/>
  <c r="DA26" i="4" a="1"/>
  <c r="DA26" i="4" s="1"/>
  <c r="GK25" i="4"/>
  <c r="GC25" i="4"/>
  <c r="DN25" i="4"/>
  <c r="DM25" i="4"/>
  <c r="DL25" i="4"/>
  <c r="DK25" i="4"/>
  <c r="DJ25" i="4" a="1"/>
  <c r="DJ25" i="4" s="1"/>
  <c r="DH25" i="4" a="1"/>
  <c r="DH25" i="4" s="1"/>
  <c r="DG25" i="4" a="1"/>
  <c r="DG25" i="4" s="1"/>
  <c r="DE25" i="4" a="1"/>
  <c r="DE25" i="4" s="1"/>
  <c r="DD25" i="4" a="1"/>
  <c r="DD25" i="4" s="1"/>
  <c r="DC25" i="4" a="1"/>
  <c r="DC25" i="4" s="1"/>
  <c r="DB25" i="4" a="1"/>
  <c r="DB25" i="4" s="1"/>
  <c r="DA25" i="4" a="1"/>
  <c r="DA25" i="4" s="1"/>
  <c r="GK24" i="4"/>
  <c r="GC24" i="4"/>
  <c r="DN24" i="4"/>
  <c r="DM24" i="4"/>
  <c r="DL24" i="4"/>
  <c r="DK24" i="4"/>
  <c r="DJ24" i="4" a="1"/>
  <c r="DJ24" i="4" s="1"/>
  <c r="DH24" i="4" a="1"/>
  <c r="DH24" i="4" s="1"/>
  <c r="DG24" i="4" a="1"/>
  <c r="DG24" i="4" s="1"/>
  <c r="DF24" i="4" a="1"/>
  <c r="DF24" i="4" s="1"/>
  <c r="DE24" i="4" a="1"/>
  <c r="DE24" i="4" s="1"/>
  <c r="DD24" i="4" a="1"/>
  <c r="DD24" i="4" s="1"/>
  <c r="DC24" i="4" a="1"/>
  <c r="DC24" i="4" s="1"/>
  <c r="DB24" i="4" a="1"/>
  <c r="DB24" i="4" s="1"/>
  <c r="DA24" i="4" a="1"/>
  <c r="DA24" i="4" s="1"/>
  <c r="GK23" i="4"/>
  <c r="GC23" i="4"/>
  <c r="DN23" i="4"/>
  <c r="DM23" i="4"/>
  <c r="DL23" i="4"/>
  <c r="DK23" i="4"/>
  <c r="DJ23" i="4" a="1"/>
  <c r="DJ23" i="4" s="1"/>
  <c r="DH23" i="4" a="1"/>
  <c r="DH23" i="4" s="1"/>
  <c r="DG23" i="4" a="1"/>
  <c r="DG23" i="4" s="1"/>
  <c r="DF23" i="4" a="1"/>
  <c r="DF23" i="4" s="1"/>
  <c r="DE23" i="4" a="1"/>
  <c r="DE23" i="4" s="1"/>
  <c r="DD23" i="4" a="1"/>
  <c r="DD23" i="4" s="1"/>
  <c r="DC23" i="4" a="1"/>
  <c r="DC23" i="4" s="1"/>
  <c r="DB23" i="4" a="1"/>
  <c r="DB23" i="4" s="1"/>
  <c r="DA23" i="4" a="1"/>
  <c r="DA23" i="4" s="1"/>
  <c r="GK22" i="4"/>
  <c r="GC22" i="4"/>
  <c r="DN22" i="4"/>
  <c r="DM22" i="4"/>
  <c r="DL22" i="4"/>
  <c r="DK22" i="4"/>
  <c r="DJ22" i="4" a="1"/>
  <c r="DJ22" i="4" s="1"/>
  <c r="DH22" i="4" a="1"/>
  <c r="DH22" i="4" s="1"/>
  <c r="DG22" i="4" a="1"/>
  <c r="DG22" i="4" s="1"/>
  <c r="DF22" i="4" a="1"/>
  <c r="DF22" i="4" s="1"/>
  <c r="DE22" i="4" a="1"/>
  <c r="DE22" i="4" s="1"/>
  <c r="DD22" i="4" a="1"/>
  <c r="DD22" i="4" s="1"/>
  <c r="DC22" i="4" a="1"/>
  <c r="DC22" i="4" s="1"/>
  <c r="DB22" i="4" a="1"/>
  <c r="DB22" i="4" s="1"/>
  <c r="DA22" i="4" a="1"/>
  <c r="DA22" i="4" s="1"/>
  <c r="GK21" i="4"/>
  <c r="GC21" i="4"/>
  <c r="DN21" i="4"/>
  <c r="DM21" i="4"/>
  <c r="DL21" i="4"/>
  <c r="DK21" i="4"/>
  <c r="DJ21" i="4" a="1"/>
  <c r="DJ21" i="4" s="1"/>
  <c r="DH21" i="4" a="1"/>
  <c r="DH21" i="4" s="1"/>
  <c r="DG21" i="4" a="1"/>
  <c r="DG21" i="4" s="1"/>
  <c r="DF21" i="4" a="1"/>
  <c r="DF21" i="4" s="1"/>
  <c r="DE21" i="4" a="1"/>
  <c r="DE21" i="4" s="1"/>
  <c r="DD21" i="4" a="1"/>
  <c r="DD21" i="4" s="1"/>
  <c r="DC21" i="4" a="1"/>
  <c r="DC21" i="4" s="1"/>
  <c r="DB21" i="4" a="1"/>
  <c r="DB21" i="4" s="1"/>
  <c r="DA21" i="4" a="1"/>
  <c r="DA21" i="4" s="1"/>
  <c r="GK20" i="4"/>
  <c r="GC20" i="4"/>
  <c r="DN20" i="4"/>
  <c r="DM20" i="4"/>
  <c r="DL20" i="4"/>
  <c r="DK20" i="4"/>
  <c r="DJ20" i="4" a="1"/>
  <c r="DJ20" i="4" s="1"/>
  <c r="DH20" i="4" a="1"/>
  <c r="DH20" i="4" s="1"/>
  <c r="DG20" i="4" a="1"/>
  <c r="DG20" i="4" s="1"/>
  <c r="DF20" i="4" a="1"/>
  <c r="DF20" i="4" s="1"/>
  <c r="DE20" i="4" a="1"/>
  <c r="DE20" i="4" s="1"/>
  <c r="DD20" i="4" a="1"/>
  <c r="DD20" i="4" s="1"/>
  <c r="DC20" i="4" a="1"/>
  <c r="DC20" i="4" s="1"/>
  <c r="DB20" i="4" a="1"/>
  <c r="DB20" i="4" s="1"/>
  <c r="DA20" i="4" a="1"/>
  <c r="DA20" i="4" s="1"/>
  <c r="GK19" i="4"/>
  <c r="GC19" i="4"/>
  <c r="DN19" i="4"/>
  <c r="DM19" i="4"/>
  <c r="DL19" i="4"/>
  <c r="DK19" i="4"/>
  <c r="DJ19" i="4" a="1"/>
  <c r="DJ19" i="4" s="1"/>
  <c r="DH19" i="4" a="1"/>
  <c r="DH19" i="4" s="1"/>
  <c r="DG19" i="4" a="1"/>
  <c r="DG19" i="4" s="1"/>
  <c r="DF19" i="4" a="1"/>
  <c r="DF19" i="4" s="1"/>
  <c r="DE19" i="4" a="1"/>
  <c r="DE19" i="4" s="1"/>
  <c r="DD19" i="4" a="1"/>
  <c r="DD19" i="4" s="1"/>
  <c r="DC19" i="4" a="1"/>
  <c r="DC19" i="4" s="1"/>
  <c r="DB19" i="4" a="1"/>
  <c r="DB19" i="4" s="1"/>
  <c r="DA19" i="4" a="1"/>
  <c r="DA19" i="4" s="1"/>
  <c r="GK18" i="4"/>
  <c r="GC18" i="4"/>
  <c r="EH18" i="4"/>
  <c r="DN18" i="4"/>
  <c r="DM18" i="4"/>
  <c r="DL18" i="4"/>
  <c r="DK18" i="4"/>
  <c r="DJ18" i="4" a="1"/>
  <c r="DJ18" i="4" s="1"/>
  <c r="DH18" i="4" a="1"/>
  <c r="DH18" i="4" s="1"/>
  <c r="DG18" i="4" a="1"/>
  <c r="DG18" i="4" s="1"/>
  <c r="DF18" i="4" a="1"/>
  <c r="DF18" i="4" s="1"/>
  <c r="DE18" i="4" a="1"/>
  <c r="DE18" i="4" s="1"/>
  <c r="DD18" i="4" a="1"/>
  <c r="DD18" i="4" s="1"/>
  <c r="DC18" i="4" a="1"/>
  <c r="DC18" i="4" s="1"/>
  <c r="DB18" i="4" a="1"/>
  <c r="DB18" i="4" s="1"/>
  <c r="DA18" i="4" a="1"/>
  <c r="DA18" i="4" s="1"/>
  <c r="GK17" i="4"/>
  <c r="GC17" i="4"/>
  <c r="EE17" i="4"/>
  <c r="DN17" i="4"/>
  <c r="DM17" i="4"/>
  <c r="DL17" i="4"/>
  <c r="DK17" i="4"/>
  <c r="DJ17" i="4" a="1"/>
  <c r="DJ17" i="4" s="1"/>
  <c r="DH17" i="4" a="1"/>
  <c r="DH17" i="4" s="1"/>
  <c r="DG17" i="4" a="1"/>
  <c r="DG17" i="4" s="1"/>
  <c r="DF17" i="4" a="1"/>
  <c r="DF17" i="4" s="1"/>
  <c r="DE17" i="4" a="1"/>
  <c r="DE17" i="4" s="1"/>
  <c r="DD17" i="4" a="1"/>
  <c r="DD17" i="4" s="1"/>
  <c r="DC17" i="4" a="1"/>
  <c r="DC17" i="4" s="1"/>
  <c r="DB17" i="4" a="1"/>
  <c r="DB17" i="4" s="1"/>
  <c r="DA17" i="4" a="1"/>
  <c r="DA17" i="4" s="1"/>
  <c r="GK16" i="4"/>
  <c r="GC16" i="4"/>
  <c r="DN16" i="4"/>
  <c r="DM16" i="4"/>
  <c r="DL16" i="4"/>
  <c r="DK16" i="4"/>
  <c r="DJ16" i="4" a="1"/>
  <c r="DJ16" i="4" s="1"/>
  <c r="DH16" i="4" a="1"/>
  <c r="DH16" i="4" s="1"/>
  <c r="DG16" i="4" a="1"/>
  <c r="DG16" i="4" s="1"/>
  <c r="DF16" i="4" a="1"/>
  <c r="DF16" i="4" s="1"/>
  <c r="DE16" i="4" a="1"/>
  <c r="DE16" i="4" s="1"/>
  <c r="DD16" i="4" a="1"/>
  <c r="DD16" i="4" s="1"/>
  <c r="DC16" i="4" a="1"/>
  <c r="DC16" i="4" s="1"/>
  <c r="DB16" i="4" a="1"/>
  <c r="DB16" i="4" s="1"/>
  <c r="DA16" i="4" a="1"/>
  <c r="DA16" i="4" s="1"/>
  <c r="GK15" i="4"/>
  <c r="GC15" i="4"/>
  <c r="DN15" i="4"/>
  <c r="DM15" i="4"/>
  <c r="DL15" i="4"/>
  <c r="DK15" i="4"/>
  <c r="DJ15" i="4" a="1"/>
  <c r="DJ15" i="4" s="1"/>
  <c r="DH15" i="4" a="1"/>
  <c r="DH15" i="4" s="1"/>
  <c r="DG15" i="4" a="1"/>
  <c r="DG15" i="4" s="1"/>
  <c r="DF15" i="4" a="1"/>
  <c r="DF15" i="4" s="1"/>
  <c r="DE15" i="4" a="1"/>
  <c r="DE15" i="4" s="1"/>
  <c r="DD15" i="4" a="1"/>
  <c r="DD15" i="4" s="1"/>
  <c r="DC15" i="4" a="1"/>
  <c r="DC15" i="4" s="1"/>
  <c r="DB15" i="4" a="1"/>
  <c r="DB15" i="4" s="1"/>
  <c r="DA15" i="4" a="1"/>
  <c r="DA15" i="4" s="1"/>
  <c r="GK14" i="4"/>
  <c r="GC14" i="4"/>
  <c r="DN14" i="4"/>
  <c r="DM14" i="4"/>
  <c r="DL14" i="4"/>
  <c r="DK14" i="4"/>
  <c r="DJ14" i="4" a="1"/>
  <c r="DJ14" i="4" s="1"/>
  <c r="DH14" i="4" a="1"/>
  <c r="DH14" i="4" s="1"/>
  <c r="DG14" i="4" a="1"/>
  <c r="DG14" i="4" s="1"/>
  <c r="DF14" i="4" a="1"/>
  <c r="DF14" i="4" s="1"/>
  <c r="DE14" i="4" a="1"/>
  <c r="DE14" i="4" s="1"/>
  <c r="DD14" i="4" a="1"/>
  <c r="DD14" i="4" s="1"/>
  <c r="DC14" i="4" a="1"/>
  <c r="DC14" i="4" s="1"/>
  <c r="DB14" i="4" a="1"/>
  <c r="DB14" i="4" s="1"/>
  <c r="DA14" i="4" a="1"/>
  <c r="DA14" i="4" s="1"/>
  <c r="GK13" i="4"/>
  <c r="GC13" i="4"/>
  <c r="DN13" i="4"/>
  <c r="DM13" i="4"/>
  <c r="DL13" i="4"/>
  <c r="DK13" i="4"/>
  <c r="DJ13" i="4" a="1"/>
  <c r="DJ13" i="4" s="1"/>
  <c r="DH13" i="4" a="1"/>
  <c r="DH13" i="4" s="1"/>
  <c r="DG13" i="4" a="1"/>
  <c r="DG13" i="4" s="1"/>
  <c r="DF13" i="4" a="1"/>
  <c r="DF13" i="4" s="1"/>
  <c r="DE13" i="4" a="1"/>
  <c r="DE13" i="4" s="1"/>
  <c r="DD13" i="4" a="1"/>
  <c r="DD13" i="4" s="1"/>
  <c r="DC13" i="4" a="1"/>
  <c r="DC13" i="4" s="1"/>
  <c r="DB13" i="4" a="1"/>
  <c r="DB13" i="4" s="1"/>
  <c r="DA13" i="4" a="1"/>
  <c r="DA13" i="4" s="1"/>
  <c r="GK12" i="4"/>
  <c r="GC12" i="4"/>
  <c r="DN12" i="4"/>
  <c r="DM12" i="4"/>
  <c r="DL12" i="4"/>
  <c r="DK12" i="4"/>
  <c r="DJ12" i="4" a="1"/>
  <c r="DJ12" i="4" s="1"/>
  <c r="DH12" i="4" a="1"/>
  <c r="DH12" i="4" s="1"/>
  <c r="DG12" i="4" a="1"/>
  <c r="DG12" i="4" s="1"/>
  <c r="DF12" i="4" a="1"/>
  <c r="DF12" i="4" s="1"/>
  <c r="DE12" i="4" a="1"/>
  <c r="DE12" i="4" s="1"/>
  <c r="DD12" i="4" a="1"/>
  <c r="DD12" i="4" s="1"/>
  <c r="DC12" i="4" a="1"/>
  <c r="DC12" i="4" s="1"/>
  <c r="DB12" i="4" a="1"/>
  <c r="DB12" i="4" s="1"/>
  <c r="DA12" i="4" a="1"/>
  <c r="DA12" i="4" s="1"/>
  <c r="GK11" i="4"/>
  <c r="GC11" i="4"/>
  <c r="DN11" i="4"/>
  <c r="DM11" i="4"/>
  <c r="DL11" i="4"/>
  <c r="DK11" i="4"/>
  <c r="DJ11" i="4" a="1"/>
  <c r="DJ11" i="4" s="1"/>
  <c r="DH11" i="4" a="1"/>
  <c r="DH11" i="4" s="1"/>
  <c r="DG11" i="4" a="1"/>
  <c r="DG11" i="4" s="1"/>
  <c r="DF11" i="4" a="1"/>
  <c r="DF11" i="4" s="1"/>
  <c r="DE11" i="4" a="1"/>
  <c r="DE11" i="4" s="1"/>
  <c r="DD11" i="4" a="1"/>
  <c r="DD11" i="4" s="1"/>
  <c r="DC11" i="4" a="1"/>
  <c r="DC11" i="4" s="1"/>
  <c r="DB11" i="4" a="1"/>
  <c r="DB11" i="4" s="1"/>
  <c r="DA11" i="4" a="1"/>
  <c r="DA11" i="4" s="1"/>
  <c r="GK10" i="4"/>
  <c r="GC10" i="4"/>
  <c r="EH10" i="4"/>
  <c r="DN10" i="4"/>
  <c r="DM10" i="4"/>
  <c r="DL10" i="4"/>
  <c r="DK10" i="4"/>
  <c r="DJ10" i="4" a="1"/>
  <c r="DJ10" i="4" s="1"/>
  <c r="DH10" i="4" a="1"/>
  <c r="DH10" i="4" s="1"/>
  <c r="DG10" i="4" a="1"/>
  <c r="DG10" i="4" s="1"/>
  <c r="DF10" i="4" a="1"/>
  <c r="DF10" i="4" s="1"/>
  <c r="DE10" i="4" a="1"/>
  <c r="DE10" i="4" s="1"/>
  <c r="DD10" i="4" a="1"/>
  <c r="DD10" i="4" s="1"/>
  <c r="DC10" i="4" a="1"/>
  <c r="DC10" i="4" s="1"/>
  <c r="DB10" i="4" a="1"/>
  <c r="DB10" i="4" s="1"/>
  <c r="DA10" i="4" a="1"/>
  <c r="DA10" i="4" s="1"/>
  <c r="GK9" i="4"/>
  <c r="GC9" i="4"/>
  <c r="EE9" i="4"/>
  <c r="DN9" i="4"/>
  <c r="DM9" i="4"/>
  <c r="DL9" i="4"/>
  <c r="DK9" i="4"/>
  <c r="DJ9" i="4" a="1"/>
  <c r="DJ9" i="4" s="1"/>
  <c r="DH9" i="4" a="1"/>
  <c r="DH9" i="4" s="1"/>
  <c r="DG9" i="4" a="1"/>
  <c r="DG9" i="4" s="1"/>
  <c r="DF9" i="4" a="1"/>
  <c r="DF9" i="4" s="1"/>
  <c r="DE9" i="4" a="1"/>
  <c r="DE9" i="4" s="1"/>
  <c r="DD9" i="4" a="1"/>
  <c r="DD9" i="4" s="1"/>
  <c r="DC9" i="4" a="1"/>
  <c r="DC9" i="4" s="1"/>
  <c r="DB9" i="4" a="1"/>
  <c r="DB9" i="4" s="1"/>
  <c r="DA9" i="4" a="1"/>
  <c r="DA9" i="4" s="1"/>
  <c r="GK8" i="4"/>
  <c r="GC8" i="4"/>
  <c r="DN8" i="4"/>
  <c r="DM8" i="4"/>
  <c r="DL8" i="4"/>
  <c r="DK8" i="4"/>
  <c r="DJ8" i="4" a="1"/>
  <c r="DJ8" i="4" s="1"/>
  <c r="DH8" i="4" a="1"/>
  <c r="DH8" i="4" s="1"/>
  <c r="DG8" i="4" a="1"/>
  <c r="DG8" i="4" s="1"/>
  <c r="DF8" i="4" a="1"/>
  <c r="DF8" i="4" s="1"/>
  <c r="DE8" i="4" a="1"/>
  <c r="DE8" i="4" s="1"/>
  <c r="DD8" i="4" a="1"/>
  <c r="DD8" i="4" s="1"/>
  <c r="DC8" i="4" a="1"/>
  <c r="DC8" i="4" s="1"/>
  <c r="DB8" i="4" a="1"/>
  <c r="DB8" i="4" s="1"/>
  <c r="DA8" i="4" a="1"/>
  <c r="DA8" i="4" s="1"/>
  <c r="GK7" i="4"/>
  <c r="GC7" i="4"/>
  <c r="DN7" i="4"/>
  <c r="DM7" i="4"/>
  <c r="DL7" i="4"/>
  <c r="DK7" i="4"/>
  <c r="DJ7" i="4" a="1"/>
  <c r="DJ7" i="4" s="1"/>
  <c r="DH7" i="4" a="1"/>
  <c r="DH7" i="4" s="1"/>
  <c r="DG7" i="4" a="1"/>
  <c r="DG7" i="4" s="1"/>
  <c r="DF7" i="4" a="1"/>
  <c r="DF7" i="4" s="1"/>
  <c r="DE7" i="4" a="1"/>
  <c r="DE7" i="4" s="1"/>
  <c r="DD7" i="4" a="1"/>
  <c r="DD7" i="4" s="1"/>
  <c r="DC7" i="4" a="1"/>
  <c r="DC7" i="4" s="1"/>
  <c r="DB7" i="4" a="1"/>
  <c r="DB7" i="4" s="1"/>
  <c r="DA7" i="4" a="1"/>
  <c r="DA7" i="4" s="1"/>
  <c r="GK6" i="4"/>
  <c r="GC6" i="4"/>
  <c r="DN6" i="4"/>
  <c r="DM6" i="4"/>
  <c r="DL6" i="4"/>
  <c r="DK6" i="4"/>
  <c r="DJ6" i="4" a="1"/>
  <c r="DJ6" i="4" s="1"/>
  <c r="DH6" i="4" a="1"/>
  <c r="DH6" i="4" s="1"/>
  <c r="DG6" i="4" a="1"/>
  <c r="DG6" i="4" s="1"/>
  <c r="DF6" i="4" a="1"/>
  <c r="DF6" i="4" s="1"/>
  <c r="DE6" i="4" a="1"/>
  <c r="DE6" i="4" s="1"/>
  <c r="DD6" i="4" a="1"/>
  <c r="DD6" i="4" s="1"/>
  <c r="DC6" i="4" a="1"/>
  <c r="DC6" i="4" s="1"/>
  <c r="DB6" i="4" a="1"/>
  <c r="DB6" i="4" s="1"/>
  <c r="DA6" i="4" a="1"/>
  <c r="DA6" i="4" s="1"/>
  <c r="GK5" i="4"/>
  <c r="GC5" i="4"/>
  <c r="DN5" i="4"/>
  <c r="DM5" i="4"/>
  <c r="DL5" i="4"/>
  <c r="DK5" i="4"/>
  <c r="DJ5" i="4" a="1"/>
  <c r="DJ5" i="4" s="1"/>
  <c r="DH5" i="4" a="1"/>
  <c r="DH5" i="4" s="1"/>
  <c r="DG5" i="4" a="1"/>
  <c r="DG5" i="4" s="1"/>
  <c r="DF5" i="4" a="1"/>
  <c r="DF5" i="4" s="1"/>
  <c r="DE5" i="4" a="1"/>
  <c r="DE5" i="4" s="1"/>
  <c r="DD5" i="4" a="1"/>
  <c r="DD5" i="4" s="1"/>
  <c r="DC5" i="4" a="1"/>
  <c r="DC5" i="4" s="1"/>
  <c r="DB5" i="4" a="1"/>
  <c r="DB5" i="4" s="1"/>
  <c r="DA5" i="4" a="1"/>
  <c r="DA5" i="4" s="1"/>
  <c r="GK4" i="4"/>
  <c r="GC4" i="4"/>
  <c r="DN4" i="4"/>
  <c r="DM4" i="4"/>
  <c r="DL4" i="4"/>
  <c r="DK4" i="4"/>
  <c r="DJ4" i="4" a="1"/>
  <c r="DJ4" i="4" s="1"/>
  <c r="DH4" i="4" a="1"/>
  <c r="DH4" i="4" s="1"/>
  <c r="DG4" i="4" a="1"/>
  <c r="DG4" i="4" s="1"/>
  <c r="DF4" i="4" a="1"/>
  <c r="DF4" i="4" s="1"/>
  <c r="DE4" i="4" a="1"/>
  <c r="DE4" i="4" s="1"/>
  <c r="DD4" i="4" a="1"/>
  <c r="DD4" i="4" s="1"/>
  <c r="DC4" i="4" a="1"/>
  <c r="DC4" i="4" s="1"/>
  <c r="DB4" i="4" a="1"/>
  <c r="DB4" i="4" s="1"/>
  <c r="DA4" i="4" a="1"/>
  <c r="DA4" i="4" s="1"/>
  <c r="GK3" i="4"/>
  <c r="GC3" i="4"/>
  <c r="DN3" i="4"/>
  <c r="DM3" i="4"/>
  <c r="DL3" i="4"/>
  <c r="DK3" i="4"/>
  <c r="DJ3" i="4" a="1"/>
  <c r="DJ3" i="4" s="1"/>
  <c r="DH3" i="4" a="1"/>
  <c r="DH3" i="4" s="1"/>
  <c r="DG3" i="4" a="1"/>
  <c r="DG3" i="4" s="1"/>
  <c r="DF3" i="4" a="1"/>
  <c r="DF3" i="4" s="1"/>
  <c r="DE3" i="4" a="1"/>
  <c r="DE3" i="4" s="1"/>
  <c r="DD3" i="4" a="1"/>
  <c r="DD3" i="4" s="1"/>
  <c r="DC3" i="4" a="1"/>
  <c r="DC3" i="4" s="1"/>
  <c r="DB3" i="4" a="1"/>
  <c r="DB3" i="4" s="1"/>
  <c r="DA3" i="4" a="1"/>
  <c r="DA3" i="4" s="1"/>
  <c r="DN2" i="4"/>
  <c r="DM2" i="4"/>
  <c r="DL2" i="4"/>
  <c r="DK2" i="4"/>
  <c r="DJ2" i="4" a="1"/>
  <c r="DJ2" i="4" s="1"/>
  <c r="DH2" i="4" a="1"/>
  <c r="DH2" i="4" s="1"/>
  <c r="DG2" i="4" a="1"/>
  <c r="DG2" i="4" s="1"/>
  <c r="DF2" i="4" a="1"/>
  <c r="DF2" i="4" s="1"/>
  <c r="DE2" i="4" a="1"/>
  <c r="DE2" i="4" s="1"/>
  <c r="DD2" i="4" a="1"/>
  <c r="DD2" i="4" s="1"/>
  <c r="DC2" i="4" a="1"/>
  <c r="DC2" i="4" s="1"/>
  <c r="DB2" i="4" a="1"/>
  <c r="DB2" i="4" s="1"/>
  <c r="DA2" i="4" a="1"/>
  <c r="DA2" i="4" s="1"/>
  <c r="DI249" i="4" l="1"/>
  <c r="DI91" i="4"/>
  <c r="DI66" i="4"/>
  <c r="DI88" i="4"/>
  <c r="DI105" i="4"/>
  <c r="DI143" i="4"/>
  <c r="DI152" i="4"/>
  <c r="DI200" i="4"/>
  <c r="DI219" i="4"/>
  <c r="DI264" i="4"/>
  <c r="DI106" i="4"/>
  <c r="DI202" i="4"/>
  <c r="DI51" i="4"/>
  <c r="DI96" i="4"/>
  <c r="DI111" i="4"/>
  <c r="DI124" i="4"/>
  <c r="DI190" i="4"/>
  <c r="DI207" i="4"/>
  <c r="DI107" i="4"/>
  <c r="DI110" i="4"/>
  <c r="DI61" i="4"/>
  <c r="DI82" i="4"/>
  <c r="DI97" i="4"/>
  <c r="DI171" i="4"/>
  <c r="DI241" i="4"/>
  <c r="DI254" i="4"/>
  <c r="DI256" i="4"/>
  <c r="DI258" i="4"/>
  <c r="DI260" i="4"/>
  <c r="DI243" i="4"/>
  <c r="DI247" i="4"/>
  <c r="DI93" i="4"/>
  <c r="DI100" i="4"/>
  <c r="DI135" i="4"/>
  <c r="DI166" i="4"/>
  <c r="DI221" i="4"/>
  <c r="DI74" i="4"/>
  <c r="DI83" i="4"/>
  <c r="DI90" i="4"/>
  <c r="DI109" i="4"/>
  <c r="DI123" i="4"/>
  <c r="DI139" i="4"/>
  <c r="DI145" i="4"/>
  <c r="DI176" i="4"/>
  <c r="DI49" i="4"/>
  <c r="DI114" i="4"/>
  <c r="DI115" i="4"/>
  <c r="DI117" i="4"/>
  <c r="DI180" i="4"/>
  <c r="DI187" i="4"/>
  <c r="DI231" i="4"/>
  <c r="DI55" i="4"/>
  <c r="DI57" i="4"/>
  <c r="DI65" i="4"/>
  <c r="DI80" i="4"/>
  <c r="DI129" i="4"/>
  <c r="DI196" i="4"/>
  <c r="DI179" i="4"/>
  <c r="DI245" i="4"/>
  <c r="DI6" i="4"/>
  <c r="DI22" i="4"/>
  <c r="DI26" i="4"/>
  <c r="DI52" i="4"/>
  <c r="DI73" i="4"/>
  <c r="DI101" i="4"/>
  <c r="DI140" i="4"/>
  <c r="DI156" i="4"/>
  <c r="DI167" i="4"/>
  <c r="DI233" i="4"/>
  <c r="DI235" i="4"/>
  <c r="DI4" i="4"/>
  <c r="DI16" i="4"/>
  <c r="DI18" i="4"/>
  <c r="DI20" i="4"/>
  <c r="DI46" i="4"/>
  <c r="DI54" i="4"/>
  <c r="DI62" i="4"/>
  <c r="DI67" i="4"/>
  <c r="DI146" i="4"/>
  <c r="DI172" i="4"/>
  <c r="DI211" i="4"/>
  <c r="DI213" i="4"/>
  <c r="DI215" i="4"/>
  <c r="DI14" i="4"/>
  <c r="DI47" i="4"/>
  <c r="DI48" i="4"/>
  <c r="DI50" i="4"/>
  <c r="DI59" i="4"/>
  <c r="DI72" i="4"/>
  <c r="DI92" i="4"/>
  <c r="DI102" i="4"/>
  <c r="DI157" i="4"/>
  <c r="DI168" i="4"/>
  <c r="DI183" i="4"/>
  <c r="DI192" i="4"/>
  <c r="DI194" i="4"/>
  <c r="DI225" i="4"/>
  <c r="DI227" i="4"/>
  <c r="DI251" i="4"/>
  <c r="DI262" i="4"/>
  <c r="DI8" i="4"/>
  <c r="DI10" i="4"/>
  <c r="DI12" i="4"/>
  <c r="DI24" i="4"/>
  <c r="DI28" i="4"/>
  <c r="DI53" i="4"/>
  <c r="DI58" i="4"/>
  <c r="DI60" i="4"/>
  <c r="DI70" i="4"/>
  <c r="DI86" i="4"/>
  <c r="DI122" i="4"/>
  <c r="DI193" i="4"/>
  <c r="DI199" i="4"/>
  <c r="DI212" i="4"/>
  <c r="DI216" i="4"/>
  <c r="DI218" i="4"/>
  <c r="DI224" i="4"/>
  <c r="DI234" i="4"/>
  <c r="DI240" i="4"/>
  <c r="DI252" i="4"/>
  <c r="DI255" i="4"/>
  <c r="DI263" i="4"/>
  <c r="DI81" i="4"/>
  <c r="DI87" i="4"/>
  <c r="DI112" i="4"/>
  <c r="DI150" i="4"/>
  <c r="DI154" i="4"/>
  <c r="DI159" i="4"/>
  <c r="DI170" i="4"/>
  <c r="DI185" i="4"/>
  <c r="DI197" i="4"/>
  <c r="DI203" i="4"/>
  <c r="DI206" i="4"/>
  <c r="DI222" i="4"/>
  <c r="DI228" i="4"/>
  <c r="DI239" i="4"/>
  <c r="DI242" i="4"/>
  <c r="DI250" i="4"/>
  <c r="DI259" i="4"/>
  <c r="DI56" i="4"/>
  <c r="DI78" i="4"/>
  <c r="DI79" i="4"/>
  <c r="DI95" i="4"/>
  <c r="DI104" i="4"/>
  <c r="DI130" i="4"/>
  <c r="DI131" i="4"/>
  <c r="DI136" i="4"/>
  <c r="DI137" i="4"/>
  <c r="DI142" i="4"/>
  <c r="DI148" i="4"/>
  <c r="DI151" i="4"/>
  <c r="DI160" i="4"/>
  <c r="DI162" i="4"/>
  <c r="DI178" i="4"/>
  <c r="DI186" i="4"/>
  <c r="DI191" i="4"/>
  <c r="DI198" i="4"/>
  <c r="DI201" i="4"/>
  <c r="DI204" i="4"/>
  <c r="DI205" i="4"/>
  <c r="DI209" i="4"/>
  <c r="DI210" i="4"/>
  <c r="DI214" i="4"/>
  <c r="DI223" i="4"/>
  <c r="DI226" i="4"/>
  <c r="DI229" i="4"/>
  <c r="DI232" i="4"/>
  <c r="DI253" i="4"/>
  <c r="DI257" i="4"/>
  <c r="DI261" i="4"/>
  <c r="DI121" i="4"/>
  <c r="DI165" i="4"/>
  <c r="DI182" i="4"/>
  <c r="DI189" i="4"/>
  <c r="DI195" i="4"/>
  <c r="DI208" i="4"/>
  <c r="DI220" i="4"/>
  <c r="DI230" i="4"/>
  <c r="DI236" i="4"/>
  <c r="DI238" i="4"/>
  <c r="DI244" i="4"/>
  <c r="DI246" i="4"/>
  <c r="CY264" i="4" a="1"/>
  <c r="CY264" i="4" s="1"/>
  <c r="CW264" i="4" a="1"/>
  <c r="CW264" i="4" s="1"/>
  <c r="CU264" i="4" a="1"/>
  <c r="CU264" i="4" s="1"/>
  <c r="CY261" i="4" a="1"/>
  <c r="CY261" i="4" s="1"/>
  <c r="CW261" i="4" a="1"/>
  <c r="CW261" i="4" s="1"/>
  <c r="CU261" i="4" a="1"/>
  <c r="CU261" i="4" s="1"/>
  <c r="CY253" i="4" a="1"/>
  <c r="CY253" i="4" s="1"/>
  <c r="CW253" i="4" a="1"/>
  <c r="CW253" i="4" s="1"/>
  <c r="CU253" i="4" a="1"/>
  <c r="CU253" i="4" s="1"/>
  <c r="CY252" i="4" a="1"/>
  <c r="CY252" i="4" s="1"/>
  <c r="CW252" i="4" a="1"/>
  <c r="CW252" i="4" s="1"/>
  <c r="CU252" i="4" a="1"/>
  <c r="CU252" i="4" s="1"/>
  <c r="CY229" i="4" a="1"/>
  <c r="CY229" i="4" s="1"/>
  <c r="CW229" i="4" a="1"/>
  <c r="CW229" i="4" s="1"/>
  <c r="CU229" i="4" a="1"/>
  <c r="CU229" i="4" s="1"/>
  <c r="CY226" i="4" a="1"/>
  <c r="CY226" i="4" s="1"/>
  <c r="CW226" i="4" a="1"/>
  <c r="CW226" i="4" s="1"/>
  <c r="CU226" i="4" a="1"/>
  <c r="CU226" i="4" s="1"/>
  <c r="CY210" i="4" a="1"/>
  <c r="CY210" i="4" s="1"/>
  <c r="CW210" i="4" a="1"/>
  <c r="CW210" i="4" s="1"/>
  <c r="CU210" i="4" a="1"/>
  <c r="CU210" i="4" s="1"/>
  <c r="CY203" i="4" a="1"/>
  <c r="CY203" i="4" s="1"/>
  <c r="CW203" i="4" a="1"/>
  <c r="CW203" i="4" s="1"/>
  <c r="CU203" i="4" a="1"/>
  <c r="CU203" i="4" s="1"/>
  <c r="CY197" i="4" a="1"/>
  <c r="CY197" i="4" s="1"/>
  <c r="CW197" i="4" a="1"/>
  <c r="CW197" i="4" s="1"/>
  <c r="CU197" i="4" a="1"/>
  <c r="CU197" i="4" s="1"/>
  <c r="CY195" i="4" a="1"/>
  <c r="CY195" i="4" s="1"/>
  <c r="CW195" i="4" a="1"/>
  <c r="CW195" i="4" s="1"/>
  <c r="CU195" i="4" a="1"/>
  <c r="CU195" i="4" s="1"/>
  <c r="CY194" i="4" a="1"/>
  <c r="CY194" i="4" s="1"/>
  <c r="CW194" i="4" a="1"/>
  <c r="CW194" i="4" s="1"/>
  <c r="CU194" i="4" a="1"/>
  <c r="CU194" i="4" s="1"/>
  <c r="CY191" i="4" a="1"/>
  <c r="CY191" i="4" s="1"/>
  <c r="CW191" i="4" a="1"/>
  <c r="CW191" i="4" s="1"/>
  <c r="CU191" i="4" a="1"/>
  <c r="CU191" i="4" s="1"/>
  <c r="CZ183" i="4" a="1"/>
  <c r="CZ183" i="4" s="1"/>
  <c r="CX183" i="4" a="1"/>
  <c r="CX183" i="4" s="1"/>
  <c r="CV183" i="4" a="1"/>
  <c r="CV183" i="4" s="1"/>
  <c r="CT183" i="4" a="1"/>
  <c r="CT183" i="4" s="1"/>
  <c r="CZ182" i="4" a="1"/>
  <c r="CZ182" i="4" s="1"/>
  <c r="CX182" i="4" a="1"/>
  <c r="CX182" i="4" s="1"/>
  <c r="CV182" i="4" a="1"/>
  <c r="CV182" i="4" s="1"/>
  <c r="CT182" i="4" a="1"/>
  <c r="CT182" i="4" s="1"/>
  <c r="CZ180" i="4" a="1"/>
  <c r="CZ180" i="4" s="1"/>
  <c r="CX180" i="4" a="1"/>
  <c r="CX180" i="4" s="1"/>
  <c r="CV180" i="4" a="1"/>
  <c r="CV180" i="4" s="1"/>
  <c r="CT180" i="4" a="1"/>
  <c r="CT180" i="4" s="1"/>
  <c r="CZ177" i="4" a="1"/>
  <c r="CZ177" i="4" s="1"/>
  <c r="CX177" i="4" a="1"/>
  <c r="CX177" i="4" s="1"/>
  <c r="CV177" i="4" a="1"/>
  <c r="CV177" i="4" s="1"/>
  <c r="CT177" i="4" a="1"/>
  <c r="CT177" i="4" s="1"/>
  <c r="CZ173" i="4" a="1"/>
  <c r="CZ173" i="4" s="1"/>
  <c r="CX173" i="4" a="1"/>
  <c r="CX173" i="4" s="1"/>
  <c r="CV173" i="4" a="1"/>
  <c r="CV173" i="4" s="1"/>
  <c r="CT173" i="4" a="1"/>
  <c r="CT173" i="4" s="1"/>
  <c r="CZ167" i="4" a="1"/>
  <c r="CZ167" i="4" s="1"/>
  <c r="CX167" i="4" a="1"/>
  <c r="CX167" i="4" s="1"/>
  <c r="CV167" i="4" a="1"/>
  <c r="CV167" i="4" s="1"/>
  <c r="CT167" i="4" a="1"/>
  <c r="CT167" i="4" s="1"/>
  <c r="CZ166" i="4" a="1"/>
  <c r="CZ166" i="4" s="1"/>
  <c r="CX166" i="4" a="1"/>
  <c r="CX166" i="4" s="1"/>
  <c r="CV166" i="4" a="1"/>
  <c r="CV166" i="4" s="1"/>
  <c r="CT166" i="4" a="1"/>
  <c r="CT166" i="4" s="1"/>
  <c r="CZ165" i="4" a="1"/>
  <c r="CZ165" i="4" s="1"/>
  <c r="CX165" i="4" a="1"/>
  <c r="CX165" i="4" s="1"/>
  <c r="CV165" i="4" a="1"/>
  <c r="CV165" i="4" s="1"/>
  <c r="CT165" i="4" a="1"/>
  <c r="CT165" i="4" s="1"/>
  <c r="CZ164" i="4" a="1"/>
  <c r="CZ164" i="4" s="1"/>
  <c r="CX164" i="4" a="1"/>
  <c r="CX164" i="4" s="1"/>
  <c r="CV164" i="4" a="1"/>
  <c r="CV164" i="4" s="1"/>
  <c r="CT164" i="4" a="1"/>
  <c r="CT164" i="4" s="1"/>
  <c r="CZ163" i="4" a="1"/>
  <c r="CZ163" i="4" s="1"/>
  <c r="CX163" i="4" a="1"/>
  <c r="CX163" i="4" s="1"/>
  <c r="CV163" i="4" a="1"/>
  <c r="CV163" i="4" s="1"/>
  <c r="CT163" i="4" a="1"/>
  <c r="CT163" i="4" s="1"/>
  <c r="CZ161" i="4" a="1"/>
  <c r="CZ161" i="4" s="1"/>
  <c r="CX161" i="4" a="1"/>
  <c r="CX161" i="4" s="1"/>
  <c r="CV161" i="4" a="1"/>
  <c r="CV161" i="4" s="1"/>
  <c r="CT161" i="4" a="1"/>
  <c r="CT161" i="4" s="1"/>
  <c r="CZ157" i="4" a="1"/>
  <c r="CZ157" i="4" s="1"/>
  <c r="CX157" i="4" a="1"/>
  <c r="CX157" i="4" s="1"/>
  <c r="CV157" i="4" a="1"/>
  <c r="CV157" i="4" s="1"/>
  <c r="CT157" i="4" a="1"/>
  <c r="CT157" i="4" s="1"/>
  <c r="CZ155" i="4" a="1"/>
  <c r="CZ155" i="4" s="1"/>
  <c r="CX155" i="4" a="1"/>
  <c r="CX155" i="4" s="1"/>
  <c r="CV155" i="4" a="1"/>
  <c r="CV155" i="4" s="1"/>
  <c r="CT155" i="4" a="1"/>
  <c r="CT155" i="4" s="1"/>
  <c r="CZ147" i="4" a="1"/>
  <c r="CZ147" i="4" s="1"/>
  <c r="CX147" i="4" a="1"/>
  <c r="CX147" i="4" s="1"/>
  <c r="CV147" i="4" a="1"/>
  <c r="CV147" i="4" s="1"/>
  <c r="CT147" i="4" a="1"/>
  <c r="CT147" i="4" s="1"/>
  <c r="CZ146" i="4" a="1"/>
  <c r="CZ146" i="4" s="1"/>
  <c r="CX146" i="4" a="1"/>
  <c r="CX146" i="4" s="1"/>
  <c r="CV146" i="4" a="1"/>
  <c r="CV146" i="4" s="1"/>
  <c r="CT146" i="4" a="1"/>
  <c r="CT146" i="4" s="1"/>
  <c r="CZ142" i="4" a="1"/>
  <c r="CZ142" i="4" s="1"/>
  <c r="CX142" i="4" a="1"/>
  <c r="CX142" i="4" s="1"/>
  <c r="CV142" i="4" a="1"/>
  <c r="CV142" i="4" s="1"/>
  <c r="CT142" i="4" a="1"/>
  <c r="CT142" i="4" s="1"/>
  <c r="CZ137" i="4" a="1"/>
  <c r="CZ137" i="4" s="1"/>
  <c r="CX137" i="4" a="1"/>
  <c r="CX137" i="4" s="1"/>
  <c r="CV137" i="4" a="1"/>
  <c r="CV137" i="4" s="1"/>
  <c r="CT137" i="4" a="1"/>
  <c r="CT137" i="4" s="1"/>
  <c r="CZ130" i="4" a="1"/>
  <c r="CZ130" i="4" s="1"/>
  <c r="CX130" i="4" a="1"/>
  <c r="CX130" i="4" s="1"/>
  <c r="CV130" i="4" a="1"/>
  <c r="CV130" i="4" s="1"/>
  <c r="CT130" i="4" a="1"/>
  <c r="CT130" i="4" s="1"/>
  <c r="CZ125" i="4" a="1"/>
  <c r="CZ125" i="4" s="1"/>
  <c r="CX125" i="4" a="1"/>
  <c r="CX125" i="4" s="1"/>
  <c r="CV125" i="4" a="1"/>
  <c r="CV125" i="4" s="1"/>
  <c r="CT125" i="4" a="1"/>
  <c r="CT125" i="4" s="1"/>
  <c r="CZ112" i="4" a="1"/>
  <c r="CZ112" i="4" s="1"/>
  <c r="CX112" i="4" a="1"/>
  <c r="CX112" i="4" s="1"/>
  <c r="CV112" i="4" a="1"/>
  <c r="CV112" i="4" s="1"/>
  <c r="CT112" i="4" a="1"/>
  <c r="CT112" i="4" s="1"/>
  <c r="CZ111" i="4" a="1"/>
  <c r="CZ111" i="4" s="1"/>
  <c r="CX111" i="4" a="1"/>
  <c r="CX111" i="4" s="1"/>
  <c r="CV111" i="4" a="1"/>
  <c r="CV111" i="4" s="1"/>
  <c r="CT111" i="4" a="1"/>
  <c r="CT111" i="4" s="1"/>
  <c r="CZ110" i="4" a="1"/>
  <c r="CZ110" i="4" s="1"/>
  <c r="CX110" i="4" a="1"/>
  <c r="CX110" i="4" s="1"/>
  <c r="CV110" i="4" a="1"/>
  <c r="CV110" i="4" s="1"/>
  <c r="CT110" i="4" a="1"/>
  <c r="CT110" i="4" s="1"/>
  <c r="CZ101" i="4" a="1"/>
  <c r="CZ101" i="4" s="1"/>
  <c r="CX101" i="4" a="1"/>
  <c r="CX101" i="4" s="1"/>
  <c r="CV101" i="4" a="1"/>
  <c r="CV101" i="4" s="1"/>
  <c r="CT101" i="4" a="1"/>
  <c r="CT101" i="4" s="1"/>
  <c r="CZ99" i="4" a="1"/>
  <c r="CZ99" i="4" s="1"/>
  <c r="CX99" i="4" a="1"/>
  <c r="CX99" i="4" s="1"/>
  <c r="CV99" i="4" a="1"/>
  <c r="CV99" i="4" s="1"/>
  <c r="CT99" i="4" a="1"/>
  <c r="CT99" i="4" s="1"/>
  <c r="CZ92" i="4" a="1"/>
  <c r="CZ92" i="4" s="1"/>
  <c r="CX92" i="4" a="1"/>
  <c r="CX92" i="4" s="1"/>
  <c r="CV92" i="4" a="1"/>
  <c r="CV92" i="4" s="1"/>
  <c r="CT92" i="4" a="1"/>
  <c r="CT92" i="4" s="1"/>
  <c r="CZ86" i="4" a="1"/>
  <c r="CZ86" i="4" s="1"/>
  <c r="CX86" i="4" a="1"/>
  <c r="CX86" i="4" s="1"/>
  <c r="CV86" i="4" a="1"/>
  <c r="CV86" i="4" s="1"/>
  <c r="CT86" i="4" a="1"/>
  <c r="CT86" i="4" s="1"/>
  <c r="CZ83" i="4" a="1"/>
  <c r="CZ83" i="4" s="1"/>
  <c r="CX83" i="4" a="1"/>
  <c r="CX83" i="4" s="1"/>
  <c r="CV83" i="4" a="1"/>
  <c r="CV83" i="4" s="1"/>
  <c r="CT83" i="4" a="1"/>
  <c r="CT83" i="4" s="1"/>
  <c r="CZ79" i="4" a="1"/>
  <c r="CZ79" i="4" s="1"/>
  <c r="CX79" i="4" a="1"/>
  <c r="CX79" i="4" s="1"/>
  <c r="CV79" i="4" a="1"/>
  <c r="CV79" i="4" s="1"/>
  <c r="CT79" i="4" a="1"/>
  <c r="CT79" i="4" s="1"/>
  <c r="CZ77" i="4" a="1"/>
  <c r="CZ77" i="4" s="1"/>
  <c r="CX77" i="4" a="1"/>
  <c r="CX77" i="4" s="1"/>
  <c r="CV77" i="4" a="1"/>
  <c r="CV77" i="4" s="1"/>
  <c r="CT77" i="4" a="1"/>
  <c r="CT77" i="4" s="1"/>
  <c r="CZ76" i="4" a="1"/>
  <c r="CZ76" i="4" s="1"/>
  <c r="CX76" i="4" a="1"/>
  <c r="CX76" i="4" s="1"/>
  <c r="CV76" i="4" a="1"/>
  <c r="CV76" i="4" s="1"/>
  <c r="CT76" i="4" a="1"/>
  <c r="CT76" i="4" s="1"/>
  <c r="CZ75" i="4" a="1"/>
  <c r="CZ75" i="4" s="1"/>
  <c r="CX75" i="4" a="1"/>
  <c r="CX75" i="4" s="1"/>
  <c r="CV75" i="4" a="1"/>
  <c r="CV75" i="4" s="1"/>
  <c r="CT75" i="4" a="1"/>
  <c r="CT75" i="4" s="1"/>
  <c r="CZ74" i="4" a="1"/>
  <c r="CZ74" i="4" s="1"/>
  <c r="CX74" i="4" a="1"/>
  <c r="CX74" i="4" s="1"/>
  <c r="CV74" i="4" a="1"/>
  <c r="CV74" i="4" s="1"/>
  <c r="CT74" i="4" a="1"/>
  <c r="CT74" i="4" s="1"/>
  <c r="CZ73" i="4" a="1"/>
  <c r="CZ73" i="4" s="1"/>
  <c r="CX73" i="4" a="1"/>
  <c r="CX73" i="4" s="1"/>
  <c r="CV73" i="4" a="1"/>
  <c r="CV73" i="4" s="1"/>
  <c r="CT73" i="4" a="1"/>
  <c r="CT73" i="4" s="1"/>
  <c r="CZ71" i="4" a="1"/>
  <c r="CZ71" i="4" s="1"/>
  <c r="CX71" i="4" a="1"/>
  <c r="CX71" i="4" s="1"/>
  <c r="CV71" i="4" a="1"/>
  <c r="CV71" i="4" s="1"/>
  <c r="CT71" i="4" a="1"/>
  <c r="CT71" i="4" s="1"/>
  <c r="CZ63" i="4" a="1"/>
  <c r="CZ63" i="4" s="1"/>
  <c r="CX63" i="4" a="1"/>
  <c r="CX63" i="4" s="1"/>
  <c r="CV63" i="4" a="1"/>
  <c r="CV63" i="4" s="1"/>
  <c r="CT63" i="4" a="1"/>
  <c r="CT63" i="4" s="1"/>
  <c r="CY52" i="4" a="1"/>
  <c r="CY52" i="4" s="1"/>
  <c r="CW52" i="4" a="1"/>
  <c r="CW52" i="4" s="1"/>
  <c r="CU52" i="4" a="1"/>
  <c r="CU52" i="4" s="1"/>
  <c r="CX264" i="4" a="1"/>
  <c r="CX264" i="4" s="1"/>
  <c r="CT261" i="4" a="1"/>
  <c r="CT261" i="4" s="1"/>
  <c r="CX253" i="4" a="1"/>
  <c r="CX253" i="4" s="1"/>
  <c r="CT252" i="4" a="1"/>
  <c r="CT252" i="4" s="1"/>
  <c r="CY245" i="4" a="1"/>
  <c r="CY245" i="4" s="1"/>
  <c r="CT245" i="4" a="1"/>
  <c r="CT245" i="4" s="1"/>
  <c r="CX242" i="4" a="1"/>
  <c r="CX242" i="4" s="1"/>
  <c r="CU242" i="4" a="1"/>
  <c r="CU242" i="4" s="1"/>
  <c r="CY241" i="4" a="1"/>
  <c r="CY241" i="4" s="1"/>
  <c r="CT241" i="4" a="1"/>
  <c r="CT241" i="4" s="1"/>
  <c r="CX240" i="4" a="1"/>
  <c r="CX240" i="4" s="1"/>
  <c r="CU240" i="4" a="1"/>
  <c r="CU240" i="4" s="1"/>
  <c r="CY239" i="4" a="1"/>
  <c r="CY239" i="4" s="1"/>
  <c r="CT239" i="4" a="1"/>
  <c r="CT239" i="4" s="1"/>
  <c r="CX229" i="4" a="1"/>
  <c r="CX229" i="4" s="1"/>
  <c r="CT226" i="4" a="1"/>
  <c r="CT226" i="4" s="1"/>
  <c r="CV210" i="4" a="1"/>
  <c r="CV210" i="4" s="1"/>
  <c r="CT203" i="4" a="1"/>
  <c r="CT203" i="4" s="1"/>
  <c r="CT197" i="4" a="1"/>
  <c r="CT197" i="4" s="1"/>
  <c r="CT195" i="4" a="1"/>
  <c r="CT195" i="4" s="1"/>
  <c r="CX194" i="4" a="1"/>
  <c r="CX194" i="4" s="1"/>
  <c r="CT191" i="4" a="1"/>
  <c r="CT191" i="4" s="1"/>
  <c r="CW182" i="4" a="1"/>
  <c r="CW182" i="4" s="1"/>
  <c r="CY177" i="4" a="1"/>
  <c r="CY177" i="4" s="1"/>
  <c r="CU173" i="4" a="1"/>
  <c r="CU173" i="4" s="1"/>
  <c r="CY166" i="4" a="1"/>
  <c r="CY166" i="4" s="1"/>
  <c r="CW165" i="4" a="1"/>
  <c r="CW165" i="4" s="1"/>
  <c r="CU164" i="4" a="1"/>
  <c r="CU164" i="4" s="1"/>
  <c r="CU163" i="4" a="1"/>
  <c r="CU163" i="4" s="1"/>
  <c r="CY155" i="4" a="1"/>
  <c r="CY155" i="4" s="1"/>
  <c r="CY146" i="4" a="1"/>
  <c r="CY146" i="4" s="1"/>
  <c r="CY130" i="4" a="1"/>
  <c r="CY130" i="4" s="1"/>
  <c r="CU125" i="4" a="1"/>
  <c r="CU125" i="4" s="1"/>
  <c r="CY110" i="4" a="1"/>
  <c r="CY110" i="4" s="1"/>
  <c r="CY101" i="4" a="1"/>
  <c r="CY101" i="4" s="1"/>
  <c r="CU99" i="4" a="1"/>
  <c r="CU99" i="4" s="1"/>
  <c r="CW86" i="4" a="1"/>
  <c r="CW86" i="4" s="1"/>
  <c r="CU83" i="4" a="1"/>
  <c r="CU83" i="4" s="1"/>
  <c r="CY79" i="4" a="1"/>
  <c r="CY79" i="4" s="1"/>
  <c r="CW77" i="4" a="1"/>
  <c r="CW77" i="4" s="1"/>
  <c r="CU76" i="4" a="1"/>
  <c r="CU76" i="4" s="1"/>
  <c r="CU75" i="4" a="1"/>
  <c r="CU75" i="4" s="1"/>
  <c r="CY71" i="4" a="1"/>
  <c r="CY71" i="4" s="1"/>
  <c r="CU63" i="4" a="1"/>
  <c r="CU63" i="4" s="1"/>
  <c r="CT52" i="4" a="1"/>
  <c r="CT52" i="4" s="1"/>
  <c r="CY49" i="4" a="1"/>
  <c r="CY49" i="4" s="1"/>
  <c r="CT49" i="4" a="1"/>
  <c r="CT49" i="4" s="1"/>
  <c r="CX46" i="4" a="1"/>
  <c r="CX46" i="4" s="1"/>
  <c r="CU46" i="4" a="1"/>
  <c r="CU46" i="4" s="1"/>
  <c r="CV44" i="4" a="1"/>
  <c r="CV44" i="4" s="1"/>
  <c r="CZ39" i="4" a="1"/>
  <c r="CZ39" i="4" s="1"/>
  <c r="CW39" i="4" a="1"/>
  <c r="CW39" i="4" s="1"/>
  <c r="CV36" i="4" a="1"/>
  <c r="CV36" i="4" s="1"/>
  <c r="CZ35" i="4" a="1"/>
  <c r="CZ35" i="4" s="1"/>
  <c r="CW35" i="4" a="1"/>
  <c r="CW35" i="4" s="1"/>
  <c r="CV32" i="4" a="1"/>
  <c r="CV32" i="4" s="1"/>
  <c r="CW28" i="4" a="1"/>
  <c r="CW28" i="4" s="1"/>
  <c r="CT28" i="4" a="1"/>
  <c r="CT28" i="4" s="1"/>
  <c r="CW24" i="4" a="1"/>
  <c r="CW24" i="4" s="1"/>
  <c r="CT24" i="4" a="1"/>
  <c r="CT24" i="4" s="1"/>
  <c r="CX21" i="4" a="1"/>
  <c r="CX21" i="4" s="1"/>
  <c r="CX15" i="4" a="1"/>
  <c r="CX15" i="4" s="1"/>
  <c r="CW12" i="4" a="1"/>
  <c r="CW12" i="4" s="1"/>
  <c r="CT12" i="4" a="1"/>
  <c r="CT12" i="4" s="1"/>
  <c r="CZ264" i="4" a="1"/>
  <c r="CZ264" i="4" s="1"/>
  <c r="CV261" i="4" a="1"/>
  <c r="CV261" i="4" s="1"/>
  <c r="CZ253" i="4" a="1"/>
  <c r="CZ253" i="4" s="1"/>
  <c r="CV252" i="4" a="1"/>
  <c r="CV252" i="4" s="1"/>
  <c r="CV245" i="4" a="1"/>
  <c r="CV245" i="4" s="1"/>
  <c r="CZ242" i="4" a="1"/>
  <c r="CZ242" i="4" s="1"/>
  <c r="CW242" i="4" a="1"/>
  <c r="CW242" i="4" s="1"/>
  <c r="CV241" i="4" a="1"/>
  <c r="CV241" i="4" s="1"/>
  <c r="CZ240" i="4" a="1"/>
  <c r="CZ240" i="4" s="1"/>
  <c r="CW240" i="4" a="1"/>
  <c r="CW240" i="4" s="1"/>
  <c r="CV239" i="4" a="1"/>
  <c r="CV239" i="4" s="1"/>
  <c r="CZ229" i="4" a="1"/>
  <c r="CZ229" i="4" s="1"/>
  <c r="CV226" i="4" a="1"/>
  <c r="CV226" i="4" s="1"/>
  <c r="CX210" i="4" a="1"/>
  <c r="CX210" i="4" s="1"/>
  <c r="CV203" i="4" a="1"/>
  <c r="CV203" i="4" s="1"/>
  <c r="CV197" i="4" a="1"/>
  <c r="CV197" i="4" s="1"/>
  <c r="CV195" i="4" a="1"/>
  <c r="CV195" i="4" s="1"/>
  <c r="CZ194" i="4" a="1"/>
  <c r="CZ194" i="4" s="1"/>
  <c r="CV191" i="4" a="1"/>
  <c r="CV191" i="4" s="1"/>
  <c r="CU183" i="4" a="1"/>
  <c r="CU183" i="4" s="1"/>
  <c r="CY182" i="4" a="1"/>
  <c r="CY182" i="4" s="1"/>
  <c r="CU180" i="4" a="1"/>
  <c r="CU180" i="4" s="1"/>
  <c r="CW173" i="4" a="1"/>
  <c r="CW173" i="4" s="1"/>
  <c r="CU167" i="4" a="1"/>
  <c r="CU167" i="4" s="1"/>
  <c r="CY165" i="4" a="1"/>
  <c r="CY165" i="4" s="1"/>
  <c r="CW164" i="4" a="1"/>
  <c r="CW164" i="4" s="1"/>
  <c r="CW163" i="4" a="1"/>
  <c r="CW163" i="4" s="1"/>
  <c r="CU161" i="4" a="1"/>
  <c r="CU161" i="4" s="1"/>
  <c r="CU157" i="4" a="1"/>
  <c r="CU157" i="4" s="1"/>
  <c r="CU147" i="4" a="1"/>
  <c r="CU147" i="4" s="1"/>
  <c r="CU142" i="4" a="1"/>
  <c r="CU142" i="4" s="1"/>
  <c r="CU137" i="4" a="1"/>
  <c r="CU137" i="4" s="1"/>
  <c r="CW125" i="4" a="1"/>
  <c r="CW125" i="4" s="1"/>
  <c r="CU112" i="4" a="1"/>
  <c r="CU112" i="4" s="1"/>
  <c r="CU111" i="4" a="1"/>
  <c r="CU111" i="4" s="1"/>
  <c r="CW99" i="4" a="1"/>
  <c r="CW99" i="4" s="1"/>
  <c r="CU92" i="4" a="1"/>
  <c r="CU92" i="4" s="1"/>
  <c r="CY86" i="4" a="1"/>
  <c r="CY86" i="4" s="1"/>
  <c r="CW83" i="4" a="1"/>
  <c r="CW83" i="4" s="1"/>
  <c r="CY77" i="4" a="1"/>
  <c r="CY77" i="4" s="1"/>
  <c r="CW76" i="4" a="1"/>
  <c r="CW76" i="4" s="1"/>
  <c r="CW75" i="4" a="1"/>
  <c r="CW75" i="4" s="1"/>
  <c r="CU74" i="4" a="1"/>
  <c r="CU74" i="4" s="1"/>
  <c r="CU73" i="4" a="1"/>
  <c r="CU73" i="4" s="1"/>
  <c r="CW63" i="4" a="1"/>
  <c r="CW63" i="4" s="1"/>
  <c r="CV52" i="4" a="1"/>
  <c r="CV52" i="4" s="1"/>
  <c r="CV49" i="4" a="1"/>
  <c r="CV49" i="4" s="1"/>
  <c r="CZ46" i="4" a="1"/>
  <c r="CZ46" i="4" s="1"/>
  <c r="CW46" i="4" a="1"/>
  <c r="CW46" i="4" s="1"/>
  <c r="CX44" i="4" a="1"/>
  <c r="CX44" i="4" s="1"/>
  <c r="CU44" i="4" a="1"/>
  <c r="CU44" i="4" s="1"/>
  <c r="CY39" i="4" a="1"/>
  <c r="CY39" i="4" s="1"/>
  <c r="CT39" i="4" a="1"/>
  <c r="CT39" i="4" s="1"/>
  <c r="CX36" i="4" a="1"/>
  <c r="CX36" i="4" s="1"/>
  <c r="CU36" i="4" a="1"/>
  <c r="CU36" i="4" s="1"/>
  <c r="CY35" i="4" a="1"/>
  <c r="CY35" i="4" s="1"/>
  <c r="CT35" i="4" a="1"/>
  <c r="CT35" i="4" s="1"/>
  <c r="CX32" i="4" a="1"/>
  <c r="CX32" i="4" s="1"/>
  <c r="CU32" i="4" a="1"/>
  <c r="CU32" i="4" s="1"/>
  <c r="CY28" i="4" a="1"/>
  <c r="CY28" i="4" s="1"/>
  <c r="CV28" i="4" a="1"/>
  <c r="CV28" i="4" s="1"/>
  <c r="CY24" i="4" a="1"/>
  <c r="CY24" i="4" s="1"/>
  <c r="CV24" i="4" a="1"/>
  <c r="CV24" i="4" s="1"/>
  <c r="CZ21" i="4" a="1"/>
  <c r="CZ21" i="4" s="1"/>
  <c r="CU21" i="4" a="1"/>
  <c r="CU21" i="4" s="1"/>
  <c r="CZ15" i="4" a="1"/>
  <c r="CZ15" i="4" s="1"/>
  <c r="CU15" i="4" a="1"/>
  <c r="CU15" i="4" s="1"/>
  <c r="CY12" i="4" a="1"/>
  <c r="CY12" i="4" s="1"/>
  <c r="CV12" i="4" a="1"/>
  <c r="CV12" i="4" s="1"/>
  <c r="CV264" i="4" a="1"/>
  <c r="CV264" i="4" s="1"/>
  <c r="CZ261" i="4" a="1"/>
  <c r="CZ261" i="4" s="1"/>
  <c r="CV253" i="4" a="1"/>
  <c r="CV253" i="4" s="1"/>
  <c r="CZ252" i="4" a="1"/>
  <c r="CZ252" i="4" s="1"/>
  <c r="CZ245" i="4" a="1"/>
  <c r="CZ245" i="4" s="1"/>
  <c r="CW245" i="4" a="1"/>
  <c r="CW245" i="4" s="1"/>
  <c r="CV242" i="4" a="1"/>
  <c r="CV242" i="4" s="1"/>
  <c r="CZ241" i="4" a="1"/>
  <c r="CZ241" i="4" s="1"/>
  <c r="CW241" i="4" a="1"/>
  <c r="CW241" i="4" s="1"/>
  <c r="CV240" i="4" a="1"/>
  <c r="CV240" i="4" s="1"/>
  <c r="CZ239" i="4" a="1"/>
  <c r="CZ239" i="4" s="1"/>
  <c r="CW239" i="4" a="1"/>
  <c r="CW239" i="4" s="1"/>
  <c r="CV229" i="4" a="1"/>
  <c r="CV229" i="4" s="1"/>
  <c r="CZ226" i="4" a="1"/>
  <c r="CZ226" i="4" s="1"/>
  <c r="CT210" i="4" a="1"/>
  <c r="CT210" i="4" s="1"/>
  <c r="CZ203" i="4" a="1"/>
  <c r="CZ203" i="4" s="1"/>
  <c r="CZ197" i="4" a="1"/>
  <c r="CZ197" i="4" s="1"/>
  <c r="CZ195" i="4" a="1"/>
  <c r="CZ195" i="4" s="1"/>
  <c r="CV194" i="4" a="1"/>
  <c r="CV194" i="4" s="1"/>
  <c r="CZ191" i="4" a="1"/>
  <c r="CZ191" i="4" s="1"/>
  <c r="CY183" i="4" a="1"/>
  <c r="CY183" i="4" s="1"/>
  <c r="CU182" i="4" a="1"/>
  <c r="CU182" i="4" s="1"/>
  <c r="CY180" i="4" a="1"/>
  <c r="CY180" i="4" s="1"/>
  <c r="CW177" i="4" a="1"/>
  <c r="CW177" i="4" s="1"/>
  <c r="CY167" i="4" a="1"/>
  <c r="CY167" i="4" s="1"/>
  <c r="CW166" i="4" a="1"/>
  <c r="CW166" i="4" s="1"/>
  <c r="CU165" i="4" a="1"/>
  <c r="CU165" i="4" s="1"/>
  <c r="CY161" i="4" a="1"/>
  <c r="CY161" i="4" s="1"/>
  <c r="CY157" i="4" a="1"/>
  <c r="CY157" i="4" s="1"/>
  <c r="CW155" i="4" a="1"/>
  <c r="CW155" i="4" s="1"/>
  <c r="CY147" i="4" a="1"/>
  <c r="CY147" i="4" s="1"/>
  <c r="CW146" i="4" a="1"/>
  <c r="CW146" i="4" s="1"/>
  <c r="CY142" i="4" a="1"/>
  <c r="CY142" i="4" s="1"/>
  <c r="CY137" i="4" a="1"/>
  <c r="CY137" i="4" s="1"/>
  <c r="CW130" i="4" a="1"/>
  <c r="CW130" i="4" s="1"/>
  <c r="CY112" i="4" a="1"/>
  <c r="CY112" i="4" s="1"/>
  <c r="CY111" i="4" a="1"/>
  <c r="CY111" i="4" s="1"/>
  <c r="CW110" i="4" a="1"/>
  <c r="CW110" i="4" s="1"/>
  <c r="CW101" i="4" a="1"/>
  <c r="CW101" i="4" s="1"/>
  <c r="CY92" i="4" a="1"/>
  <c r="CY92" i="4" s="1"/>
  <c r="CU86" i="4" a="1"/>
  <c r="CU86" i="4" s="1"/>
  <c r="CW79" i="4" a="1"/>
  <c r="CW79" i="4" s="1"/>
  <c r="CU77" i="4" a="1"/>
  <c r="CU77" i="4" s="1"/>
  <c r="CY74" i="4" a="1"/>
  <c r="CY74" i="4" s="1"/>
  <c r="CY73" i="4" a="1"/>
  <c r="CY73" i="4" s="1"/>
  <c r="CW71" i="4" a="1"/>
  <c r="CW71" i="4" s="1"/>
  <c r="CZ52" i="4" a="1"/>
  <c r="CZ52" i="4" s="1"/>
  <c r="CZ49" i="4" a="1"/>
  <c r="CZ49" i="4" s="1"/>
  <c r="CW49" i="4" a="1"/>
  <c r="CW49" i="4" s="1"/>
  <c r="CV46" i="4" a="1"/>
  <c r="CV46" i="4" s="1"/>
  <c r="CY44" i="4" a="1"/>
  <c r="CY44" i="4" s="1"/>
  <c r="CT44" i="4" a="1"/>
  <c r="CT44" i="4" s="1"/>
  <c r="CX39" i="4" a="1"/>
  <c r="CX39" i="4" s="1"/>
  <c r="CU39" i="4" a="1"/>
  <c r="CU39" i="4" s="1"/>
  <c r="CY36" i="4" a="1"/>
  <c r="CY36" i="4" s="1"/>
  <c r="CT36" i="4" a="1"/>
  <c r="CT36" i="4" s="1"/>
  <c r="CX35" i="4" a="1"/>
  <c r="CX35" i="4" s="1"/>
  <c r="CU35" i="4" a="1"/>
  <c r="CU35" i="4" s="1"/>
  <c r="CY32" i="4" a="1"/>
  <c r="CY32" i="4" s="1"/>
  <c r="CT32" i="4" a="1"/>
  <c r="CT32" i="4" s="1"/>
  <c r="CZ28" i="4" a="1"/>
  <c r="CZ28" i="4" s="1"/>
  <c r="CU28" i="4" a="1"/>
  <c r="CU28" i="4" s="1"/>
  <c r="CZ24" i="4" a="1"/>
  <c r="CZ24" i="4" s="1"/>
  <c r="CU24" i="4" a="1"/>
  <c r="CU24" i="4" s="1"/>
  <c r="CY21" i="4" a="1"/>
  <c r="CY21" i="4" s="1"/>
  <c r="CV21" i="4" a="1"/>
  <c r="CV21" i="4" s="1"/>
  <c r="CY15" i="4" a="1"/>
  <c r="CY15" i="4" s="1"/>
  <c r="CV15" i="4" a="1"/>
  <c r="CV15" i="4" s="1"/>
  <c r="CZ12" i="4" a="1"/>
  <c r="CZ12" i="4" s="1"/>
  <c r="CU12" i="4" a="1"/>
  <c r="CU12" i="4" s="1"/>
  <c r="CT242" i="4" a="1"/>
  <c r="CT242" i="4" s="1"/>
  <c r="CX241" i="4" a="1"/>
  <c r="CX241" i="4" s="1"/>
  <c r="CY173" i="4" a="1"/>
  <c r="CY173" i="4" s="1"/>
  <c r="CW161" i="4" a="1"/>
  <c r="CW161" i="4" s="1"/>
  <c r="CW112" i="4" a="1"/>
  <c r="CW112" i="4" s="1"/>
  <c r="CW92" i="4" a="1"/>
  <c r="CW92" i="4" s="1"/>
  <c r="CY76" i="4" a="1"/>
  <c r="CY76" i="4" s="1"/>
  <c r="CX52" i="4" a="1"/>
  <c r="CX52" i="4" s="1"/>
  <c r="CX49" i="4" a="1"/>
  <c r="CX49" i="4" s="1"/>
  <c r="CY46" i="4" a="1"/>
  <c r="CY46" i="4" s="1"/>
  <c r="CV39" i="4" a="1"/>
  <c r="CV39" i="4" s="1"/>
  <c r="CW36" i="4" a="1"/>
  <c r="CW36" i="4" s="1"/>
  <c r="CV35" i="4" a="1"/>
  <c r="CV35" i="4" s="1"/>
  <c r="CZ32" i="4" a="1"/>
  <c r="CZ32" i="4" s="1"/>
  <c r="CX28" i="4" a="1"/>
  <c r="CX28" i="4" s="1"/>
  <c r="CU241" i="4" a="1"/>
  <c r="CU241" i="4" s="1"/>
  <c r="CT240" i="4" a="1"/>
  <c r="CT240" i="4" s="1"/>
  <c r="CX239" i="4" a="1"/>
  <c r="CX239" i="4" s="1"/>
  <c r="CZ210" i="4" a="1"/>
  <c r="CZ210" i="4" s="1"/>
  <c r="CW167" i="4" a="1"/>
  <c r="CW167" i="4" s="1"/>
  <c r="CU166" i="4" a="1"/>
  <c r="CU166" i="4" s="1"/>
  <c r="CY164" i="4" a="1"/>
  <c r="CY164" i="4" s="1"/>
  <c r="CU155" i="4" a="1"/>
  <c r="CU155" i="4" s="1"/>
  <c r="CW147" i="4" a="1"/>
  <c r="CW147" i="4" s="1"/>
  <c r="CU146" i="4" a="1"/>
  <c r="CU146" i="4" s="1"/>
  <c r="CW137" i="4" a="1"/>
  <c r="CW137" i="4" s="1"/>
  <c r="CU101" i="4" a="1"/>
  <c r="CU101" i="4" s="1"/>
  <c r="CY99" i="4" a="1"/>
  <c r="CY99" i="4" s="1"/>
  <c r="CW73" i="4" a="1"/>
  <c r="CW73" i="4" s="1"/>
  <c r="CU49" i="4" a="1"/>
  <c r="CU49" i="4" s="1"/>
  <c r="CZ44" i="4" a="1"/>
  <c r="CZ44" i="4" s="1"/>
  <c r="CW32" i="4" a="1"/>
  <c r="CW32" i="4" s="1"/>
  <c r="CX261" i="4" a="1"/>
  <c r="CX261" i="4" s="1"/>
  <c r="CX252" i="4" a="1"/>
  <c r="CX252" i="4" s="1"/>
  <c r="CU245" i="4" a="1"/>
  <c r="CU245" i="4" s="1"/>
  <c r="CY240" i="4" a="1"/>
  <c r="CY240" i="4" s="1"/>
  <c r="CX226" i="4" a="1"/>
  <c r="CX226" i="4" s="1"/>
  <c r="CX203" i="4" a="1"/>
  <c r="CX203" i="4" s="1"/>
  <c r="CX197" i="4" a="1"/>
  <c r="CX197" i="4" s="1"/>
  <c r="CX195" i="4" a="1"/>
  <c r="CX195" i="4" s="1"/>
  <c r="CX191" i="4" a="1"/>
  <c r="CX191" i="4" s="1"/>
  <c r="CW183" i="4" a="1"/>
  <c r="CW183" i="4" s="1"/>
  <c r="CU177" i="4" a="1"/>
  <c r="CU177" i="4" s="1"/>
  <c r="CY163" i="4" a="1"/>
  <c r="CY163" i="4" s="1"/>
  <c r="CW157" i="4" a="1"/>
  <c r="CW157" i="4" s="1"/>
  <c r="CW142" i="4" a="1"/>
  <c r="CW142" i="4" s="1"/>
  <c r="CY125" i="4" a="1"/>
  <c r="CY125" i="4" s="1"/>
  <c r="CW111" i="4" a="1"/>
  <c r="CW111" i="4" s="1"/>
  <c r="CU110" i="4" a="1"/>
  <c r="CU110" i="4" s="1"/>
  <c r="CW74" i="4" a="1"/>
  <c r="CW74" i="4" s="1"/>
  <c r="CU71" i="4" a="1"/>
  <c r="CU71" i="4" s="1"/>
  <c r="CZ36" i="4" a="1"/>
  <c r="CZ36" i="4" s="1"/>
  <c r="CT21" i="4" a="1"/>
  <c r="CT21" i="4" s="1"/>
  <c r="CT15" i="4" a="1"/>
  <c r="CT15" i="4" s="1"/>
  <c r="EE3" i="4"/>
  <c r="EH4" i="4"/>
  <c r="EE11" i="4"/>
  <c r="EH12" i="4"/>
  <c r="EE19" i="4"/>
  <c r="EH20" i="4"/>
  <c r="DU27" i="4"/>
  <c r="DY30" i="4"/>
  <c r="EB31" i="4"/>
  <c r="DT32" i="4"/>
  <c r="DW35" i="4"/>
  <c r="DO38" i="4"/>
  <c r="DQ41" i="4"/>
  <c r="EE42" i="4"/>
  <c r="EG43" i="4"/>
  <c r="EA45" i="4"/>
  <c r="DX46" i="4"/>
  <c r="DS48" i="4"/>
  <c r="DT51" i="4"/>
  <c r="DZ53" i="4"/>
  <c r="DZ57" i="4"/>
  <c r="EE59" i="4"/>
  <c r="CY63" i="4" a="1"/>
  <c r="CY63" i="4" s="1"/>
  <c r="DI63" i="4"/>
  <c r="DY68" i="4"/>
  <c r="DT76" i="4"/>
  <c r="DX78" i="4"/>
  <c r="DP81" i="4"/>
  <c r="EH90" i="4"/>
  <c r="DU97" i="4"/>
  <c r="DY99" i="4"/>
  <c r="DP102" i="4"/>
  <c r="DV111" i="4"/>
  <c r="EF112" i="4"/>
  <c r="EB115" i="4"/>
  <c r="DQ116" i="4"/>
  <c r="DI119" i="4"/>
  <c r="DI126" i="4"/>
  <c r="CU130" i="4" a="1"/>
  <c r="CU130" i="4" s="1"/>
  <c r="DV142" i="4"/>
  <c r="EF143" i="4"/>
  <c r="EB146" i="4"/>
  <c r="DQ147" i="4"/>
  <c r="EH150" i="4"/>
  <c r="DR154" i="4"/>
  <c r="DQ156" i="4"/>
  <c r="DV160" i="4"/>
  <c r="DU162" i="4"/>
  <c r="DY164" i="4"/>
  <c r="EG167" i="4"/>
  <c r="DZ172" i="4"/>
  <c r="EG179" i="4"/>
  <c r="DZ183" i="4"/>
  <c r="DY188" i="4"/>
  <c r="EB193" i="4"/>
  <c r="EB197" i="4"/>
  <c r="EB201" i="4"/>
  <c r="DP208" i="4"/>
  <c r="DX215" i="4"/>
  <c r="EB218" i="4"/>
  <c r="EB222" i="4"/>
  <c r="EB226" i="4"/>
  <c r="EB230" i="4"/>
  <c r="EB234" i="4"/>
  <c r="CU239" i="4" a="1"/>
  <c r="CU239" i="4" s="1"/>
  <c r="DP241" i="4"/>
  <c r="DU247" i="4"/>
  <c r="DI248" i="4"/>
  <c r="DS256" i="4"/>
  <c r="EF257" i="4"/>
  <c r="EB263" i="4"/>
  <c r="CX24" i="4" a="1"/>
  <c r="CX24" i="4" s="1"/>
  <c r="FW47" i="4" a="1"/>
  <c r="FW47" i="4" s="1"/>
  <c r="FT47" i="4" a="1"/>
  <c r="FT47" i="4" s="1"/>
  <c r="EV47" i="4" a="1"/>
  <c r="EV47" i="4" s="1"/>
  <c r="FY47" i="4" a="1"/>
  <c r="FY47" i="4" s="1"/>
  <c r="FV47" i="4" a="1"/>
  <c r="FV47" i="4" s="1"/>
  <c r="EP47" i="4" a="1"/>
  <c r="EP47" i="4" s="1"/>
  <c r="FU47" i="4" a="1"/>
  <c r="FU47" i="4" s="1"/>
  <c r="FX47" i="4" a="1"/>
  <c r="FX47" i="4" s="1"/>
  <c r="FS47" i="4" a="1"/>
  <c r="FS47" i="4" s="1"/>
  <c r="FJ54" i="4" a="1"/>
  <c r="FJ54" i="4" s="1"/>
  <c r="FH54" i="4" a="1"/>
  <c r="FH54" i="4" s="1"/>
  <c r="FF54" i="4" a="1"/>
  <c r="FF54" i="4" s="1"/>
  <c r="FE54" i="4" a="1"/>
  <c r="FE54" i="4" s="1"/>
  <c r="FG54" i="4" a="1"/>
  <c r="FG54" i="4" s="1"/>
  <c r="FK54" i="4" a="1"/>
  <c r="FK54" i="4" s="1"/>
  <c r="EM54" i="4" a="1"/>
  <c r="EM54" i="4" s="1"/>
  <c r="FI54" i="4" a="1"/>
  <c r="FI54" i="4" s="1"/>
  <c r="ES54" i="4" a="1"/>
  <c r="ES54" i="4" s="1"/>
  <c r="EQ62" i="4" a="1"/>
  <c r="EQ62" i="4" s="1"/>
  <c r="EK62" i="4" a="1"/>
  <c r="EK62" i="4" s="1"/>
  <c r="FQ64" i="4" a="1"/>
  <c r="FQ64" i="4" s="1"/>
  <c r="FO64" i="4" a="1"/>
  <c r="FO64" i="4" s="1"/>
  <c r="FM64" i="4" a="1"/>
  <c r="FM64" i="4" s="1"/>
  <c r="EU64" i="4" a="1"/>
  <c r="EU64" i="4" s="1"/>
  <c r="EO64" i="4" a="1"/>
  <c r="EO64" i="4" s="1"/>
  <c r="FN64" i="4" a="1"/>
  <c r="FN64" i="4" s="1"/>
  <c r="FP64" i="4" a="1"/>
  <c r="FP64" i="4" s="1"/>
  <c r="FL64" i="4" a="1"/>
  <c r="FL64" i="4" s="1"/>
  <c r="FR64" i="4" a="1"/>
  <c r="FR64" i="4" s="1"/>
  <c r="CY75" i="4" a="1"/>
  <c r="CY75" i="4" s="1"/>
  <c r="FC110" i="4" a="1"/>
  <c r="FC110" i="4" s="1"/>
  <c r="FA110" i="4" a="1"/>
  <c r="FA110" i="4" s="1"/>
  <c r="EY110" i="4" a="1"/>
  <c r="EY110" i="4" s="1"/>
  <c r="FB110" i="4" a="1"/>
  <c r="FB110" i="4" s="1"/>
  <c r="EL110" i="4" a="1"/>
  <c r="EL110" i="4" s="1"/>
  <c r="FD110" i="4" a="1"/>
  <c r="FD110" i="4" s="1"/>
  <c r="EZ110" i="4" a="1"/>
  <c r="EZ110" i="4" s="1"/>
  <c r="ER110" i="4" a="1"/>
  <c r="ER110" i="4" s="1"/>
  <c r="EX110" i="4" a="1"/>
  <c r="EX110" i="4" s="1"/>
  <c r="EQ118" i="4" a="1"/>
  <c r="EQ118" i="4" s="1"/>
  <c r="EK118" i="4" a="1"/>
  <c r="EK118" i="4" s="1"/>
  <c r="EQ125" i="4" a="1"/>
  <c r="EQ125" i="4" s="1"/>
  <c r="EK125" i="4" a="1"/>
  <c r="EK125" i="4" s="1"/>
  <c r="FQ127" i="4" a="1"/>
  <c r="FQ127" i="4" s="1"/>
  <c r="FO127" i="4" a="1"/>
  <c r="FO127" i="4" s="1"/>
  <c r="FM127" i="4" a="1"/>
  <c r="FM127" i="4" s="1"/>
  <c r="EU127" i="4" a="1"/>
  <c r="EU127" i="4" s="1"/>
  <c r="EO127" i="4" a="1"/>
  <c r="EO127" i="4" s="1"/>
  <c r="FN127" i="4" a="1"/>
  <c r="FN127" i="4" s="1"/>
  <c r="FP127" i="4" a="1"/>
  <c r="FP127" i="4" s="1"/>
  <c r="FL127" i="4" a="1"/>
  <c r="FL127" i="4" s="1"/>
  <c r="FR127" i="4" a="1"/>
  <c r="FR127" i="4" s="1"/>
  <c r="FK135" i="4" a="1"/>
  <c r="FK135" i="4" s="1"/>
  <c r="FI135" i="4" a="1"/>
  <c r="FI135" i="4" s="1"/>
  <c r="FG135" i="4" a="1"/>
  <c r="FG135" i="4" s="1"/>
  <c r="FE135" i="4" a="1"/>
  <c r="FE135" i="4" s="1"/>
  <c r="ES135" i="4" a="1"/>
  <c r="ES135" i="4" s="1"/>
  <c r="EM135" i="4" a="1"/>
  <c r="EM135" i="4" s="1"/>
  <c r="FH135" i="4" a="1"/>
  <c r="FH135" i="4" s="1"/>
  <c r="FJ135" i="4" a="1"/>
  <c r="FJ135" i="4" s="1"/>
  <c r="FF135" i="4" a="1"/>
  <c r="FF135" i="4" s="1"/>
  <c r="CT229" i="4" a="1"/>
  <c r="CT229" i="4" s="1"/>
  <c r="EE7" i="4"/>
  <c r="EH8" i="4"/>
  <c r="CW15" i="4" a="1"/>
  <c r="CW15" i="4" s="1"/>
  <c r="EE15" i="4"/>
  <c r="EH16" i="4"/>
  <c r="EE23" i="4"/>
  <c r="EH24" i="4"/>
  <c r="DW26" i="4"/>
  <c r="DU29" i="4"/>
  <c r="DI31" i="4"/>
  <c r="DO34" i="4"/>
  <c r="DW39" i="4"/>
  <c r="DI45" i="4"/>
  <c r="DZ55" i="4"/>
  <c r="DO61" i="4"/>
  <c r="EJ61" i="4" s="1" a="1"/>
  <c r="EJ61" i="4" s="1"/>
  <c r="ED63" i="4"/>
  <c r="EH65" i="4"/>
  <c r="DR71" i="4"/>
  <c r="DP74" i="4"/>
  <c r="ED77" i="4"/>
  <c r="DR79" i="4"/>
  <c r="CY83" i="4" a="1"/>
  <c r="CY83" i="4" s="1"/>
  <c r="DP83" i="4"/>
  <c r="DZ88" i="4"/>
  <c r="DP93" i="4"/>
  <c r="DR100" i="4"/>
  <c r="DU106" i="4"/>
  <c r="ED119" i="4"/>
  <c r="EH121" i="4"/>
  <c r="EG123" i="4"/>
  <c r="ED126" i="4"/>
  <c r="EF131" i="4"/>
  <c r="DU132" i="4"/>
  <c r="EB136" i="4"/>
  <c r="DT138" i="4"/>
  <c r="EB140" i="4"/>
  <c r="DQ141" i="4"/>
  <c r="DZ148" i="4"/>
  <c r="DY153" i="4"/>
  <c r="EC155" i="4"/>
  <c r="DT158" i="4"/>
  <c r="DR165" i="4"/>
  <c r="DR177" i="4"/>
  <c r="EH185" i="4"/>
  <c r="DR189" i="4"/>
  <c r="EB191" i="4"/>
  <c r="EB195" i="4"/>
  <c r="EB199" i="4"/>
  <c r="EB203" i="4"/>
  <c r="DS205" i="4"/>
  <c r="EF206" i="4"/>
  <c r="DV210" i="4"/>
  <c r="EI211" i="4"/>
  <c r="EA212" i="4"/>
  <c r="EB220" i="4"/>
  <c r="EB224" i="4"/>
  <c r="EB228" i="4"/>
  <c r="EB232" i="4"/>
  <c r="EB236" i="4"/>
  <c r="DU239" i="4"/>
  <c r="CX245" i="4" a="1"/>
  <c r="CX245" i="4" s="1"/>
  <c r="EA248" i="4"/>
  <c r="DO251" i="4"/>
  <c r="CT253" i="4" a="1"/>
  <c r="CT253" i="4" s="1"/>
  <c r="DP259" i="4"/>
  <c r="EB261" i="4"/>
  <c r="DA131" i="4" a="1"/>
  <c r="DA131" i="4" s="1"/>
  <c r="DA140" i="4" a="1"/>
  <c r="DA140" i="4" s="1"/>
  <c r="FJ58" i="4" a="1"/>
  <c r="FJ58" i="4" s="1"/>
  <c r="FH58" i="4" a="1"/>
  <c r="FH58" i="4" s="1"/>
  <c r="FF58" i="4" a="1"/>
  <c r="FF58" i="4" s="1"/>
  <c r="FE58" i="4" a="1"/>
  <c r="FE58" i="4" s="1"/>
  <c r="FG58" i="4" a="1"/>
  <c r="FG58" i="4" s="1"/>
  <c r="FK58" i="4" a="1"/>
  <c r="FK58" i="4" s="1"/>
  <c r="EM58" i="4" a="1"/>
  <c r="EM58" i="4" s="1"/>
  <c r="FI58" i="4" a="1"/>
  <c r="FI58" i="4" s="1"/>
  <c r="ES58" i="4" a="1"/>
  <c r="ES58" i="4" s="1"/>
  <c r="DI84" i="4"/>
  <c r="FC87" i="4" a="1"/>
  <c r="FC87" i="4" s="1"/>
  <c r="FA87" i="4" a="1"/>
  <c r="FA87" i="4" s="1"/>
  <c r="EY87" i="4" a="1"/>
  <c r="EY87" i="4" s="1"/>
  <c r="FB87" i="4" a="1"/>
  <c r="FB87" i="4" s="1"/>
  <c r="EL87" i="4" a="1"/>
  <c r="EL87" i="4" s="1"/>
  <c r="FD87" i="4" a="1"/>
  <c r="FD87" i="4" s="1"/>
  <c r="EZ87" i="4" a="1"/>
  <c r="EZ87" i="4" s="1"/>
  <c r="ER87" i="4" a="1"/>
  <c r="ER87" i="4" s="1"/>
  <c r="EX87" i="4" a="1"/>
  <c r="EX87" i="4" s="1"/>
  <c r="DI94" i="4"/>
  <c r="FQ120" i="4" a="1"/>
  <c r="FQ120" i="4" s="1"/>
  <c r="FO120" i="4" a="1"/>
  <c r="FO120" i="4" s="1"/>
  <c r="FM120" i="4" a="1"/>
  <c r="FM120" i="4" s="1"/>
  <c r="EU120" i="4" a="1"/>
  <c r="EU120" i="4" s="1"/>
  <c r="EO120" i="4" a="1"/>
  <c r="EO120" i="4" s="1"/>
  <c r="FN120" i="4" a="1"/>
  <c r="FN120" i="4" s="1"/>
  <c r="FP120" i="4" a="1"/>
  <c r="FP120" i="4" s="1"/>
  <c r="FL120" i="4" a="1"/>
  <c r="FL120" i="4" s="1"/>
  <c r="FR120" i="4" a="1"/>
  <c r="FR120" i="4" s="1"/>
  <c r="FY168" i="4" a="1"/>
  <c r="FY168" i="4" s="1"/>
  <c r="FW168" i="4" a="1"/>
  <c r="FW168" i="4" s="1"/>
  <c r="FU168" i="4" a="1"/>
  <c r="FU168" i="4" s="1"/>
  <c r="FS168" i="4" a="1"/>
  <c r="FS168" i="4" s="1"/>
  <c r="FT168" i="4" a="1"/>
  <c r="FT168" i="4" s="1"/>
  <c r="EV168" i="4" a="1"/>
  <c r="EV168" i="4" s="1"/>
  <c r="FV168" i="4" a="1"/>
  <c r="FV168" i="4" s="1"/>
  <c r="EP168" i="4" a="1"/>
  <c r="EP168" i="4" s="1"/>
  <c r="FX168" i="4" a="1"/>
  <c r="FX168" i="4" s="1"/>
  <c r="FQ173" i="4" a="1"/>
  <c r="FQ173" i="4" s="1"/>
  <c r="FO173" i="4" a="1"/>
  <c r="FO173" i="4" s="1"/>
  <c r="FM173" i="4" a="1"/>
  <c r="FM173" i="4" s="1"/>
  <c r="EU173" i="4" a="1"/>
  <c r="EU173" i="4" s="1"/>
  <c r="EO173" i="4" a="1"/>
  <c r="EO173" i="4" s="1"/>
  <c r="FN173" i="4" a="1"/>
  <c r="FN173" i="4" s="1"/>
  <c r="FP173" i="4" a="1"/>
  <c r="FP173" i="4" s="1"/>
  <c r="FL173" i="4" a="1"/>
  <c r="FL173" i="4" s="1"/>
  <c r="FR173" i="4" a="1"/>
  <c r="FR173" i="4" s="1"/>
  <c r="FY180" i="4" a="1"/>
  <c r="FY180" i="4" s="1"/>
  <c r="FW180" i="4" a="1"/>
  <c r="FW180" i="4" s="1"/>
  <c r="FU180" i="4" a="1"/>
  <c r="FU180" i="4" s="1"/>
  <c r="FS180" i="4" a="1"/>
  <c r="FS180" i="4" s="1"/>
  <c r="FT180" i="4" a="1"/>
  <c r="FT180" i="4" s="1"/>
  <c r="EV180" i="4" a="1"/>
  <c r="EV180" i="4" s="1"/>
  <c r="FV180" i="4" a="1"/>
  <c r="FV180" i="4" s="1"/>
  <c r="EP180" i="4" a="1"/>
  <c r="EP180" i="4" s="1"/>
  <c r="FX180" i="4" a="1"/>
  <c r="FX180" i="4" s="1"/>
  <c r="FQ184" i="4" a="1"/>
  <c r="FQ184" i="4" s="1"/>
  <c r="FO184" i="4" a="1"/>
  <c r="FO184" i="4" s="1"/>
  <c r="FM184" i="4" a="1"/>
  <c r="FM184" i="4" s="1"/>
  <c r="EU184" i="4" a="1"/>
  <c r="EU184" i="4" s="1"/>
  <c r="EO184" i="4" a="1"/>
  <c r="EO184" i="4" s="1"/>
  <c r="FN184" i="4" a="1"/>
  <c r="FN184" i="4" s="1"/>
  <c r="FP184" i="4" a="1"/>
  <c r="FP184" i="4" s="1"/>
  <c r="FL184" i="4" a="1"/>
  <c r="FL184" i="4" s="1"/>
  <c r="FR184" i="4" a="1"/>
  <c r="FR184" i="4" s="1"/>
  <c r="EQ216" i="4" a="1"/>
  <c r="EQ216" i="4" s="1"/>
  <c r="EK216" i="4" a="1"/>
  <c r="EK216" i="4" s="1"/>
  <c r="ET240" i="4" a="1"/>
  <c r="ET240" i="4" s="1"/>
  <c r="EN240" i="4" a="1"/>
  <c r="EN240" i="4" s="1"/>
  <c r="DZ264" i="4"/>
  <c r="DR263" i="4"/>
  <c r="DZ262" i="4"/>
  <c r="DR261" i="4"/>
  <c r="DZ260" i="4"/>
  <c r="EA259" i="4"/>
  <c r="EI258" i="4"/>
  <c r="DV257" i="4"/>
  <c r="ED256" i="4"/>
  <c r="DP255" i="4"/>
  <c r="DX254" i="4"/>
  <c r="EF253" i="4"/>
  <c r="DR252" i="4"/>
  <c r="DZ251" i="4"/>
  <c r="DR250" i="4"/>
  <c r="DS249" i="4"/>
  <c r="DQ248" i="4"/>
  <c r="EF247" i="4"/>
  <c r="EI246" i="4"/>
  <c r="DP245" i="4"/>
  <c r="DS244" i="4"/>
  <c r="DU243" i="4"/>
  <c r="DX242" i="4"/>
  <c r="EA241" i="4"/>
  <c r="EC240" i="4"/>
  <c r="EF239" i="4"/>
  <c r="EI238" i="4"/>
  <c r="DP237" i="4"/>
  <c r="DR236" i="4"/>
  <c r="DZ235" i="4"/>
  <c r="DR234" i="4"/>
  <c r="DZ233" i="4"/>
  <c r="DR232" i="4"/>
  <c r="DZ231" i="4"/>
  <c r="DR230" i="4"/>
  <c r="DZ229" i="4"/>
  <c r="DR228" i="4"/>
  <c r="DZ227" i="4"/>
  <c r="DR226" i="4"/>
  <c r="DZ225" i="4"/>
  <c r="DR224" i="4"/>
  <c r="DZ223" i="4"/>
  <c r="DR222" i="4"/>
  <c r="DZ221" i="4"/>
  <c r="DR220" i="4"/>
  <c r="DZ219" i="4"/>
  <c r="DR218" i="4"/>
  <c r="DZ217" i="4"/>
  <c r="EA216" i="4"/>
  <c r="EI215" i="4"/>
  <c r="DV214" i="4"/>
  <c r="ED213" i="4"/>
  <c r="DP212" i="4"/>
  <c r="DX211" i="4"/>
  <c r="EF210" i="4"/>
  <c r="DS209" i="4"/>
  <c r="EA208" i="4"/>
  <c r="EI207" i="4"/>
  <c r="DV206" i="4"/>
  <c r="ED205" i="4"/>
  <c r="DZ204" i="4"/>
  <c r="DR203" i="4"/>
  <c r="DZ202" i="4"/>
  <c r="DR201" i="4"/>
  <c r="DZ200" i="4"/>
  <c r="DR199" i="4"/>
  <c r="DZ198" i="4"/>
  <c r="DR197" i="4"/>
  <c r="DZ196" i="4"/>
  <c r="DR195" i="4"/>
  <c r="DZ194" i="4"/>
  <c r="DR193" i="4"/>
  <c r="DZ192" i="4"/>
  <c r="DR191" i="4"/>
  <c r="DQ190" i="4"/>
  <c r="EC189" i="4"/>
  <c r="DU187" i="4"/>
  <c r="EG186" i="4"/>
  <c r="DX185" i="4"/>
  <c r="ED184" i="4"/>
  <c r="DP183" i="4"/>
  <c r="DY181" i="4"/>
  <c r="EF180" i="4"/>
  <c r="DV179" i="4"/>
  <c r="DQ178" i="4"/>
  <c r="EC177" i="4"/>
  <c r="DR176" i="4"/>
  <c r="DY175" i="4"/>
  <c r="DT174" i="4"/>
  <c r="ED173" i="4"/>
  <c r="DP172" i="4"/>
  <c r="EB171" i="4"/>
  <c r="DR170" i="4"/>
  <c r="DY169" i="4"/>
  <c r="EF168" i="4"/>
  <c r="DV167" i="4"/>
  <c r="DQ166" i="4"/>
  <c r="EC165" i="4"/>
  <c r="DU163" i="4"/>
  <c r="EF162" i="4"/>
  <c r="DV161" i="4"/>
  <c r="EG160" i="4"/>
  <c r="DX159" i="4"/>
  <c r="ED158" i="4"/>
  <c r="DP157" i="4"/>
  <c r="EB156" i="4"/>
  <c r="DR155" i="4"/>
  <c r="EC154" i="4"/>
  <c r="DU152" i="4"/>
  <c r="EG151" i="4"/>
  <c r="DX150" i="4"/>
  <c r="ED149" i="4"/>
  <c r="DP148" i="4"/>
  <c r="EB147" i="4"/>
  <c r="DQ146" i="4"/>
  <c r="EC145" i="4"/>
  <c r="DU143" i="4"/>
  <c r="EG142" i="4"/>
  <c r="EB141" i="4"/>
  <c r="DQ140" i="4"/>
  <c r="DX139" i="4"/>
  <c r="ED138" i="4"/>
  <c r="DP137" i="4"/>
  <c r="DQ136" i="4"/>
  <c r="EC135" i="4"/>
  <c r="DY133" i="4"/>
  <c r="EF132" i="4"/>
  <c r="DU131" i="4"/>
  <c r="DV130" i="4"/>
  <c r="EH129" i="4"/>
  <c r="DT128" i="4"/>
  <c r="ED127" i="4"/>
  <c r="DT126" i="4"/>
  <c r="DZ125" i="4"/>
  <c r="EF124" i="4"/>
  <c r="DV123" i="4"/>
  <c r="EG122" i="4"/>
  <c r="DX121" i="4"/>
  <c r="ED120" i="4"/>
  <c r="DT119" i="4"/>
  <c r="DZ118" i="4"/>
  <c r="DP117" i="4"/>
  <c r="EB116" i="4"/>
  <c r="DQ115" i="4"/>
  <c r="EC114" i="4"/>
  <c r="DU112" i="4"/>
  <c r="EG111" i="4"/>
  <c r="EB110" i="4"/>
  <c r="DR109" i="4"/>
  <c r="DY108" i="4"/>
  <c r="EF107" i="4"/>
  <c r="EF106" i="4"/>
  <c r="DV105" i="4"/>
  <c r="EH104" i="4"/>
  <c r="DT103" i="4"/>
  <c r="DZ102" i="4"/>
  <c r="DQ101" i="4"/>
  <c r="EC100" i="4"/>
  <c r="DU98" i="4"/>
  <c r="EF97" i="4"/>
  <c r="DV96" i="4"/>
  <c r="EH95" i="4"/>
  <c r="DT94" i="4"/>
  <c r="DZ93" i="4"/>
  <c r="DQ92" i="4"/>
  <c r="EG91" i="4"/>
  <c r="DX90" i="4"/>
  <c r="ED89" i="4"/>
  <c r="DP88" i="4"/>
  <c r="EB87" i="4"/>
  <c r="DR86" i="4"/>
  <c r="DY85" i="4"/>
  <c r="DT84" i="4"/>
  <c r="DZ83" i="4"/>
  <c r="DZ82" i="4"/>
  <c r="DZ81" i="4"/>
  <c r="DQ80" i="4"/>
  <c r="EC79" i="4"/>
  <c r="EH78" i="4"/>
  <c r="DT77" i="4"/>
  <c r="ED76" i="4"/>
  <c r="DP75" i="4"/>
  <c r="DZ74" i="4"/>
  <c r="EB73" i="4"/>
  <c r="DQ72" i="4"/>
  <c r="EC71" i="4"/>
  <c r="DR70" i="4"/>
  <c r="DY69" i="4"/>
  <c r="DU67" i="4"/>
  <c r="EG66" i="4"/>
  <c r="DX65" i="4"/>
  <c r="ED64" i="4"/>
  <c r="DT63" i="4"/>
  <c r="DZ62" i="4"/>
  <c r="DZ61" i="4"/>
  <c r="DR60" i="4"/>
  <c r="DT59" i="4"/>
  <c r="EB58" i="4"/>
  <c r="DO57" i="4"/>
  <c r="EB56" i="4"/>
  <c r="DO55" i="4"/>
  <c r="EB54" i="4"/>
  <c r="DO53" i="4"/>
  <c r="EB52" i="4"/>
  <c r="EE51" i="4"/>
  <c r="DX50" i="4"/>
  <c r="EA49" i="4"/>
  <c r="EC48" i="4"/>
  <c r="EF47" i="4"/>
  <c r="EI46" i="4"/>
  <c r="DP45" i="4"/>
  <c r="DW43" i="4"/>
  <c r="DT42" i="4"/>
  <c r="EB41" i="4"/>
  <c r="DY40" i="4"/>
  <c r="EG39" i="4"/>
  <c r="DY38" i="4"/>
  <c r="EG37" i="4"/>
  <c r="DY36" i="4"/>
  <c r="EG35" i="4"/>
  <c r="DY34" i="4"/>
  <c r="EG33" i="4"/>
  <c r="EE32" i="4"/>
  <c r="DQ31" i="4"/>
  <c r="DO30" i="4"/>
  <c r="EE29" i="4"/>
  <c r="EH28" i="4"/>
  <c r="EE27" i="4"/>
  <c r="EH26" i="4"/>
  <c r="EE25" i="4"/>
  <c r="DW24" i="4"/>
  <c r="DU23" i="4"/>
  <c r="DW22" i="4"/>
  <c r="DU21" i="4"/>
  <c r="DW20" i="4"/>
  <c r="DU19" i="4"/>
  <c r="DW18" i="4"/>
  <c r="DU17" i="4"/>
  <c r="DW16" i="4"/>
  <c r="DU15" i="4"/>
  <c r="DW14" i="4"/>
  <c r="DU13" i="4"/>
  <c r="DW12" i="4"/>
  <c r="DU11" i="4"/>
  <c r="DW10" i="4"/>
  <c r="DU9" i="4"/>
  <c r="DW8" i="4"/>
  <c r="DU7" i="4"/>
  <c r="DW6" i="4"/>
  <c r="DU5" i="4"/>
  <c r="DW4" i="4"/>
  <c r="DU3" i="4"/>
  <c r="EE2" i="4"/>
  <c r="DT264" i="4"/>
  <c r="EH263" i="4"/>
  <c r="DT262" i="4"/>
  <c r="EH261" i="4"/>
  <c r="DT260" i="4"/>
  <c r="DV259" i="4"/>
  <c r="ED258" i="4"/>
  <c r="DP257" i="4"/>
  <c r="DX256" i="4"/>
  <c r="EF255" i="4"/>
  <c r="DS254" i="4"/>
  <c r="EA253" i="4"/>
  <c r="EH252" i="4"/>
  <c r="DT251" i="4"/>
  <c r="EH250" i="4"/>
  <c r="EI249" i="4"/>
  <c r="EG248" i="4"/>
  <c r="EA247" i="4"/>
  <c r="EC246" i="4"/>
  <c r="EF245" i="4"/>
  <c r="EI244" i="4"/>
  <c r="DP243" i="4"/>
  <c r="DS242" i="4"/>
  <c r="DU241" i="4"/>
  <c r="DX240" i="4"/>
  <c r="EA239" i="4"/>
  <c r="EC238" i="4"/>
  <c r="EF237" i="4"/>
  <c r="EH236" i="4"/>
  <c r="DT235" i="4"/>
  <c r="EH234" i="4"/>
  <c r="DT233" i="4"/>
  <c r="EH232" i="4"/>
  <c r="DT231" i="4"/>
  <c r="EH230" i="4"/>
  <c r="DT229" i="4"/>
  <c r="EH228" i="4"/>
  <c r="DT227" i="4"/>
  <c r="EH226" i="4"/>
  <c r="DT225" i="4"/>
  <c r="EH224" i="4"/>
  <c r="DT223" i="4"/>
  <c r="EH222" i="4"/>
  <c r="DT221" i="4"/>
  <c r="EH220" i="4"/>
  <c r="DT219" i="4"/>
  <c r="EH218" i="4"/>
  <c r="DT217" i="4"/>
  <c r="DV216" i="4"/>
  <c r="ED215" i="4"/>
  <c r="DP214" i="4"/>
  <c r="DX213" i="4"/>
  <c r="EF212" i="4"/>
  <c r="DS211" i="4"/>
  <c r="EA210" i="4"/>
  <c r="EI209" i="4"/>
  <c r="DV208" i="4"/>
  <c r="ED207" i="4"/>
  <c r="DP206" i="4"/>
  <c r="DX205" i="4"/>
  <c r="DT204" i="4"/>
  <c r="EH203" i="4"/>
  <c r="DT202" i="4"/>
  <c r="EH201" i="4"/>
  <c r="DT200" i="4"/>
  <c r="EH199" i="4"/>
  <c r="DT198" i="4"/>
  <c r="EH197" i="4"/>
  <c r="DT196" i="4"/>
  <c r="EH195" i="4"/>
  <c r="DT194" i="4"/>
  <c r="EH193" i="4"/>
  <c r="DT192" i="4"/>
  <c r="EH191" i="4"/>
  <c r="EG190" i="4"/>
  <c r="DX189" i="4"/>
  <c r="ED188" i="4"/>
  <c r="DP187" i="4"/>
  <c r="EB186" i="4"/>
  <c r="DR185" i="4"/>
  <c r="DY184" i="4"/>
  <c r="EF183" i="4"/>
  <c r="EB182" i="4"/>
  <c r="DT181" i="4"/>
  <c r="DZ180" i="4"/>
  <c r="DQ179" i="4"/>
  <c r="EG178" i="4"/>
  <c r="DX177" i="4"/>
  <c r="EH176" i="4"/>
  <c r="DT175" i="4"/>
  <c r="DY173" i="4"/>
  <c r="EF172" i="4"/>
  <c r="DV171" i="4"/>
  <c r="EH170" i="4"/>
  <c r="DT169" i="4"/>
  <c r="DZ168" i="4"/>
  <c r="DQ167" i="4"/>
  <c r="EG166" i="4"/>
  <c r="DX165" i="4"/>
  <c r="ED164" i="4"/>
  <c r="DP163" i="4"/>
  <c r="DZ162" i="4"/>
  <c r="DQ161" i="4"/>
  <c r="EB160" i="4"/>
  <c r="DR159" i="4"/>
  <c r="DY158" i="4"/>
  <c r="EF157" i="4"/>
  <c r="DV156" i="4"/>
  <c r="EH155" i="4"/>
  <c r="DX154" i="4"/>
  <c r="ED153" i="4"/>
  <c r="DP152" i="4"/>
  <c r="EB151" i="4"/>
  <c r="DR150" i="4"/>
  <c r="DY149" i="4"/>
  <c r="EF148" i="4"/>
  <c r="EG146" i="4"/>
  <c r="DX145" i="4"/>
  <c r="ED144" i="4"/>
  <c r="DP143" i="4"/>
  <c r="EB142" i="4"/>
  <c r="DV141" i="4"/>
  <c r="EG140" i="4"/>
  <c r="DR139" i="4"/>
  <c r="DY138" i="4"/>
  <c r="EF137" i="4"/>
  <c r="EG136" i="4"/>
  <c r="DX135" i="4"/>
  <c r="ED134" i="4"/>
  <c r="DT133" i="4"/>
  <c r="DZ132" i="4"/>
  <c r="DP131" i="4"/>
  <c r="DQ130" i="4"/>
  <c r="EC129" i="4"/>
  <c r="DY127" i="4"/>
  <c r="DU125" i="4"/>
  <c r="DZ124" i="4"/>
  <c r="DQ123" i="4"/>
  <c r="EB122" i="4"/>
  <c r="DR121" i="4"/>
  <c r="DY120" i="4"/>
  <c r="DU118" i="4"/>
  <c r="EF117" i="4"/>
  <c r="DV116" i="4"/>
  <c r="EG115" i="4"/>
  <c r="DX114" i="4"/>
  <c r="ED113" i="4"/>
  <c r="DP112" i="4"/>
  <c r="EB111" i="4"/>
  <c r="EH109" i="4"/>
  <c r="DT108" i="4"/>
  <c r="DZ107" i="4"/>
  <c r="DZ106" i="4"/>
  <c r="DQ105" i="4"/>
  <c r="EC104" i="4"/>
  <c r="DU102" i="4"/>
  <c r="EG101" i="4"/>
  <c r="DX100" i="4"/>
  <c r="ED99" i="4"/>
  <c r="DP98" i="4"/>
  <c r="DZ97" i="4"/>
  <c r="DQ96" i="4"/>
  <c r="EC95" i="4"/>
  <c r="DU93" i="4"/>
  <c r="EG92" i="4"/>
  <c r="EB91" i="4"/>
  <c r="DR90" i="4"/>
  <c r="DY89" i="4"/>
  <c r="EF88" i="4"/>
  <c r="DV87" i="4"/>
  <c r="EH86" i="4"/>
  <c r="DT85" i="4"/>
  <c r="DU83" i="4"/>
  <c r="DU82" i="4"/>
  <c r="DU81" i="4"/>
  <c r="EG80" i="4"/>
  <c r="DX79" i="4"/>
  <c r="EC78" i="4"/>
  <c r="DY76" i="4"/>
  <c r="EF75" i="4"/>
  <c r="DU74" i="4"/>
  <c r="DV73" i="4"/>
  <c r="EG72" i="4"/>
  <c r="DX71" i="4"/>
  <c r="EH70" i="4"/>
  <c r="DT69" i="4"/>
  <c r="ED68" i="4"/>
  <c r="DP67" i="4"/>
  <c r="EB66" i="4"/>
  <c r="DR65" i="4"/>
  <c r="DY64" i="4"/>
  <c r="DU62" i="4"/>
  <c r="DT61" i="4"/>
  <c r="EH60" i="4"/>
  <c r="DO59" i="4"/>
  <c r="DW58" i="4"/>
  <c r="EE57" i="4"/>
  <c r="DW56" i="4"/>
  <c r="EE55" i="4"/>
  <c r="DW54" i="4"/>
  <c r="EE53" i="4"/>
  <c r="DW52" i="4"/>
  <c r="DZ51" i="4"/>
  <c r="DS50" i="4"/>
  <c r="DU49" i="4"/>
  <c r="DX48" i="4"/>
  <c r="EA47" i="4"/>
  <c r="EC46" i="4"/>
  <c r="EF45" i="4"/>
  <c r="EI44" i="4"/>
  <c r="DT44" i="4"/>
  <c r="DQ43" i="4"/>
  <c r="DO42" i="4"/>
  <c r="DW41" i="4"/>
  <c r="DT40" i="4"/>
  <c r="EB39" i="4"/>
  <c r="DT38" i="4"/>
  <c r="EB37" i="4"/>
  <c r="DT36" i="4"/>
  <c r="EB35" i="4"/>
  <c r="DT34" i="4"/>
  <c r="EB33" i="4"/>
  <c r="DY32" i="4"/>
  <c r="EG31" i="4"/>
  <c r="EE30" i="4"/>
  <c r="DZ29" i="4"/>
  <c r="DZ27" i="4"/>
  <c r="EC26" i="4"/>
  <c r="DZ25" i="4"/>
  <c r="DR24" i="4"/>
  <c r="DO23" i="4"/>
  <c r="DR22" i="4"/>
  <c r="DO21" i="4"/>
  <c r="DR20" i="4"/>
  <c r="DO19" i="4"/>
  <c r="DR18" i="4"/>
  <c r="DO17" i="4"/>
  <c r="DR16" i="4"/>
  <c r="DO15" i="4"/>
  <c r="DR14" i="4"/>
  <c r="DO13" i="4"/>
  <c r="DR12" i="4"/>
  <c r="DO11" i="4"/>
  <c r="DR10" i="4"/>
  <c r="DO9" i="4"/>
  <c r="DR8" i="4"/>
  <c r="DO7" i="4"/>
  <c r="DR6" i="4"/>
  <c r="DO5" i="4"/>
  <c r="DR4" i="4"/>
  <c r="DO3" i="4"/>
  <c r="DY2" i="4"/>
  <c r="EE264" i="4"/>
  <c r="DW263" i="4"/>
  <c r="EE262" i="4"/>
  <c r="DW261" i="4"/>
  <c r="EE260" i="4"/>
  <c r="EF259" i="4"/>
  <c r="DS258" i="4"/>
  <c r="EA257" i="4"/>
  <c r="EI256" i="4"/>
  <c r="DV255" i="4"/>
  <c r="ED254" i="4"/>
  <c r="DP253" i="4"/>
  <c r="DW252" i="4"/>
  <c r="EE251" i="4"/>
  <c r="DW250" i="4"/>
  <c r="DY249" i="4"/>
  <c r="DV248" i="4"/>
  <c r="DP247" i="4"/>
  <c r="DS246" i="4"/>
  <c r="DU245" i="4"/>
  <c r="DX244" i="4"/>
  <c r="EA243" i="4"/>
  <c r="EF241" i="4"/>
  <c r="EI240" i="4"/>
  <c r="DP239" i="4"/>
  <c r="DS238" i="4"/>
  <c r="DU237" i="4"/>
  <c r="DW236" i="4"/>
  <c r="EE235" i="4"/>
  <c r="DW234" i="4"/>
  <c r="EE233" i="4"/>
  <c r="DW232" i="4"/>
  <c r="EE231" i="4"/>
  <c r="DW230" i="4"/>
  <c r="EE229" i="4"/>
  <c r="DW228" i="4"/>
  <c r="EE227" i="4"/>
  <c r="DW226" i="4"/>
  <c r="EE225" i="4"/>
  <c r="DW224" i="4"/>
  <c r="EE223" i="4"/>
  <c r="DW222" i="4"/>
  <c r="EE221" i="4"/>
  <c r="DW220" i="4"/>
  <c r="EE219" i="4"/>
  <c r="DW218" i="4"/>
  <c r="EE217" i="4"/>
  <c r="EF216" i="4"/>
  <c r="DS215" i="4"/>
  <c r="EA214" i="4"/>
  <c r="EI213" i="4"/>
  <c r="DV212" i="4"/>
  <c r="ED211" i="4"/>
  <c r="DP210" i="4"/>
  <c r="DX209" i="4"/>
  <c r="EF208" i="4"/>
  <c r="DS207" i="4"/>
  <c r="EA206" i="4"/>
  <c r="EI205" i="4"/>
  <c r="EE204" i="4"/>
  <c r="DW203" i="4"/>
  <c r="EE202" i="4"/>
  <c r="DW201" i="4"/>
  <c r="EE200" i="4"/>
  <c r="DW199" i="4"/>
  <c r="EE198" i="4"/>
  <c r="DW197" i="4"/>
  <c r="EE196" i="4"/>
  <c r="DW195" i="4"/>
  <c r="EE194" i="4"/>
  <c r="DW193" i="4"/>
  <c r="EE192" i="4"/>
  <c r="DW191" i="4"/>
  <c r="DV190" i="4"/>
  <c r="EW190" i="4" s="1" a="1"/>
  <c r="EW190" i="4" s="1"/>
  <c r="EH189" i="4"/>
  <c r="DT188" i="4"/>
  <c r="DZ187" i="4"/>
  <c r="DQ186" i="4"/>
  <c r="EC185" i="4"/>
  <c r="DU183" i="4"/>
  <c r="EG182" i="4"/>
  <c r="DQ182" i="4"/>
  <c r="ED181" i="4"/>
  <c r="DP180" i="4"/>
  <c r="EB179" i="4"/>
  <c r="DV178" i="4"/>
  <c r="EH177" i="4"/>
  <c r="DX176" i="4"/>
  <c r="ED175" i="4"/>
  <c r="DY174" i="4"/>
  <c r="DU172" i="4"/>
  <c r="EG171" i="4"/>
  <c r="DX170" i="4"/>
  <c r="ED169" i="4"/>
  <c r="DP168" i="4"/>
  <c r="EB167" i="4"/>
  <c r="DV166" i="4"/>
  <c r="EH165" i="4"/>
  <c r="DT164" i="4"/>
  <c r="DZ163" i="4"/>
  <c r="DP162" i="4"/>
  <c r="EB161" i="4"/>
  <c r="DQ160" i="4"/>
  <c r="EC159" i="4"/>
  <c r="DU157" i="4"/>
  <c r="EG156" i="4"/>
  <c r="DX155" i="4"/>
  <c r="EH154" i="4"/>
  <c r="DT153" i="4"/>
  <c r="DZ152" i="4"/>
  <c r="DQ151" i="4"/>
  <c r="EC150" i="4"/>
  <c r="DU148" i="4"/>
  <c r="EG147" i="4"/>
  <c r="DV146" i="4"/>
  <c r="EH145" i="4"/>
  <c r="DT144" i="4"/>
  <c r="DZ143" i="4"/>
  <c r="DQ142" i="4"/>
  <c r="EG141" i="4"/>
  <c r="DV140" i="4"/>
  <c r="EC139" i="4"/>
  <c r="DU137" i="4"/>
  <c r="DV136" i="4"/>
  <c r="EH135" i="4"/>
  <c r="DT134" i="4"/>
  <c r="ED133" i="4"/>
  <c r="DP132" i="4"/>
  <c r="DZ131" i="4"/>
  <c r="EB130" i="4"/>
  <c r="DR129" i="4"/>
  <c r="DY128" i="4"/>
  <c r="DY126" i="4"/>
  <c r="EF125" i="4"/>
  <c r="DP124" i="4"/>
  <c r="EB123" i="4"/>
  <c r="DQ122" i="4"/>
  <c r="EC121" i="4"/>
  <c r="DY119" i="4"/>
  <c r="EF118" i="4"/>
  <c r="DU117" i="4"/>
  <c r="EG116" i="4"/>
  <c r="DV115" i="4"/>
  <c r="EH114" i="4"/>
  <c r="DT113" i="4"/>
  <c r="DZ112" i="4"/>
  <c r="DQ111" i="4"/>
  <c r="EG110" i="4"/>
  <c r="DX109" i="4"/>
  <c r="ED108" i="4"/>
  <c r="DP107" i="4"/>
  <c r="DP106" i="4"/>
  <c r="EB105" i="4"/>
  <c r="DR104" i="4"/>
  <c r="DY103" i="4"/>
  <c r="EF102" i="4"/>
  <c r="DV101" i="4"/>
  <c r="EH100" i="4"/>
  <c r="DT99" i="4"/>
  <c r="DZ98" i="4"/>
  <c r="DP97" i="4"/>
  <c r="EB96" i="4"/>
  <c r="DR95" i="4"/>
  <c r="DY94" i="4"/>
  <c r="EF93" i="4"/>
  <c r="DV92" i="4"/>
  <c r="DQ91" i="4"/>
  <c r="EC90" i="4"/>
  <c r="DU88" i="4"/>
  <c r="EG87" i="4"/>
  <c r="DX86" i="4"/>
  <c r="ED85" i="4"/>
  <c r="DY84" i="4"/>
  <c r="EF83" i="4"/>
  <c r="EF82" i="4"/>
  <c r="EF81" i="4"/>
  <c r="DV80" i="4"/>
  <c r="EH79" i="4"/>
  <c r="DR78" i="4"/>
  <c r="DY77" i="4"/>
  <c r="DU75" i="4"/>
  <c r="EF74" i="4"/>
  <c r="EG73" i="4"/>
  <c r="DV72" i="4"/>
  <c r="EH71" i="4"/>
  <c r="DX70" i="4"/>
  <c r="ED69" i="4"/>
  <c r="DT68" i="4"/>
  <c r="DZ67" i="4"/>
  <c r="DQ66" i="4"/>
  <c r="EC65" i="4"/>
  <c r="DY63" i="4"/>
  <c r="EF62" i="4"/>
  <c r="EE61" i="4"/>
  <c r="DW60" i="4"/>
  <c r="DZ59" i="4"/>
  <c r="EH58" i="4"/>
  <c r="DT57" i="4"/>
  <c r="EH56" i="4"/>
  <c r="DT55" i="4"/>
  <c r="EH54" i="4"/>
  <c r="DT53" i="4"/>
  <c r="EH52" i="4"/>
  <c r="DO51" i="4"/>
  <c r="EC50" i="4"/>
  <c r="EF49" i="4"/>
  <c r="EI48" i="4"/>
  <c r="DP47" i="4"/>
  <c r="DS46" i="4"/>
  <c r="DU45" i="4"/>
  <c r="DX44" i="4"/>
  <c r="EB43" i="4"/>
  <c r="DY42" i="4"/>
  <c r="EG41" i="4"/>
  <c r="EE40" i="4"/>
  <c r="DQ39" i="4"/>
  <c r="EE38" i="4"/>
  <c r="DQ37" i="4"/>
  <c r="EE36" i="4"/>
  <c r="DQ35" i="4"/>
  <c r="EE34" i="4"/>
  <c r="DQ33" i="4"/>
  <c r="DO32" i="4"/>
  <c r="DW31" i="4"/>
  <c r="DT30" i="4"/>
  <c r="DO29" i="4"/>
  <c r="EJ29" i="4" s="1" a="1"/>
  <c r="EJ29" i="4" s="1"/>
  <c r="DR28" i="4"/>
  <c r="DO27" i="4"/>
  <c r="DR26" i="4"/>
  <c r="DO25" i="4"/>
  <c r="EC24" i="4"/>
  <c r="DZ23" i="4"/>
  <c r="EC22" i="4"/>
  <c r="DZ21" i="4"/>
  <c r="EC20" i="4"/>
  <c r="DZ19" i="4"/>
  <c r="EC18" i="4"/>
  <c r="DZ17" i="4"/>
  <c r="EC16" i="4"/>
  <c r="DZ15" i="4"/>
  <c r="EC14" i="4"/>
  <c r="DZ13" i="4"/>
  <c r="EC12" i="4"/>
  <c r="DZ11" i="4"/>
  <c r="EC10" i="4"/>
  <c r="DZ9" i="4"/>
  <c r="EC8" i="4"/>
  <c r="DZ7" i="4"/>
  <c r="EC6" i="4"/>
  <c r="DZ5" i="4"/>
  <c r="EC4" i="4"/>
  <c r="DZ3" i="4"/>
  <c r="DO2" i="4"/>
  <c r="EJ2" i="4" s="1" a="1"/>
  <c r="EJ2" i="4" s="1"/>
  <c r="DF174" i="4" a="1"/>
  <c r="DF174" i="4" s="1"/>
  <c r="DI174" i="4" s="1"/>
  <c r="DT2" i="4"/>
  <c r="CX4" i="4" a="1"/>
  <c r="CX4" i="4" s="1"/>
  <c r="CW5" i="4" a="1"/>
  <c r="CW5" i="4" s="1"/>
  <c r="EE5" i="4"/>
  <c r="EH6" i="4"/>
  <c r="CX12" i="4" a="1"/>
  <c r="CX12" i="4" s="1"/>
  <c r="CW13" i="4" a="1"/>
  <c r="CW13" i="4" s="1"/>
  <c r="EE13" i="4"/>
  <c r="EH14" i="4"/>
  <c r="CX20" i="4" a="1"/>
  <c r="CX20" i="4" s="1"/>
  <c r="CW21" i="4" a="1"/>
  <c r="CW21" i="4" s="1"/>
  <c r="EE21" i="4"/>
  <c r="EH22" i="4"/>
  <c r="DU25" i="4"/>
  <c r="DW28" i="4"/>
  <c r="CV31" i="4" a="1"/>
  <c r="CV31" i="4" s="1"/>
  <c r="DW33" i="4"/>
  <c r="DO36" i="4"/>
  <c r="EJ36" i="4" s="1" a="1"/>
  <c r="EJ36" i="4" s="1"/>
  <c r="CZ42" i="4" a="1"/>
  <c r="CZ42" i="4" s="1"/>
  <c r="DI42" i="4"/>
  <c r="CW44" i="4" a="1"/>
  <c r="CW44" i="4" s="1"/>
  <c r="CX45" i="4" a="1"/>
  <c r="CX45" i="4" s="1"/>
  <c r="CT46" i="4" a="1"/>
  <c r="CT46" i="4" s="1"/>
  <c r="DP49" i="4"/>
  <c r="EI50" i="4"/>
  <c r="DR52" i="4"/>
  <c r="DR56" i="4"/>
  <c r="CX60" i="4" a="1"/>
  <c r="CX60" i="4" s="1"/>
  <c r="DV66" i="4"/>
  <c r="EW66" i="4" s="1" a="1"/>
  <c r="EW66" i="4" s="1"/>
  <c r="EF67" i="4"/>
  <c r="EC70" i="4"/>
  <c r="EB72" i="4"/>
  <c r="DQ73" i="4"/>
  <c r="DZ75" i="4"/>
  <c r="CU79" i="4" a="1"/>
  <c r="CU79" i="4" s="1"/>
  <c r="EB80" i="4"/>
  <c r="CY82" i="4" a="1"/>
  <c r="CY82" i="4" s="1"/>
  <c r="DP82" i="4"/>
  <c r="ED84" i="4"/>
  <c r="EC86" i="4"/>
  <c r="DT89" i="4"/>
  <c r="ED94" i="4"/>
  <c r="EG96" i="4"/>
  <c r="EF98" i="4"/>
  <c r="EB101" i="4"/>
  <c r="DI103" i="4"/>
  <c r="DX104" i="4"/>
  <c r="DU107" i="4"/>
  <c r="EC109" i="4"/>
  <c r="DR114" i="4"/>
  <c r="DV122" i="4"/>
  <c r="EW122" i="4" s="1" a="1"/>
  <c r="EW122" i="4" s="1"/>
  <c r="DU124" i="4"/>
  <c r="ED128" i="4"/>
  <c r="EG130" i="4"/>
  <c r="DY134" i="4"/>
  <c r="EH139" i="4"/>
  <c r="DR145" i="4"/>
  <c r="DT149" i="4"/>
  <c r="EH159" i="4"/>
  <c r="EG161" i="4"/>
  <c r="EF163" i="4"/>
  <c r="EB166" i="4"/>
  <c r="CW168" i="4" a="1"/>
  <c r="CW168" i="4" s="1"/>
  <c r="DQ171" i="4"/>
  <c r="ED174" i="4"/>
  <c r="EC176" i="4"/>
  <c r="EB178" i="4"/>
  <c r="CW180" i="4" a="1"/>
  <c r="CW180" i="4" s="1"/>
  <c r="DV186" i="4"/>
  <c r="EF187" i="4"/>
  <c r="EB190" i="4"/>
  <c r="DO192" i="4"/>
  <c r="EJ192" i="4" s="1" a="1"/>
  <c r="EJ192" i="4" s="1"/>
  <c r="CT194" i="4" a="1"/>
  <c r="CT194" i="4" s="1"/>
  <c r="DO196" i="4"/>
  <c r="CT198" i="4" a="1"/>
  <c r="CT198" i="4" s="1"/>
  <c r="DO200" i="4"/>
  <c r="EJ200" i="4" s="1" a="1"/>
  <c r="EJ200" i="4" s="1"/>
  <c r="DO204" i="4"/>
  <c r="DX207" i="4"/>
  <c r="DS213" i="4"/>
  <c r="EF214" i="4"/>
  <c r="DO217" i="4"/>
  <c r="CT219" i="4" a="1"/>
  <c r="CT219" i="4" s="1"/>
  <c r="DO221" i="4"/>
  <c r="EJ221" i="4" s="1" a="1"/>
  <c r="EJ221" i="4" s="1"/>
  <c r="DO225" i="4"/>
  <c r="CT227" i="4" a="1"/>
  <c r="CT227" i="4" s="1"/>
  <c r="DO229" i="4"/>
  <c r="EJ229" i="4" s="1" a="1"/>
  <c r="EJ229" i="4" s="1"/>
  <c r="CT231" i="4" a="1"/>
  <c r="CT231" i="4" s="1"/>
  <c r="DO233" i="4"/>
  <c r="CT235" i="4" a="1"/>
  <c r="CT235" i="4" s="1"/>
  <c r="DI237" i="4"/>
  <c r="CY242" i="4" a="1"/>
  <c r="CY242" i="4" s="1"/>
  <c r="EF243" i="4"/>
  <c r="EC244" i="4"/>
  <c r="EA245" i="4"/>
  <c r="DX246" i="4"/>
  <c r="EB252" i="4"/>
  <c r="DV253" i="4"/>
  <c r="EW253" i="4" s="1" a="1"/>
  <c r="EW253" i="4" s="1"/>
  <c r="EI254" i="4"/>
  <c r="EA255" i="4"/>
  <c r="DO262" i="4"/>
  <c r="EJ262" i="4" s="1" a="1"/>
  <c r="EJ262" i="4" s="1"/>
  <c r="CT264" i="4" a="1"/>
  <c r="CT264" i="4" s="1"/>
  <c r="DF118" i="4" a="1"/>
  <c r="DF118" i="4" s="1"/>
  <c r="DI118" i="4" s="1"/>
  <c r="DB107" i="4" a="1"/>
  <c r="DB107" i="4" s="1"/>
  <c r="DI34" i="4"/>
  <c r="DI36" i="4"/>
  <c r="DI38" i="4"/>
  <c r="DI40" i="4"/>
  <c r="DI43" i="4"/>
  <c r="DI44" i="4"/>
  <c r="DI85" i="4"/>
  <c r="DI108" i="4"/>
  <c r="DI133" i="4"/>
  <c r="DI169" i="4"/>
  <c r="DI175" i="4"/>
  <c r="DI181" i="4"/>
  <c r="EH264" i="4"/>
  <c r="EB264" i="4"/>
  <c r="DW264" i="4"/>
  <c r="DR264" i="4"/>
  <c r="EE263" i="4"/>
  <c r="DZ263" i="4"/>
  <c r="DT263" i="4"/>
  <c r="DO263" i="4"/>
  <c r="EJ263" i="4" s="1" a="1"/>
  <c r="EJ263" i="4" s="1"/>
  <c r="EH262" i="4"/>
  <c r="EB262" i="4"/>
  <c r="DW262" i="4"/>
  <c r="DR262" i="4"/>
  <c r="EE261" i="4"/>
  <c r="DZ261" i="4"/>
  <c r="DT261" i="4"/>
  <c r="DO261" i="4"/>
  <c r="EJ261" i="4" s="1" a="1"/>
  <c r="EJ261" i="4" s="1"/>
  <c r="EH260" i="4"/>
  <c r="EB260" i="4"/>
  <c r="DW260" i="4"/>
  <c r="DR260" i="4"/>
  <c r="EI259" i="4"/>
  <c r="ED259" i="4"/>
  <c r="DX259" i="4"/>
  <c r="DS259" i="4"/>
  <c r="EF258" i="4"/>
  <c r="EA258" i="4"/>
  <c r="DV258" i="4"/>
  <c r="EW258" i="4" s="1" a="1"/>
  <c r="EW258" i="4" s="1"/>
  <c r="DP258" i="4"/>
  <c r="EI257" i="4"/>
  <c r="ED257" i="4"/>
  <c r="DX257" i="4"/>
  <c r="DS257" i="4"/>
  <c r="EF256" i="4"/>
  <c r="EA256" i="4"/>
  <c r="DV256" i="4"/>
  <c r="EW256" i="4" s="1" a="1"/>
  <c r="EW256" i="4" s="1"/>
  <c r="DP256" i="4"/>
  <c r="EI255" i="4"/>
  <c r="ED255" i="4"/>
  <c r="DX255" i="4"/>
  <c r="DS255" i="4"/>
  <c r="EF254" i="4"/>
  <c r="EA254" i="4"/>
  <c r="DV254" i="4"/>
  <c r="EW254" i="4" s="1" a="1"/>
  <c r="EW254" i="4" s="1"/>
  <c r="DP254" i="4"/>
  <c r="EI253" i="4"/>
  <c r="ED253" i="4"/>
  <c r="DX253" i="4"/>
  <c r="DS253" i="4"/>
  <c r="EE252" i="4"/>
  <c r="DZ252" i="4"/>
  <c r="DT252" i="4"/>
  <c r="DO252" i="4"/>
  <c r="EJ252" i="4" s="1" a="1"/>
  <c r="EJ252" i="4" s="1"/>
  <c r="EH251" i="4"/>
  <c r="EB251" i="4"/>
  <c r="DW251" i="4"/>
  <c r="DR251" i="4"/>
  <c r="EE250" i="4"/>
  <c r="DZ250" i="4"/>
  <c r="DT250" i="4"/>
  <c r="DO250" i="4"/>
  <c r="EJ250" i="4" s="1" a="1"/>
  <c r="EJ250" i="4" s="1"/>
  <c r="EG249" i="4"/>
  <c r="EA249" i="4"/>
  <c r="DV249" i="4"/>
  <c r="EW249" i="4" s="1" a="1"/>
  <c r="EW249" i="4" s="1"/>
  <c r="DQ249" i="4"/>
  <c r="EI248" i="4"/>
  <c r="ED248" i="4"/>
  <c r="DY248" i="4"/>
  <c r="DS248" i="4"/>
  <c r="EI247" i="4"/>
  <c r="EC247" i="4"/>
  <c r="DX247" i="4"/>
  <c r="DS247" i="4"/>
  <c r="EF246" i="4"/>
  <c r="EA246" i="4"/>
  <c r="DU246" i="4"/>
  <c r="DP246" i="4"/>
  <c r="EI245" i="4"/>
  <c r="EC245" i="4"/>
  <c r="DX245" i="4"/>
  <c r="DS245" i="4"/>
  <c r="EF244" i="4"/>
  <c r="EA244" i="4"/>
  <c r="DU244" i="4"/>
  <c r="DP244" i="4"/>
  <c r="EI243" i="4"/>
  <c r="EC243" i="4"/>
  <c r="DX243" i="4"/>
  <c r="DS243" i="4"/>
  <c r="EF242" i="4"/>
  <c r="EA242" i="4"/>
  <c r="DU242" i="4"/>
  <c r="DP242" i="4"/>
  <c r="EI241" i="4"/>
  <c r="EC241" i="4"/>
  <c r="DX241" i="4"/>
  <c r="DS241" i="4"/>
  <c r="EF240" i="4"/>
  <c r="EA240" i="4"/>
  <c r="DU240" i="4"/>
  <c r="DP240" i="4"/>
  <c r="EI239" i="4"/>
  <c r="EC239" i="4"/>
  <c r="DX239" i="4"/>
  <c r="DS239" i="4"/>
  <c r="EF238" i="4"/>
  <c r="EA238" i="4"/>
  <c r="DU238" i="4"/>
  <c r="DP238" i="4"/>
  <c r="EI237" i="4"/>
  <c r="EC237" i="4"/>
  <c r="DX237" i="4"/>
  <c r="DS237" i="4"/>
  <c r="EE236" i="4"/>
  <c r="DZ236" i="4"/>
  <c r="DT236" i="4"/>
  <c r="DO236" i="4"/>
  <c r="EJ236" i="4" s="1" a="1"/>
  <c r="EJ236" i="4" s="1"/>
  <c r="EH235" i="4"/>
  <c r="EB235" i="4"/>
  <c r="DW235" i="4"/>
  <c r="DR235" i="4"/>
  <c r="EE234" i="4"/>
  <c r="DZ234" i="4"/>
  <c r="DT234" i="4"/>
  <c r="DO234" i="4"/>
  <c r="EJ234" i="4" s="1" a="1"/>
  <c r="EJ234" i="4" s="1"/>
  <c r="EH233" i="4"/>
  <c r="EB233" i="4"/>
  <c r="DW233" i="4"/>
  <c r="DR233" i="4"/>
  <c r="EE232" i="4"/>
  <c r="DZ232" i="4"/>
  <c r="DT232" i="4"/>
  <c r="DO232" i="4"/>
  <c r="EJ232" i="4" s="1" a="1"/>
  <c r="EJ232" i="4" s="1"/>
  <c r="EH231" i="4"/>
  <c r="EB231" i="4"/>
  <c r="DW231" i="4"/>
  <c r="DR231" i="4"/>
  <c r="EE230" i="4"/>
  <c r="DZ230" i="4"/>
  <c r="DT230" i="4"/>
  <c r="DO230" i="4"/>
  <c r="EJ230" i="4" s="1" a="1"/>
  <c r="EJ230" i="4" s="1"/>
  <c r="EH229" i="4"/>
  <c r="EB229" i="4"/>
  <c r="DW229" i="4"/>
  <c r="DR229" i="4"/>
  <c r="EE228" i="4"/>
  <c r="DZ228" i="4"/>
  <c r="DT228" i="4"/>
  <c r="DO228" i="4"/>
  <c r="EJ228" i="4" s="1" a="1"/>
  <c r="EJ228" i="4" s="1"/>
  <c r="EH227" i="4"/>
  <c r="EB227" i="4"/>
  <c r="DW227" i="4"/>
  <c r="DR227" i="4"/>
  <c r="EE226" i="4"/>
  <c r="DZ226" i="4"/>
  <c r="DT226" i="4"/>
  <c r="DO226" i="4"/>
  <c r="EJ226" i="4" s="1" a="1"/>
  <c r="EJ226" i="4" s="1"/>
  <c r="EH225" i="4"/>
  <c r="EB225" i="4"/>
  <c r="DW225" i="4"/>
  <c r="DR225" i="4"/>
  <c r="EE224" i="4"/>
  <c r="DZ224" i="4"/>
  <c r="DT224" i="4"/>
  <c r="DO224" i="4"/>
  <c r="EJ224" i="4" s="1" a="1"/>
  <c r="EJ224" i="4" s="1"/>
  <c r="EH223" i="4"/>
  <c r="EB223" i="4"/>
  <c r="DW223" i="4"/>
  <c r="DR223" i="4"/>
  <c r="EE222" i="4"/>
  <c r="DZ222" i="4"/>
  <c r="DT222" i="4"/>
  <c r="DO222" i="4"/>
  <c r="EJ222" i="4" s="1" a="1"/>
  <c r="EJ222" i="4" s="1"/>
  <c r="EH221" i="4"/>
  <c r="EB221" i="4"/>
  <c r="DW221" i="4"/>
  <c r="DR221" i="4"/>
  <c r="EE220" i="4"/>
  <c r="DZ220" i="4"/>
  <c r="DT220" i="4"/>
  <c r="DO220" i="4"/>
  <c r="EJ220" i="4" s="1" a="1"/>
  <c r="EJ220" i="4" s="1"/>
  <c r="EH219" i="4"/>
  <c r="EB219" i="4"/>
  <c r="DW219" i="4"/>
  <c r="DR219" i="4"/>
  <c r="EE218" i="4"/>
  <c r="DZ218" i="4"/>
  <c r="DT218" i="4"/>
  <c r="DO218" i="4"/>
  <c r="EJ218" i="4" s="1" a="1"/>
  <c r="EJ218" i="4" s="1"/>
  <c r="EH217" i="4"/>
  <c r="EB217" i="4"/>
  <c r="DW217" i="4"/>
  <c r="DR217" i="4"/>
  <c r="EI216" i="4"/>
  <c r="ED216" i="4"/>
  <c r="DX216" i="4"/>
  <c r="DS216" i="4"/>
  <c r="EF215" i="4"/>
  <c r="EA215" i="4"/>
  <c r="DV215" i="4"/>
  <c r="EW215" i="4" s="1" a="1"/>
  <c r="EW215" i="4" s="1"/>
  <c r="DP215" i="4"/>
  <c r="EI214" i="4"/>
  <c r="ED214" i="4"/>
  <c r="DX214" i="4"/>
  <c r="DS214" i="4"/>
  <c r="EF213" i="4"/>
  <c r="EA213" i="4"/>
  <c r="DV213" i="4"/>
  <c r="EW213" i="4" s="1" a="1"/>
  <c r="EW213" i="4" s="1"/>
  <c r="DP213" i="4"/>
  <c r="EI212" i="4"/>
  <c r="ED212" i="4"/>
  <c r="DX212" i="4"/>
  <c r="DS212" i="4"/>
  <c r="EF211" i="4"/>
  <c r="EA211" i="4"/>
  <c r="DV211" i="4"/>
  <c r="EW211" i="4" s="1" a="1"/>
  <c r="EW211" i="4" s="1"/>
  <c r="DP211" i="4"/>
  <c r="EI210" i="4"/>
  <c r="ED210" i="4"/>
  <c r="DX210" i="4"/>
  <c r="DS210" i="4"/>
  <c r="EF209" i="4"/>
  <c r="EA209" i="4"/>
  <c r="DV209" i="4"/>
  <c r="EW209" i="4" s="1" a="1"/>
  <c r="EW209" i="4" s="1"/>
  <c r="DP209" i="4"/>
  <c r="EI208" i="4"/>
  <c r="ED208" i="4"/>
  <c r="DX208" i="4"/>
  <c r="DS208" i="4"/>
  <c r="EF207" i="4"/>
  <c r="EA207" i="4"/>
  <c r="DV207" i="4"/>
  <c r="EW207" i="4" s="1" a="1"/>
  <c r="EW207" i="4" s="1"/>
  <c r="DP207" i="4"/>
  <c r="EI206" i="4"/>
  <c r="ED206" i="4"/>
  <c r="DX206" i="4"/>
  <c r="DS206" i="4"/>
  <c r="EF205" i="4"/>
  <c r="EA205" i="4"/>
  <c r="DV205" i="4"/>
  <c r="EW205" i="4" s="1" a="1"/>
  <c r="EW205" i="4" s="1"/>
  <c r="DP205" i="4"/>
  <c r="EH204" i="4"/>
  <c r="EB204" i="4"/>
  <c r="DW204" i="4"/>
  <c r="DR204" i="4"/>
  <c r="EE203" i="4"/>
  <c r="DZ203" i="4"/>
  <c r="DT203" i="4"/>
  <c r="DO203" i="4"/>
  <c r="EJ203" i="4" s="1" a="1"/>
  <c r="EJ203" i="4" s="1"/>
  <c r="EH202" i="4"/>
  <c r="EB202" i="4"/>
  <c r="DW202" i="4"/>
  <c r="DR202" i="4"/>
  <c r="EE201" i="4"/>
  <c r="DZ201" i="4"/>
  <c r="DT201" i="4"/>
  <c r="DO201" i="4"/>
  <c r="EJ201" i="4" s="1" a="1"/>
  <c r="EJ201" i="4" s="1"/>
  <c r="EH200" i="4"/>
  <c r="EB200" i="4"/>
  <c r="DW200" i="4"/>
  <c r="DR200" i="4"/>
  <c r="EE199" i="4"/>
  <c r="DZ199" i="4"/>
  <c r="DT199" i="4"/>
  <c r="DO199" i="4"/>
  <c r="EJ199" i="4" s="1" a="1"/>
  <c r="EJ199" i="4" s="1"/>
  <c r="EH198" i="4"/>
  <c r="EB198" i="4"/>
  <c r="DW198" i="4"/>
  <c r="DR198" i="4"/>
  <c r="EE197" i="4"/>
  <c r="DZ197" i="4"/>
  <c r="DT197" i="4"/>
  <c r="DO197" i="4"/>
  <c r="EJ197" i="4" s="1" a="1"/>
  <c r="EJ197" i="4" s="1"/>
  <c r="EH196" i="4"/>
  <c r="EB196" i="4"/>
  <c r="DW196" i="4"/>
  <c r="DR196" i="4"/>
  <c r="EE195" i="4"/>
  <c r="DZ195" i="4"/>
  <c r="DT195" i="4"/>
  <c r="DO195" i="4"/>
  <c r="EJ195" i="4" s="1" a="1"/>
  <c r="EJ195" i="4" s="1"/>
  <c r="EH194" i="4"/>
  <c r="EB194" i="4"/>
  <c r="DW194" i="4"/>
  <c r="DR194" i="4"/>
  <c r="EE193" i="4"/>
  <c r="DZ193" i="4"/>
  <c r="DT193" i="4"/>
  <c r="DO193" i="4"/>
  <c r="EJ193" i="4" s="1" a="1"/>
  <c r="EJ193" i="4" s="1"/>
  <c r="EH192" i="4"/>
  <c r="EB192" i="4"/>
  <c r="DW192" i="4"/>
  <c r="DR192" i="4"/>
  <c r="EE191" i="4"/>
  <c r="DZ191" i="4"/>
  <c r="DT191" i="4"/>
  <c r="DO191" i="4"/>
  <c r="EJ191" i="4" s="1" a="1"/>
  <c r="EJ191" i="4" s="1"/>
  <c r="ED190" i="4"/>
  <c r="DY190" i="4"/>
  <c r="DT190" i="4"/>
  <c r="EF189" i="4"/>
  <c r="DZ189" i="4"/>
  <c r="DU189" i="4"/>
  <c r="DP189" i="4"/>
  <c r="EG188" i="4"/>
  <c r="EB188" i="4"/>
  <c r="DV188" i="4"/>
  <c r="EW188" i="4" s="1" a="1"/>
  <c r="EW188" i="4" s="1"/>
  <c r="DQ188" i="4"/>
  <c r="EH187" i="4"/>
  <c r="EC187" i="4"/>
  <c r="DX187" i="4"/>
  <c r="DR187" i="4"/>
  <c r="ED186" i="4"/>
  <c r="DY186" i="4"/>
  <c r="DT186" i="4"/>
  <c r="EF185" i="4"/>
  <c r="DZ185" i="4"/>
  <c r="DU185" i="4"/>
  <c r="DP185" i="4"/>
  <c r="EG184" i="4"/>
  <c r="EB184" i="4"/>
  <c r="DV184" i="4"/>
  <c r="EW184" i="4" s="1" a="1"/>
  <c r="EW184" i="4" s="1"/>
  <c r="DQ184" i="4"/>
  <c r="EH183" i="4"/>
  <c r="EC183" i="4"/>
  <c r="DX183" i="4"/>
  <c r="DR183" i="4"/>
  <c r="ED182" i="4"/>
  <c r="DY182" i="4"/>
  <c r="DT182" i="4"/>
  <c r="EG181" i="4"/>
  <c r="EB181" i="4"/>
  <c r="DV181" i="4"/>
  <c r="EW181" i="4" s="1" a="1"/>
  <c r="EW181" i="4" s="1"/>
  <c r="DQ181" i="4"/>
  <c r="EH180" i="4"/>
  <c r="EC180" i="4"/>
  <c r="DX180" i="4"/>
  <c r="DR180" i="4"/>
  <c r="ED179" i="4"/>
  <c r="DY179" i="4"/>
  <c r="DT179" i="4"/>
  <c r="ED178" i="4"/>
  <c r="DY178" i="4"/>
  <c r="DT178" i="4"/>
  <c r="EF177" i="4"/>
  <c r="DZ177" i="4"/>
  <c r="DU177" i="4"/>
  <c r="DP177" i="4"/>
  <c r="EF176" i="4"/>
  <c r="DZ176" i="4"/>
  <c r="DU176" i="4"/>
  <c r="DP176" i="4"/>
  <c r="EG175" i="4"/>
  <c r="EB175" i="4"/>
  <c r="DV175" i="4"/>
  <c r="EW175" i="4" s="1" a="1"/>
  <c r="EW175" i="4" s="1"/>
  <c r="DQ175" i="4"/>
  <c r="EG174" i="4"/>
  <c r="EB174" i="4"/>
  <c r="DV174" i="4"/>
  <c r="EW174" i="4" s="1" a="1"/>
  <c r="EW174" i="4" s="1"/>
  <c r="DQ174" i="4"/>
  <c r="EG173" i="4"/>
  <c r="EB173" i="4"/>
  <c r="DV173" i="4"/>
  <c r="EW173" i="4" s="1" a="1"/>
  <c r="EW173" i="4" s="1"/>
  <c r="DQ173" i="4"/>
  <c r="EH172" i="4"/>
  <c r="EC172" i="4"/>
  <c r="DX172" i="4"/>
  <c r="DR172" i="4"/>
  <c r="ED171" i="4"/>
  <c r="DY171" i="4"/>
  <c r="DT171" i="4"/>
  <c r="EF170" i="4"/>
  <c r="DZ170" i="4"/>
  <c r="DU170" i="4"/>
  <c r="DP170" i="4"/>
  <c r="EG169" i="4"/>
  <c r="EB169" i="4"/>
  <c r="DV169" i="4"/>
  <c r="EW169" i="4" s="1" a="1"/>
  <c r="EW169" i="4" s="1"/>
  <c r="DQ169" i="4"/>
  <c r="EH168" i="4"/>
  <c r="EC168" i="4"/>
  <c r="DX168" i="4"/>
  <c r="DR168" i="4"/>
  <c r="ED167" i="4"/>
  <c r="DY167" i="4"/>
  <c r="DT167" i="4"/>
  <c r="ED166" i="4"/>
  <c r="DY166" i="4"/>
  <c r="DT166" i="4"/>
  <c r="EF165" i="4"/>
  <c r="DZ165" i="4"/>
  <c r="DU165" i="4"/>
  <c r="DP165" i="4"/>
  <c r="EG164" i="4"/>
  <c r="EB164" i="4"/>
  <c r="DV164" i="4"/>
  <c r="EW164" i="4" s="1" a="1"/>
  <c r="EW164" i="4" s="1"/>
  <c r="DQ164" i="4"/>
  <c r="EH163" i="4"/>
  <c r="EC163" i="4"/>
  <c r="DX163" i="4"/>
  <c r="DR163" i="4"/>
  <c r="EH162" i="4"/>
  <c r="EC162" i="4"/>
  <c r="DX162" i="4"/>
  <c r="DR162" i="4"/>
  <c r="ED161" i="4"/>
  <c r="DY161" i="4"/>
  <c r="DT161" i="4"/>
  <c r="ED160" i="4"/>
  <c r="DY160" i="4"/>
  <c r="DT160" i="4"/>
  <c r="EF159" i="4"/>
  <c r="DZ159" i="4"/>
  <c r="DU159" i="4"/>
  <c r="DP159" i="4"/>
  <c r="EG158" i="4"/>
  <c r="EB158" i="4"/>
  <c r="DV158" i="4"/>
  <c r="EW158" i="4" s="1" a="1"/>
  <c r="EW158" i="4" s="1"/>
  <c r="DQ158" i="4"/>
  <c r="EH157" i="4"/>
  <c r="EC157" i="4"/>
  <c r="DX157" i="4"/>
  <c r="DR157" i="4"/>
  <c r="ED156" i="4"/>
  <c r="DY156" i="4"/>
  <c r="DT156" i="4"/>
  <c r="EF155" i="4"/>
  <c r="DZ155" i="4"/>
  <c r="DU155" i="4"/>
  <c r="DP155" i="4"/>
  <c r="EF154" i="4"/>
  <c r="DZ154" i="4"/>
  <c r="DU154" i="4"/>
  <c r="DP154" i="4"/>
  <c r="EG153" i="4"/>
  <c r="EB153" i="4"/>
  <c r="DV153" i="4"/>
  <c r="EW153" i="4" s="1" a="1"/>
  <c r="EW153" i="4" s="1"/>
  <c r="DQ153" i="4"/>
  <c r="EH152" i="4"/>
  <c r="EC152" i="4"/>
  <c r="DX152" i="4"/>
  <c r="DR152" i="4"/>
  <c r="ED151" i="4"/>
  <c r="DY151" i="4"/>
  <c r="DT151" i="4"/>
  <c r="EF150" i="4"/>
  <c r="DZ150" i="4"/>
  <c r="DU150" i="4"/>
  <c r="DP150" i="4"/>
  <c r="EG149" i="4"/>
  <c r="EB149" i="4"/>
  <c r="DV149" i="4"/>
  <c r="EW149" i="4" s="1" a="1"/>
  <c r="EW149" i="4" s="1"/>
  <c r="DQ149" i="4"/>
  <c r="EH148" i="4"/>
  <c r="EC148" i="4"/>
  <c r="DX148" i="4"/>
  <c r="DR148" i="4"/>
  <c r="ED147" i="4"/>
  <c r="DY147" i="4"/>
  <c r="DT147" i="4"/>
  <c r="ED146" i="4"/>
  <c r="DY146" i="4"/>
  <c r="DT146" i="4"/>
  <c r="EF145" i="4"/>
  <c r="DZ145" i="4"/>
  <c r="DU145" i="4"/>
  <c r="DP145" i="4"/>
  <c r="EG144" i="4"/>
  <c r="EB144" i="4"/>
  <c r="DV144" i="4"/>
  <c r="EW144" i="4" s="1" a="1"/>
  <c r="EW144" i="4" s="1"/>
  <c r="DQ144" i="4"/>
  <c r="EH143" i="4"/>
  <c r="EC143" i="4"/>
  <c r="DX143" i="4"/>
  <c r="DR143" i="4"/>
  <c r="ED142" i="4"/>
  <c r="DY142" i="4"/>
  <c r="DT142" i="4"/>
  <c r="ED141" i="4"/>
  <c r="DY141" i="4"/>
  <c r="DT141" i="4"/>
  <c r="ED140" i="4"/>
  <c r="DY140" i="4"/>
  <c r="DT140" i="4"/>
  <c r="EF139" i="4"/>
  <c r="DZ139" i="4"/>
  <c r="DU139" i="4"/>
  <c r="DP139" i="4"/>
  <c r="EG138" i="4"/>
  <c r="EB138" i="4"/>
  <c r="DV138" i="4"/>
  <c r="EW138" i="4" s="1" a="1"/>
  <c r="EW138" i="4" s="1"/>
  <c r="DQ138" i="4"/>
  <c r="EH137" i="4"/>
  <c r="EC137" i="4"/>
  <c r="DX137" i="4"/>
  <c r="DR137" i="4"/>
  <c r="ED136" i="4"/>
  <c r="DY136" i="4"/>
  <c r="DT136" i="4"/>
  <c r="EF135" i="4"/>
  <c r="DZ135" i="4"/>
  <c r="DU135" i="4"/>
  <c r="DP135" i="4"/>
  <c r="EG134" i="4"/>
  <c r="EB134" i="4"/>
  <c r="DV134" i="4"/>
  <c r="EW134" i="4" s="1" a="1"/>
  <c r="EW134" i="4" s="1"/>
  <c r="DQ134" i="4"/>
  <c r="EG133" i="4"/>
  <c r="EB133" i="4"/>
  <c r="DV133" i="4"/>
  <c r="EW133" i="4" s="1" a="1"/>
  <c r="EW133" i="4" s="1"/>
  <c r="DQ133" i="4"/>
  <c r="EH132" i="4"/>
  <c r="EC132" i="4"/>
  <c r="DX132" i="4"/>
  <c r="DR132" i="4"/>
  <c r="EH131" i="4"/>
  <c r="EC131" i="4"/>
  <c r="DX131" i="4"/>
  <c r="DR131" i="4"/>
  <c r="ED130" i="4"/>
  <c r="DY130" i="4"/>
  <c r="DT130" i="4"/>
  <c r="EF129" i="4"/>
  <c r="DZ129" i="4"/>
  <c r="DU129" i="4"/>
  <c r="DP129" i="4"/>
  <c r="EG128" i="4"/>
  <c r="EB128" i="4"/>
  <c r="DV128" i="4"/>
  <c r="EW128" i="4" s="1" a="1"/>
  <c r="EW128" i="4" s="1"/>
  <c r="DQ128" i="4"/>
  <c r="EG127" i="4"/>
  <c r="EB127" i="4"/>
  <c r="DV127" i="4"/>
  <c r="EW127" i="4" s="1" a="1"/>
  <c r="EW127" i="4" s="1"/>
  <c r="DQ127" i="4"/>
  <c r="EG126" i="4"/>
  <c r="EB126" i="4"/>
  <c r="DV126" i="4"/>
  <c r="EW126" i="4" s="1" a="1"/>
  <c r="EW126" i="4" s="1"/>
  <c r="DQ126" i="4"/>
  <c r="EH125" i="4"/>
  <c r="EC125" i="4"/>
  <c r="DX125" i="4"/>
  <c r="DR125" i="4"/>
  <c r="EH124" i="4"/>
  <c r="EC124" i="4"/>
  <c r="DX124" i="4"/>
  <c r="DR124" i="4"/>
  <c r="ED123" i="4"/>
  <c r="DY123" i="4"/>
  <c r="DT123" i="4"/>
  <c r="ED122" i="4"/>
  <c r="DY122" i="4"/>
  <c r="DT122" i="4"/>
  <c r="EF121" i="4"/>
  <c r="DZ121" i="4"/>
  <c r="DU121" i="4"/>
  <c r="DP121" i="4"/>
  <c r="EG120" i="4"/>
  <c r="EB120" i="4"/>
  <c r="DV120" i="4"/>
  <c r="EW120" i="4" s="1" a="1"/>
  <c r="EW120" i="4" s="1"/>
  <c r="DQ120" i="4"/>
  <c r="EG119" i="4"/>
  <c r="EB119" i="4"/>
  <c r="DV119" i="4"/>
  <c r="EW119" i="4" s="1" a="1"/>
  <c r="EW119" i="4" s="1"/>
  <c r="DQ119" i="4"/>
  <c r="EH118" i="4"/>
  <c r="EC118" i="4"/>
  <c r="DX118" i="4"/>
  <c r="DR118" i="4"/>
  <c r="EH117" i="4"/>
  <c r="EC117" i="4"/>
  <c r="DX117" i="4"/>
  <c r="DR117" i="4"/>
  <c r="ED116" i="4"/>
  <c r="DY116" i="4"/>
  <c r="DT116" i="4"/>
  <c r="ED115" i="4"/>
  <c r="DY115" i="4"/>
  <c r="DT115" i="4"/>
  <c r="EF114" i="4"/>
  <c r="DZ114" i="4"/>
  <c r="DU114" i="4"/>
  <c r="DP114" i="4"/>
  <c r="EG113" i="4"/>
  <c r="EB113" i="4"/>
  <c r="DV113" i="4"/>
  <c r="EW113" i="4" s="1" a="1"/>
  <c r="EW113" i="4" s="1"/>
  <c r="DQ113" i="4"/>
  <c r="EH112" i="4"/>
  <c r="EC112" i="4"/>
  <c r="DX112" i="4"/>
  <c r="DR112" i="4"/>
  <c r="ED111" i="4"/>
  <c r="DY111" i="4"/>
  <c r="DT111" i="4"/>
  <c r="ED110" i="4"/>
  <c r="DY110" i="4"/>
  <c r="DT110" i="4"/>
  <c r="EF109" i="4"/>
  <c r="DZ109" i="4"/>
  <c r="DU109" i="4"/>
  <c r="DP109" i="4"/>
  <c r="EG108" i="4"/>
  <c r="EB108" i="4"/>
  <c r="DV108" i="4"/>
  <c r="EW108" i="4" s="1" a="1"/>
  <c r="EW108" i="4" s="1"/>
  <c r="DQ108" i="4"/>
  <c r="EH107" i="4"/>
  <c r="EC107" i="4"/>
  <c r="DX107" i="4"/>
  <c r="DR107" i="4"/>
  <c r="EH106" i="4"/>
  <c r="EC106" i="4"/>
  <c r="DX106" i="4"/>
  <c r="DR106" i="4"/>
  <c r="ED105" i="4"/>
  <c r="DY105" i="4"/>
  <c r="DT105" i="4"/>
  <c r="EF104" i="4"/>
  <c r="DZ104" i="4"/>
  <c r="DU104" i="4"/>
  <c r="DP104" i="4"/>
  <c r="EG103" i="4"/>
  <c r="EB103" i="4"/>
  <c r="DV103" i="4"/>
  <c r="EW103" i="4" s="1" a="1"/>
  <c r="EW103" i="4" s="1"/>
  <c r="DQ103" i="4"/>
  <c r="EH102" i="4"/>
  <c r="EC102" i="4"/>
  <c r="DX102" i="4"/>
  <c r="DR102" i="4"/>
  <c r="ED101" i="4"/>
  <c r="DY101" i="4"/>
  <c r="DT101" i="4"/>
  <c r="EF100" i="4"/>
  <c r="DZ100" i="4"/>
  <c r="DU100" i="4"/>
  <c r="DP100" i="4"/>
  <c r="EG99" i="4"/>
  <c r="EB99" i="4"/>
  <c r="DV99" i="4"/>
  <c r="EW99" i="4" s="1" a="1"/>
  <c r="EW99" i="4" s="1"/>
  <c r="DQ99" i="4"/>
  <c r="EH98" i="4"/>
  <c r="EC98" i="4"/>
  <c r="DX98" i="4"/>
  <c r="DR98" i="4"/>
  <c r="EH97" i="4"/>
  <c r="EC97" i="4"/>
  <c r="DX97" i="4"/>
  <c r="DR97" i="4"/>
  <c r="ED96" i="4"/>
  <c r="DY96" i="4"/>
  <c r="DT96" i="4"/>
  <c r="EF95" i="4"/>
  <c r="DZ95" i="4"/>
  <c r="DU95" i="4"/>
  <c r="DP95" i="4"/>
  <c r="EG94" i="4"/>
  <c r="EB94" i="4"/>
  <c r="DV94" i="4"/>
  <c r="EW94" i="4" s="1" a="1"/>
  <c r="EW94" i="4" s="1"/>
  <c r="DQ94" i="4"/>
  <c r="EH93" i="4"/>
  <c r="EC93" i="4"/>
  <c r="DX93" i="4"/>
  <c r="DR93" i="4"/>
  <c r="ED92" i="4"/>
  <c r="DY92" i="4"/>
  <c r="DT92" i="4"/>
  <c r="ED91" i="4"/>
  <c r="DY91" i="4"/>
  <c r="DT91" i="4"/>
  <c r="EF90" i="4"/>
  <c r="DZ90" i="4"/>
  <c r="DU90" i="4"/>
  <c r="DP90" i="4"/>
  <c r="EG89" i="4"/>
  <c r="EB89" i="4"/>
  <c r="DV89" i="4"/>
  <c r="EW89" i="4" s="1" a="1"/>
  <c r="EW89" i="4" s="1"/>
  <c r="DQ89" i="4"/>
  <c r="EH88" i="4"/>
  <c r="EC88" i="4"/>
  <c r="DX88" i="4"/>
  <c r="DR88" i="4"/>
  <c r="ED87" i="4"/>
  <c r="DY87" i="4"/>
  <c r="DT87" i="4"/>
  <c r="EF86" i="4"/>
  <c r="DZ86" i="4"/>
  <c r="DU86" i="4"/>
  <c r="DP86" i="4"/>
  <c r="EG85" i="4"/>
  <c r="EB85" i="4"/>
  <c r="DV85" i="4"/>
  <c r="EW85" i="4" s="1" a="1"/>
  <c r="EW85" i="4" s="1"/>
  <c r="DQ85" i="4"/>
  <c r="EG84" i="4"/>
  <c r="EB84" i="4"/>
  <c r="DV84" i="4"/>
  <c r="EW84" i="4" s="1" a="1"/>
  <c r="EW84" i="4" s="1"/>
  <c r="DQ84" i="4"/>
  <c r="EH83" i="4"/>
  <c r="EC83" i="4"/>
  <c r="DX83" i="4"/>
  <c r="DR83" i="4"/>
  <c r="EH82" i="4"/>
  <c r="EC82" i="4"/>
  <c r="DX82" i="4"/>
  <c r="DR82" i="4"/>
  <c r="EH81" i="4"/>
  <c r="EC81" i="4"/>
  <c r="DX81" i="4"/>
  <c r="DR81" i="4"/>
  <c r="ED80" i="4"/>
  <c r="DY80" i="4"/>
  <c r="DT80" i="4"/>
  <c r="EF79" i="4"/>
  <c r="DZ79" i="4"/>
  <c r="DU79" i="4"/>
  <c r="DP79" i="4"/>
  <c r="EF78" i="4"/>
  <c r="DZ78" i="4"/>
  <c r="DU78" i="4"/>
  <c r="DP78" i="4"/>
  <c r="EG77" i="4"/>
  <c r="EB77" i="4"/>
  <c r="DV77" i="4"/>
  <c r="EW77" i="4" s="1" a="1"/>
  <c r="EW77" i="4" s="1"/>
  <c r="DQ77" i="4"/>
  <c r="EG76" i="4"/>
  <c r="EB76" i="4"/>
  <c r="DV76" i="4"/>
  <c r="EW76" i="4" s="1" a="1"/>
  <c r="EW76" i="4" s="1"/>
  <c r="DQ76" i="4"/>
  <c r="EH75" i="4"/>
  <c r="EC75" i="4"/>
  <c r="DX75" i="4"/>
  <c r="DR75" i="4"/>
  <c r="EH74" i="4"/>
  <c r="EC74" i="4"/>
  <c r="DX74" i="4"/>
  <c r="DR74" i="4"/>
  <c r="ED73" i="4"/>
  <c r="DY73" i="4"/>
  <c r="DT73" i="4"/>
  <c r="ED72" i="4"/>
  <c r="DY72" i="4"/>
  <c r="DT72" i="4"/>
  <c r="EF71" i="4"/>
  <c r="DZ71" i="4"/>
  <c r="DU71" i="4"/>
  <c r="DP71" i="4"/>
  <c r="EF70" i="4"/>
  <c r="DZ70" i="4"/>
  <c r="DU70" i="4"/>
  <c r="DP70" i="4"/>
  <c r="EG69" i="4"/>
  <c r="EB69" i="4"/>
  <c r="DV69" i="4"/>
  <c r="EW69" i="4" s="1" a="1"/>
  <c r="EW69" i="4" s="1"/>
  <c r="DQ69" i="4"/>
  <c r="EG68" i="4"/>
  <c r="EB68" i="4"/>
  <c r="DV68" i="4"/>
  <c r="EW68" i="4" s="1" a="1"/>
  <c r="EW68" i="4" s="1"/>
  <c r="DQ68" i="4"/>
  <c r="EH67" i="4"/>
  <c r="EC67" i="4"/>
  <c r="DX67" i="4"/>
  <c r="DR67" i="4"/>
  <c r="ED66" i="4"/>
  <c r="DY66" i="4"/>
  <c r="DT66" i="4"/>
  <c r="EF65" i="4"/>
  <c r="DZ65" i="4"/>
  <c r="DU65" i="4"/>
  <c r="DP65" i="4"/>
  <c r="EG64" i="4"/>
  <c r="EB64" i="4"/>
  <c r="DV64" i="4"/>
  <c r="EW64" i="4" s="1" a="1"/>
  <c r="EW64" i="4" s="1"/>
  <c r="DQ64" i="4"/>
  <c r="EG63" i="4"/>
  <c r="EB63" i="4"/>
  <c r="DV63" i="4"/>
  <c r="EW63" i="4" s="1" a="1"/>
  <c r="EW63" i="4" s="1"/>
  <c r="DQ63" i="4"/>
  <c r="EH62" i="4"/>
  <c r="EC62" i="4"/>
  <c r="DX62" i="4"/>
  <c r="DR62" i="4"/>
  <c r="EH61" i="4"/>
  <c r="EB61" i="4"/>
  <c r="DW61" i="4"/>
  <c r="DR61" i="4"/>
  <c r="EE60" i="4"/>
  <c r="DZ60" i="4"/>
  <c r="DT60" i="4"/>
  <c r="DO60" i="4"/>
  <c r="EJ60" i="4" s="1" a="1"/>
  <c r="EJ60" i="4" s="1"/>
  <c r="EH59" i="4"/>
  <c r="EB59" i="4"/>
  <c r="DW59" i="4"/>
  <c r="DR59" i="4"/>
  <c r="EE58" i="4"/>
  <c r="DZ58" i="4"/>
  <c r="DT58" i="4"/>
  <c r="DO58" i="4"/>
  <c r="EJ58" i="4" s="1" a="1"/>
  <c r="EJ58" i="4" s="1"/>
  <c r="EH57" i="4"/>
  <c r="EB57" i="4"/>
  <c r="DW57" i="4"/>
  <c r="DR57" i="4"/>
  <c r="EE56" i="4"/>
  <c r="DZ56" i="4"/>
  <c r="DT56" i="4"/>
  <c r="DO56" i="4"/>
  <c r="EJ56" i="4" s="1" a="1"/>
  <c r="EJ56" i="4" s="1"/>
  <c r="EH55" i="4"/>
  <c r="EB55" i="4"/>
  <c r="DW55" i="4"/>
  <c r="DR55" i="4"/>
  <c r="EE54" i="4"/>
  <c r="DZ54" i="4"/>
  <c r="DT54" i="4"/>
  <c r="DO54" i="4"/>
  <c r="EJ54" i="4" s="1" a="1"/>
  <c r="EJ54" i="4" s="1"/>
  <c r="EH53" i="4"/>
  <c r="EB53" i="4"/>
  <c r="DW53" i="4"/>
  <c r="DR53" i="4"/>
  <c r="EE52" i="4"/>
  <c r="DZ52" i="4"/>
  <c r="DT52" i="4"/>
  <c r="DO52" i="4"/>
  <c r="EJ52" i="4" s="1" a="1"/>
  <c r="EJ52" i="4" s="1"/>
  <c r="EH51" i="4"/>
  <c r="EB51" i="4"/>
  <c r="DW51" i="4"/>
  <c r="DR51" i="4"/>
  <c r="EF50" i="4"/>
  <c r="EA50" i="4"/>
  <c r="DU50" i="4"/>
  <c r="DP50" i="4"/>
  <c r="EI49" i="4"/>
  <c r="EC49" i="4"/>
  <c r="DX49" i="4"/>
  <c r="DS49" i="4"/>
  <c r="EF48" i="4"/>
  <c r="EA48" i="4"/>
  <c r="DU48" i="4"/>
  <c r="DP48" i="4"/>
  <c r="EI47" i="4"/>
  <c r="EC47" i="4"/>
  <c r="DX47" i="4"/>
  <c r="DS47" i="4"/>
  <c r="EF46" i="4"/>
  <c r="EA46" i="4"/>
  <c r="DU46" i="4"/>
  <c r="DP46" i="4"/>
  <c r="EI45" i="4"/>
  <c r="EC45" i="4"/>
  <c r="DX45" i="4"/>
  <c r="DS45" i="4"/>
  <c r="EF44" i="4"/>
  <c r="EA44" i="4"/>
  <c r="DQ44" i="4"/>
  <c r="EE43" i="4"/>
  <c r="DY43" i="4"/>
  <c r="DT43" i="4"/>
  <c r="DO43" i="4"/>
  <c r="EJ43" i="4" s="1" a="1"/>
  <c r="EJ43" i="4" s="1"/>
  <c r="EG42" i="4"/>
  <c r="EB42" i="4"/>
  <c r="DW42" i="4"/>
  <c r="DQ42" i="4"/>
  <c r="EE41" i="4"/>
  <c r="DY41" i="4"/>
  <c r="DT41" i="4"/>
  <c r="DO41" i="4"/>
  <c r="EJ41" i="4" s="1" a="1"/>
  <c r="EJ41" i="4" s="1"/>
  <c r="EG40" i="4"/>
  <c r="EB40" i="4"/>
  <c r="DW40" i="4"/>
  <c r="DQ40" i="4"/>
  <c r="EE39" i="4"/>
  <c r="DY39" i="4"/>
  <c r="DT39" i="4"/>
  <c r="DO39" i="4"/>
  <c r="EJ39" i="4" s="1" a="1"/>
  <c r="EJ39" i="4" s="1"/>
  <c r="EG38" i="4"/>
  <c r="EB38" i="4"/>
  <c r="DW38" i="4"/>
  <c r="DQ38" i="4"/>
  <c r="EE37" i="4"/>
  <c r="DY37" i="4"/>
  <c r="DT37" i="4"/>
  <c r="DO37" i="4"/>
  <c r="EJ37" i="4" s="1" a="1"/>
  <c r="EJ37" i="4" s="1"/>
  <c r="EG36" i="4"/>
  <c r="EB36" i="4"/>
  <c r="DW36" i="4"/>
  <c r="DQ36" i="4"/>
  <c r="EE35" i="4"/>
  <c r="DY35" i="4"/>
  <c r="DT35" i="4"/>
  <c r="DO35" i="4"/>
  <c r="EJ35" i="4" s="1" a="1"/>
  <c r="EJ35" i="4" s="1"/>
  <c r="EG34" i="4"/>
  <c r="EB34" i="4"/>
  <c r="DW34" i="4"/>
  <c r="DQ34" i="4"/>
  <c r="EE33" i="4"/>
  <c r="DY33" i="4"/>
  <c r="DT33" i="4"/>
  <c r="DO33" i="4"/>
  <c r="EJ33" i="4" s="1" a="1"/>
  <c r="EJ33" i="4" s="1"/>
  <c r="EG32" i="4"/>
  <c r="EB32" i="4"/>
  <c r="DW32" i="4"/>
  <c r="DQ32" i="4"/>
  <c r="EE31" i="4"/>
  <c r="DY31" i="4"/>
  <c r="DT31" i="4"/>
  <c r="DO31" i="4"/>
  <c r="EJ31" i="4" s="1" a="1"/>
  <c r="EJ31" i="4" s="1"/>
  <c r="EG30" i="4"/>
  <c r="EB30" i="4"/>
  <c r="DW30" i="4"/>
  <c r="DQ30" i="4"/>
  <c r="EH29" i="4"/>
  <c r="EC29" i="4"/>
  <c r="DW29" i="4"/>
  <c r="DR29" i="4"/>
  <c r="EE28" i="4"/>
  <c r="DZ28" i="4"/>
  <c r="DU28" i="4"/>
  <c r="DO28" i="4"/>
  <c r="EJ28" i="4" s="1" a="1"/>
  <c r="EJ28" i="4" s="1"/>
  <c r="EH27" i="4"/>
  <c r="EC27" i="4"/>
  <c r="DW27" i="4"/>
  <c r="DR27" i="4"/>
  <c r="EE26" i="4"/>
  <c r="DZ26" i="4"/>
  <c r="DU26" i="4"/>
  <c r="DO26" i="4"/>
  <c r="EJ26" i="4" s="1" a="1"/>
  <c r="EJ26" i="4" s="1"/>
  <c r="EH25" i="4"/>
  <c r="EC25" i="4"/>
  <c r="DW25" i="4"/>
  <c r="DR25" i="4"/>
  <c r="EE24" i="4"/>
  <c r="DZ24" i="4"/>
  <c r="DU24" i="4"/>
  <c r="DO24" i="4"/>
  <c r="EJ24" i="4" s="1" a="1"/>
  <c r="EJ24" i="4" s="1"/>
  <c r="EH23" i="4"/>
  <c r="EC23" i="4"/>
  <c r="DW23" i="4"/>
  <c r="DR23" i="4"/>
  <c r="EE22" i="4"/>
  <c r="DZ22" i="4"/>
  <c r="DU22" i="4"/>
  <c r="DO22" i="4"/>
  <c r="EJ22" i="4" s="1" a="1"/>
  <c r="EJ22" i="4" s="1"/>
  <c r="EH21" i="4"/>
  <c r="EC21" i="4"/>
  <c r="DW21" i="4"/>
  <c r="DR21" i="4"/>
  <c r="EE20" i="4"/>
  <c r="DZ20" i="4"/>
  <c r="DU20" i="4"/>
  <c r="DO20" i="4"/>
  <c r="EJ20" i="4" s="1" a="1"/>
  <c r="EJ20" i="4" s="1"/>
  <c r="EH19" i="4"/>
  <c r="EC19" i="4"/>
  <c r="DW19" i="4"/>
  <c r="DR19" i="4"/>
  <c r="EE18" i="4"/>
  <c r="DZ18" i="4"/>
  <c r="DU18" i="4"/>
  <c r="DO18" i="4"/>
  <c r="EJ18" i="4" s="1" a="1"/>
  <c r="EJ18" i="4" s="1"/>
  <c r="EH17" i="4"/>
  <c r="EC17" i="4"/>
  <c r="DW17" i="4"/>
  <c r="DR17" i="4"/>
  <c r="EE16" i="4"/>
  <c r="DZ16" i="4"/>
  <c r="DU16" i="4"/>
  <c r="DO16" i="4"/>
  <c r="EJ16" i="4" s="1" a="1"/>
  <c r="EJ16" i="4" s="1"/>
  <c r="EH15" i="4"/>
  <c r="EC15" i="4"/>
  <c r="DW15" i="4"/>
  <c r="DR15" i="4"/>
  <c r="EE14" i="4"/>
  <c r="DZ14" i="4"/>
  <c r="DU14" i="4"/>
  <c r="DO14" i="4"/>
  <c r="EJ14" i="4" s="1" a="1"/>
  <c r="EJ14" i="4" s="1"/>
  <c r="EH13" i="4"/>
  <c r="EC13" i="4"/>
  <c r="DW13" i="4"/>
  <c r="DR13" i="4"/>
  <c r="EE12" i="4"/>
  <c r="DZ12" i="4"/>
  <c r="DU12" i="4"/>
  <c r="DO12" i="4"/>
  <c r="EJ12" i="4" s="1" a="1"/>
  <c r="EJ12" i="4" s="1"/>
  <c r="EH11" i="4"/>
  <c r="EC11" i="4"/>
  <c r="DW11" i="4"/>
  <c r="DR11" i="4"/>
  <c r="EE10" i="4"/>
  <c r="DZ10" i="4"/>
  <c r="DU10" i="4"/>
  <c r="DO10" i="4"/>
  <c r="EJ10" i="4" s="1" a="1"/>
  <c r="EJ10" i="4" s="1"/>
  <c r="EH9" i="4"/>
  <c r="EC9" i="4"/>
  <c r="DW9" i="4"/>
  <c r="DR9" i="4"/>
  <c r="EE8" i="4"/>
  <c r="DZ8" i="4"/>
  <c r="DU8" i="4"/>
  <c r="DO8" i="4"/>
  <c r="EJ8" i="4" s="1" a="1"/>
  <c r="EJ8" i="4" s="1"/>
  <c r="EH7" i="4"/>
  <c r="EC7" i="4"/>
  <c r="DW7" i="4"/>
  <c r="DR7" i="4"/>
  <c r="EE6" i="4"/>
  <c r="DZ6" i="4"/>
  <c r="DU6" i="4"/>
  <c r="DO6" i="4"/>
  <c r="EJ6" i="4" s="1" a="1"/>
  <c r="EJ6" i="4" s="1"/>
  <c r="EH5" i="4"/>
  <c r="EC5" i="4"/>
  <c r="DW5" i="4"/>
  <c r="DR5" i="4"/>
  <c r="EE4" i="4"/>
  <c r="DZ4" i="4"/>
  <c r="DU4" i="4"/>
  <c r="DO4" i="4"/>
  <c r="EJ4" i="4" s="1" a="1"/>
  <c r="EJ4" i="4" s="1"/>
  <c r="EH3" i="4"/>
  <c r="EC3" i="4"/>
  <c r="DW3" i="4"/>
  <c r="DR3" i="4"/>
  <c r="EG2" i="4"/>
  <c r="EB2" i="4"/>
  <c r="DW2" i="4"/>
  <c r="DQ2" i="4"/>
  <c r="EF264" i="4"/>
  <c r="EA264" i="4"/>
  <c r="DV264" i="4"/>
  <c r="EW264" i="4" s="1" a="1"/>
  <c r="EW264" i="4" s="1"/>
  <c r="DP264" i="4"/>
  <c r="EI263" i="4"/>
  <c r="ED263" i="4"/>
  <c r="DX263" i="4"/>
  <c r="DS263" i="4"/>
  <c r="EF262" i="4"/>
  <c r="EA262" i="4"/>
  <c r="DV262" i="4"/>
  <c r="EW262" i="4" s="1" a="1"/>
  <c r="EW262" i="4" s="1"/>
  <c r="DP262" i="4"/>
  <c r="EI261" i="4"/>
  <c r="ED261" i="4"/>
  <c r="DX261" i="4"/>
  <c r="DS261" i="4"/>
  <c r="EF260" i="4"/>
  <c r="EA260" i="4"/>
  <c r="DV260" i="4"/>
  <c r="EW260" i="4" s="1" a="1"/>
  <c r="EW260" i="4" s="1"/>
  <c r="DP260" i="4"/>
  <c r="EH259" i="4"/>
  <c r="EB259" i="4"/>
  <c r="DW259" i="4"/>
  <c r="DR259" i="4"/>
  <c r="EE258" i="4"/>
  <c r="DZ258" i="4"/>
  <c r="DT258" i="4"/>
  <c r="DO258" i="4"/>
  <c r="EJ258" i="4" s="1" a="1"/>
  <c r="EJ258" i="4" s="1"/>
  <c r="EH257" i="4"/>
  <c r="EB257" i="4"/>
  <c r="DW257" i="4"/>
  <c r="DR257" i="4"/>
  <c r="EE256" i="4"/>
  <c r="DZ256" i="4"/>
  <c r="DT256" i="4"/>
  <c r="DO256" i="4"/>
  <c r="EJ256" i="4" s="1" a="1"/>
  <c r="EJ256" i="4" s="1"/>
  <c r="EH255" i="4"/>
  <c r="EB255" i="4"/>
  <c r="DW255" i="4"/>
  <c r="DR255" i="4"/>
  <c r="EE254" i="4"/>
  <c r="DZ254" i="4"/>
  <c r="DT254" i="4"/>
  <c r="DO254" i="4"/>
  <c r="EJ254" i="4" s="1" a="1"/>
  <c r="EJ254" i="4" s="1"/>
  <c r="EH253" i="4"/>
  <c r="EB253" i="4"/>
  <c r="DW253" i="4"/>
  <c r="DR253" i="4"/>
  <c r="EI252" i="4"/>
  <c r="ED252" i="4"/>
  <c r="DX252" i="4"/>
  <c r="DS252" i="4"/>
  <c r="EF251" i="4"/>
  <c r="EA251" i="4"/>
  <c r="DV251" i="4"/>
  <c r="EW251" i="4" s="1" a="1"/>
  <c r="EW251" i="4" s="1"/>
  <c r="DP251" i="4"/>
  <c r="EI250" i="4"/>
  <c r="ED250" i="4"/>
  <c r="DX250" i="4"/>
  <c r="DS250" i="4"/>
  <c r="EE249" i="4"/>
  <c r="DZ249" i="4"/>
  <c r="DU249" i="4"/>
  <c r="DO249" i="4"/>
  <c r="EJ249" i="4" s="1" a="1"/>
  <c r="EJ249" i="4" s="1"/>
  <c r="EH248" i="4"/>
  <c r="EC248" i="4"/>
  <c r="DW248" i="4"/>
  <c r="DR248" i="4"/>
  <c r="EG247" i="4"/>
  <c r="EB247" i="4"/>
  <c r="DW247" i="4"/>
  <c r="DQ247" i="4"/>
  <c r="EE246" i="4"/>
  <c r="DY246" i="4"/>
  <c r="DT246" i="4"/>
  <c r="DO246" i="4"/>
  <c r="EJ246" i="4" s="1" a="1"/>
  <c r="EJ246" i="4" s="1"/>
  <c r="EG245" i="4"/>
  <c r="EB245" i="4"/>
  <c r="DW245" i="4"/>
  <c r="DQ245" i="4"/>
  <c r="EE244" i="4"/>
  <c r="DY244" i="4"/>
  <c r="DT244" i="4"/>
  <c r="DO244" i="4"/>
  <c r="EJ244" i="4" s="1" a="1"/>
  <c r="EJ244" i="4" s="1"/>
  <c r="EG243" i="4"/>
  <c r="EB243" i="4"/>
  <c r="DW243" i="4"/>
  <c r="DQ243" i="4"/>
  <c r="EE242" i="4"/>
  <c r="DY242" i="4"/>
  <c r="DT242" i="4"/>
  <c r="DO242" i="4"/>
  <c r="EJ242" i="4" s="1" a="1"/>
  <c r="EJ242" i="4" s="1"/>
  <c r="EG241" i="4"/>
  <c r="EB241" i="4"/>
  <c r="DW241" i="4"/>
  <c r="DQ241" i="4"/>
  <c r="EE240" i="4"/>
  <c r="DY240" i="4"/>
  <c r="DT240" i="4"/>
  <c r="DO240" i="4"/>
  <c r="EJ240" i="4" s="1" a="1"/>
  <c r="EJ240" i="4" s="1"/>
  <c r="EG239" i="4"/>
  <c r="EB239" i="4"/>
  <c r="DW239" i="4"/>
  <c r="DQ239" i="4"/>
  <c r="EE238" i="4"/>
  <c r="DY238" i="4"/>
  <c r="DT238" i="4"/>
  <c r="DO238" i="4"/>
  <c r="EJ238" i="4" s="1" a="1"/>
  <c r="EJ238" i="4" s="1"/>
  <c r="EG237" i="4"/>
  <c r="EB237" i="4"/>
  <c r="DW237" i="4"/>
  <c r="DQ237" i="4"/>
  <c r="EI236" i="4"/>
  <c r="ED236" i="4"/>
  <c r="DX236" i="4"/>
  <c r="DS236" i="4"/>
  <c r="EF235" i="4"/>
  <c r="EA235" i="4"/>
  <c r="DV235" i="4"/>
  <c r="EW235" i="4" s="1" a="1"/>
  <c r="EW235" i="4" s="1"/>
  <c r="DP235" i="4"/>
  <c r="EI234" i="4"/>
  <c r="ED234" i="4"/>
  <c r="DX234" i="4"/>
  <c r="DS234" i="4"/>
  <c r="EF233" i="4"/>
  <c r="EA233" i="4"/>
  <c r="DV233" i="4"/>
  <c r="EW233" i="4" s="1" a="1"/>
  <c r="EW233" i="4" s="1"/>
  <c r="DP233" i="4"/>
  <c r="EI232" i="4"/>
  <c r="ED232" i="4"/>
  <c r="DX232" i="4"/>
  <c r="DS232" i="4"/>
  <c r="EF231" i="4"/>
  <c r="EA231" i="4"/>
  <c r="DV231" i="4"/>
  <c r="EW231" i="4" s="1" a="1"/>
  <c r="EW231" i="4" s="1"/>
  <c r="DP231" i="4"/>
  <c r="EI230" i="4"/>
  <c r="ED230" i="4"/>
  <c r="DX230" i="4"/>
  <c r="DS230" i="4"/>
  <c r="EF229" i="4"/>
  <c r="EA229" i="4"/>
  <c r="DV229" i="4"/>
  <c r="EW229" i="4" s="1" a="1"/>
  <c r="EW229" i="4" s="1"/>
  <c r="DP229" i="4"/>
  <c r="EI228" i="4"/>
  <c r="ED228" i="4"/>
  <c r="DX228" i="4"/>
  <c r="DS228" i="4"/>
  <c r="EF227" i="4"/>
  <c r="EA227" i="4"/>
  <c r="DV227" i="4"/>
  <c r="EW227" i="4" s="1" a="1"/>
  <c r="EW227" i="4" s="1"/>
  <c r="DP227" i="4"/>
  <c r="EI226" i="4"/>
  <c r="ED226" i="4"/>
  <c r="DX226" i="4"/>
  <c r="DS226" i="4"/>
  <c r="EF225" i="4"/>
  <c r="EA225" i="4"/>
  <c r="DV225" i="4"/>
  <c r="EW225" i="4" s="1" a="1"/>
  <c r="EW225" i="4" s="1"/>
  <c r="DP225" i="4"/>
  <c r="EI224" i="4"/>
  <c r="ED224" i="4"/>
  <c r="DX224" i="4"/>
  <c r="DS224" i="4"/>
  <c r="EF223" i="4"/>
  <c r="EA223" i="4"/>
  <c r="DV223" i="4"/>
  <c r="EW223" i="4" s="1" a="1"/>
  <c r="EW223" i="4" s="1"/>
  <c r="DP223" i="4"/>
  <c r="EI222" i="4"/>
  <c r="ED222" i="4"/>
  <c r="DX222" i="4"/>
  <c r="DS222" i="4"/>
  <c r="EF221" i="4"/>
  <c r="EA221" i="4"/>
  <c r="DV221" i="4"/>
  <c r="EW221" i="4" s="1" a="1"/>
  <c r="EW221" i="4" s="1"/>
  <c r="DP221" i="4"/>
  <c r="EI220" i="4"/>
  <c r="ED220" i="4"/>
  <c r="DX220" i="4"/>
  <c r="DS220" i="4"/>
  <c r="EF219" i="4"/>
  <c r="EA219" i="4"/>
  <c r="DV219" i="4"/>
  <c r="EW219" i="4" s="1" a="1"/>
  <c r="EW219" i="4" s="1"/>
  <c r="DP219" i="4"/>
  <c r="EI218" i="4"/>
  <c r="ED218" i="4"/>
  <c r="DX218" i="4"/>
  <c r="DS218" i="4"/>
  <c r="EF217" i="4"/>
  <c r="EA217" i="4"/>
  <c r="DV217" i="4"/>
  <c r="EW217" i="4" s="1" a="1"/>
  <c r="EW217" i="4" s="1"/>
  <c r="DP217" i="4"/>
  <c r="EH216" i="4"/>
  <c r="EB216" i="4"/>
  <c r="DW216" i="4"/>
  <c r="DR216" i="4"/>
  <c r="EE215" i="4"/>
  <c r="DZ215" i="4"/>
  <c r="DT215" i="4"/>
  <c r="DO215" i="4"/>
  <c r="EJ215" i="4" s="1" a="1"/>
  <c r="EJ215" i="4" s="1"/>
  <c r="EH214" i="4"/>
  <c r="EB214" i="4"/>
  <c r="DW214" i="4"/>
  <c r="DR214" i="4"/>
  <c r="EE213" i="4"/>
  <c r="DZ213" i="4"/>
  <c r="DT213" i="4"/>
  <c r="DO213" i="4"/>
  <c r="EJ213" i="4" s="1" a="1"/>
  <c r="EJ213" i="4" s="1"/>
  <c r="EH212" i="4"/>
  <c r="EB212" i="4"/>
  <c r="DW212" i="4"/>
  <c r="DR212" i="4"/>
  <c r="EE211" i="4"/>
  <c r="DZ211" i="4"/>
  <c r="DT211" i="4"/>
  <c r="DO211" i="4"/>
  <c r="EJ211" i="4" s="1" a="1"/>
  <c r="EJ211" i="4" s="1"/>
  <c r="EH210" i="4"/>
  <c r="EB210" i="4"/>
  <c r="DW210" i="4"/>
  <c r="DR210" i="4"/>
  <c r="EE209" i="4"/>
  <c r="DZ209" i="4"/>
  <c r="DT209" i="4"/>
  <c r="DO209" i="4"/>
  <c r="EJ209" i="4" s="1" a="1"/>
  <c r="EJ209" i="4" s="1"/>
  <c r="EH208" i="4"/>
  <c r="EB208" i="4"/>
  <c r="DW208" i="4"/>
  <c r="DR208" i="4"/>
  <c r="EE207" i="4"/>
  <c r="DZ207" i="4"/>
  <c r="DT207" i="4"/>
  <c r="DO207" i="4"/>
  <c r="EJ207" i="4" s="1" a="1"/>
  <c r="EJ207" i="4" s="1"/>
  <c r="EH206" i="4"/>
  <c r="EB206" i="4"/>
  <c r="DW206" i="4"/>
  <c r="DR206" i="4"/>
  <c r="EE205" i="4"/>
  <c r="DZ205" i="4"/>
  <c r="DT205" i="4"/>
  <c r="DO205" i="4"/>
  <c r="EJ205" i="4" s="1" a="1"/>
  <c r="EJ205" i="4" s="1"/>
  <c r="EF204" i="4"/>
  <c r="EA204" i="4"/>
  <c r="DV204" i="4"/>
  <c r="EW204" i="4" s="1" a="1"/>
  <c r="EW204" i="4" s="1"/>
  <c r="DP204" i="4"/>
  <c r="EI203" i="4"/>
  <c r="ED203" i="4"/>
  <c r="DX203" i="4"/>
  <c r="DS203" i="4"/>
  <c r="EF202" i="4"/>
  <c r="EA202" i="4"/>
  <c r="DV202" i="4"/>
  <c r="EW202" i="4" s="1" a="1"/>
  <c r="EW202" i="4" s="1"/>
  <c r="DP202" i="4"/>
  <c r="EI201" i="4"/>
  <c r="ED201" i="4"/>
  <c r="DX201" i="4"/>
  <c r="DS201" i="4"/>
  <c r="EF200" i="4"/>
  <c r="EA200" i="4"/>
  <c r="DV200" i="4"/>
  <c r="EW200" i="4" s="1" a="1"/>
  <c r="EW200" i="4" s="1"/>
  <c r="DP200" i="4"/>
  <c r="EI199" i="4"/>
  <c r="ED199" i="4"/>
  <c r="DX199" i="4"/>
  <c r="DS199" i="4"/>
  <c r="EF198" i="4"/>
  <c r="EA198" i="4"/>
  <c r="DV198" i="4"/>
  <c r="EW198" i="4" s="1" a="1"/>
  <c r="EW198" i="4" s="1"/>
  <c r="DP198" i="4"/>
  <c r="EI197" i="4"/>
  <c r="ED197" i="4"/>
  <c r="DX197" i="4"/>
  <c r="DS197" i="4"/>
  <c r="EF196" i="4"/>
  <c r="EA196" i="4"/>
  <c r="DV196" i="4"/>
  <c r="EW196" i="4" s="1" a="1"/>
  <c r="EW196" i="4" s="1"/>
  <c r="DP196" i="4"/>
  <c r="EI195" i="4"/>
  <c r="ED195" i="4"/>
  <c r="DX195" i="4"/>
  <c r="DS195" i="4"/>
  <c r="EF194" i="4"/>
  <c r="EA194" i="4"/>
  <c r="DV194" i="4"/>
  <c r="EW194" i="4" s="1" a="1"/>
  <c r="EW194" i="4" s="1"/>
  <c r="DP194" i="4"/>
  <c r="EI193" i="4"/>
  <c r="ED193" i="4"/>
  <c r="DX193" i="4"/>
  <c r="DS193" i="4"/>
  <c r="EF192" i="4"/>
  <c r="EA192" i="4"/>
  <c r="DV192" i="4"/>
  <c r="EW192" i="4" s="1" a="1"/>
  <c r="EW192" i="4" s="1"/>
  <c r="DP192" i="4"/>
  <c r="EI191" i="4"/>
  <c r="ED191" i="4"/>
  <c r="DX191" i="4"/>
  <c r="DS191" i="4"/>
  <c r="EH190" i="4"/>
  <c r="EC190" i="4"/>
  <c r="DX190" i="4"/>
  <c r="DR190" i="4"/>
  <c r="ED189" i="4"/>
  <c r="DY189" i="4"/>
  <c r="DT189" i="4"/>
  <c r="EF188" i="4"/>
  <c r="DZ188" i="4"/>
  <c r="DU188" i="4"/>
  <c r="DP188" i="4"/>
  <c r="EG187" i="4"/>
  <c r="EB187" i="4"/>
  <c r="DV187" i="4"/>
  <c r="EW187" i="4" s="1" a="1"/>
  <c r="EW187" i="4" s="1"/>
  <c r="DQ187" i="4"/>
  <c r="EH186" i="4"/>
  <c r="EC186" i="4"/>
  <c r="DX186" i="4"/>
  <c r="DR186" i="4"/>
  <c r="ED185" i="4"/>
  <c r="DY185" i="4"/>
  <c r="DT185" i="4"/>
  <c r="EF184" i="4"/>
  <c r="DZ184" i="4"/>
  <c r="DU184" i="4"/>
  <c r="DP184" i="4"/>
  <c r="EG183" i="4"/>
  <c r="EB183" i="4"/>
  <c r="DV183" i="4"/>
  <c r="EW183" i="4" s="1" a="1"/>
  <c r="EW183" i="4" s="1"/>
  <c r="DQ183" i="4"/>
  <c r="EH182" i="4"/>
  <c r="DX182" i="4"/>
  <c r="DR182" i="4"/>
  <c r="EF181" i="4"/>
  <c r="DZ181" i="4"/>
  <c r="DU181" i="4"/>
  <c r="DP181" i="4"/>
  <c r="EG180" i="4"/>
  <c r="EB180" i="4"/>
  <c r="DV180" i="4"/>
  <c r="EW180" i="4" s="1" a="1"/>
  <c r="EW180" i="4" s="1"/>
  <c r="DQ180" i="4"/>
  <c r="EH179" i="4"/>
  <c r="EC179" i="4"/>
  <c r="DX179" i="4"/>
  <c r="DR179" i="4"/>
  <c r="EH178" i="4"/>
  <c r="EC178" i="4"/>
  <c r="DX178" i="4"/>
  <c r="DR178" i="4"/>
  <c r="ED177" i="4"/>
  <c r="DY177" i="4"/>
  <c r="DT177" i="4"/>
  <c r="ED176" i="4"/>
  <c r="DY176" i="4"/>
  <c r="DT176" i="4"/>
  <c r="EF175" i="4"/>
  <c r="DZ175" i="4"/>
  <c r="DU175" i="4"/>
  <c r="DP175" i="4"/>
  <c r="EF174" i="4"/>
  <c r="DZ174" i="4"/>
  <c r="DU174" i="4"/>
  <c r="DP174" i="4"/>
  <c r="EF173" i="4"/>
  <c r="DZ173" i="4"/>
  <c r="DU173" i="4"/>
  <c r="DP173" i="4"/>
  <c r="EG172" i="4"/>
  <c r="EB172" i="4"/>
  <c r="DV172" i="4"/>
  <c r="EW172" i="4" s="1" a="1"/>
  <c r="EW172" i="4" s="1"/>
  <c r="DQ172" i="4"/>
  <c r="EH171" i="4"/>
  <c r="EC171" i="4"/>
  <c r="DX171" i="4"/>
  <c r="DR171" i="4"/>
  <c r="ED170" i="4"/>
  <c r="DY170" i="4"/>
  <c r="DT170" i="4"/>
  <c r="EF169" i="4"/>
  <c r="DZ169" i="4"/>
  <c r="DU169" i="4"/>
  <c r="DP169" i="4"/>
  <c r="EG168" i="4"/>
  <c r="EB168" i="4"/>
  <c r="DV168" i="4"/>
  <c r="EW168" i="4" s="1" a="1"/>
  <c r="EW168" i="4" s="1"/>
  <c r="DQ168" i="4"/>
  <c r="EH167" i="4"/>
  <c r="EC167" i="4"/>
  <c r="DX167" i="4"/>
  <c r="DR167" i="4"/>
  <c r="EH166" i="4"/>
  <c r="EC166" i="4"/>
  <c r="DX166" i="4"/>
  <c r="DR166" i="4"/>
  <c r="ED165" i="4"/>
  <c r="DY165" i="4"/>
  <c r="DT165" i="4"/>
  <c r="EF164" i="4"/>
  <c r="DZ164" i="4"/>
  <c r="DU164" i="4"/>
  <c r="DP164" i="4"/>
  <c r="EG163" i="4"/>
  <c r="EB163" i="4"/>
  <c r="DV163" i="4"/>
  <c r="EW163" i="4" s="1" a="1"/>
  <c r="EW163" i="4" s="1"/>
  <c r="DQ163" i="4"/>
  <c r="EG162" i="4"/>
  <c r="EB162" i="4"/>
  <c r="DV162" i="4"/>
  <c r="EW162" i="4" s="1" a="1"/>
  <c r="EW162" i="4" s="1"/>
  <c r="DQ162" i="4"/>
  <c r="EH161" i="4"/>
  <c r="EC161" i="4"/>
  <c r="DX161" i="4"/>
  <c r="DR161" i="4"/>
  <c r="EH160" i="4"/>
  <c r="EC160" i="4"/>
  <c r="DX160" i="4"/>
  <c r="DR160" i="4"/>
  <c r="ED159" i="4"/>
  <c r="DY159" i="4"/>
  <c r="DT159" i="4"/>
  <c r="EF158" i="4"/>
  <c r="DZ158" i="4"/>
  <c r="DU158" i="4"/>
  <c r="DP158" i="4"/>
  <c r="EG157" i="4"/>
  <c r="EB157" i="4"/>
  <c r="DV157" i="4"/>
  <c r="EW157" i="4" s="1" a="1"/>
  <c r="EW157" i="4" s="1"/>
  <c r="DQ157" i="4"/>
  <c r="EH156" i="4"/>
  <c r="EC156" i="4"/>
  <c r="DX156" i="4"/>
  <c r="DR156" i="4"/>
  <c r="ED155" i="4"/>
  <c r="DY155" i="4"/>
  <c r="DT155" i="4"/>
  <c r="ED154" i="4"/>
  <c r="DY154" i="4"/>
  <c r="DT154" i="4"/>
  <c r="EF153" i="4"/>
  <c r="DZ153" i="4"/>
  <c r="DU153" i="4"/>
  <c r="DP153" i="4"/>
  <c r="EG152" i="4"/>
  <c r="EB152" i="4"/>
  <c r="DV152" i="4"/>
  <c r="EW152" i="4" s="1" a="1"/>
  <c r="EW152" i="4" s="1"/>
  <c r="DQ152" i="4"/>
  <c r="EH151" i="4"/>
  <c r="EC151" i="4"/>
  <c r="DX151" i="4"/>
  <c r="DR151" i="4"/>
  <c r="ED150" i="4"/>
  <c r="DY150" i="4"/>
  <c r="DT150" i="4"/>
  <c r="EF149" i="4"/>
  <c r="DZ149" i="4"/>
  <c r="DU149" i="4"/>
  <c r="DP149" i="4"/>
  <c r="EG148" i="4"/>
  <c r="EB148" i="4"/>
  <c r="DV148" i="4"/>
  <c r="EW148" i="4" s="1" a="1"/>
  <c r="EW148" i="4" s="1"/>
  <c r="DQ148" i="4"/>
  <c r="EH147" i="4"/>
  <c r="EC147" i="4"/>
  <c r="DX147" i="4"/>
  <c r="DR147" i="4"/>
  <c r="EH146" i="4"/>
  <c r="EC146" i="4"/>
  <c r="DX146" i="4"/>
  <c r="DR146" i="4"/>
  <c r="ED145" i="4"/>
  <c r="DY145" i="4"/>
  <c r="DT145" i="4"/>
  <c r="EF144" i="4"/>
  <c r="DZ144" i="4"/>
  <c r="DU144" i="4"/>
  <c r="DP144" i="4"/>
  <c r="EG143" i="4"/>
  <c r="EB143" i="4"/>
  <c r="DV143" i="4"/>
  <c r="EW143" i="4" s="1" a="1"/>
  <c r="EW143" i="4" s="1"/>
  <c r="DQ143" i="4"/>
  <c r="EH142" i="4"/>
  <c r="EC142" i="4"/>
  <c r="DX142" i="4"/>
  <c r="DR142" i="4"/>
  <c r="EH141" i="4"/>
  <c r="EC141" i="4"/>
  <c r="DX141" i="4"/>
  <c r="DR141" i="4"/>
  <c r="EH140" i="4"/>
  <c r="EC140" i="4"/>
  <c r="DX140" i="4"/>
  <c r="DR140" i="4"/>
  <c r="ED139" i="4"/>
  <c r="DY139" i="4"/>
  <c r="DT139" i="4"/>
  <c r="EF138" i="4"/>
  <c r="DZ138" i="4"/>
  <c r="DU138" i="4"/>
  <c r="DP138" i="4"/>
  <c r="EG137" i="4"/>
  <c r="EB137" i="4"/>
  <c r="DV137" i="4"/>
  <c r="EW137" i="4" s="1" a="1"/>
  <c r="EW137" i="4" s="1"/>
  <c r="DQ137" i="4"/>
  <c r="EH136" i="4"/>
  <c r="EC136" i="4"/>
  <c r="DX136" i="4"/>
  <c r="DR136" i="4"/>
  <c r="ED135" i="4"/>
  <c r="DY135" i="4"/>
  <c r="DT135" i="4"/>
  <c r="EF134" i="4"/>
  <c r="DZ134" i="4"/>
  <c r="DU134" i="4"/>
  <c r="DP134" i="4"/>
  <c r="EF133" i="4"/>
  <c r="DZ133" i="4"/>
  <c r="DU133" i="4"/>
  <c r="DP133" i="4"/>
  <c r="EG132" i="4"/>
  <c r="EB132" i="4"/>
  <c r="DV132" i="4"/>
  <c r="EW132" i="4" s="1" a="1"/>
  <c r="EW132" i="4" s="1"/>
  <c r="DQ132" i="4"/>
  <c r="EG131" i="4"/>
  <c r="EB131" i="4"/>
  <c r="DV131" i="4"/>
  <c r="EW131" i="4" s="1" a="1"/>
  <c r="EW131" i="4" s="1"/>
  <c r="DQ131" i="4"/>
  <c r="EH130" i="4"/>
  <c r="EC130" i="4"/>
  <c r="DX130" i="4"/>
  <c r="DR130" i="4"/>
  <c r="ED129" i="4"/>
  <c r="DY129" i="4"/>
  <c r="DT129" i="4"/>
  <c r="EF128" i="4"/>
  <c r="DZ128" i="4"/>
  <c r="DU128" i="4"/>
  <c r="DP128" i="4"/>
  <c r="EF127" i="4"/>
  <c r="DZ127" i="4"/>
  <c r="DU127" i="4"/>
  <c r="DP127" i="4"/>
  <c r="EF126" i="4"/>
  <c r="DZ126" i="4"/>
  <c r="DU126" i="4"/>
  <c r="DP126" i="4"/>
  <c r="EG125" i="4"/>
  <c r="EB125" i="4"/>
  <c r="DV125" i="4"/>
  <c r="EW125" i="4" s="1" a="1"/>
  <c r="EW125" i="4" s="1"/>
  <c r="DQ125" i="4"/>
  <c r="EG124" i="4"/>
  <c r="EB124" i="4"/>
  <c r="DV124" i="4"/>
  <c r="EW124" i="4" s="1" a="1"/>
  <c r="EW124" i="4" s="1"/>
  <c r="DQ124" i="4"/>
  <c r="EH123" i="4"/>
  <c r="EC123" i="4"/>
  <c r="DX123" i="4"/>
  <c r="DR123" i="4"/>
  <c r="EH122" i="4"/>
  <c r="EC122" i="4"/>
  <c r="DX122" i="4"/>
  <c r="DR122" i="4"/>
  <c r="ED121" i="4"/>
  <c r="DY121" i="4"/>
  <c r="DT121" i="4"/>
  <c r="EF120" i="4"/>
  <c r="DZ120" i="4"/>
  <c r="DU120" i="4"/>
  <c r="DP120" i="4"/>
  <c r="EF119" i="4"/>
  <c r="DZ119" i="4"/>
  <c r="DU119" i="4"/>
  <c r="DP119" i="4"/>
  <c r="EG118" i="4"/>
  <c r="EB118" i="4"/>
  <c r="DV118" i="4"/>
  <c r="EW118" i="4" s="1" a="1"/>
  <c r="EW118" i="4" s="1"/>
  <c r="DQ118" i="4"/>
  <c r="EG117" i="4"/>
  <c r="EB117" i="4"/>
  <c r="DV117" i="4"/>
  <c r="EW117" i="4" s="1" a="1"/>
  <c r="EW117" i="4" s="1"/>
  <c r="DQ117" i="4"/>
  <c r="EH116" i="4"/>
  <c r="EC116" i="4"/>
  <c r="DX116" i="4"/>
  <c r="DR116" i="4"/>
  <c r="EH115" i="4"/>
  <c r="EC115" i="4"/>
  <c r="DX115" i="4"/>
  <c r="DR115" i="4"/>
  <c r="ED114" i="4"/>
  <c r="DY114" i="4"/>
  <c r="DT114" i="4"/>
  <c r="EF113" i="4"/>
  <c r="DZ113" i="4"/>
  <c r="DU113" i="4"/>
  <c r="DP113" i="4"/>
  <c r="EG112" i="4"/>
  <c r="EB112" i="4"/>
  <c r="DV112" i="4"/>
  <c r="EW112" i="4" s="1" a="1"/>
  <c r="EW112" i="4" s="1"/>
  <c r="DQ112" i="4"/>
  <c r="EH111" i="4"/>
  <c r="EC111" i="4"/>
  <c r="DX111" i="4"/>
  <c r="DR111" i="4"/>
  <c r="EH110" i="4"/>
  <c r="EC110" i="4"/>
  <c r="DX110" i="4"/>
  <c r="DR110" i="4"/>
  <c r="ED109" i="4"/>
  <c r="DY109" i="4"/>
  <c r="DT109" i="4"/>
  <c r="EF108" i="4"/>
  <c r="DZ108" i="4"/>
  <c r="DU108" i="4"/>
  <c r="DP108" i="4"/>
  <c r="EG107" i="4"/>
  <c r="EB107" i="4"/>
  <c r="DV107" i="4"/>
  <c r="EW107" i="4" s="1" a="1"/>
  <c r="EW107" i="4" s="1"/>
  <c r="DQ107" i="4"/>
  <c r="EG106" i="4"/>
  <c r="EB106" i="4"/>
  <c r="DV106" i="4"/>
  <c r="EW106" i="4" s="1" a="1"/>
  <c r="EW106" i="4" s="1"/>
  <c r="DQ106" i="4"/>
  <c r="EH105" i="4"/>
  <c r="EC105" i="4"/>
  <c r="DX105" i="4"/>
  <c r="DR105" i="4"/>
  <c r="ED104" i="4"/>
  <c r="DY104" i="4"/>
  <c r="DT104" i="4"/>
  <c r="EF103" i="4"/>
  <c r="DZ103" i="4"/>
  <c r="DU103" i="4"/>
  <c r="DP103" i="4"/>
  <c r="EG102" i="4"/>
  <c r="EB102" i="4"/>
  <c r="DV102" i="4"/>
  <c r="EW102" i="4" s="1" a="1"/>
  <c r="EW102" i="4" s="1"/>
  <c r="DQ102" i="4"/>
  <c r="EH101" i="4"/>
  <c r="EC101" i="4"/>
  <c r="DX101" i="4"/>
  <c r="DR101" i="4"/>
  <c r="ED100" i="4"/>
  <c r="DY100" i="4"/>
  <c r="DT100" i="4"/>
  <c r="EF99" i="4"/>
  <c r="DZ99" i="4"/>
  <c r="DU99" i="4"/>
  <c r="DP99" i="4"/>
  <c r="EG98" i="4"/>
  <c r="EB98" i="4"/>
  <c r="DV98" i="4"/>
  <c r="EW98" i="4" s="1" a="1"/>
  <c r="EW98" i="4" s="1"/>
  <c r="DQ98" i="4"/>
  <c r="EG97" i="4"/>
  <c r="EB97" i="4"/>
  <c r="DV97" i="4"/>
  <c r="EW97" i="4" s="1" a="1"/>
  <c r="EW97" i="4" s="1"/>
  <c r="DQ97" i="4"/>
  <c r="EH96" i="4"/>
  <c r="EC96" i="4"/>
  <c r="DX96" i="4"/>
  <c r="DR96" i="4"/>
  <c r="ED95" i="4"/>
  <c r="DY95" i="4"/>
  <c r="DT95" i="4"/>
  <c r="EF94" i="4"/>
  <c r="DZ94" i="4"/>
  <c r="DU94" i="4"/>
  <c r="DP94" i="4"/>
  <c r="EG93" i="4"/>
  <c r="EB93" i="4"/>
  <c r="DV93" i="4"/>
  <c r="EW93" i="4" s="1" a="1"/>
  <c r="EW93" i="4" s="1"/>
  <c r="DQ93" i="4"/>
  <c r="EH92" i="4"/>
  <c r="EC92" i="4"/>
  <c r="DX92" i="4"/>
  <c r="DR92" i="4"/>
  <c r="EH91" i="4"/>
  <c r="EC91" i="4"/>
  <c r="DX91" i="4"/>
  <c r="DR91" i="4"/>
  <c r="ED90" i="4"/>
  <c r="DY90" i="4"/>
  <c r="DT90" i="4"/>
  <c r="EF89" i="4"/>
  <c r="DZ89" i="4"/>
  <c r="DU89" i="4"/>
  <c r="DP89" i="4"/>
  <c r="EG88" i="4"/>
  <c r="EB88" i="4"/>
  <c r="DV88" i="4"/>
  <c r="EW88" i="4" s="1" a="1"/>
  <c r="EW88" i="4" s="1"/>
  <c r="DQ88" i="4"/>
  <c r="EH87" i="4"/>
  <c r="EC87" i="4"/>
  <c r="DX87" i="4"/>
  <c r="DR87" i="4"/>
  <c r="ED86" i="4"/>
  <c r="DY86" i="4"/>
  <c r="DT86" i="4"/>
  <c r="EF85" i="4"/>
  <c r="DZ85" i="4"/>
  <c r="DU85" i="4"/>
  <c r="DP85" i="4"/>
  <c r="EF84" i="4"/>
  <c r="DZ84" i="4"/>
  <c r="DU84" i="4"/>
  <c r="DP84" i="4"/>
  <c r="EG83" i="4"/>
  <c r="EB83" i="4"/>
  <c r="DV83" i="4"/>
  <c r="EW83" i="4" s="1" a="1"/>
  <c r="EW83" i="4" s="1"/>
  <c r="DQ83" i="4"/>
  <c r="EG82" i="4"/>
  <c r="EB82" i="4"/>
  <c r="DV82" i="4"/>
  <c r="EW82" i="4" s="1" a="1"/>
  <c r="EW82" i="4" s="1"/>
  <c r="DQ82" i="4"/>
  <c r="EG81" i="4"/>
  <c r="EB81" i="4"/>
  <c r="DV81" i="4"/>
  <c r="EW81" i="4" s="1" a="1"/>
  <c r="EW81" i="4" s="1"/>
  <c r="DQ81" i="4"/>
  <c r="EH80" i="4"/>
  <c r="EC80" i="4"/>
  <c r="DX80" i="4"/>
  <c r="DR80" i="4"/>
  <c r="ED79" i="4"/>
  <c r="DY79" i="4"/>
  <c r="DT79" i="4"/>
  <c r="ED78" i="4"/>
  <c r="DY78" i="4"/>
  <c r="DT78" i="4"/>
  <c r="EF77" i="4"/>
  <c r="DZ77" i="4"/>
  <c r="DU77" i="4"/>
  <c r="DP77" i="4"/>
  <c r="EF76" i="4"/>
  <c r="DZ76" i="4"/>
  <c r="DU76" i="4"/>
  <c r="DP76" i="4"/>
  <c r="EG75" i="4"/>
  <c r="EB75" i="4"/>
  <c r="DV75" i="4"/>
  <c r="EW75" i="4" s="1" a="1"/>
  <c r="EW75" i="4" s="1"/>
  <c r="DQ75" i="4"/>
  <c r="EG74" i="4"/>
  <c r="EB74" i="4"/>
  <c r="DV74" i="4"/>
  <c r="EW74" i="4" s="1" a="1"/>
  <c r="EW74" i="4" s="1"/>
  <c r="DQ74" i="4"/>
  <c r="EH73" i="4"/>
  <c r="EC73" i="4"/>
  <c r="DX73" i="4"/>
  <c r="DR73" i="4"/>
  <c r="EH72" i="4"/>
  <c r="EC72" i="4"/>
  <c r="DX72" i="4"/>
  <c r="DR72" i="4"/>
  <c r="ED71" i="4"/>
  <c r="DY71" i="4"/>
  <c r="DT71" i="4"/>
  <c r="ED70" i="4"/>
  <c r="DY70" i="4"/>
  <c r="DT70" i="4"/>
  <c r="EF69" i="4"/>
  <c r="DZ69" i="4"/>
  <c r="DU69" i="4"/>
  <c r="DP69" i="4"/>
  <c r="EF68" i="4"/>
  <c r="DZ68" i="4"/>
  <c r="DU68" i="4"/>
  <c r="DP68" i="4"/>
  <c r="EG67" i="4"/>
  <c r="EB67" i="4"/>
  <c r="DV67" i="4"/>
  <c r="EW67" i="4" s="1" a="1"/>
  <c r="EW67" i="4" s="1"/>
  <c r="DQ67" i="4"/>
  <c r="EH66" i="4"/>
  <c r="EC66" i="4"/>
  <c r="DX66" i="4"/>
  <c r="DR66" i="4"/>
  <c r="ED65" i="4"/>
  <c r="DY65" i="4"/>
  <c r="DT65" i="4"/>
  <c r="EF64" i="4"/>
  <c r="DZ64" i="4"/>
  <c r="DU64" i="4"/>
  <c r="DP64" i="4"/>
  <c r="EF63" i="4"/>
  <c r="DZ63" i="4"/>
  <c r="DU63" i="4"/>
  <c r="DP63" i="4"/>
  <c r="EG62" i="4"/>
  <c r="EB62" i="4"/>
  <c r="DV62" i="4"/>
  <c r="EW62" i="4" s="1" a="1"/>
  <c r="EW62" i="4" s="1"/>
  <c r="DQ62" i="4"/>
  <c r="EF61" i="4"/>
  <c r="EA61" i="4"/>
  <c r="DV61" i="4"/>
  <c r="EW61" i="4" s="1" a="1"/>
  <c r="EW61" i="4" s="1"/>
  <c r="DP61" i="4"/>
  <c r="EI60" i="4"/>
  <c r="ED60" i="4"/>
  <c r="DX60" i="4"/>
  <c r="DS60" i="4"/>
  <c r="EF59" i="4"/>
  <c r="EA59" i="4"/>
  <c r="DV59" i="4"/>
  <c r="EW59" i="4" s="1" a="1"/>
  <c r="EW59" i="4" s="1"/>
  <c r="DP59" i="4"/>
  <c r="EI58" i="4"/>
  <c r="ED58" i="4"/>
  <c r="DX58" i="4"/>
  <c r="DS58" i="4"/>
  <c r="EF57" i="4"/>
  <c r="EA57" i="4"/>
  <c r="DV57" i="4"/>
  <c r="EW57" i="4" s="1" a="1"/>
  <c r="EW57" i="4" s="1"/>
  <c r="DP57" i="4"/>
  <c r="EI56" i="4"/>
  <c r="ED56" i="4"/>
  <c r="DX56" i="4"/>
  <c r="DS56" i="4"/>
  <c r="EF55" i="4"/>
  <c r="EA55" i="4"/>
  <c r="DV55" i="4"/>
  <c r="EW55" i="4" s="1" a="1"/>
  <c r="EW55" i="4" s="1"/>
  <c r="DP55" i="4"/>
  <c r="EI54" i="4"/>
  <c r="ED54" i="4"/>
  <c r="DX54" i="4"/>
  <c r="DS54" i="4"/>
  <c r="EF53" i="4"/>
  <c r="EA53" i="4"/>
  <c r="DV53" i="4"/>
  <c r="EW53" i="4" s="1" a="1"/>
  <c r="EW53" i="4" s="1"/>
  <c r="DP53" i="4"/>
  <c r="EI52" i="4"/>
  <c r="ED52" i="4"/>
  <c r="DX52" i="4"/>
  <c r="DS52" i="4"/>
  <c r="EF51" i="4"/>
  <c r="EA51" i="4"/>
  <c r="DV51" i="4"/>
  <c r="EW51" i="4" s="1" a="1"/>
  <c r="EW51" i="4" s="1"/>
  <c r="DP51" i="4"/>
  <c r="EE50" i="4"/>
  <c r="DY50" i="4"/>
  <c r="DT50" i="4"/>
  <c r="DO50" i="4"/>
  <c r="EJ50" i="4" s="1" a="1"/>
  <c r="EJ50" i="4" s="1"/>
  <c r="EG49" i="4"/>
  <c r="EB49" i="4"/>
  <c r="DW49" i="4"/>
  <c r="DQ49" i="4"/>
  <c r="EE48" i="4"/>
  <c r="DY48" i="4"/>
  <c r="DT48" i="4"/>
  <c r="DO48" i="4"/>
  <c r="EJ48" i="4" s="1" a="1"/>
  <c r="EJ48" i="4" s="1"/>
  <c r="EG47" i="4"/>
  <c r="EB47" i="4"/>
  <c r="DW47" i="4"/>
  <c r="DQ47" i="4"/>
  <c r="EE46" i="4"/>
  <c r="DY46" i="4"/>
  <c r="DT46" i="4"/>
  <c r="DO46" i="4"/>
  <c r="EJ46" i="4" s="1" a="1"/>
  <c r="EJ46" i="4" s="1"/>
  <c r="EG45" i="4"/>
  <c r="EB45" i="4"/>
  <c r="DW45" i="4"/>
  <c r="DQ45" i="4"/>
  <c r="EE44" i="4"/>
  <c r="DY44" i="4"/>
  <c r="DU44" i="4"/>
  <c r="DP44" i="4"/>
  <c r="EI43" i="4"/>
  <c r="EC43" i="4"/>
  <c r="DX43" i="4"/>
  <c r="DS43" i="4"/>
  <c r="EF42" i="4"/>
  <c r="EA42" i="4"/>
  <c r="DU42" i="4"/>
  <c r="DP42" i="4"/>
  <c r="EI41" i="4"/>
  <c r="EC41" i="4"/>
  <c r="DX41" i="4"/>
  <c r="DS41" i="4"/>
  <c r="EF40" i="4"/>
  <c r="EA40" i="4"/>
  <c r="DU40" i="4"/>
  <c r="DP40" i="4"/>
  <c r="EI39" i="4"/>
  <c r="EC39" i="4"/>
  <c r="DX39" i="4"/>
  <c r="DS39" i="4"/>
  <c r="EF38" i="4"/>
  <c r="EA38" i="4"/>
  <c r="DU38" i="4"/>
  <c r="DP38" i="4"/>
  <c r="EI37" i="4"/>
  <c r="EC37" i="4"/>
  <c r="DX37" i="4"/>
  <c r="DS37" i="4"/>
  <c r="EF36" i="4"/>
  <c r="EA36" i="4"/>
  <c r="DU36" i="4"/>
  <c r="DP36" i="4"/>
  <c r="EI35" i="4"/>
  <c r="EC35" i="4"/>
  <c r="DX35" i="4"/>
  <c r="DS35" i="4"/>
  <c r="EF34" i="4"/>
  <c r="EA34" i="4"/>
  <c r="DU34" i="4"/>
  <c r="DP34" i="4"/>
  <c r="EI33" i="4"/>
  <c r="EC33" i="4"/>
  <c r="DX33" i="4"/>
  <c r="DS33" i="4"/>
  <c r="EF32" i="4"/>
  <c r="EA32" i="4"/>
  <c r="DU32" i="4"/>
  <c r="DP32" i="4"/>
  <c r="EI31" i="4"/>
  <c r="EC31" i="4"/>
  <c r="DX31" i="4"/>
  <c r="DS31" i="4"/>
  <c r="EF30" i="4"/>
  <c r="EA30" i="4"/>
  <c r="DU30" i="4"/>
  <c r="DP30" i="4"/>
  <c r="EG29" i="4"/>
  <c r="EA29" i="4"/>
  <c r="DV29" i="4"/>
  <c r="EW29" i="4" s="1" a="1"/>
  <c r="EW29" i="4" s="1"/>
  <c r="DQ29" i="4"/>
  <c r="EI28" i="4"/>
  <c r="ED28" i="4"/>
  <c r="DY28" i="4"/>
  <c r="DS28" i="4"/>
  <c r="EG27" i="4"/>
  <c r="EA27" i="4"/>
  <c r="DV27" i="4"/>
  <c r="EW27" i="4" s="1" a="1"/>
  <c r="EW27" i="4" s="1"/>
  <c r="DQ27" i="4"/>
  <c r="EI26" i="4"/>
  <c r="ED26" i="4"/>
  <c r="DY26" i="4"/>
  <c r="DS26" i="4"/>
  <c r="EG25" i="4"/>
  <c r="EA25" i="4"/>
  <c r="DV25" i="4"/>
  <c r="EW25" i="4" s="1" a="1"/>
  <c r="EW25" i="4" s="1"/>
  <c r="DQ25" i="4"/>
  <c r="EI24" i="4"/>
  <c r="ED24" i="4"/>
  <c r="DY24" i="4"/>
  <c r="DS24" i="4"/>
  <c r="EG23" i="4"/>
  <c r="EA23" i="4"/>
  <c r="DV23" i="4"/>
  <c r="EW23" i="4" s="1" a="1"/>
  <c r="EW23" i="4" s="1"/>
  <c r="DQ23" i="4"/>
  <c r="EI22" i="4"/>
  <c r="ED22" i="4"/>
  <c r="DY22" i="4"/>
  <c r="DS22" i="4"/>
  <c r="EG21" i="4"/>
  <c r="EA21" i="4"/>
  <c r="DV21" i="4"/>
  <c r="EW21" i="4" s="1" a="1"/>
  <c r="EW21" i="4" s="1"/>
  <c r="DQ21" i="4"/>
  <c r="EI20" i="4"/>
  <c r="ED20" i="4"/>
  <c r="DY20" i="4"/>
  <c r="DS20" i="4"/>
  <c r="EG19" i="4"/>
  <c r="EA19" i="4"/>
  <c r="DV19" i="4"/>
  <c r="EW19" i="4" s="1" a="1"/>
  <c r="EW19" i="4" s="1"/>
  <c r="DQ19" i="4"/>
  <c r="EI18" i="4"/>
  <c r="ED18" i="4"/>
  <c r="DY18" i="4"/>
  <c r="DS18" i="4"/>
  <c r="EG17" i="4"/>
  <c r="EA17" i="4"/>
  <c r="DV17" i="4"/>
  <c r="EW17" i="4" s="1" a="1"/>
  <c r="EW17" i="4" s="1"/>
  <c r="DQ17" i="4"/>
  <c r="EI16" i="4"/>
  <c r="ED16" i="4"/>
  <c r="DY16" i="4"/>
  <c r="DS16" i="4"/>
  <c r="EG15" i="4"/>
  <c r="EA15" i="4"/>
  <c r="DV15" i="4"/>
  <c r="EW15" i="4" s="1" a="1"/>
  <c r="EW15" i="4" s="1"/>
  <c r="DQ15" i="4"/>
  <c r="EI14" i="4"/>
  <c r="ED14" i="4"/>
  <c r="DY14" i="4"/>
  <c r="DS14" i="4"/>
  <c r="EG13" i="4"/>
  <c r="EA13" i="4"/>
  <c r="DV13" i="4"/>
  <c r="EW13" i="4" s="1" a="1"/>
  <c r="EW13" i="4" s="1"/>
  <c r="DQ13" i="4"/>
  <c r="EI12" i="4"/>
  <c r="ED12" i="4"/>
  <c r="DY12" i="4"/>
  <c r="DS12" i="4"/>
  <c r="EG11" i="4"/>
  <c r="EA11" i="4"/>
  <c r="DV11" i="4"/>
  <c r="EW11" i="4" s="1" a="1"/>
  <c r="EW11" i="4" s="1"/>
  <c r="DQ11" i="4"/>
  <c r="EI10" i="4"/>
  <c r="ED10" i="4"/>
  <c r="DY10" i="4"/>
  <c r="DS10" i="4"/>
  <c r="EG9" i="4"/>
  <c r="EA9" i="4"/>
  <c r="DV9" i="4"/>
  <c r="EW9" i="4" s="1" a="1"/>
  <c r="EW9" i="4" s="1"/>
  <c r="DQ9" i="4"/>
  <c r="EI8" i="4"/>
  <c r="ED8" i="4"/>
  <c r="DY8" i="4"/>
  <c r="DS8" i="4"/>
  <c r="EG7" i="4"/>
  <c r="EA7" i="4"/>
  <c r="DV7" i="4"/>
  <c r="EW7" i="4" s="1" a="1"/>
  <c r="EW7" i="4" s="1"/>
  <c r="DQ7" i="4"/>
  <c r="EI6" i="4"/>
  <c r="ED6" i="4"/>
  <c r="DY6" i="4"/>
  <c r="DS6" i="4"/>
  <c r="EG5" i="4"/>
  <c r="EA5" i="4"/>
  <c r="DV5" i="4"/>
  <c r="EW5" i="4" s="1" a="1"/>
  <c r="EW5" i="4" s="1"/>
  <c r="DQ5" i="4"/>
  <c r="EI4" i="4"/>
  <c r="ED4" i="4"/>
  <c r="DY4" i="4"/>
  <c r="DS4" i="4"/>
  <c r="EG3" i="4"/>
  <c r="EA3" i="4"/>
  <c r="DV3" i="4"/>
  <c r="EW3" i="4" s="1" a="1"/>
  <c r="EW3" i="4" s="1"/>
  <c r="DQ3" i="4"/>
  <c r="EF2" i="4"/>
  <c r="EA2" i="4"/>
  <c r="DU2" i="4"/>
  <c r="DP2" i="4"/>
  <c r="EI264" i="4"/>
  <c r="ED264" i="4"/>
  <c r="DX264" i="4"/>
  <c r="DS264" i="4"/>
  <c r="EF263" i="4"/>
  <c r="EA263" i="4"/>
  <c r="DV263" i="4"/>
  <c r="EW263" i="4" s="1" a="1"/>
  <c r="EW263" i="4" s="1"/>
  <c r="DP263" i="4"/>
  <c r="EI262" i="4"/>
  <c r="ED262" i="4"/>
  <c r="DX262" i="4"/>
  <c r="DS262" i="4"/>
  <c r="EF261" i="4"/>
  <c r="EA261" i="4"/>
  <c r="DV261" i="4"/>
  <c r="EW261" i="4" s="1" a="1"/>
  <c r="EW261" i="4" s="1"/>
  <c r="DP261" i="4"/>
  <c r="EI260" i="4"/>
  <c r="ED260" i="4"/>
  <c r="DX260" i="4"/>
  <c r="DS260" i="4"/>
  <c r="EE259" i="4"/>
  <c r="DZ259" i="4"/>
  <c r="DT259" i="4"/>
  <c r="DO259" i="4"/>
  <c r="EJ259" i="4" s="1" a="1"/>
  <c r="EJ259" i="4" s="1"/>
  <c r="EH258" i="4"/>
  <c r="EB258" i="4"/>
  <c r="DW258" i="4"/>
  <c r="DR258" i="4"/>
  <c r="EE257" i="4"/>
  <c r="DZ257" i="4"/>
  <c r="DT257" i="4"/>
  <c r="DO257" i="4"/>
  <c r="EJ257" i="4" s="1" a="1"/>
  <c r="EJ257" i="4" s="1"/>
  <c r="EH256" i="4"/>
  <c r="EB256" i="4"/>
  <c r="DW256" i="4"/>
  <c r="DR256" i="4"/>
  <c r="EE255" i="4"/>
  <c r="DZ255" i="4"/>
  <c r="DT255" i="4"/>
  <c r="DO255" i="4"/>
  <c r="EJ255" i="4" s="1" a="1"/>
  <c r="EJ255" i="4" s="1"/>
  <c r="EH254" i="4"/>
  <c r="EB254" i="4"/>
  <c r="DW254" i="4"/>
  <c r="DR254" i="4"/>
  <c r="EE253" i="4"/>
  <c r="DZ253" i="4"/>
  <c r="DT253" i="4"/>
  <c r="DO253" i="4"/>
  <c r="EJ253" i="4" s="1" a="1"/>
  <c r="EJ253" i="4" s="1"/>
  <c r="EF252" i="4"/>
  <c r="EA252" i="4"/>
  <c r="DV252" i="4"/>
  <c r="EW252" i="4" s="1" a="1"/>
  <c r="EW252" i="4" s="1"/>
  <c r="DP252" i="4"/>
  <c r="EI251" i="4"/>
  <c r="ED251" i="4"/>
  <c r="DX251" i="4"/>
  <c r="DS251" i="4"/>
  <c r="EF250" i="4"/>
  <c r="EA250" i="4"/>
  <c r="DV250" i="4"/>
  <c r="EW250" i="4" s="1" a="1"/>
  <c r="EW250" i="4" s="1"/>
  <c r="DP250" i="4"/>
  <c r="EH249" i="4"/>
  <c r="EC249" i="4"/>
  <c r="DW249" i="4"/>
  <c r="DR249" i="4"/>
  <c r="EE248" i="4"/>
  <c r="DZ248" i="4"/>
  <c r="DU248" i="4"/>
  <c r="DO248" i="4"/>
  <c r="EJ248" i="4" s="1" a="1"/>
  <c r="EJ248" i="4" s="1"/>
  <c r="EE247" i="4"/>
  <c r="DY247" i="4"/>
  <c r="DT247" i="4"/>
  <c r="DO247" i="4"/>
  <c r="EJ247" i="4" s="1" a="1"/>
  <c r="EJ247" i="4" s="1"/>
  <c r="EG246" i="4"/>
  <c r="EB246" i="4"/>
  <c r="DW246" i="4"/>
  <c r="DQ246" i="4"/>
  <c r="EE245" i="4"/>
  <c r="DY245" i="4"/>
  <c r="DT245" i="4"/>
  <c r="DO245" i="4"/>
  <c r="EJ245" i="4" s="1" a="1"/>
  <c r="EJ245" i="4" s="1"/>
  <c r="EG244" i="4"/>
  <c r="EB244" i="4"/>
  <c r="DW244" i="4"/>
  <c r="DQ244" i="4"/>
  <c r="EE243" i="4"/>
  <c r="DY243" i="4"/>
  <c r="DT243" i="4"/>
  <c r="DO243" i="4"/>
  <c r="EJ243" i="4" s="1" a="1"/>
  <c r="EJ243" i="4" s="1"/>
  <c r="EG242" i="4"/>
  <c r="EB242" i="4"/>
  <c r="DW242" i="4"/>
  <c r="DQ242" i="4"/>
  <c r="EE241" i="4"/>
  <c r="DY241" i="4"/>
  <c r="DT241" i="4"/>
  <c r="DO241" i="4"/>
  <c r="EJ241" i="4" s="1" a="1"/>
  <c r="EJ241" i="4" s="1"/>
  <c r="EG240" i="4"/>
  <c r="EB240" i="4"/>
  <c r="DW240" i="4"/>
  <c r="DQ240" i="4"/>
  <c r="EE239" i="4"/>
  <c r="DY239" i="4"/>
  <c r="DT239" i="4"/>
  <c r="DO239" i="4"/>
  <c r="EJ239" i="4" s="1" a="1"/>
  <c r="EJ239" i="4" s="1"/>
  <c r="EG238" i="4"/>
  <c r="EB238" i="4"/>
  <c r="DW238" i="4"/>
  <c r="DQ238" i="4"/>
  <c r="EE237" i="4"/>
  <c r="DY237" i="4"/>
  <c r="DT237" i="4"/>
  <c r="DO237" i="4"/>
  <c r="EJ237" i="4" s="1" a="1"/>
  <c r="EJ237" i="4" s="1"/>
  <c r="EF236" i="4"/>
  <c r="EA236" i="4"/>
  <c r="DV236" i="4"/>
  <c r="EW236" i="4" s="1" a="1"/>
  <c r="EW236" i="4" s="1"/>
  <c r="DP236" i="4"/>
  <c r="EI235" i="4"/>
  <c r="ED235" i="4"/>
  <c r="DX235" i="4"/>
  <c r="DS235" i="4"/>
  <c r="EF234" i="4"/>
  <c r="EA234" i="4"/>
  <c r="DV234" i="4"/>
  <c r="EW234" i="4" s="1" a="1"/>
  <c r="EW234" i="4" s="1"/>
  <c r="DP234" i="4"/>
  <c r="EI233" i="4"/>
  <c r="ED233" i="4"/>
  <c r="DX233" i="4"/>
  <c r="DS233" i="4"/>
  <c r="EF232" i="4"/>
  <c r="EA232" i="4"/>
  <c r="DV232" i="4"/>
  <c r="EW232" i="4" s="1" a="1"/>
  <c r="EW232" i="4" s="1"/>
  <c r="DP232" i="4"/>
  <c r="EI231" i="4"/>
  <c r="ED231" i="4"/>
  <c r="DX231" i="4"/>
  <c r="DS231" i="4"/>
  <c r="EF230" i="4"/>
  <c r="EA230" i="4"/>
  <c r="DV230" i="4"/>
  <c r="EW230" i="4" s="1" a="1"/>
  <c r="EW230" i="4" s="1"/>
  <c r="DP230" i="4"/>
  <c r="EI229" i="4"/>
  <c r="ED229" i="4"/>
  <c r="DX229" i="4"/>
  <c r="DS229" i="4"/>
  <c r="EF228" i="4"/>
  <c r="EA228" i="4"/>
  <c r="DV228" i="4"/>
  <c r="EW228" i="4" s="1" a="1"/>
  <c r="EW228" i="4" s="1"/>
  <c r="DP228" i="4"/>
  <c r="EI227" i="4"/>
  <c r="ED227" i="4"/>
  <c r="DX227" i="4"/>
  <c r="DS227" i="4"/>
  <c r="EF226" i="4"/>
  <c r="EA226" i="4"/>
  <c r="DV226" i="4"/>
  <c r="EW226" i="4" s="1" a="1"/>
  <c r="EW226" i="4" s="1"/>
  <c r="DP226" i="4"/>
  <c r="EI225" i="4"/>
  <c r="ED225" i="4"/>
  <c r="DX225" i="4"/>
  <c r="DS225" i="4"/>
  <c r="EF224" i="4"/>
  <c r="EA224" i="4"/>
  <c r="DV224" i="4"/>
  <c r="EW224" i="4" s="1" a="1"/>
  <c r="EW224" i="4" s="1"/>
  <c r="DP224" i="4"/>
  <c r="EI223" i="4"/>
  <c r="ED223" i="4"/>
  <c r="DX223" i="4"/>
  <c r="DS223" i="4"/>
  <c r="EF222" i="4"/>
  <c r="EA222" i="4"/>
  <c r="DV222" i="4"/>
  <c r="EW222" i="4" s="1" a="1"/>
  <c r="EW222" i="4" s="1"/>
  <c r="DP222" i="4"/>
  <c r="EI221" i="4"/>
  <c r="ED221" i="4"/>
  <c r="DX221" i="4"/>
  <c r="DS221" i="4"/>
  <c r="EF220" i="4"/>
  <c r="EA220" i="4"/>
  <c r="DV220" i="4"/>
  <c r="EW220" i="4" s="1" a="1"/>
  <c r="EW220" i="4" s="1"/>
  <c r="DP220" i="4"/>
  <c r="EI219" i="4"/>
  <c r="ED219" i="4"/>
  <c r="DX219" i="4"/>
  <c r="DS219" i="4"/>
  <c r="EF218" i="4"/>
  <c r="EA218" i="4"/>
  <c r="DV218" i="4"/>
  <c r="EW218" i="4" s="1" a="1"/>
  <c r="EW218" i="4" s="1"/>
  <c r="DP218" i="4"/>
  <c r="EI217" i="4"/>
  <c r="ED217" i="4"/>
  <c r="DX217" i="4"/>
  <c r="DS217" i="4"/>
  <c r="EE216" i="4"/>
  <c r="DZ216" i="4"/>
  <c r="DT216" i="4"/>
  <c r="DO216" i="4"/>
  <c r="EJ216" i="4" s="1" a="1"/>
  <c r="EJ216" i="4" s="1"/>
  <c r="EH215" i="4"/>
  <c r="EB215" i="4"/>
  <c r="DW215" i="4"/>
  <c r="DR215" i="4"/>
  <c r="EE214" i="4"/>
  <c r="DZ214" i="4"/>
  <c r="DT214" i="4"/>
  <c r="DO214" i="4"/>
  <c r="EJ214" i="4" s="1" a="1"/>
  <c r="EJ214" i="4" s="1"/>
  <c r="EH213" i="4"/>
  <c r="EB213" i="4"/>
  <c r="DW213" i="4"/>
  <c r="DR213" i="4"/>
  <c r="EE212" i="4"/>
  <c r="DZ212" i="4"/>
  <c r="DT212" i="4"/>
  <c r="DO212" i="4"/>
  <c r="EJ212" i="4" s="1" a="1"/>
  <c r="EJ212" i="4" s="1"/>
  <c r="EH211" i="4"/>
  <c r="EB211" i="4"/>
  <c r="DW211" i="4"/>
  <c r="DR211" i="4"/>
  <c r="EE210" i="4"/>
  <c r="DZ210" i="4"/>
  <c r="DT210" i="4"/>
  <c r="DO210" i="4"/>
  <c r="EJ210" i="4" s="1" a="1"/>
  <c r="EJ210" i="4" s="1"/>
  <c r="EH209" i="4"/>
  <c r="EB209" i="4"/>
  <c r="DW209" i="4"/>
  <c r="DR209" i="4"/>
  <c r="EE208" i="4"/>
  <c r="DZ208" i="4"/>
  <c r="DT208" i="4"/>
  <c r="DO208" i="4"/>
  <c r="EJ208" i="4" s="1" a="1"/>
  <c r="EJ208" i="4" s="1"/>
  <c r="EH207" i="4"/>
  <c r="EB207" i="4"/>
  <c r="DW207" i="4"/>
  <c r="DR207" i="4"/>
  <c r="EE206" i="4"/>
  <c r="DZ206" i="4"/>
  <c r="DT206" i="4"/>
  <c r="DO206" i="4"/>
  <c r="EJ206" i="4" s="1" a="1"/>
  <c r="EJ206" i="4" s="1"/>
  <c r="EH205" i="4"/>
  <c r="EB205" i="4"/>
  <c r="DW205" i="4"/>
  <c r="DR205" i="4"/>
  <c r="EI204" i="4"/>
  <c r="ED204" i="4"/>
  <c r="DX204" i="4"/>
  <c r="DS204" i="4"/>
  <c r="EF203" i="4"/>
  <c r="EA203" i="4"/>
  <c r="DV203" i="4"/>
  <c r="EW203" i="4" s="1" a="1"/>
  <c r="EW203" i="4" s="1"/>
  <c r="DP203" i="4"/>
  <c r="EI202" i="4"/>
  <c r="ED202" i="4"/>
  <c r="DX202" i="4"/>
  <c r="DS202" i="4"/>
  <c r="EF201" i="4"/>
  <c r="EA201" i="4"/>
  <c r="DV201" i="4"/>
  <c r="EW201" i="4" s="1" a="1"/>
  <c r="EW201" i="4" s="1"/>
  <c r="DP201" i="4"/>
  <c r="EI200" i="4"/>
  <c r="ED200" i="4"/>
  <c r="DX200" i="4"/>
  <c r="DS200" i="4"/>
  <c r="EF199" i="4"/>
  <c r="EA199" i="4"/>
  <c r="DV199" i="4"/>
  <c r="EW199" i="4" s="1" a="1"/>
  <c r="EW199" i="4" s="1"/>
  <c r="DP199" i="4"/>
  <c r="EI198" i="4"/>
  <c r="ED198" i="4"/>
  <c r="DX198" i="4"/>
  <c r="DS198" i="4"/>
  <c r="EF197" i="4"/>
  <c r="EA197" i="4"/>
  <c r="DV197" i="4"/>
  <c r="EW197" i="4" s="1" a="1"/>
  <c r="EW197" i="4" s="1"/>
  <c r="DP197" i="4"/>
  <c r="EI196" i="4"/>
  <c r="ED196" i="4"/>
  <c r="DX196" i="4"/>
  <c r="DS196" i="4"/>
  <c r="EF195" i="4"/>
  <c r="EA195" i="4"/>
  <c r="DV195" i="4"/>
  <c r="EW195" i="4" s="1" a="1"/>
  <c r="EW195" i="4" s="1"/>
  <c r="DP195" i="4"/>
  <c r="EI194" i="4"/>
  <c r="ED194" i="4"/>
  <c r="DX194" i="4"/>
  <c r="DS194" i="4"/>
  <c r="EF193" i="4"/>
  <c r="EA193" i="4"/>
  <c r="DV193" i="4"/>
  <c r="EW193" i="4" s="1" a="1"/>
  <c r="EW193" i="4" s="1"/>
  <c r="DP193" i="4"/>
  <c r="EI192" i="4"/>
  <c r="ED192" i="4"/>
  <c r="DX192" i="4"/>
  <c r="DS192" i="4"/>
  <c r="EF191" i="4"/>
  <c r="EA191" i="4"/>
  <c r="DV191" i="4"/>
  <c r="EW191" i="4" s="1" a="1"/>
  <c r="EW191" i="4" s="1"/>
  <c r="DP191" i="4"/>
  <c r="EF190" i="4"/>
  <c r="DZ190" i="4"/>
  <c r="DU190" i="4"/>
  <c r="DP190" i="4"/>
  <c r="EG189" i="4"/>
  <c r="EB189" i="4"/>
  <c r="DV189" i="4"/>
  <c r="EW189" i="4" s="1" a="1"/>
  <c r="EW189" i="4" s="1"/>
  <c r="DQ189" i="4"/>
  <c r="EH188" i="4"/>
  <c r="EC188" i="4"/>
  <c r="DX188" i="4"/>
  <c r="DR188" i="4"/>
  <c r="ED187" i="4"/>
  <c r="DY187" i="4"/>
  <c r="DT187" i="4"/>
  <c r="EF186" i="4"/>
  <c r="DZ186" i="4"/>
  <c r="DU186" i="4"/>
  <c r="DP186" i="4"/>
  <c r="EG185" i="4"/>
  <c r="EB185" i="4"/>
  <c r="DV185" i="4"/>
  <c r="EW185" i="4" s="1" a="1"/>
  <c r="EW185" i="4" s="1"/>
  <c r="DQ185" i="4"/>
  <c r="EH184" i="4"/>
  <c r="EC184" i="4"/>
  <c r="DX184" i="4"/>
  <c r="DR184" i="4"/>
  <c r="ED183" i="4"/>
  <c r="DY183" i="4"/>
  <c r="DT183" i="4"/>
  <c r="EF182" i="4"/>
  <c r="DZ182" i="4"/>
  <c r="DU182" i="4"/>
  <c r="DP182" i="4"/>
  <c r="EH181" i="4"/>
  <c r="EC181" i="4"/>
  <c r="DX181" i="4"/>
  <c r="DR181" i="4"/>
  <c r="ED180" i="4"/>
  <c r="DY180" i="4"/>
  <c r="DT180" i="4"/>
  <c r="EF179" i="4"/>
  <c r="DZ179" i="4"/>
  <c r="DU179" i="4"/>
  <c r="DP179" i="4"/>
  <c r="EF178" i="4"/>
  <c r="DZ178" i="4"/>
  <c r="DU178" i="4"/>
  <c r="DP178" i="4"/>
  <c r="EG177" i="4"/>
  <c r="EB177" i="4"/>
  <c r="DV177" i="4"/>
  <c r="EW177" i="4" s="1" a="1"/>
  <c r="EW177" i="4" s="1"/>
  <c r="DQ177" i="4"/>
  <c r="EG176" i="4"/>
  <c r="EB176" i="4"/>
  <c r="DV176" i="4"/>
  <c r="EW176" i="4" s="1" a="1"/>
  <c r="EW176" i="4" s="1"/>
  <c r="DQ176" i="4"/>
  <c r="EH175" i="4"/>
  <c r="EC175" i="4"/>
  <c r="DX175" i="4"/>
  <c r="DR175" i="4"/>
  <c r="EH174" i="4"/>
  <c r="EC174" i="4"/>
  <c r="DX174" i="4"/>
  <c r="DR174" i="4"/>
  <c r="EH173" i="4"/>
  <c r="EC173" i="4"/>
  <c r="DX173" i="4"/>
  <c r="DR173" i="4"/>
  <c r="ED172" i="4"/>
  <c r="DY172" i="4"/>
  <c r="DT172" i="4"/>
  <c r="EF171" i="4"/>
  <c r="DZ171" i="4"/>
  <c r="DU171" i="4"/>
  <c r="DP171" i="4"/>
  <c r="EG170" i="4"/>
  <c r="EB170" i="4"/>
  <c r="DV170" i="4"/>
  <c r="EW170" i="4" s="1" a="1"/>
  <c r="EW170" i="4" s="1"/>
  <c r="DQ170" i="4"/>
  <c r="EH169" i="4"/>
  <c r="EC169" i="4"/>
  <c r="DX169" i="4"/>
  <c r="DR169" i="4"/>
  <c r="ED168" i="4"/>
  <c r="DY168" i="4"/>
  <c r="DT168" i="4"/>
  <c r="EF167" i="4"/>
  <c r="DZ167" i="4"/>
  <c r="DU167" i="4"/>
  <c r="DP167" i="4"/>
  <c r="EF166" i="4"/>
  <c r="DZ166" i="4"/>
  <c r="DU166" i="4"/>
  <c r="DP166" i="4"/>
  <c r="EG165" i="4"/>
  <c r="EB165" i="4"/>
  <c r="DV165" i="4"/>
  <c r="EW165" i="4" s="1" a="1"/>
  <c r="EW165" i="4" s="1"/>
  <c r="DQ165" i="4"/>
  <c r="EH164" i="4"/>
  <c r="EC164" i="4"/>
  <c r="DX164" i="4"/>
  <c r="DR164" i="4"/>
  <c r="ED163" i="4"/>
  <c r="DY163" i="4"/>
  <c r="DT163" i="4"/>
  <c r="ED162" i="4"/>
  <c r="DY162" i="4"/>
  <c r="DT162" i="4"/>
  <c r="EF161" i="4"/>
  <c r="DZ161" i="4"/>
  <c r="DU161" i="4"/>
  <c r="DP161" i="4"/>
  <c r="EF160" i="4"/>
  <c r="DZ160" i="4"/>
  <c r="DU160" i="4"/>
  <c r="DP160" i="4"/>
  <c r="EG159" i="4"/>
  <c r="EB159" i="4"/>
  <c r="DV159" i="4"/>
  <c r="EW159" i="4" s="1" a="1"/>
  <c r="EW159" i="4" s="1"/>
  <c r="DQ159" i="4"/>
  <c r="EH158" i="4"/>
  <c r="EC158" i="4"/>
  <c r="DX158" i="4"/>
  <c r="DR158" i="4"/>
  <c r="ED157" i="4"/>
  <c r="DY157" i="4"/>
  <c r="DT157" i="4"/>
  <c r="EF156" i="4"/>
  <c r="DZ156" i="4"/>
  <c r="DU156" i="4"/>
  <c r="DP156" i="4"/>
  <c r="EG155" i="4"/>
  <c r="EB155" i="4"/>
  <c r="DV155" i="4"/>
  <c r="EW155" i="4" s="1" a="1"/>
  <c r="EW155" i="4" s="1"/>
  <c r="DQ155" i="4"/>
  <c r="EG154" i="4"/>
  <c r="EB154" i="4"/>
  <c r="DV154" i="4"/>
  <c r="EW154" i="4" s="1" a="1"/>
  <c r="EW154" i="4" s="1"/>
  <c r="DQ154" i="4"/>
  <c r="EH153" i="4"/>
  <c r="EC153" i="4"/>
  <c r="DX153" i="4"/>
  <c r="DR153" i="4"/>
  <c r="ED152" i="4"/>
  <c r="DY152" i="4"/>
  <c r="DT152" i="4"/>
  <c r="EF151" i="4"/>
  <c r="DZ151" i="4"/>
  <c r="DU151" i="4"/>
  <c r="DP151" i="4"/>
  <c r="EG150" i="4"/>
  <c r="EB150" i="4"/>
  <c r="DV150" i="4"/>
  <c r="EW150" i="4" s="1" a="1"/>
  <c r="EW150" i="4" s="1"/>
  <c r="DQ150" i="4"/>
  <c r="EH149" i="4"/>
  <c r="EC149" i="4"/>
  <c r="DX149" i="4"/>
  <c r="DR149" i="4"/>
  <c r="ED148" i="4"/>
  <c r="DY148" i="4"/>
  <c r="DT148" i="4"/>
  <c r="EF147" i="4"/>
  <c r="DZ147" i="4"/>
  <c r="DU147" i="4"/>
  <c r="DP147" i="4"/>
  <c r="EF146" i="4"/>
  <c r="DZ146" i="4"/>
  <c r="DU146" i="4"/>
  <c r="DP146" i="4"/>
  <c r="EG145" i="4"/>
  <c r="EB145" i="4"/>
  <c r="DV145" i="4"/>
  <c r="EW145" i="4" s="1" a="1"/>
  <c r="EW145" i="4" s="1"/>
  <c r="DQ145" i="4"/>
  <c r="EH144" i="4"/>
  <c r="EC144" i="4"/>
  <c r="DX144" i="4"/>
  <c r="DR144" i="4"/>
  <c r="ED143" i="4"/>
  <c r="DY143" i="4"/>
  <c r="DT143" i="4"/>
  <c r="EF142" i="4"/>
  <c r="DZ142" i="4"/>
  <c r="DU142" i="4"/>
  <c r="DP142" i="4"/>
  <c r="EF141" i="4"/>
  <c r="DZ141" i="4"/>
  <c r="DU141" i="4"/>
  <c r="DP141" i="4"/>
  <c r="EF140" i="4"/>
  <c r="DZ140" i="4"/>
  <c r="DU140" i="4"/>
  <c r="DP140" i="4"/>
  <c r="EG139" i="4"/>
  <c r="EB139" i="4"/>
  <c r="DV139" i="4"/>
  <c r="EW139" i="4" s="1" a="1"/>
  <c r="EW139" i="4" s="1"/>
  <c r="DQ139" i="4"/>
  <c r="EH138" i="4"/>
  <c r="EC138" i="4"/>
  <c r="DX138" i="4"/>
  <c r="DR138" i="4"/>
  <c r="ED137" i="4"/>
  <c r="DY137" i="4"/>
  <c r="DT137" i="4"/>
  <c r="EF136" i="4"/>
  <c r="DZ136" i="4"/>
  <c r="DU136" i="4"/>
  <c r="DP136" i="4"/>
  <c r="EG135" i="4"/>
  <c r="EB135" i="4"/>
  <c r="DV135" i="4"/>
  <c r="EW135" i="4" s="1" a="1"/>
  <c r="EW135" i="4" s="1"/>
  <c r="DQ135" i="4"/>
  <c r="EH134" i="4"/>
  <c r="EC134" i="4"/>
  <c r="DX134" i="4"/>
  <c r="DR134" i="4"/>
  <c r="EH133" i="4"/>
  <c r="EC133" i="4"/>
  <c r="DX133" i="4"/>
  <c r="DR133" i="4"/>
  <c r="ED132" i="4"/>
  <c r="DY132" i="4"/>
  <c r="DT132" i="4"/>
  <c r="ED131" i="4"/>
  <c r="DY131" i="4"/>
  <c r="DT131" i="4"/>
  <c r="EF130" i="4"/>
  <c r="DZ130" i="4"/>
  <c r="DU130" i="4"/>
  <c r="DP130" i="4"/>
  <c r="EG129" i="4"/>
  <c r="EB129" i="4"/>
  <c r="DV129" i="4"/>
  <c r="EW129" i="4" s="1" a="1"/>
  <c r="EW129" i="4" s="1"/>
  <c r="DQ129" i="4"/>
  <c r="EH128" i="4"/>
  <c r="EC128" i="4"/>
  <c r="DX128" i="4"/>
  <c r="DR128" i="4"/>
  <c r="EH127" i="4"/>
  <c r="EC127" i="4"/>
  <c r="DX127" i="4"/>
  <c r="DR127" i="4"/>
  <c r="EH126" i="4"/>
  <c r="EC126" i="4"/>
  <c r="DX126" i="4"/>
  <c r="DR126" i="4"/>
  <c r="ED125" i="4"/>
  <c r="DY125" i="4"/>
  <c r="DT125" i="4"/>
  <c r="ED124" i="4"/>
  <c r="DY124" i="4"/>
  <c r="DT124" i="4"/>
  <c r="EF123" i="4"/>
  <c r="DZ123" i="4"/>
  <c r="DU123" i="4"/>
  <c r="DP123" i="4"/>
  <c r="EF122" i="4"/>
  <c r="DZ122" i="4"/>
  <c r="DU122" i="4"/>
  <c r="DP122" i="4"/>
  <c r="EG121" i="4"/>
  <c r="EB121" i="4"/>
  <c r="DV121" i="4"/>
  <c r="EW121" i="4" s="1" a="1"/>
  <c r="EW121" i="4" s="1"/>
  <c r="DQ121" i="4"/>
  <c r="EH120" i="4"/>
  <c r="EC120" i="4"/>
  <c r="DX120" i="4"/>
  <c r="DR120" i="4"/>
  <c r="EH119" i="4"/>
  <c r="EC119" i="4"/>
  <c r="DX119" i="4"/>
  <c r="DR119" i="4"/>
  <c r="ED118" i="4"/>
  <c r="DY118" i="4"/>
  <c r="DT118" i="4"/>
  <c r="ED117" i="4"/>
  <c r="DY117" i="4"/>
  <c r="DT117" i="4"/>
  <c r="EF116" i="4"/>
  <c r="DZ116" i="4"/>
  <c r="DU116" i="4"/>
  <c r="DP116" i="4"/>
  <c r="EF115" i="4"/>
  <c r="DZ115" i="4"/>
  <c r="DU115" i="4"/>
  <c r="DP115" i="4"/>
  <c r="EG114" i="4"/>
  <c r="EB114" i="4"/>
  <c r="DV114" i="4"/>
  <c r="EW114" i="4" s="1" a="1"/>
  <c r="EW114" i="4" s="1"/>
  <c r="DQ114" i="4"/>
  <c r="EH113" i="4"/>
  <c r="EC113" i="4"/>
  <c r="DX113" i="4"/>
  <c r="DR113" i="4"/>
  <c r="ED112" i="4"/>
  <c r="DY112" i="4"/>
  <c r="DT112" i="4"/>
  <c r="EF111" i="4"/>
  <c r="DZ111" i="4"/>
  <c r="DU111" i="4"/>
  <c r="DP111" i="4"/>
  <c r="EF110" i="4"/>
  <c r="DZ110" i="4"/>
  <c r="DU110" i="4"/>
  <c r="DP110" i="4"/>
  <c r="EG109" i="4"/>
  <c r="EB109" i="4"/>
  <c r="DV109" i="4"/>
  <c r="EW109" i="4" s="1" a="1"/>
  <c r="EW109" i="4" s="1"/>
  <c r="DQ109" i="4"/>
  <c r="EH108" i="4"/>
  <c r="EC108" i="4"/>
  <c r="DX108" i="4"/>
  <c r="DR108" i="4"/>
  <c r="ED107" i="4"/>
  <c r="DY107" i="4"/>
  <c r="DT107" i="4"/>
  <c r="ED106" i="4"/>
  <c r="DY106" i="4"/>
  <c r="DT106" i="4"/>
  <c r="EF105" i="4"/>
  <c r="DZ105" i="4"/>
  <c r="DU105" i="4"/>
  <c r="DP105" i="4"/>
  <c r="EG104" i="4"/>
  <c r="EB104" i="4"/>
  <c r="DV104" i="4"/>
  <c r="EW104" i="4" s="1" a="1"/>
  <c r="EW104" i="4" s="1"/>
  <c r="DQ104" i="4"/>
  <c r="EH103" i="4"/>
  <c r="EC103" i="4"/>
  <c r="DX103" i="4"/>
  <c r="DR103" i="4"/>
  <c r="ED102" i="4"/>
  <c r="DY102" i="4"/>
  <c r="DT102" i="4"/>
  <c r="EF101" i="4"/>
  <c r="DZ101" i="4"/>
  <c r="DU101" i="4"/>
  <c r="DP101" i="4"/>
  <c r="EG100" i="4"/>
  <c r="EB100" i="4"/>
  <c r="DV100" i="4"/>
  <c r="EW100" i="4" s="1" a="1"/>
  <c r="EW100" i="4" s="1"/>
  <c r="DQ100" i="4"/>
  <c r="EH99" i="4"/>
  <c r="EC99" i="4"/>
  <c r="DX99" i="4"/>
  <c r="DR99" i="4"/>
  <c r="ED98" i="4"/>
  <c r="DY98" i="4"/>
  <c r="DT98" i="4"/>
  <c r="ED97" i="4"/>
  <c r="DY97" i="4"/>
  <c r="DT97" i="4"/>
  <c r="EF96" i="4"/>
  <c r="DZ96" i="4"/>
  <c r="DU96" i="4"/>
  <c r="DP96" i="4"/>
  <c r="EG95" i="4"/>
  <c r="EB95" i="4"/>
  <c r="DV95" i="4"/>
  <c r="EW95" i="4" s="1" a="1"/>
  <c r="EW95" i="4" s="1"/>
  <c r="DQ95" i="4"/>
  <c r="EH94" i="4"/>
  <c r="EC94" i="4"/>
  <c r="DX94" i="4"/>
  <c r="DR94" i="4"/>
  <c r="ED93" i="4"/>
  <c r="DY93" i="4"/>
  <c r="DT93" i="4"/>
  <c r="EF92" i="4"/>
  <c r="DZ92" i="4"/>
  <c r="DU92" i="4"/>
  <c r="DP92" i="4"/>
  <c r="EF91" i="4"/>
  <c r="DZ91" i="4"/>
  <c r="DU91" i="4"/>
  <c r="DP91" i="4"/>
  <c r="EG90" i="4"/>
  <c r="EB90" i="4"/>
  <c r="DV90" i="4"/>
  <c r="EW90" i="4" s="1" a="1"/>
  <c r="EW90" i="4" s="1"/>
  <c r="DQ90" i="4"/>
  <c r="EH89" i="4"/>
  <c r="EC89" i="4"/>
  <c r="DX89" i="4"/>
  <c r="DR89" i="4"/>
  <c r="ED88" i="4"/>
  <c r="DY88" i="4"/>
  <c r="DT88" i="4"/>
  <c r="EF87" i="4"/>
  <c r="DZ87" i="4"/>
  <c r="DU87" i="4"/>
  <c r="DP87" i="4"/>
  <c r="EG86" i="4"/>
  <c r="EB86" i="4"/>
  <c r="DV86" i="4"/>
  <c r="EW86" i="4" s="1" a="1"/>
  <c r="EW86" i="4" s="1"/>
  <c r="DQ86" i="4"/>
  <c r="EH85" i="4"/>
  <c r="EC85" i="4"/>
  <c r="DX85" i="4"/>
  <c r="DR85" i="4"/>
  <c r="EH84" i="4"/>
  <c r="EC84" i="4"/>
  <c r="DX84" i="4"/>
  <c r="DR84" i="4"/>
  <c r="ED83" i="4"/>
  <c r="DY83" i="4"/>
  <c r="DT83" i="4"/>
  <c r="ED82" i="4"/>
  <c r="DY82" i="4"/>
  <c r="DT82" i="4"/>
  <c r="ED81" i="4"/>
  <c r="DY81" i="4"/>
  <c r="DT81" i="4"/>
  <c r="EF80" i="4"/>
  <c r="DZ80" i="4"/>
  <c r="DU80" i="4"/>
  <c r="DP80" i="4"/>
  <c r="EG79" i="4"/>
  <c r="EB79" i="4"/>
  <c r="DV79" i="4"/>
  <c r="EW79" i="4" s="1" a="1"/>
  <c r="EW79" i="4" s="1"/>
  <c r="DQ79" i="4"/>
  <c r="EG78" i="4"/>
  <c r="EB78" i="4"/>
  <c r="DV78" i="4"/>
  <c r="EW78" i="4" s="1" a="1"/>
  <c r="EW78" i="4" s="1"/>
  <c r="DQ78" i="4"/>
  <c r="EH77" i="4"/>
  <c r="EC77" i="4"/>
  <c r="DX77" i="4"/>
  <c r="DR77" i="4"/>
  <c r="EH76" i="4"/>
  <c r="EC76" i="4"/>
  <c r="DX76" i="4"/>
  <c r="DR76" i="4"/>
  <c r="ED75" i="4"/>
  <c r="DY75" i="4"/>
  <c r="DT75" i="4"/>
  <c r="ED74" i="4"/>
  <c r="DY74" i="4"/>
  <c r="DT74" i="4"/>
  <c r="EF73" i="4"/>
  <c r="DZ73" i="4"/>
  <c r="DU73" i="4"/>
  <c r="DP73" i="4"/>
  <c r="EF72" i="4"/>
  <c r="DZ72" i="4"/>
  <c r="DU72" i="4"/>
  <c r="DP72" i="4"/>
  <c r="EG71" i="4"/>
  <c r="EB71" i="4"/>
  <c r="DV71" i="4"/>
  <c r="EW71" i="4" s="1" a="1"/>
  <c r="EW71" i="4" s="1"/>
  <c r="DQ71" i="4"/>
  <c r="EG70" i="4"/>
  <c r="EB70" i="4"/>
  <c r="DV70" i="4"/>
  <c r="EW70" i="4" s="1" a="1"/>
  <c r="EW70" i="4" s="1"/>
  <c r="DQ70" i="4"/>
  <c r="EH69" i="4"/>
  <c r="EC69" i="4"/>
  <c r="DX69" i="4"/>
  <c r="DR69" i="4"/>
  <c r="EH68" i="4"/>
  <c r="EC68" i="4"/>
  <c r="DX68" i="4"/>
  <c r="DR68" i="4"/>
  <c r="ED67" i="4"/>
  <c r="DY67" i="4"/>
  <c r="DT67" i="4"/>
  <c r="EF66" i="4"/>
  <c r="DZ66" i="4"/>
  <c r="DU66" i="4"/>
  <c r="DP66" i="4"/>
  <c r="EG65" i="4"/>
  <c r="EB65" i="4"/>
  <c r="DV65" i="4"/>
  <c r="EW65" i="4" s="1" a="1"/>
  <c r="EW65" i="4" s="1"/>
  <c r="DQ65" i="4"/>
  <c r="EH64" i="4"/>
  <c r="EC64" i="4"/>
  <c r="DX64" i="4"/>
  <c r="DR64" i="4"/>
  <c r="EH63" i="4"/>
  <c r="EC63" i="4"/>
  <c r="DX63" i="4"/>
  <c r="DR63" i="4"/>
  <c r="ED62" i="4"/>
  <c r="DY62" i="4"/>
  <c r="DT62" i="4"/>
  <c r="EI61" i="4"/>
  <c r="ED61" i="4"/>
  <c r="DX61" i="4"/>
  <c r="DS61" i="4"/>
  <c r="EF60" i="4"/>
  <c r="EA60" i="4"/>
  <c r="DV60" i="4"/>
  <c r="EW60" i="4" s="1" a="1"/>
  <c r="EW60" i="4" s="1"/>
  <c r="DP60" i="4"/>
  <c r="EI59" i="4"/>
  <c r="ED59" i="4"/>
  <c r="DX59" i="4"/>
  <c r="DS59" i="4"/>
  <c r="EF58" i="4"/>
  <c r="EA58" i="4"/>
  <c r="DV58" i="4"/>
  <c r="EW58" i="4" s="1" a="1"/>
  <c r="EW58" i="4" s="1"/>
  <c r="DP58" i="4"/>
  <c r="EI57" i="4"/>
  <c r="ED57" i="4"/>
  <c r="DX57" i="4"/>
  <c r="DS57" i="4"/>
  <c r="EF56" i="4"/>
  <c r="EA56" i="4"/>
  <c r="DV56" i="4"/>
  <c r="EW56" i="4" s="1" a="1"/>
  <c r="EW56" i="4" s="1"/>
  <c r="DP56" i="4"/>
  <c r="EI55" i="4"/>
  <c r="ED55" i="4"/>
  <c r="DX55" i="4"/>
  <c r="DS55" i="4"/>
  <c r="EF54" i="4"/>
  <c r="EA54" i="4"/>
  <c r="DV54" i="4"/>
  <c r="EW54" i="4" s="1" a="1"/>
  <c r="EW54" i="4" s="1"/>
  <c r="DP54" i="4"/>
  <c r="EI53" i="4"/>
  <c r="ED53" i="4"/>
  <c r="DX53" i="4"/>
  <c r="DS53" i="4"/>
  <c r="EF52" i="4"/>
  <c r="EA52" i="4"/>
  <c r="DV52" i="4"/>
  <c r="EW52" i="4" s="1" a="1"/>
  <c r="EW52" i="4" s="1"/>
  <c r="DP52" i="4"/>
  <c r="EI51" i="4"/>
  <c r="ED51" i="4"/>
  <c r="DX51" i="4"/>
  <c r="DS51" i="4"/>
  <c r="EG50" i="4"/>
  <c r="EB50" i="4"/>
  <c r="DW50" i="4"/>
  <c r="DQ50" i="4"/>
  <c r="EE49" i="4"/>
  <c r="DY49" i="4"/>
  <c r="DT49" i="4"/>
  <c r="DO49" i="4"/>
  <c r="EJ49" i="4" s="1" a="1"/>
  <c r="EJ49" i="4" s="1"/>
  <c r="EG48" i="4"/>
  <c r="EB48" i="4"/>
  <c r="DW48" i="4"/>
  <c r="DQ48" i="4"/>
  <c r="EE47" i="4"/>
  <c r="DY47" i="4"/>
  <c r="DT47" i="4"/>
  <c r="DO47" i="4"/>
  <c r="EJ47" i="4" s="1" a="1"/>
  <c r="EJ47" i="4" s="1"/>
  <c r="EG46" i="4"/>
  <c r="EB46" i="4"/>
  <c r="DW46" i="4"/>
  <c r="DQ46" i="4"/>
  <c r="EE45" i="4"/>
  <c r="DY45" i="4"/>
  <c r="DT45" i="4"/>
  <c r="DO45" i="4"/>
  <c r="EJ45" i="4" s="1" a="1"/>
  <c r="EJ45" i="4" s="1"/>
  <c r="EG44" i="4"/>
  <c r="EB44" i="4"/>
  <c r="DW44" i="4"/>
  <c r="DS44" i="4"/>
  <c r="EF43" i="4"/>
  <c r="EA43" i="4"/>
  <c r="DU43" i="4"/>
  <c r="DP43" i="4"/>
  <c r="EI42" i="4"/>
  <c r="EC42" i="4"/>
  <c r="DX42" i="4"/>
  <c r="DS42" i="4"/>
  <c r="EF41" i="4"/>
  <c r="EA41" i="4"/>
  <c r="DU41" i="4"/>
  <c r="DP41" i="4"/>
  <c r="EI40" i="4"/>
  <c r="EC40" i="4"/>
  <c r="DX40" i="4"/>
  <c r="DS40" i="4"/>
  <c r="EF39" i="4"/>
  <c r="EA39" i="4"/>
  <c r="DU39" i="4"/>
  <c r="DP39" i="4"/>
  <c r="EI38" i="4"/>
  <c r="EC38" i="4"/>
  <c r="DX38" i="4"/>
  <c r="DS38" i="4"/>
  <c r="EF37" i="4"/>
  <c r="EA37" i="4"/>
  <c r="DU37" i="4"/>
  <c r="DP37" i="4"/>
  <c r="EI36" i="4"/>
  <c r="EC36" i="4"/>
  <c r="DX36" i="4"/>
  <c r="DS36" i="4"/>
  <c r="EF35" i="4"/>
  <c r="EA35" i="4"/>
  <c r="DU35" i="4"/>
  <c r="DP35" i="4"/>
  <c r="EI34" i="4"/>
  <c r="EC34" i="4"/>
  <c r="DX34" i="4"/>
  <c r="DS34" i="4"/>
  <c r="EF33" i="4"/>
  <c r="EA33" i="4"/>
  <c r="DU33" i="4"/>
  <c r="DP33" i="4"/>
  <c r="EI32" i="4"/>
  <c r="EC32" i="4"/>
  <c r="DX32" i="4"/>
  <c r="DS32" i="4"/>
  <c r="EF31" i="4"/>
  <c r="EA31" i="4"/>
  <c r="DU31" i="4"/>
  <c r="DP31" i="4"/>
  <c r="EI30" i="4"/>
  <c r="EC30" i="4"/>
  <c r="DX30" i="4"/>
  <c r="DS30" i="4"/>
  <c r="EI29" i="4"/>
  <c r="ED29" i="4"/>
  <c r="DY29" i="4"/>
  <c r="DS29" i="4"/>
  <c r="EG28" i="4"/>
  <c r="EA28" i="4"/>
  <c r="DV28" i="4"/>
  <c r="EW28" i="4" s="1" a="1"/>
  <c r="EW28" i="4" s="1"/>
  <c r="DQ28" i="4"/>
  <c r="EI27" i="4"/>
  <c r="ED27" i="4"/>
  <c r="DY27" i="4"/>
  <c r="DS27" i="4"/>
  <c r="EG26" i="4"/>
  <c r="EA26" i="4"/>
  <c r="DV26" i="4"/>
  <c r="EW26" i="4" s="1" a="1"/>
  <c r="EW26" i="4" s="1"/>
  <c r="DQ26" i="4"/>
  <c r="EI25" i="4"/>
  <c r="ED25" i="4"/>
  <c r="DY25" i="4"/>
  <c r="DS25" i="4"/>
  <c r="EG24" i="4"/>
  <c r="EA24" i="4"/>
  <c r="DV24" i="4"/>
  <c r="EW24" i="4" s="1" a="1"/>
  <c r="EW24" i="4" s="1"/>
  <c r="DQ24" i="4"/>
  <c r="EI23" i="4"/>
  <c r="ED23" i="4"/>
  <c r="DY23" i="4"/>
  <c r="DS23" i="4"/>
  <c r="EG22" i="4"/>
  <c r="EA22" i="4"/>
  <c r="DV22" i="4"/>
  <c r="EW22" i="4" s="1" a="1"/>
  <c r="EW22" i="4" s="1"/>
  <c r="DQ22" i="4"/>
  <c r="EI21" i="4"/>
  <c r="ED21" i="4"/>
  <c r="DY21" i="4"/>
  <c r="DS21" i="4"/>
  <c r="EG20" i="4"/>
  <c r="EA20" i="4"/>
  <c r="DV20" i="4"/>
  <c r="EW20" i="4" s="1" a="1"/>
  <c r="EW20" i="4" s="1"/>
  <c r="DQ20" i="4"/>
  <c r="EI19" i="4"/>
  <c r="ED19" i="4"/>
  <c r="DY19" i="4"/>
  <c r="DS19" i="4"/>
  <c r="EG18" i="4"/>
  <c r="EA18" i="4"/>
  <c r="DV18" i="4"/>
  <c r="EW18" i="4" s="1" a="1"/>
  <c r="EW18" i="4" s="1"/>
  <c r="DQ18" i="4"/>
  <c r="EI17" i="4"/>
  <c r="ED17" i="4"/>
  <c r="DY17" i="4"/>
  <c r="DS17" i="4"/>
  <c r="EG16" i="4"/>
  <c r="EA16" i="4"/>
  <c r="DV16" i="4"/>
  <c r="EW16" i="4" s="1" a="1"/>
  <c r="EW16" i="4" s="1"/>
  <c r="DQ16" i="4"/>
  <c r="EI15" i="4"/>
  <c r="ED15" i="4"/>
  <c r="DY15" i="4"/>
  <c r="DS15" i="4"/>
  <c r="EG14" i="4"/>
  <c r="EA14" i="4"/>
  <c r="DV14" i="4"/>
  <c r="EW14" i="4" s="1" a="1"/>
  <c r="EW14" i="4" s="1"/>
  <c r="DQ14" i="4"/>
  <c r="EI13" i="4"/>
  <c r="ED13" i="4"/>
  <c r="DY13" i="4"/>
  <c r="DS13" i="4"/>
  <c r="EG12" i="4"/>
  <c r="EA12" i="4"/>
  <c r="DV12" i="4"/>
  <c r="EW12" i="4" s="1" a="1"/>
  <c r="EW12" i="4" s="1"/>
  <c r="DQ12" i="4"/>
  <c r="EI11" i="4"/>
  <c r="ED11" i="4"/>
  <c r="DY11" i="4"/>
  <c r="DS11" i="4"/>
  <c r="EG10" i="4"/>
  <c r="EA10" i="4"/>
  <c r="DV10" i="4"/>
  <c r="EW10" i="4" s="1" a="1"/>
  <c r="EW10" i="4" s="1"/>
  <c r="DQ10" i="4"/>
  <c r="EI9" i="4"/>
  <c r="ED9" i="4"/>
  <c r="DY9" i="4"/>
  <c r="DS9" i="4"/>
  <c r="EG8" i="4"/>
  <c r="EA8" i="4"/>
  <c r="DV8" i="4"/>
  <c r="EW8" i="4" s="1" a="1"/>
  <c r="EW8" i="4" s="1"/>
  <c r="DQ8" i="4"/>
  <c r="EI7" i="4"/>
  <c r="ED7" i="4"/>
  <c r="DY7" i="4"/>
  <c r="DS7" i="4"/>
  <c r="EG6" i="4"/>
  <c r="EA6" i="4"/>
  <c r="DV6" i="4"/>
  <c r="EW6" i="4" s="1" a="1"/>
  <c r="EW6" i="4" s="1"/>
  <c r="DQ6" i="4"/>
  <c r="EI5" i="4"/>
  <c r="ED5" i="4"/>
  <c r="DY5" i="4"/>
  <c r="DS5" i="4"/>
  <c r="EG4" i="4"/>
  <c r="EA4" i="4"/>
  <c r="DV4" i="4"/>
  <c r="EW4" i="4" s="1" a="1"/>
  <c r="EW4" i="4" s="1"/>
  <c r="DQ4" i="4"/>
  <c r="EI3" i="4"/>
  <c r="ED3" i="4"/>
  <c r="DY3" i="4"/>
  <c r="DS3" i="4"/>
  <c r="EI2" i="4"/>
  <c r="EC2" i="4"/>
  <c r="DX2" i="4"/>
  <c r="DS2" i="4"/>
  <c r="DF147" i="4" a="1"/>
  <c r="DF147" i="4" s="1"/>
  <c r="DI147" i="4" s="1"/>
  <c r="DF25" i="4" a="1"/>
  <c r="DF25" i="4" s="1"/>
  <c r="DI25" i="4" s="1"/>
  <c r="DF132" i="4" a="1"/>
  <c r="DF132" i="4" s="1"/>
  <c r="DI132" i="4" s="1"/>
  <c r="DI30" i="4"/>
  <c r="DI33" i="4"/>
  <c r="DI35" i="4"/>
  <c r="DI39" i="4"/>
  <c r="DI68" i="4"/>
  <c r="DI99" i="4"/>
  <c r="EW110" i="4" a="1"/>
  <c r="EW110" i="4" s="1"/>
  <c r="DI113" i="4"/>
  <c r="DI144" i="4"/>
  <c r="EW147" i="4" a="1"/>
  <c r="EW147" i="4" s="1"/>
  <c r="DI153" i="4"/>
  <c r="DI164" i="4"/>
  <c r="DI188" i="4"/>
  <c r="DI2" i="4"/>
  <c r="DI32" i="4"/>
  <c r="DI41" i="4"/>
  <c r="DI76" i="4"/>
  <c r="DI89" i="4"/>
  <c r="DI120" i="4"/>
  <c r="DI138" i="4"/>
  <c r="DI149" i="4"/>
  <c r="DI158" i="4"/>
  <c r="DI173" i="4"/>
  <c r="DI184" i="4"/>
  <c r="DF77" i="4" a="1"/>
  <c r="DF77" i="4" s="1"/>
  <c r="DI77" i="4" s="1"/>
  <c r="DF37" i="4" a="1"/>
  <c r="DF37" i="4" s="1"/>
  <c r="DI37" i="4" s="1"/>
  <c r="DF64" i="4" a="1"/>
  <c r="DF64" i="4" s="1"/>
  <c r="DI64" i="4" s="1"/>
  <c r="DF217" i="4" a="1"/>
  <c r="DF217" i="4" s="1"/>
  <c r="DI217" i="4" s="1"/>
  <c r="DF125" i="4" a="1"/>
  <c r="DF125" i="4" s="1"/>
  <c r="DI125" i="4" s="1"/>
  <c r="DF155" i="4" a="1"/>
  <c r="DF155" i="4" s="1"/>
  <c r="DI155" i="4" s="1"/>
  <c r="DF163" i="4" a="1"/>
  <c r="DF163" i="4" s="1"/>
  <c r="DI163" i="4" s="1"/>
  <c r="DF69" i="4" a="1"/>
  <c r="DF69" i="4" s="1"/>
  <c r="DI69" i="4" s="1"/>
  <c r="DF141" i="4" a="1"/>
  <c r="DF141" i="4" s="1"/>
  <c r="DI141" i="4" s="1"/>
  <c r="DI3" i="4"/>
  <c r="DI5" i="4"/>
  <c r="DI7" i="4"/>
  <c r="DI9" i="4"/>
  <c r="DI11" i="4"/>
  <c r="DI13" i="4"/>
  <c r="DI15" i="4"/>
  <c r="DI17" i="4"/>
  <c r="DI19" i="4"/>
  <c r="DI21" i="4"/>
  <c r="DI23" i="4"/>
  <c r="DI27" i="4"/>
  <c r="DI29" i="4"/>
  <c r="EG264" i="4"/>
  <c r="EC264" i="4"/>
  <c r="DY264" i="4"/>
  <c r="DU264" i="4"/>
  <c r="DQ264" i="4"/>
  <c r="EG263" i="4"/>
  <c r="EC263" i="4"/>
  <c r="DY263" i="4"/>
  <c r="DU263" i="4"/>
  <c r="DQ263" i="4"/>
  <c r="EG262" i="4"/>
  <c r="EC262" i="4"/>
  <c r="DY262" i="4"/>
  <c r="DU262" i="4"/>
  <c r="DQ262" i="4"/>
  <c r="EG261" i="4"/>
  <c r="EC261" i="4"/>
  <c r="DY261" i="4"/>
  <c r="DU261" i="4"/>
  <c r="DQ261" i="4"/>
  <c r="EG260" i="4"/>
  <c r="EC260" i="4"/>
  <c r="DY260" i="4"/>
  <c r="DU260" i="4"/>
  <c r="DQ260" i="4"/>
  <c r="EG259" i="4"/>
  <c r="EC259" i="4"/>
  <c r="DY259" i="4"/>
  <c r="DU259" i="4"/>
  <c r="DQ259" i="4"/>
  <c r="EG258" i="4"/>
  <c r="EC258" i="4"/>
  <c r="DY258" i="4"/>
  <c r="DU258" i="4"/>
  <c r="DQ258" i="4"/>
  <c r="EG257" i="4"/>
  <c r="EC257" i="4"/>
  <c r="DY257" i="4"/>
  <c r="DU257" i="4"/>
  <c r="DQ257" i="4"/>
  <c r="EG256" i="4"/>
  <c r="EC256" i="4"/>
  <c r="DY256" i="4"/>
  <c r="DU256" i="4"/>
  <c r="DQ256" i="4"/>
  <c r="EG255" i="4"/>
  <c r="EC255" i="4"/>
  <c r="DY255" i="4"/>
  <c r="DU255" i="4"/>
  <c r="DQ255" i="4"/>
  <c r="EG254" i="4"/>
  <c r="EC254" i="4"/>
  <c r="DY254" i="4"/>
  <c r="DU254" i="4"/>
  <c r="DQ254" i="4"/>
  <c r="EG253" i="4"/>
  <c r="EC253" i="4"/>
  <c r="DY253" i="4"/>
  <c r="DU253" i="4"/>
  <c r="DQ253" i="4"/>
  <c r="EG252" i="4"/>
  <c r="EC252" i="4"/>
  <c r="DY252" i="4"/>
  <c r="DU252" i="4"/>
  <c r="DQ252" i="4"/>
  <c r="EG251" i="4"/>
  <c r="EC251" i="4"/>
  <c r="DY251" i="4"/>
  <c r="DU251" i="4"/>
  <c r="DQ251" i="4"/>
  <c r="EG250" i="4"/>
  <c r="EC250" i="4"/>
  <c r="DY250" i="4"/>
  <c r="DU250" i="4"/>
  <c r="DQ250" i="4"/>
  <c r="EF249" i="4"/>
  <c r="EB249" i="4"/>
  <c r="DX249" i="4"/>
  <c r="DT249" i="4"/>
  <c r="DP249" i="4"/>
  <c r="EF248" i="4"/>
  <c r="EB248" i="4"/>
  <c r="DX248" i="4"/>
  <c r="DT248" i="4"/>
  <c r="DP248" i="4"/>
  <c r="EH247" i="4"/>
  <c r="ED247" i="4"/>
  <c r="DZ247" i="4"/>
  <c r="DV247" i="4"/>
  <c r="EW247" i="4" s="1" a="1"/>
  <c r="EW247" i="4" s="1"/>
  <c r="DR247" i="4"/>
  <c r="EH246" i="4"/>
  <c r="ED246" i="4"/>
  <c r="DZ246" i="4"/>
  <c r="DV246" i="4"/>
  <c r="EW246" i="4" s="1" a="1"/>
  <c r="EW246" i="4" s="1"/>
  <c r="DR246" i="4"/>
  <c r="EH245" i="4"/>
  <c r="ED245" i="4"/>
  <c r="DZ245" i="4"/>
  <c r="DV245" i="4"/>
  <c r="EW245" i="4" s="1" a="1"/>
  <c r="EW245" i="4" s="1"/>
  <c r="DR245" i="4"/>
  <c r="EH244" i="4"/>
  <c r="ED244" i="4"/>
  <c r="DZ244" i="4"/>
  <c r="DV244" i="4"/>
  <c r="EW244" i="4" s="1" a="1"/>
  <c r="EW244" i="4" s="1"/>
  <c r="DR244" i="4"/>
  <c r="EH243" i="4"/>
  <c r="ED243" i="4"/>
  <c r="DZ243" i="4"/>
  <c r="DV243" i="4"/>
  <c r="EW243" i="4" s="1" a="1"/>
  <c r="EW243" i="4" s="1"/>
  <c r="DR243" i="4"/>
  <c r="EH242" i="4"/>
  <c r="ED242" i="4"/>
  <c r="DZ242" i="4"/>
  <c r="DV242" i="4"/>
  <c r="EW242" i="4" s="1" a="1"/>
  <c r="EW242" i="4" s="1"/>
  <c r="DR242" i="4"/>
  <c r="EH241" i="4"/>
  <c r="ED241" i="4"/>
  <c r="DZ241" i="4"/>
  <c r="DV241" i="4"/>
  <c r="EW241" i="4" s="1" a="1"/>
  <c r="EW241" i="4" s="1"/>
  <c r="DR241" i="4"/>
  <c r="EH240" i="4"/>
  <c r="ED240" i="4"/>
  <c r="DZ240" i="4"/>
  <c r="DV240" i="4"/>
  <c r="EW240" i="4" s="1" a="1"/>
  <c r="EW240" i="4" s="1"/>
  <c r="DR240" i="4"/>
  <c r="EH239" i="4"/>
  <c r="ED239" i="4"/>
  <c r="DZ239" i="4"/>
  <c r="DV239" i="4"/>
  <c r="EW239" i="4" s="1" a="1"/>
  <c r="EW239" i="4" s="1"/>
  <c r="DR239" i="4"/>
  <c r="EH238" i="4"/>
  <c r="ED238" i="4"/>
  <c r="DZ238" i="4"/>
  <c r="DV238" i="4"/>
  <c r="EW238" i="4" s="1" a="1"/>
  <c r="EW238" i="4" s="1"/>
  <c r="DR238" i="4"/>
  <c r="EH237" i="4"/>
  <c r="ED237" i="4"/>
  <c r="DZ237" i="4"/>
  <c r="DV237" i="4"/>
  <c r="EW237" i="4" s="1" a="1"/>
  <c r="EW237" i="4" s="1"/>
  <c r="DR237" i="4"/>
  <c r="EG236" i="4"/>
  <c r="EC236" i="4"/>
  <c r="DY236" i="4"/>
  <c r="DU236" i="4"/>
  <c r="DQ236" i="4"/>
  <c r="EG235" i="4"/>
  <c r="EC235" i="4"/>
  <c r="DY235" i="4"/>
  <c r="DU235" i="4"/>
  <c r="DQ235" i="4"/>
  <c r="EG234" i="4"/>
  <c r="EC234" i="4"/>
  <c r="DY234" i="4"/>
  <c r="DU234" i="4"/>
  <c r="DQ234" i="4"/>
  <c r="EG233" i="4"/>
  <c r="EC233" i="4"/>
  <c r="DY233" i="4"/>
  <c r="DU233" i="4"/>
  <c r="DQ233" i="4"/>
  <c r="EG232" i="4"/>
  <c r="EC232" i="4"/>
  <c r="DY232" i="4"/>
  <c r="DU232" i="4"/>
  <c r="DQ232" i="4"/>
  <c r="EG231" i="4"/>
  <c r="EC231" i="4"/>
  <c r="DY231" i="4"/>
  <c r="DU231" i="4"/>
  <c r="DQ231" i="4"/>
  <c r="EG230" i="4"/>
  <c r="EC230" i="4"/>
  <c r="DY230" i="4"/>
  <c r="DU230" i="4"/>
  <c r="DQ230" i="4"/>
  <c r="EG229" i="4"/>
  <c r="EC229" i="4"/>
  <c r="DY229" i="4"/>
  <c r="DU229" i="4"/>
  <c r="DQ229" i="4"/>
  <c r="EG228" i="4"/>
  <c r="EC228" i="4"/>
  <c r="DY228" i="4"/>
  <c r="DU228" i="4"/>
  <c r="DQ228" i="4"/>
  <c r="EG227" i="4"/>
  <c r="EC227" i="4"/>
  <c r="DY227" i="4"/>
  <c r="DU227" i="4"/>
  <c r="DQ227" i="4"/>
  <c r="EG226" i="4"/>
  <c r="EC226" i="4"/>
  <c r="DY226" i="4"/>
  <c r="DU226" i="4"/>
  <c r="DQ226" i="4"/>
  <c r="EG225" i="4"/>
  <c r="EC225" i="4"/>
  <c r="DY225" i="4"/>
  <c r="DU225" i="4"/>
  <c r="DQ225" i="4"/>
  <c r="EG224" i="4"/>
  <c r="EC224" i="4"/>
  <c r="DY224" i="4"/>
  <c r="DU224" i="4"/>
  <c r="DQ224" i="4"/>
  <c r="EG223" i="4"/>
  <c r="EC223" i="4"/>
  <c r="DY223" i="4"/>
  <c r="DU223" i="4"/>
  <c r="DQ223" i="4"/>
  <c r="EG222" i="4"/>
  <c r="EC222" i="4"/>
  <c r="DY222" i="4"/>
  <c r="DU222" i="4"/>
  <c r="DQ222" i="4"/>
  <c r="EG221" i="4"/>
  <c r="EC221" i="4"/>
  <c r="DY221" i="4"/>
  <c r="DU221" i="4"/>
  <c r="DQ221" i="4"/>
  <c r="EG220" i="4"/>
  <c r="EC220" i="4"/>
  <c r="DY220" i="4"/>
  <c r="DU220" i="4"/>
  <c r="DQ220" i="4"/>
  <c r="EG219" i="4"/>
  <c r="EC219" i="4"/>
  <c r="DY219" i="4"/>
  <c r="DU219" i="4"/>
  <c r="DQ219" i="4"/>
  <c r="EG218" i="4"/>
  <c r="EC218" i="4"/>
  <c r="DY218" i="4"/>
  <c r="DU218" i="4"/>
  <c r="DQ218" i="4"/>
  <c r="EG217" i="4"/>
  <c r="EC217" i="4"/>
  <c r="DY217" i="4"/>
  <c r="DU217" i="4"/>
  <c r="DQ217" i="4"/>
  <c r="EG216" i="4"/>
  <c r="EC216" i="4"/>
  <c r="DY216" i="4"/>
  <c r="DU216" i="4"/>
  <c r="DQ216" i="4"/>
  <c r="EG215" i="4"/>
  <c r="EC215" i="4"/>
  <c r="DY215" i="4"/>
  <c r="DU215" i="4"/>
  <c r="DQ215" i="4"/>
  <c r="EG214" i="4"/>
  <c r="EC214" i="4"/>
  <c r="DY214" i="4"/>
  <c r="DU214" i="4"/>
  <c r="DQ214" i="4"/>
  <c r="EG213" i="4"/>
  <c r="EC213" i="4"/>
  <c r="DY213" i="4"/>
  <c r="DU213" i="4"/>
  <c r="DQ213" i="4"/>
  <c r="EG212" i="4"/>
  <c r="EC212" i="4"/>
  <c r="DY212" i="4"/>
  <c r="DU212" i="4"/>
  <c r="DQ212" i="4"/>
  <c r="EG211" i="4"/>
  <c r="EC211" i="4"/>
  <c r="DY211" i="4"/>
  <c r="DU211" i="4"/>
  <c r="DQ211" i="4"/>
  <c r="EG210" i="4"/>
  <c r="EC210" i="4"/>
  <c r="DY210" i="4"/>
  <c r="DU210" i="4"/>
  <c r="DQ210" i="4"/>
  <c r="EG209" i="4"/>
  <c r="EC209" i="4"/>
  <c r="DY209" i="4"/>
  <c r="DU209" i="4"/>
  <c r="DQ209" i="4"/>
  <c r="EG208" i="4"/>
  <c r="EC208" i="4"/>
  <c r="DY208" i="4"/>
  <c r="DU208" i="4"/>
  <c r="DQ208" i="4"/>
  <c r="EG207" i="4"/>
  <c r="EC207" i="4"/>
  <c r="DY207" i="4"/>
  <c r="DU207" i="4"/>
  <c r="DQ207" i="4"/>
  <c r="EG206" i="4"/>
  <c r="EC206" i="4"/>
  <c r="DY206" i="4"/>
  <c r="DU206" i="4"/>
  <c r="DQ206" i="4"/>
  <c r="EG205" i="4"/>
  <c r="EC205" i="4"/>
  <c r="DY205" i="4"/>
  <c r="DU205" i="4"/>
  <c r="DQ205" i="4"/>
  <c r="EG204" i="4"/>
  <c r="EC204" i="4"/>
  <c r="DY204" i="4"/>
  <c r="DU204" i="4"/>
  <c r="DQ204" i="4"/>
  <c r="EG203" i="4"/>
  <c r="EC203" i="4"/>
  <c r="DY203" i="4"/>
  <c r="DU203" i="4"/>
  <c r="DQ203" i="4"/>
  <c r="EG202" i="4"/>
  <c r="EC202" i="4"/>
  <c r="DY202" i="4"/>
  <c r="DU202" i="4"/>
  <c r="DQ202" i="4"/>
  <c r="EG201" i="4"/>
  <c r="EC201" i="4"/>
  <c r="DY201" i="4"/>
  <c r="DU201" i="4"/>
  <c r="DQ201" i="4"/>
  <c r="EG200" i="4"/>
  <c r="EC200" i="4"/>
  <c r="DY200" i="4"/>
  <c r="DU200" i="4"/>
  <c r="DQ200" i="4"/>
  <c r="EG199" i="4"/>
  <c r="EC199" i="4"/>
  <c r="DY199" i="4"/>
  <c r="DU199" i="4"/>
  <c r="DQ199" i="4"/>
  <c r="EG198" i="4"/>
  <c r="EC198" i="4"/>
  <c r="DY198" i="4"/>
  <c r="DU198" i="4"/>
  <c r="DQ198" i="4"/>
  <c r="EG197" i="4"/>
  <c r="EC197" i="4"/>
  <c r="DY197" i="4"/>
  <c r="DU197" i="4"/>
  <c r="DQ197" i="4"/>
  <c r="EG196" i="4"/>
  <c r="EC196" i="4"/>
  <c r="DY196" i="4"/>
  <c r="DU196" i="4"/>
  <c r="DQ196" i="4"/>
  <c r="EG195" i="4"/>
  <c r="EC195" i="4"/>
  <c r="DY195" i="4"/>
  <c r="DU195" i="4"/>
  <c r="DQ195" i="4"/>
  <c r="EG194" i="4"/>
  <c r="EC194" i="4"/>
  <c r="DY194" i="4"/>
  <c r="DU194" i="4"/>
  <c r="DQ194" i="4"/>
  <c r="EG193" i="4"/>
  <c r="EC193" i="4"/>
  <c r="DY193" i="4"/>
  <c r="DU193" i="4"/>
  <c r="DQ193" i="4"/>
  <c r="EG192" i="4"/>
  <c r="EC192" i="4"/>
  <c r="DY192" i="4"/>
  <c r="DU192" i="4"/>
  <c r="DQ192" i="4"/>
  <c r="EG191" i="4"/>
  <c r="EC191" i="4"/>
  <c r="DY191" i="4"/>
  <c r="DU191" i="4"/>
  <c r="DQ191" i="4"/>
  <c r="EI190" i="4"/>
  <c r="EE190" i="4"/>
  <c r="EA190" i="4"/>
  <c r="DW190" i="4"/>
  <c r="DS190" i="4"/>
  <c r="DO190" i="4"/>
  <c r="EJ190" i="4" s="1" a="1"/>
  <c r="EJ190" i="4" s="1"/>
  <c r="EI189" i="4"/>
  <c r="EE189" i="4"/>
  <c r="EA189" i="4"/>
  <c r="DW189" i="4"/>
  <c r="DS189" i="4"/>
  <c r="DO189" i="4"/>
  <c r="EJ189" i="4" s="1" a="1"/>
  <c r="EJ189" i="4" s="1"/>
  <c r="EI188" i="4"/>
  <c r="EE188" i="4"/>
  <c r="EA188" i="4"/>
  <c r="DW188" i="4"/>
  <c r="DS188" i="4"/>
  <c r="DO188" i="4"/>
  <c r="EJ188" i="4" s="1" a="1"/>
  <c r="EJ188" i="4" s="1"/>
  <c r="EI187" i="4"/>
  <c r="EE187" i="4"/>
  <c r="EA187" i="4"/>
  <c r="DW187" i="4"/>
  <c r="DS187" i="4"/>
  <c r="DO187" i="4"/>
  <c r="EJ187" i="4" s="1" a="1"/>
  <c r="EJ187" i="4" s="1"/>
  <c r="EI186" i="4"/>
  <c r="EE186" i="4"/>
  <c r="EA186" i="4"/>
  <c r="DW186" i="4"/>
  <c r="DS186" i="4"/>
  <c r="DO186" i="4"/>
  <c r="EJ186" i="4" s="1" a="1"/>
  <c r="EJ186" i="4" s="1"/>
  <c r="EI185" i="4"/>
  <c r="EE185" i="4"/>
  <c r="EA185" i="4"/>
  <c r="DW185" i="4"/>
  <c r="DS185" i="4"/>
  <c r="DO185" i="4"/>
  <c r="EJ185" i="4" s="1" a="1"/>
  <c r="EJ185" i="4" s="1"/>
  <c r="EI184" i="4"/>
  <c r="EE184" i="4"/>
  <c r="EA184" i="4"/>
  <c r="DW184" i="4"/>
  <c r="DS184" i="4"/>
  <c r="DO184" i="4"/>
  <c r="EJ184" i="4" s="1" a="1"/>
  <c r="EJ184" i="4" s="1"/>
  <c r="EI183" i="4"/>
  <c r="EE183" i="4"/>
  <c r="EA183" i="4"/>
  <c r="DW183" i="4"/>
  <c r="DS183" i="4"/>
  <c r="DO183" i="4"/>
  <c r="EJ183" i="4" s="1" a="1"/>
  <c r="EJ183" i="4" s="1"/>
  <c r="EI182" i="4"/>
  <c r="EE182" i="4"/>
  <c r="EA182" i="4"/>
  <c r="DW182" i="4"/>
  <c r="DS182" i="4"/>
  <c r="EI181" i="4"/>
  <c r="EE181" i="4"/>
  <c r="EA181" i="4"/>
  <c r="DW181" i="4"/>
  <c r="DS181" i="4"/>
  <c r="DO181" i="4"/>
  <c r="EJ181" i="4" s="1" a="1"/>
  <c r="EJ181" i="4" s="1"/>
  <c r="EI180" i="4"/>
  <c r="EE180" i="4"/>
  <c r="EA180" i="4"/>
  <c r="DW180" i="4"/>
  <c r="DS180" i="4"/>
  <c r="DO180" i="4"/>
  <c r="EJ180" i="4" s="1" a="1"/>
  <c r="EJ180" i="4" s="1"/>
  <c r="EI179" i="4"/>
  <c r="EE179" i="4"/>
  <c r="EA179" i="4"/>
  <c r="DW179" i="4"/>
  <c r="DS179" i="4"/>
  <c r="DO179" i="4"/>
  <c r="EJ179" i="4" s="1" a="1"/>
  <c r="EJ179" i="4" s="1"/>
  <c r="EI178" i="4"/>
  <c r="EE178" i="4"/>
  <c r="EA178" i="4"/>
  <c r="DW178" i="4"/>
  <c r="DS178" i="4"/>
  <c r="DO178" i="4"/>
  <c r="EJ178" i="4" s="1" a="1"/>
  <c r="EJ178" i="4" s="1"/>
  <c r="EI177" i="4"/>
  <c r="EE177" i="4"/>
  <c r="EA177" i="4"/>
  <c r="DW177" i="4"/>
  <c r="DS177" i="4"/>
  <c r="DO177" i="4"/>
  <c r="EJ177" i="4" s="1" a="1"/>
  <c r="EJ177" i="4" s="1"/>
  <c r="EI176" i="4"/>
  <c r="EE176" i="4"/>
  <c r="EA176" i="4"/>
  <c r="DW176" i="4"/>
  <c r="DS176" i="4"/>
  <c r="DO176" i="4"/>
  <c r="EJ176" i="4" s="1" a="1"/>
  <c r="EJ176" i="4" s="1"/>
  <c r="EI175" i="4"/>
  <c r="EE175" i="4"/>
  <c r="EA175" i="4"/>
  <c r="DW175" i="4"/>
  <c r="DS175" i="4"/>
  <c r="DO175" i="4"/>
  <c r="EJ175" i="4" s="1" a="1"/>
  <c r="EJ175" i="4" s="1"/>
  <c r="EI174" i="4"/>
  <c r="EE174" i="4"/>
  <c r="EA174" i="4"/>
  <c r="DW174" i="4"/>
  <c r="DS174" i="4"/>
  <c r="DO174" i="4"/>
  <c r="EJ174" i="4" s="1" a="1"/>
  <c r="EJ174" i="4" s="1"/>
  <c r="EI173" i="4"/>
  <c r="EE173" i="4"/>
  <c r="EA173" i="4"/>
  <c r="DW173" i="4"/>
  <c r="DS173" i="4"/>
  <c r="DO173" i="4"/>
  <c r="EJ173" i="4" s="1" a="1"/>
  <c r="EJ173" i="4" s="1"/>
  <c r="EI172" i="4"/>
  <c r="EE172" i="4"/>
  <c r="EA172" i="4"/>
  <c r="DW172" i="4"/>
  <c r="DS172" i="4"/>
  <c r="DO172" i="4"/>
  <c r="EJ172" i="4" s="1" a="1"/>
  <c r="EJ172" i="4" s="1"/>
  <c r="EI171" i="4"/>
  <c r="EE171" i="4"/>
  <c r="EA171" i="4"/>
  <c r="DW171" i="4"/>
  <c r="DS171" i="4"/>
  <c r="DO171" i="4"/>
  <c r="EJ171" i="4" s="1" a="1"/>
  <c r="EJ171" i="4" s="1"/>
  <c r="EI170" i="4"/>
  <c r="EE170" i="4"/>
  <c r="EA170" i="4"/>
  <c r="DW170" i="4"/>
  <c r="DS170" i="4"/>
  <c r="DO170" i="4"/>
  <c r="EJ170" i="4" s="1" a="1"/>
  <c r="EJ170" i="4" s="1"/>
  <c r="EI169" i="4"/>
  <c r="EE169" i="4"/>
  <c r="EA169" i="4"/>
  <c r="DW169" i="4"/>
  <c r="DS169" i="4"/>
  <c r="DO169" i="4"/>
  <c r="EJ169" i="4" s="1" a="1"/>
  <c r="EJ169" i="4" s="1"/>
  <c r="EI168" i="4"/>
  <c r="EE168" i="4"/>
  <c r="EA168" i="4"/>
  <c r="DW168" i="4"/>
  <c r="DS168" i="4"/>
  <c r="DO168" i="4"/>
  <c r="EJ168" i="4" s="1" a="1"/>
  <c r="EJ168" i="4" s="1"/>
  <c r="EI167" i="4"/>
  <c r="EE167" i="4"/>
  <c r="EA167" i="4"/>
  <c r="DW167" i="4"/>
  <c r="DS167" i="4"/>
  <c r="DO167" i="4"/>
  <c r="EJ167" i="4" s="1" a="1"/>
  <c r="EJ167" i="4" s="1"/>
  <c r="EI166" i="4"/>
  <c r="EE166" i="4"/>
  <c r="EA166" i="4"/>
  <c r="DW166" i="4"/>
  <c r="DS166" i="4"/>
  <c r="DO166" i="4"/>
  <c r="EJ166" i="4" s="1" a="1"/>
  <c r="EJ166" i="4" s="1"/>
  <c r="EI165" i="4"/>
  <c r="EE165" i="4"/>
  <c r="EA165" i="4"/>
  <c r="DW165" i="4"/>
  <c r="DS165" i="4"/>
  <c r="DO165" i="4"/>
  <c r="EJ165" i="4" s="1" a="1"/>
  <c r="EJ165" i="4" s="1"/>
  <c r="EI164" i="4"/>
  <c r="EE164" i="4"/>
  <c r="EA164" i="4"/>
  <c r="DW164" i="4"/>
  <c r="DS164" i="4"/>
  <c r="DO164" i="4"/>
  <c r="EJ164" i="4" s="1" a="1"/>
  <c r="EJ164" i="4" s="1"/>
  <c r="EI163" i="4"/>
  <c r="EE163" i="4"/>
  <c r="EA163" i="4"/>
  <c r="DW163" i="4"/>
  <c r="DS163" i="4"/>
  <c r="DO163" i="4"/>
  <c r="EJ163" i="4" s="1" a="1"/>
  <c r="EJ163" i="4" s="1"/>
  <c r="EI162" i="4"/>
  <c r="EE162" i="4"/>
  <c r="EA162" i="4"/>
  <c r="DW162" i="4"/>
  <c r="DS162" i="4"/>
  <c r="DO162" i="4"/>
  <c r="EJ162" i="4" s="1" a="1"/>
  <c r="EJ162" i="4" s="1"/>
  <c r="EI161" i="4"/>
  <c r="EE161" i="4"/>
  <c r="EA161" i="4"/>
  <c r="DW161" i="4"/>
  <c r="DS161" i="4"/>
  <c r="DO161" i="4"/>
  <c r="EJ161" i="4" s="1" a="1"/>
  <c r="EJ161" i="4" s="1"/>
  <c r="EI160" i="4"/>
  <c r="EE160" i="4"/>
  <c r="EA160" i="4"/>
  <c r="DW160" i="4"/>
  <c r="DS160" i="4"/>
  <c r="DO160" i="4"/>
  <c r="EJ160" i="4" s="1" a="1"/>
  <c r="EJ160" i="4" s="1"/>
  <c r="EI159" i="4"/>
  <c r="EE159" i="4"/>
  <c r="EA159" i="4"/>
  <c r="DW159" i="4"/>
  <c r="DS159" i="4"/>
  <c r="DO159" i="4"/>
  <c r="EJ159" i="4" s="1" a="1"/>
  <c r="EJ159" i="4" s="1"/>
  <c r="EI158" i="4"/>
  <c r="EE158" i="4"/>
  <c r="EA158" i="4"/>
  <c r="DW158" i="4"/>
  <c r="DS158" i="4"/>
  <c r="DO158" i="4"/>
  <c r="EJ158" i="4" s="1" a="1"/>
  <c r="EJ158" i="4" s="1"/>
  <c r="EI157" i="4"/>
  <c r="EE157" i="4"/>
  <c r="EA157" i="4"/>
  <c r="DW157" i="4"/>
  <c r="DS157" i="4"/>
  <c r="DO157" i="4"/>
  <c r="EJ157" i="4" s="1" a="1"/>
  <c r="EJ157" i="4" s="1"/>
  <c r="EI156" i="4"/>
  <c r="EE156" i="4"/>
  <c r="EA156" i="4"/>
  <c r="DW156" i="4"/>
  <c r="DS156" i="4"/>
  <c r="DO156" i="4"/>
  <c r="EJ156" i="4" s="1" a="1"/>
  <c r="EJ156" i="4" s="1"/>
  <c r="EI155" i="4"/>
  <c r="EE155" i="4"/>
  <c r="EA155" i="4"/>
  <c r="DW155" i="4"/>
  <c r="DS155" i="4"/>
  <c r="DO155" i="4"/>
  <c r="EJ155" i="4" s="1" a="1"/>
  <c r="EJ155" i="4" s="1"/>
  <c r="EI154" i="4"/>
  <c r="EE154" i="4"/>
  <c r="EA154" i="4"/>
  <c r="DW154" i="4"/>
  <c r="DS154" i="4"/>
  <c r="DO154" i="4"/>
  <c r="EJ154" i="4" s="1" a="1"/>
  <c r="EJ154" i="4" s="1"/>
  <c r="EI153" i="4"/>
  <c r="EE153" i="4"/>
  <c r="EA153" i="4"/>
  <c r="DW153" i="4"/>
  <c r="DS153" i="4"/>
  <c r="DO153" i="4"/>
  <c r="EJ153" i="4" s="1" a="1"/>
  <c r="EJ153" i="4" s="1"/>
  <c r="EI152" i="4"/>
  <c r="EE152" i="4"/>
  <c r="EA152" i="4"/>
  <c r="DW152" i="4"/>
  <c r="DS152" i="4"/>
  <c r="DO152" i="4"/>
  <c r="EJ152" i="4" s="1" a="1"/>
  <c r="EJ152" i="4" s="1"/>
  <c r="EI151" i="4"/>
  <c r="EE151" i="4"/>
  <c r="EA151" i="4"/>
  <c r="DW151" i="4"/>
  <c r="DS151" i="4"/>
  <c r="DO151" i="4"/>
  <c r="EJ151" i="4" s="1" a="1"/>
  <c r="EJ151" i="4" s="1"/>
  <c r="EI150" i="4"/>
  <c r="EE150" i="4"/>
  <c r="EA150" i="4"/>
  <c r="DW150" i="4"/>
  <c r="DS150" i="4"/>
  <c r="DO150" i="4"/>
  <c r="EJ150" i="4" s="1" a="1"/>
  <c r="EJ150" i="4" s="1"/>
  <c r="EI149" i="4"/>
  <c r="EE149" i="4"/>
  <c r="EA149" i="4"/>
  <c r="DW149" i="4"/>
  <c r="DS149" i="4"/>
  <c r="DO149" i="4"/>
  <c r="EJ149" i="4" s="1" a="1"/>
  <c r="EJ149" i="4" s="1"/>
  <c r="EI148" i="4"/>
  <c r="EE148" i="4"/>
  <c r="EA148" i="4"/>
  <c r="DW148" i="4"/>
  <c r="DS148" i="4"/>
  <c r="DO148" i="4"/>
  <c r="EJ148" i="4" s="1" a="1"/>
  <c r="EJ148" i="4" s="1"/>
  <c r="EI147" i="4"/>
  <c r="EE147" i="4"/>
  <c r="EA147" i="4"/>
  <c r="DW147" i="4"/>
  <c r="DS147" i="4"/>
  <c r="DO147" i="4"/>
  <c r="EJ147" i="4" s="1" a="1"/>
  <c r="EJ147" i="4" s="1"/>
  <c r="EI146" i="4"/>
  <c r="EE146" i="4"/>
  <c r="EA146" i="4"/>
  <c r="DW146" i="4"/>
  <c r="DS146" i="4"/>
  <c r="DO146" i="4"/>
  <c r="EJ146" i="4" s="1" a="1"/>
  <c r="EJ146" i="4" s="1"/>
  <c r="EI145" i="4"/>
  <c r="EE145" i="4"/>
  <c r="EA145" i="4"/>
  <c r="DW145" i="4"/>
  <c r="DS145" i="4"/>
  <c r="DO145" i="4"/>
  <c r="EJ145" i="4" s="1" a="1"/>
  <c r="EJ145" i="4" s="1"/>
  <c r="EI144" i="4"/>
  <c r="EE144" i="4"/>
  <c r="EA144" i="4"/>
  <c r="DW144" i="4"/>
  <c r="DS144" i="4"/>
  <c r="DO144" i="4"/>
  <c r="EJ144" i="4" s="1" a="1"/>
  <c r="EJ144" i="4" s="1"/>
  <c r="EI143" i="4"/>
  <c r="EE143" i="4"/>
  <c r="EA143" i="4"/>
  <c r="DW143" i="4"/>
  <c r="DS143" i="4"/>
  <c r="DO143" i="4"/>
  <c r="EJ143" i="4" s="1" a="1"/>
  <c r="EJ143" i="4" s="1"/>
  <c r="EI142" i="4"/>
  <c r="EE142" i="4"/>
  <c r="EA142" i="4"/>
  <c r="DW142" i="4"/>
  <c r="DS142" i="4"/>
  <c r="DO142" i="4"/>
  <c r="EJ142" i="4" s="1" a="1"/>
  <c r="EJ142" i="4" s="1"/>
  <c r="EI141" i="4"/>
  <c r="EE141" i="4"/>
  <c r="EA141" i="4"/>
  <c r="DW141" i="4"/>
  <c r="DS141" i="4"/>
  <c r="DO141" i="4"/>
  <c r="EJ141" i="4" s="1" a="1"/>
  <c r="EJ141" i="4" s="1"/>
  <c r="EI140" i="4"/>
  <c r="EE140" i="4"/>
  <c r="EA140" i="4"/>
  <c r="DW140" i="4"/>
  <c r="DS140" i="4"/>
  <c r="DO140" i="4"/>
  <c r="EJ140" i="4" s="1" a="1"/>
  <c r="EJ140" i="4" s="1"/>
  <c r="EI139" i="4"/>
  <c r="EE139" i="4"/>
  <c r="EA139" i="4"/>
  <c r="DW139" i="4"/>
  <c r="DS139" i="4"/>
  <c r="DO139" i="4"/>
  <c r="EJ139" i="4" s="1" a="1"/>
  <c r="EJ139" i="4" s="1"/>
  <c r="EI138" i="4"/>
  <c r="EE138" i="4"/>
  <c r="EA138" i="4"/>
  <c r="DW138" i="4"/>
  <c r="DS138" i="4"/>
  <c r="DO138" i="4"/>
  <c r="EJ138" i="4" s="1" a="1"/>
  <c r="EJ138" i="4" s="1"/>
  <c r="EI137" i="4"/>
  <c r="EE137" i="4"/>
  <c r="EA137" i="4"/>
  <c r="DW137" i="4"/>
  <c r="DS137" i="4"/>
  <c r="DO137" i="4"/>
  <c r="EJ137" i="4" s="1" a="1"/>
  <c r="EJ137" i="4" s="1"/>
  <c r="EI136" i="4"/>
  <c r="EE136" i="4"/>
  <c r="EA136" i="4"/>
  <c r="DW136" i="4"/>
  <c r="DS136" i="4"/>
  <c r="DO136" i="4"/>
  <c r="EJ136" i="4" s="1" a="1"/>
  <c r="EJ136" i="4" s="1"/>
  <c r="EI135" i="4"/>
  <c r="EE135" i="4"/>
  <c r="EA135" i="4"/>
  <c r="DW135" i="4"/>
  <c r="DS135" i="4"/>
  <c r="DO135" i="4"/>
  <c r="EJ135" i="4" s="1" a="1"/>
  <c r="EJ135" i="4" s="1"/>
  <c r="EI134" i="4"/>
  <c r="EE134" i="4"/>
  <c r="EA134" i="4"/>
  <c r="DW134" i="4"/>
  <c r="DS134" i="4"/>
  <c r="DO134" i="4"/>
  <c r="EJ134" i="4" s="1" a="1"/>
  <c r="EJ134" i="4" s="1"/>
  <c r="EI133" i="4"/>
  <c r="EE133" i="4"/>
  <c r="EA133" i="4"/>
  <c r="DW133" i="4"/>
  <c r="DS133" i="4"/>
  <c r="DO133" i="4"/>
  <c r="EJ133" i="4" s="1" a="1"/>
  <c r="EJ133" i="4" s="1"/>
  <c r="EI132" i="4"/>
  <c r="EE132" i="4"/>
  <c r="EA132" i="4"/>
  <c r="DW132" i="4"/>
  <c r="DS132" i="4"/>
  <c r="DO132" i="4"/>
  <c r="EJ132" i="4" s="1" a="1"/>
  <c r="EJ132" i="4" s="1"/>
  <c r="EI131" i="4"/>
  <c r="EE131" i="4"/>
  <c r="EA131" i="4"/>
  <c r="DW131" i="4"/>
  <c r="DS131" i="4"/>
  <c r="DO131" i="4"/>
  <c r="EJ131" i="4" s="1" a="1"/>
  <c r="EJ131" i="4" s="1"/>
  <c r="EI130" i="4"/>
  <c r="EE130" i="4"/>
  <c r="EA130" i="4"/>
  <c r="DW130" i="4"/>
  <c r="DS130" i="4"/>
  <c r="DO130" i="4"/>
  <c r="EJ130" i="4" s="1" a="1"/>
  <c r="EJ130" i="4" s="1"/>
  <c r="EI129" i="4"/>
  <c r="EE129" i="4"/>
  <c r="EA129" i="4"/>
  <c r="DW129" i="4"/>
  <c r="DS129" i="4"/>
  <c r="DO129" i="4"/>
  <c r="EJ129" i="4" s="1" a="1"/>
  <c r="EJ129" i="4" s="1"/>
  <c r="EI128" i="4"/>
  <c r="EE128" i="4"/>
  <c r="EA128" i="4"/>
  <c r="DW128" i="4"/>
  <c r="DS128" i="4"/>
  <c r="DO128" i="4"/>
  <c r="EJ128" i="4" s="1" a="1"/>
  <c r="EJ128" i="4" s="1"/>
  <c r="EI127" i="4"/>
  <c r="EE127" i="4"/>
  <c r="EA127" i="4"/>
  <c r="DW127" i="4"/>
  <c r="DS127" i="4"/>
  <c r="DO127" i="4"/>
  <c r="EJ127" i="4" s="1" a="1"/>
  <c r="EJ127" i="4" s="1"/>
  <c r="EI126" i="4"/>
  <c r="EE126" i="4"/>
  <c r="EA126" i="4"/>
  <c r="DW126" i="4"/>
  <c r="DS126" i="4"/>
  <c r="DO126" i="4"/>
  <c r="EJ126" i="4" s="1" a="1"/>
  <c r="EJ126" i="4" s="1"/>
  <c r="EI125" i="4"/>
  <c r="EE125" i="4"/>
  <c r="EA125" i="4"/>
  <c r="DW125" i="4"/>
  <c r="DS125" i="4"/>
  <c r="DO125" i="4"/>
  <c r="EJ125" i="4" s="1" a="1"/>
  <c r="EJ125" i="4" s="1"/>
  <c r="EI124" i="4"/>
  <c r="EE124" i="4"/>
  <c r="EA124" i="4"/>
  <c r="DW124" i="4"/>
  <c r="DS124" i="4"/>
  <c r="DO124" i="4"/>
  <c r="EJ124" i="4" s="1" a="1"/>
  <c r="EJ124" i="4" s="1"/>
  <c r="EI123" i="4"/>
  <c r="EE123" i="4"/>
  <c r="EA123" i="4"/>
  <c r="DW123" i="4"/>
  <c r="DS123" i="4"/>
  <c r="DO123" i="4"/>
  <c r="EJ123" i="4" s="1" a="1"/>
  <c r="EJ123" i="4" s="1"/>
  <c r="EI122" i="4"/>
  <c r="EE122" i="4"/>
  <c r="EA122" i="4"/>
  <c r="DW122" i="4"/>
  <c r="DS122" i="4"/>
  <c r="DO122" i="4"/>
  <c r="EJ122" i="4" s="1" a="1"/>
  <c r="EJ122" i="4" s="1"/>
  <c r="EI121" i="4"/>
  <c r="EE121" i="4"/>
  <c r="EA121" i="4"/>
  <c r="DW121" i="4"/>
  <c r="DS121" i="4"/>
  <c r="DO121" i="4"/>
  <c r="EJ121" i="4" s="1" a="1"/>
  <c r="EJ121" i="4" s="1"/>
  <c r="EI120" i="4"/>
  <c r="EE120" i="4"/>
  <c r="EA120" i="4"/>
  <c r="DW120" i="4"/>
  <c r="DS120" i="4"/>
  <c r="DO120" i="4"/>
  <c r="EJ120" i="4" s="1" a="1"/>
  <c r="EJ120" i="4" s="1"/>
  <c r="EI119" i="4"/>
  <c r="EE119" i="4"/>
  <c r="EA119" i="4"/>
  <c r="DW119" i="4"/>
  <c r="DS119" i="4"/>
  <c r="DO119" i="4"/>
  <c r="EJ119" i="4" s="1" a="1"/>
  <c r="EJ119" i="4" s="1"/>
  <c r="EI118" i="4"/>
  <c r="EE118" i="4"/>
  <c r="EA118" i="4"/>
  <c r="DW118" i="4"/>
  <c r="DS118" i="4"/>
  <c r="DO118" i="4"/>
  <c r="EJ118" i="4" s="1" a="1"/>
  <c r="EJ118" i="4" s="1"/>
  <c r="EI117" i="4"/>
  <c r="EE117" i="4"/>
  <c r="EA117" i="4"/>
  <c r="DW117" i="4"/>
  <c r="DS117" i="4"/>
  <c r="DO117" i="4"/>
  <c r="EJ117" i="4" s="1" a="1"/>
  <c r="EJ117" i="4" s="1"/>
  <c r="EI116" i="4"/>
  <c r="EE116" i="4"/>
  <c r="EA116" i="4"/>
  <c r="DW116" i="4"/>
  <c r="DS116" i="4"/>
  <c r="DO116" i="4"/>
  <c r="EJ116" i="4" s="1" a="1"/>
  <c r="EJ116" i="4" s="1"/>
  <c r="EI115" i="4"/>
  <c r="EE115" i="4"/>
  <c r="EA115" i="4"/>
  <c r="DW115" i="4"/>
  <c r="DS115" i="4"/>
  <c r="DO115" i="4"/>
  <c r="EJ115" i="4" s="1" a="1"/>
  <c r="EJ115" i="4" s="1"/>
  <c r="EI114" i="4"/>
  <c r="EE114" i="4"/>
  <c r="EA114" i="4"/>
  <c r="DW114" i="4"/>
  <c r="DS114" i="4"/>
  <c r="DO114" i="4"/>
  <c r="EJ114" i="4" s="1" a="1"/>
  <c r="EJ114" i="4" s="1"/>
  <c r="EI113" i="4"/>
  <c r="EE113" i="4"/>
  <c r="EA113" i="4"/>
  <c r="DW113" i="4"/>
  <c r="DS113" i="4"/>
  <c r="DO113" i="4"/>
  <c r="EJ113" i="4" s="1" a="1"/>
  <c r="EJ113" i="4" s="1"/>
  <c r="EI112" i="4"/>
  <c r="EE112" i="4"/>
  <c r="EA112" i="4"/>
  <c r="DW112" i="4"/>
  <c r="DS112" i="4"/>
  <c r="DO112" i="4"/>
  <c r="EJ112" i="4" s="1" a="1"/>
  <c r="EJ112" i="4" s="1"/>
  <c r="EI111" i="4"/>
  <c r="EE111" i="4"/>
  <c r="EA111" i="4"/>
  <c r="DW111" i="4"/>
  <c r="DS111" i="4"/>
  <c r="DO111" i="4"/>
  <c r="EJ111" i="4" s="1" a="1"/>
  <c r="EJ111" i="4" s="1"/>
  <c r="EI110" i="4"/>
  <c r="EE110" i="4"/>
  <c r="EA110" i="4"/>
  <c r="DW110" i="4"/>
  <c r="DS110" i="4"/>
  <c r="DO110" i="4"/>
  <c r="EJ110" i="4" s="1" a="1"/>
  <c r="EJ110" i="4" s="1"/>
  <c r="EI109" i="4"/>
  <c r="EE109" i="4"/>
  <c r="EA109" i="4"/>
  <c r="DW109" i="4"/>
  <c r="DS109" i="4"/>
  <c r="DO109" i="4"/>
  <c r="EJ109" i="4" s="1" a="1"/>
  <c r="EJ109" i="4" s="1"/>
  <c r="EI108" i="4"/>
  <c r="EE108" i="4"/>
  <c r="EA108" i="4"/>
  <c r="DW108" i="4"/>
  <c r="DS108" i="4"/>
  <c r="DO108" i="4"/>
  <c r="EJ108" i="4" s="1" a="1"/>
  <c r="EJ108" i="4" s="1"/>
  <c r="EI107" i="4"/>
  <c r="EE107" i="4"/>
  <c r="EA107" i="4"/>
  <c r="DW107" i="4"/>
  <c r="DS107" i="4"/>
  <c r="DO107" i="4"/>
  <c r="EJ107" i="4" s="1" a="1"/>
  <c r="EJ107" i="4" s="1"/>
  <c r="EI106" i="4"/>
  <c r="EE106" i="4"/>
  <c r="EA106" i="4"/>
  <c r="DW106" i="4"/>
  <c r="DS106" i="4"/>
  <c r="DO106" i="4"/>
  <c r="EJ106" i="4" s="1" a="1"/>
  <c r="EJ106" i="4" s="1"/>
  <c r="EI105" i="4"/>
  <c r="EE105" i="4"/>
  <c r="EA105" i="4"/>
  <c r="DW105" i="4"/>
  <c r="DS105" i="4"/>
  <c r="DO105" i="4"/>
  <c r="EJ105" i="4" s="1" a="1"/>
  <c r="EJ105" i="4" s="1"/>
  <c r="EI104" i="4"/>
  <c r="EE104" i="4"/>
  <c r="EA104" i="4"/>
  <c r="DW104" i="4"/>
  <c r="DS104" i="4"/>
  <c r="DO104" i="4"/>
  <c r="EJ104" i="4" s="1" a="1"/>
  <c r="EJ104" i="4" s="1"/>
  <c r="EI103" i="4"/>
  <c r="EE103" i="4"/>
  <c r="EA103" i="4"/>
  <c r="DW103" i="4"/>
  <c r="DS103" i="4"/>
  <c r="DO103" i="4"/>
  <c r="EJ103" i="4" s="1" a="1"/>
  <c r="EJ103" i="4" s="1"/>
  <c r="EI102" i="4"/>
  <c r="EE102" i="4"/>
  <c r="EA102" i="4"/>
  <c r="DW102" i="4"/>
  <c r="DS102" i="4"/>
  <c r="DO102" i="4"/>
  <c r="EJ102" i="4" s="1" a="1"/>
  <c r="EJ102" i="4" s="1"/>
  <c r="EI101" i="4"/>
  <c r="EE101" i="4"/>
  <c r="EA101" i="4"/>
  <c r="DW101" i="4"/>
  <c r="DS101" i="4"/>
  <c r="DO101" i="4"/>
  <c r="EJ101" i="4" s="1" a="1"/>
  <c r="EJ101" i="4" s="1"/>
  <c r="EI100" i="4"/>
  <c r="EE100" i="4"/>
  <c r="EA100" i="4"/>
  <c r="DW100" i="4"/>
  <c r="DS100" i="4"/>
  <c r="DO100" i="4"/>
  <c r="EJ100" i="4" s="1" a="1"/>
  <c r="EJ100" i="4" s="1"/>
  <c r="EI99" i="4"/>
  <c r="EE99" i="4"/>
  <c r="EA99" i="4"/>
  <c r="DW99" i="4"/>
  <c r="DS99" i="4"/>
  <c r="DO99" i="4"/>
  <c r="EJ99" i="4" s="1" a="1"/>
  <c r="EJ99" i="4" s="1"/>
  <c r="EI98" i="4"/>
  <c r="EE98" i="4"/>
  <c r="EA98" i="4"/>
  <c r="DW98" i="4"/>
  <c r="DS98" i="4"/>
  <c r="DO98" i="4"/>
  <c r="EJ98" i="4" s="1" a="1"/>
  <c r="EJ98" i="4" s="1"/>
  <c r="EI97" i="4"/>
  <c r="EE97" i="4"/>
  <c r="EA97" i="4"/>
  <c r="DW97" i="4"/>
  <c r="DS97" i="4"/>
  <c r="DO97" i="4"/>
  <c r="EJ97" i="4" s="1" a="1"/>
  <c r="EJ97" i="4" s="1"/>
  <c r="EI96" i="4"/>
  <c r="EE96" i="4"/>
  <c r="EA96" i="4"/>
  <c r="DW96" i="4"/>
  <c r="DS96" i="4"/>
  <c r="DO96" i="4"/>
  <c r="EJ96" i="4" s="1" a="1"/>
  <c r="EJ96" i="4" s="1"/>
  <c r="EI95" i="4"/>
  <c r="EE95" i="4"/>
  <c r="EA95" i="4"/>
  <c r="DW95" i="4"/>
  <c r="DS95" i="4"/>
  <c r="DO95" i="4"/>
  <c r="EJ95" i="4" s="1" a="1"/>
  <c r="EJ95" i="4" s="1"/>
  <c r="EI94" i="4"/>
  <c r="EE94" i="4"/>
  <c r="EA94" i="4"/>
  <c r="DW94" i="4"/>
  <c r="DS94" i="4"/>
  <c r="DO94" i="4"/>
  <c r="EJ94" i="4" s="1" a="1"/>
  <c r="EJ94" i="4" s="1"/>
  <c r="EI93" i="4"/>
  <c r="EE93" i="4"/>
  <c r="EA93" i="4"/>
  <c r="DW93" i="4"/>
  <c r="DS93" i="4"/>
  <c r="DO93" i="4"/>
  <c r="EJ93" i="4" s="1" a="1"/>
  <c r="EJ93" i="4" s="1"/>
  <c r="EI92" i="4"/>
  <c r="EE92" i="4"/>
  <c r="EA92" i="4"/>
  <c r="DW92" i="4"/>
  <c r="DS92" i="4"/>
  <c r="DO92" i="4"/>
  <c r="EJ92" i="4" s="1" a="1"/>
  <c r="EJ92" i="4" s="1"/>
  <c r="EI91" i="4"/>
  <c r="EE91" i="4"/>
  <c r="EA91" i="4"/>
  <c r="DW91" i="4"/>
  <c r="DS91" i="4"/>
  <c r="DO91" i="4"/>
  <c r="EJ91" i="4" s="1" a="1"/>
  <c r="EJ91" i="4" s="1"/>
  <c r="EI90" i="4"/>
  <c r="EE90" i="4"/>
  <c r="EA90" i="4"/>
  <c r="DW90" i="4"/>
  <c r="DS90" i="4"/>
  <c r="DO90" i="4"/>
  <c r="EJ90" i="4" s="1" a="1"/>
  <c r="EJ90" i="4" s="1"/>
  <c r="EI89" i="4"/>
  <c r="EE89" i="4"/>
  <c r="EA89" i="4"/>
  <c r="DW89" i="4"/>
  <c r="DS89" i="4"/>
  <c r="DO89" i="4"/>
  <c r="EJ89" i="4" s="1" a="1"/>
  <c r="EJ89" i="4" s="1"/>
  <c r="EI88" i="4"/>
  <c r="EE88" i="4"/>
  <c r="EA88" i="4"/>
  <c r="DW88" i="4"/>
  <c r="DS88" i="4"/>
  <c r="DO88" i="4"/>
  <c r="EJ88" i="4" s="1" a="1"/>
  <c r="EJ88" i="4" s="1"/>
  <c r="EI87" i="4"/>
  <c r="EE87" i="4"/>
  <c r="EA87" i="4"/>
  <c r="DW87" i="4"/>
  <c r="DS87" i="4"/>
  <c r="DO87" i="4"/>
  <c r="EJ87" i="4" s="1" a="1"/>
  <c r="EJ87" i="4" s="1"/>
  <c r="EI86" i="4"/>
  <c r="EE86" i="4"/>
  <c r="EA86" i="4"/>
  <c r="DW86" i="4"/>
  <c r="DS86" i="4"/>
  <c r="DO86" i="4"/>
  <c r="EJ86" i="4" s="1" a="1"/>
  <c r="EJ86" i="4" s="1"/>
  <c r="EI85" i="4"/>
  <c r="EE85" i="4"/>
  <c r="EA85" i="4"/>
  <c r="DW85" i="4"/>
  <c r="DS85" i="4"/>
  <c r="DO85" i="4"/>
  <c r="EJ85" i="4" s="1" a="1"/>
  <c r="EJ85" i="4" s="1"/>
  <c r="EI84" i="4"/>
  <c r="EE84" i="4"/>
  <c r="EA84" i="4"/>
  <c r="DW84" i="4"/>
  <c r="DS84" i="4"/>
  <c r="DO84" i="4"/>
  <c r="EJ84" i="4" s="1" a="1"/>
  <c r="EJ84" i="4" s="1"/>
  <c r="EI83" i="4"/>
  <c r="EE83" i="4"/>
  <c r="EA83" i="4"/>
  <c r="DW83" i="4"/>
  <c r="DS83" i="4"/>
  <c r="DO83" i="4"/>
  <c r="EJ83" i="4" s="1" a="1"/>
  <c r="EJ83" i="4" s="1"/>
  <c r="EI82" i="4"/>
  <c r="EE82" i="4"/>
  <c r="EA82" i="4"/>
  <c r="DW82" i="4"/>
  <c r="DS82" i="4"/>
  <c r="DO82" i="4"/>
  <c r="EJ82" i="4" s="1" a="1"/>
  <c r="EJ82" i="4" s="1"/>
  <c r="EI81" i="4"/>
  <c r="EE81" i="4"/>
  <c r="EA81" i="4"/>
  <c r="DW81" i="4"/>
  <c r="DS81" i="4"/>
  <c r="DO81" i="4"/>
  <c r="EJ81" i="4" s="1" a="1"/>
  <c r="EJ81" i="4" s="1"/>
  <c r="EI80" i="4"/>
  <c r="EE80" i="4"/>
  <c r="EA80" i="4"/>
  <c r="DW80" i="4"/>
  <c r="DS80" i="4"/>
  <c r="DO80" i="4"/>
  <c r="EJ80" i="4" s="1" a="1"/>
  <c r="EJ80" i="4" s="1"/>
  <c r="EI79" i="4"/>
  <c r="EE79" i="4"/>
  <c r="EA79" i="4"/>
  <c r="DW79" i="4"/>
  <c r="DS79" i="4"/>
  <c r="DO79" i="4"/>
  <c r="EJ79" i="4" s="1" a="1"/>
  <c r="EJ79" i="4" s="1"/>
  <c r="EI78" i="4"/>
  <c r="EE78" i="4"/>
  <c r="EA78" i="4"/>
  <c r="DW78" i="4"/>
  <c r="DS78" i="4"/>
  <c r="DO78" i="4"/>
  <c r="EJ78" i="4" s="1" a="1"/>
  <c r="EJ78" i="4" s="1"/>
  <c r="EI77" i="4"/>
  <c r="EE77" i="4"/>
  <c r="EA77" i="4"/>
  <c r="DW77" i="4"/>
  <c r="DS77" i="4"/>
  <c r="DO77" i="4"/>
  <c r="EJ77" i="4" s="1" a="1"/>
  <c r="EJ77" i="4" s="1"/>
  <c r="EI76" i="4"/>
  <c r="EE76" i="4"/>
  <c r="EA76" i="4"/>
  <c r="DW76" i="4"/>
  <c r="DS76" i="4"/>
  <c r="DO76" i="4"/>
  <c r="EJ76" i="4" s="1" a="1"/>
  <c r="EJ76" i="4" s="1"/>
  <c r="EI75" i="4"/>
  <c r="EE75" i="4"/>
  <c r="EA75" i="4"/>
  <c r="DW75" i="4"/>
  <c r="DS75" i="4"/>
  <c r="DO75" i="4"/>
  <c r="EJ75" i="4" s="1" a="1"/>
  <c r="EJ75" i="4" s="1"/>
  <c r="EI74" i="4"/>
  <c r="EE74" i="4"/>
  <c r="EA74" i="4"/>
  <c r="DW74" i="4"/>
  <c r="DS74" i="4"/>
  <c r="DO74" i="4"/>
  <c r="EJ74" i="4" s="1" a="1"/>
  <c r="EJ74" i="4" s="1"/>
  <c r="EI73" i="4"/>
  <c r="EE73" i="4"/>
  <c r="EA73" i="4"/>
  <c r="DW73" i="4"/>
  <c r="DS73" i="4"/>
  <c r="DO73" i="4"/>
  <c r="EJ73" i="4" s="1" a="1"/>
  <c r="EJ73" i="4" s="1"/>
  <c r="EI72" i="4"/>
  <c r="EE72" i="4"/>
  <c r="EA72" i="4"/>
  <c r="DW72" i="4"/>
  <c r="DS72" i="4"/>
  <c r="DO72" i="4"/>
  <c r="EJ72" i="4" s="1" a="1"/>
  <c r="EJ72" i="4" s="1"/>
  <c r="EI71" i="4"/>
  <c r="EE71" i="4"/>
  <c r="EA71" i="4"/>
  <c r="DW71" i="4"/>
  <c r="DS71" i="4"/>
  <c r="DO71" i="4"/>
  <c r="EJ71" i="4" s="1" a="1"/>
  <c r="EJ71" i="4" s="1"/>
  <c r="EI70" i="4"/>
  <c r="EE70" i="4"/>
  <c r="EA70" i="4"/>
  <c r="DW70" i="4"/>
  <c r="DS70" i="4"/>
  <c r="DO70" i="4"/>
  <c r="EJ70" i="4" s="1" a="1"/>
  <c r="EJ70" i="4" s="1"/>
  <c r="EI69" i="4"/>
  <c r="EE69" i="4"/>
  <c r="EA69" i="4"/>
  <c r="DW69" i="4"/>
  <c r="DS69" i="4"/>
  <c r="DO69" i="4"/>
  <c r="EJ69" i="4" s="1" a="1"/>
  <c r="EJ69" i="4" s="1"/>
  <c r="EI68" i="4"/>
  <c r="EE68" i="4"/>
  <c r="EA68" i="4"/>
  <c r="DW68" i="4"/>
  <c r="DS68" i="4"/>
  <c r="DO68" i="4"/>
  <c r="EJ68" i="4" s="1" a="1"/>
  <c r="EJ68" i="4" s="1"/>
  <c r="EI67" i="4"/>
  <c r="EE67" i="4"/>
  <c r="EA67" i="4"/>
  <c r="DW67" i="4"/>
  <c r="DS67" i="4"/>
  <c r="DO67" i="4"/>
  <c r="EJ67" i="4" s="1" a="1"/>
  <c r="EJ67" i="4" s="1"/>
  <c r="EI66" i="4"/>
  <c r="EE66" i="4"/>
  <c r="EA66" i="4"/>
  <c r="DW66" i="4"/>
  <c r="DS66" i="4"/>
  <c r="DO66" i="4"/>
  <c r="EJ66" i="4" s="1" a="1"/>
  <c r="EJ66" i="4" s="1"/>
  <c r="EI65" i="4"/>
  <c r="EE65" i="4"/>
  <c r="EA65" i="4"/>
  <c r="DW65" i="4"/>
  <c r="DS65" i="4"/>
  <c r="DO65" i="4"/>
  <c r="EJ65" i="4" s="1" a="1"/>
  <c r="EJ65" i="4" s="1"/>
  <c r="EI64" i="4"/>
  <c r="EE64" i="4"/>
  <c r="EA64" i="4"/>
  <c r="DW64" i="4"/>
  <c r="DS64" i="4"/>
  <c r="DO64" i="4"/>
  <c r="EJ64" i="4" s="1" a="1"/>
  <c r="EJ64" i="4" s="1"/>
  <c r="EI63" i="4"/>
  <c r="EE63" i="4"/>
  <c r="EA63" i="4"/>
  <c r="DW63" i="4"/>
  <c r="DS63" i="4"/>
  <c r="DO63" i="4"/>
  <c r="EJ63" i="4" s="1" a="1"/>
  <c r="EJ63" i="4" s="1"/>
  <c r="EI62" i="4"/>
  <c r="EE62" i="4"/>
  <c r="EA62" i="4"/>
  <c r="DW62" i="4"/>
  <c r="DS62" i="4"/>
  <c r="DO62" i="4"/>
  <c r="EJ62" i="4" s="1" a="1"/>
  <c r="EJ62" i="4" s="1"/>
  <c r="EG61" i="4"/>
  <c r="EC61" i="4"/>
  <c r="DY61" i="4"/>
  <c r="DU61" i="4"/>
  <c r="DQ61" i="4"/>
  <c r="EG60" i="4"/>
  <c r="EC60" i="4"/>
  <c r="DY60" i="4"/>
  <c r="DU60" i="4"/>
  <c r="DQ60" i="4"/>
  <c r="EG59" i="4"/>
  <c r="EC59" i="4"/>
  <c r="DY59" i="4"/>
  <c r="DU59" i="4"/>
  <c r="DQ59" i="4"/>
  <c r="EG58" i="4"/>
  <c r="EC58" i="4"/>
  <c r="DY58" i="4"/>
  <c r="DU58" i="4"/>
  <c r="DQ58" i="4"/>
  <c r="EG57" i="4"/>
  <c r="EC57" i="4"/>
  <c r="DY57" i="4"/>
  <c r="DU57" i="4"/>
  <c r="DQ57" i="4"/>
  <c r="EG56" i="4"/>
  <c r="EC56" i="4"/>
  <c r="DY56" i="4"/>
  <c r="DU56" i="4"/>
  <c r="DQ56" i="4"/>
  <c r="EG55" i="4"/>
  <c r="EC55" i="4"/>
  <c r="DY55" i="4"/>
  <c r="DU55" i="4"/>
  <c r="DQ55" i="4"/>
  <c r="EG54" i="4"/>
  <c r="EC54" i="4"/>
  <c r="DY54" i="4"/>
  <c r="DU54" i="4"/>
  <c r="DQ54" i="4"/>
  <c r="EG53" i="4"/>
  <c r="EC53" i="4"/>
  <c r="DY53" i="4"/>
  <c r="DU53" i="4"/>
  <c r="DQ53" i="4"/>
  <c r="EG52" i="4"/>
  <c r="EC52" i="4"/>
  <c r="DY52" i="4"/>
  <c r="DU52" i="4"/>
  <c r="DQ52" i="4"/>
  <c r="EG51" i="4"/>
  <c r="EC51" i="4"/>
  <c r="DY51" i="4"/>
  <c r="DU51" i="4"/>
  <c r="DQ51" i="4"/>
  <c r="EH50" i="4"/>
  <c r="ED50" i="4"/>
  <c r="DZ50" i="4"/>
  <c r="DV50" i="4"/>
  <c r="EW50" i="4" s="1" a="1"/>
  <c r="EW50" i="4" s="1"/>
  <c r="DR50" i="4"/>
  <c r="EH49" i="4"/>
  <c r="ED49" i="4"/>
  <c r="DZ49" i="4"/>
  <c r="DV49" i="4"/>
  <c r="EW49" i="4" s="1" a="1"/>
  <c r="EW49" i="4" s="1"/>
  <c r="DR49" i="4"/>
  <c r="EH48" i="4"/>
  <c r="ED48" i="4"/>
  <c r="DZ48" i="4"/>
  <c r="DV48" i="4"/>
  <c r="EW48" i="4" s="1" a="1"/>
  <c r="EW48" i="4" s="1"/>
  <c r="DR48" i="4"/>
  <c r="EH47" i="4"/>
  <c r="ED47" i="4"/>
  <c r="DZ47" i="4"/>
  <c r="DV47" i="4"/>
  <c r="EW47" i="4" s="1" a="1"/>
  <c r="EW47" i="4" s="1"/>
  <c r="DR47" i="4"/>
  <c r="EH46" i="4"/>
  <c r="ED46" i="4"/>
  <c r="DZ46" i="4"/>
  <c r="DV46" i="4"/>
  <c r="EW46" i="4" s="1" a="1"/>
  <c r="EW46" i="4" s="1"/>
  <c r="DR46" i="4"/>
  <c r="EH45" i="4"/>
  <c r="ED45" i="4"/>
  <c r="DZ45" i="4"/>
  <c r="DV45" i="4"/>
  <c r="EW45" i="4" s="1" a="1"/>
  <c r="EW45" i="4" s="1"/>
  <c r="DR45" i="4"/>
  <c r="EH44" i="4"/>
  <c r="ED44" i="4"/>
  <c r="DZ44" i="4"/>
  <c r="DR44" i="4"/>
  <c r="EH43" i="4"/>
  <c r="ED43" i="4"/>
  <c r="DZ43" i="4"/>
  <c r="DV43" i="4"/>
  <c r="EW43" i="4" s="1" a="1"/>
  <c r="EW43" i="4" s="1"/>
  <c r="DR43" i="4"/>
  <c r="EH42" i="4"/>
  <c r="ED42" i="4"/>
  <c r="DZ42" i="4"/>
  <c r="DV42" i="4"/>
  <c r="EW42" i="4" s="1" a="1"/>
  <c r="EW42" i="4" s="1"/>
  <c r="DR42" i="4"/>
  <c r="EH41" i="4"/>
  <c r="ED41" i="4"/>
  <c r="DZ41" i="4"/>
  <c r="DV41" i="4"/>
  <c r="EW41" i="4" s="1" a="1"/>
  <c r="EW41" i="4" s="1"/>
  <c r="DR41" i="4"/>
  <c r="EH40" i="4"/>
  <c r="ED40" i="4"/>
  <c r="DZ40" i="4"/>
  <c r="DV40" i="4"/>
  <c r="EW40" i="4" s="1" a="1"/>
  <c r="EW40" i="4" s="1"/>
  <c r="DR40" i="4"/>
  <c r="EH39" i="4"/>
  <c r="ED39" i="4"/>
  <c r="DZ39" i="4"/>
  <c r="DV39" i="4"/>
  <c r="EW39" i="4" s="1" a="1"/>
  <c r="EW39" i="4" s="1"/>
  <c r="DR39" i="4"/>
  <c r="EH38" i="4"/>
  <c r="ED38" i="4"/>
  <c r="DZ38" i="4"/>
  <c r="DV38" i="4"/>
  <c r="EW38" i="4" s="1" a="1"/>
  <c r="EW38" i="4" s="1"/>
  <c r="DR38" i="4"/>
  <c r="EH37" i="4"/>
  <c r="ED37" i="4"/>
  <c r="DZ37" i="4"/>
  <c r="DV37" i="4"/>
  <c r="EW37" i="4" s="1" a="1"/>
  <c r="EW37" i="4" s="1"/>
  <c r="DR37" i="4"/>
  <c r="EH36" i="4"/>
  <c r="ED36" i="4"/>
  <c r="DZ36" i="4"/>
  <c r="DV36" i="4"/>
  <c r="EW36" i="4" s="1" a="1"/>
  <c r="EW36" i="4" s="1"/>
  <c r="DR36" i="4"/>
  <c r="EH35" i="4"/>
  <c r="ED35" i="4"/>
  <c r="DZ35" i="4"/>
  <c r="DV35" i="4"/>
  <c r="EW35" i="4" s="1" a="1"/>
  <c r="EW35" i="4" s="1"/>
  <c r="DR35" i="4"/>
  <c r="EH34" i="4"/>
  <c r="ED34" i="4"/>
  <c r="DZ34" i="4"/>
  <c r="DV34" i="4"/>
  <c r="EW34" i="4" s="1" a="1"/>
  <c r="EW34" i="4" s="1"/>
  <c r="DR34" i="4"/>
  <c r="EH33" i="4"/>
  <c r="ED33" i="4"/>
  <c r="DZ33" i="4"/>
  <c r="DV33" i="4"/>
  <c r="EW33" i="4" s="1" a="1"/>
  <c r="EW33" i="4" s="1"/>
  <c r="DR33" i="4"/>
  <c r="EH32" i="4"/>
  <c r="ED32" i="4"/>
  <c r="DZ32" i="4"/>
  <c r="DV32" i="4"/>
  <c r="EW32" i="4" s="1" a="1"/>
  <c r="EW32" i="4" s="1"/>
  <c r="DR32" i="4"/>
  <c r="EH31" i="4"/>
  <c r="ED31" i="4"/>
  <c r="DZ31" i="4"/>
  <c r="DV31" i="4"/>
  <c r="EW31" i="4" s="1" a="1"/>
  <c r="EW31" i="4" s="1"/>
  <c r="DR31" i="4"/>
  <c r="EH30" i="4"/>
  <c r="ED30" i="4"/>
  <c r="DZ30" i="4"/>
  <c r="DV30" i="4"/>
  <c r="EW30" i="4" s="1" a="1"/>
  <c r="EW30" i="4" s="1"/>
  <c r="DR30" i="4"/>
  <c r="EF29" i="4"/>
  <c r="EB29" i="4"/>
  <c r="DX29" i="4"/>
  <c r="DT29" i="4"/>
  <c r="DP29" i="4"/>
  <c r="EF28" i="4"/>
  <c r="EB28" i="4"/>
  <c r="DX28" i="4"/>
  <c r="DT28" i="4"/>
  <c r="DP28" i="4"/>
  <c r="EF27" i="4"/>
  <c r="EB27" i="4"/>
  <c r="DX27" i="4"/>
  <c r="DT27" i="4"/>
  <c r="DP27" i="4"/>
  <c r="EF26" i="4"/>
  <c r="EB26" i="4"/>
  <c r="DX26" i="4"/>
  <c r="DT26" i="4"/>
  <c r="DP26" i="4"/>
  <c r="EF25" i="4"/>
  <c r="EB25" i="4"/>
  <c r="DX25" i="4"/>
  <c r="DT25" i="4"/>
  <c r="DP25" i="4"/>
  <c r="EF24" i="4"/>
  <c r="EB24" i="4"/>
  <c r="DX24" i="4"/>
  <c r="DT24" i="4"/>
  <c r="DP24" i="4"/>
  <c r="EF23" i="4"/>
  <c r="EB23" i="4"/>
  <c r="DX23" i="4"/>
  <c r="DT23" i="4"/>
  <c r="DP23" i="4"/>
  <c r="EF22" i="4"/>
  <c r="EB22" i="4"/>
  <c r="DX22" i="4"/>
  <c r="DT22" i="4"/>
  <c r="DP22" i="4"/>
  <c r="EF21" i="4"/>
  <c r="EB21" i="4"/>
  <c r="DX21" i="4"/>
  <c r="DT21" i="4"/>
  <c r="DP21" i="4"/>
  <c r="EF20" i="4"/>
  <c r="EB20" i="4"/>
  <c r="DX20" i="4"/>
  <c r="DT20" i="4"/>
  <c r="DP20" i="4"/>
  <c r="EF19" i="4"/>
  <c r="EB19" i="4"/>
  <c r="DX19" i="4"/>
  <c r="DT19" i="4"/>
  <c r="DP19" i="4"/>
  <c r="EF18" i="4"/>
  <c r="EB18" i="4"/>
  <c r="DX18" i="4"/>
  <c r="DT18" i="4"/>
  <c r="DP18" i="4"/>
  <c r="EF17" i="4"/>
  <c r="EB17" i="4"/>
  <c r="DX17" i="4"/>
  <c r="DT17" i="4"/>
  <c r="DP17" i="4"/>
  <c r="EF16" i="4"/>
  <c r="EB16" i="4"/>
  <c r="DX16" i="4"/>
  <c r="DT16" i="4"/>
  <c r="DP16" i="4"/>
  <c r="EF15" i="4"/>
  <c r="EB15" i="4"/>
  <c r="DX15" i="4"/>
  <c r="DT15" i="4"/>
  <c r="DP15" i="4"/>
  <c r="EF14" i="4"/>
  <c r="EB14" i="4"/>
  <c r="DX14" i="4"/>
  <c r="DT14" i="4"/>
  <c r="DP14" i="4"/>
  <c r="EF13" i="4"/>
  <c r="EB13" i="4"/>
  <c r="DX13" i="4"/>
  <c r="DT13" i="4"/>
  <c r="DP13" i="4"/>
  <c r="EF12" i="4"/>
  <c r="EB12" i="4"/>
  <c r="DX12" i="4"/>
  <c r="DT12" i="4"/>
  <c r="DP12" i="4"/>
  <c r="EF11" i="4"/>
  <c r="EB11" i="4"/>
  <c r="DX11" i="4"/>
  <c r="DT11" i="4"/>
  <c r="DP11" i="4"/>
  <c r="EF10" i="4"/>
  <c r="EB10" i="4"/>
  <c r="DX10" i="4"/>
  <c r="DT10" i="4"/>
  <c r="DP10" i="4"/>
  <c r="EF9" i="4"/>
  <c r="EB9" i="4"/>
  <c r="DX9" i="4"/>
  <c r="DT9" i="4"/>
  <c r="DP9" i="4"/>
  <c r="EF8" i="4"/>
  <c r="EB8" i="4"/>
  <c r="DX8" i="4"/>
  <c r="DT8" i="4"/>
  <c r="DP8" i="4"/>
  <c r="EF7" i="4"/>
  <c r="EB7" i="4"/>
  <c r="DX7" i="4"/>
  <c r="DT7" i="4"/>
  <c r="DP7" i="4"/>
  <c r="EF6" i="4"/>
  <c r="EB6" i="4"/>
  <c r="DX6" i="4"/>
  <c r="DT6" i="4"/>
  <c r="DP6" i="4"/>
  <c r="EF5" i="4"/>
  <c r="EB5" i="4"/>
  <c r="DX5" i="4"/>
  <c r="DT5" i="4"/>
  <c r="DP5" i="4"/>
  <c r="EF4" i="4"/>
  <c r="EB4" i="4"/>
  <c r="DX4" i="4"/>
  <c r="DT4" i="4"/>
  <c r="DP4" i="4"/>
  <c r="EF3" i="4"/>
  <c r="EB3" i="4"/>
  <c r="DX3" i="4"/>
  <c r="DT3" i="4"/>
  <c r="DP3" i="4"/>
  <c r="EH2" i="4"/>
  <c r="ED2" i="4"/>
  <c r="DZ2" i="4"/>
  <c r="DV2" i="4"/>
  <c r="EW2" i="4" s="1" a="1"/>
  <c r="EW2" i="4" s="1"/>
  <c r="DR2" i="4"/>
  <c r="DF161" i="4" a="1"/>
  <c r="DF161" i="4" s="1"/>
  <c r="DI161" i="4" s="1"/>
  <c r="DF116" i="4" a="1"/>
  <c r="DF116" i="4" s="1"/>
  <c r="DI116" i="4" s="1"/>
  <c r="DF71" i="4" a="1"/>
  <c r="DF71" i="4" s="1"/>
  <c r="DI71" i="4" s="1"/>
  <c r="DF75" i="4" a="1"/>
  <c r="DF75" i="4" s="1"/>
  <c r="DI75" i="4" s="1"/>
  <c r="DF177" i="4" a="1"/>
  <c r="DF177" i="4" s="1"/>
  <c r="DI177" i="4" s="1"/>
  <c r="DF127" i="4" a="1"/>
  <c r="DF127" i="4" s="1"/>
  <c r="DI127" i="4" s="1"/>
  <c r="DF128" i="4" a="1"/>
  <c r="DF128" i="4" s="1"/>
  <c r="DI128" i="4" s="1"/>
  <c r="DF98" i="4" a="1"/>
  <c r="DF98" i="4" s="1"/>
  <c r="DI98" i="4" s="1"/>
  <c r="DF134" i="4" a="1"/>
  <c r="DF134" i="4" s="1"/>
  <c r="DI134" i="4" s="1"/>
  <c r="EK3" i="4" l="1" a="1"/>
  <c r="EK3" i="4" s="1"/>
  <c r="EQ3" i="4" a="1"/>
  <c r="EQ3" i="4" s="1"/>
  <c r="FP6" i="4" a="1"/>
  <c r="FP6" i="4" s="1"/>
  <c r="FM6" i="4" a="1"/>
  <c r="FM6" i="4" s="1"/>
  <c r="EO6" i="4" a="1"/>
  <c r="EO6" i="4" s="1"/>
  <c r="FR6" i="4" a="1"/>
  <c r="FR6" i="4" s="1"/>
  <c r="FO6" i="4" a="1"/>
  <c r="FO6" i="4" s="1"/>
  <c r="FN6" i="4" a="1"/>
  <c r="FN6" i="4" s="1"/>
  <c r="EU6" i="4" a="1"/>
  <c r="EU6" i="4" s="1"/>
  <c r="FQ6" i="4" a="1"/>
  <c r="FQ6" i="4" s="1"/>
  <c r="FL6" i="4" a="1"/>
  <c r="FL6" i="4" s="1"/>
  <c r="EK7" i="4" a="1"/>
  <c r="EK7" i="4" s="1"/>
  <c r="EQ7" i="4" a="1"/>
  <c r="EQ7" i="4" s="1"/>
  <c r="FP10" i="4" a="1"/>
  <c r="FP10" i="4" s="1"/>
  <c r="FM10" i="4" a="1"/>
  <c r="FM10" i="4" s="1"/>
  <c r="EO10" i="4" a="1"/>
  <c r="EO10" i="4" s="1"/>
  <c r="FR10" i="4" a="1"/>
  <c r="FR10" i="4" s="1"/>
  <c r="FO10" i="4" a="1"/>
  <c r="FO10" i="4" s="1"/>
  <c r="FN10" i="4" a="1"/>
  <c r="FN10" i="4" s="1"/>
  <c r="EU10" i="4" a="1"/>
  <c r="EU10" i="4" s="1"/>
  <c r="FQ10" i="4" a="1"/>
  <c r="FQ10" i="4" s="1"/>
  <c r="FL10" i="4" a="1"/>
  <c r="FL10" i="4" s="1"/>
  <c r="EK11" i="4" a="1"/>
  <c r="EK11" i="4" s="1"/>
  <c r="EQ11" i="4" a="1"/>
  <c r="EQ11" i="4" s="1"/>
  <c r="FP14" i="4" a="1"/>
  <c r="FP14" i="4" s="1"/>
  <c r="FM14" i="4" a="1"/>
  <c r="FM14" i="4" s="1"/>
  <c r="EO14" i="4" a="1"/>
  <c r="EO14" i="4" s="1"/>
  <c r="FR14" i="4" a="1"/>
  <c r="FR14" i="4" s="1"/>
  <c r="FO14" i="4" a="1"/>
  <c r="FO14" i="4" s="1"/>
  <c r="FN14" i="4" a="1"/>
  <c r="FN14" i="4" s="1"/>
  <c r="EU14" i="4" a="1"/>
  <c r="EU14" i="4" s="1"/>
  <c r="FQ14" i="4" a="1"/>
  <c r="FQ14" i="4" s="1"/>
  <c r="FL14" i="4" a="1"/>
  <c r="FL14" i="4" s="1"/>
  <c r="EK15" i="4" a="1"/>
  <c r="EK15" i="4" s="1"/>
  <c r="EQ15" i="4" a="1"/>
  <c r="EQ15" i="4" s="1"/>
  <c r="FP18" i="4" a="1"/>
  <c r="FP18" i="4" s="1"/>
  <c r="FM18" i="4" a="1"/>
  <c r="FM18" i="4" s="1"/>
  <c r="EO18" i="4" a="1"/>
  <c r="EO18" i="4" s="1"/>
  <c r="FR18" i="4" a="1"/>
  <c r="FR18" i="4" s="1"/>
  <c r="FO18" i="4" a="1"/>
  <c r="FO18" i="4" s="1"/>
  <c r="FN18" i="4" a="1"/>
  <c r="FN18" i="4" s="1"/>
  <c r="EU18" i="4" a="1"/>
  <c r="EU18" i="4" s="1"/>
  <c r="FQ18" i="4" a="1"/>
  <c r="FQ18" i="4" s="1"/>
  <c r="FL18" i="4" a="1"/>
  <c r="FL18" i="4" s="1"/>
  <c r="EK19" i="4" a="1"/>
  <c r="EK19" i="4" s="1"/>
  <c r="EQ19" i="4" a="1"/>
  <c r="EQ19" i="4" s="1"/>
  <c r="FP22" i="4" a="1"/>
  <c r="FP22" i="4" s="1"/>
  <c r="FM22" i="4" a="1"/>
  <c r="FM22" i="4" s="1"/>
  <c r="EO22" i="4" a="1"/>
  <c r="EO22" i="4" s="1"/>
  <c r="FR22" i="4" a="1"/>
  <c r="FR22" i="4" s="1"/>
  <c r="FO22" i="4" a="1"/>
  <c r="FO22" i="4" s="1"/>
  <c r="FN22" i="4" a="1"/>
  <c r="FN22" i="4" s="1"/>
  <c r="EU22" i="4" a="1"/>
  <c r="EU22" i="4" s="1"/>
  <c r="FQ22" i="4" a="1"/>
  <c r="FQ22" i="4" s="1"/>
  <c r="FL22" i="4" a="1"/>
  <c r="FL22" i="4" s="1"/>
  <c r="EK23" i="4" a="1"/>
  <c r="EK23" i="4" s="1"/>
  <c r="EQ23" i="4" a="1"/>
  <c r="EQ23" i="4" s="1"/>
  <c r="FP26" i="4" a="1"/>
  <c r="FP26" i="4" s="1"/>
  <c r="FM26" i="4" a="1"/>
  <c r="FM26" i="4" s="1"/>
  <c r="EO26" i="4" a="1"/>
  <c r="EO26" i="4" s="1"/>
  <c r="FR26" i="4" a="1"/>
  <c r="FR26" i="4" s="1"/>
  <c r="FO26" i="4" a="1"/>
  <c r="FO26" i="4" s="1"/>
  <c r="FN26" i="4" a="1"/>
  <c r="FN26" i="4" s="1"/>
  <c r="EU26" i="4" a="1"/>
  <c r="EU26" i="4" s="1"/>
  <c r="FL26" i="4" a="1"/>
  <c r="FL26" i="4" s="1"/>
  <c r="FQ26" i="4" a="1"/>
  <c r="FQ26" i="4" s="1"/>
  <c r="EK27" i="4" a="1"/>
  <c r="EK27" i="4" s="1"/>
  <c r="EQ27" i="4" a="1"/>
  <c r="EQ27" i="4" s="1"/>
  <c r="FJ31" i="4" a="1"/>
  <c r="FJ31" i="4" s="1"/>
  <c r="FE31" i="4" a="1"/>
  <c r="FE31" i="4" s="1"/>
  <c r="FG31" i="4" a="1"/>
  <c r="FG31" i="4" s="1"/>
  <c r="FK31" i="4" a="1"/>
  <c r="FK31" i="4" s="1"/>
  <c r="FH31" i="4" a="1"/>
  <c r="FH31" i="4" s="1"/>
  <c r="EM31" i="4" a="1"/>
  <c r="EM31" i="4" s="1"/>
  <c r="FF31" i="4" a="1"/>
  <c r="FF31" i="4" s="1"/>
  <c r="ES31" i="4" a="1"/>
  <c r="ES31" i="4" s="1"/>
  <c r="FI31" i="4" a="1"/>
  <c r="FI31" i="4" s="1"/>
  <c r="FJ35" i="4" a="1"/>
  <c r="FJ35" i="4" s="1"/>
  <c r="FE35" i="4" a="1"/>
  <c r="FE35" i="4" s="1"/>
  <c r="FG35" i="4" a="1"/>
  <c r="FG35" i="4" s="1"/>
  <c r="FK35" i="4" a="1"/>
  <c r="FK35" i="4" s="1"/>
  <c r="FH35" i="4" a="1"/>
  <c r="FH35" i="4" s="1"/>
  <c r="EM35" i="4" a="1"/>
  <c r="EM35" i="4" s="1"/>
  <c r="ES35" i="4" a="1"/>
  <c r="ES35" i="4" s="1"/>
  <c r="FF35" i="4" a="1"/>
  <c r="FF35" i="4" s="1"/>
  <c r="FI35" i="4" a="1"/>
  <c r="FI35" i="4" s="1"/>
  <c r="FJ39" i="4" a="1"/>
  <c r="FJ39" i="4" s="1"/>
  <c r="FE39" i="4" a="1"/>
  <c r="FE39" i="4" s="1"/>
  <c r="FG39" i="4" a="1"/>
  <c r="FG39" i="4" s="1"/>
  <c r="FK39" i="4" a="1"/>
  <c r="FK39" i="4" s="1"/>
  <c r="FH39" i="4" a="1"/>
  <c r="FH39" i="4" s="1"/>
  <c r="EM39" i="4" a="1"/>
  <c r="EM39" i="4" s="1"/>
  <c r="ES39" i="4" a="1"/>
  <c r="ES39" i="4" s="1"/>
  <c r="FF39" i="4" a="1"/>
  <c r="FF39" i="4" s="1"/>
  <c r="FI39" i="4" a="1"/>
  <c r="FI39" i="4" s="1"/>
  <c r="FJ43" i="4" a="1"/>
  <c r="FJ43" i="4" s="1"/>
  <c r="FE43" i="4" a="1"/>
  <c r="FE43" i="4" s="1"/>
  <c r="FG43" i="4" a="1"/>
  <c r="FG43" i="4" s="1"/>
  <c r="FK43" i="4" a="1"/>
  <c r="FK43" i="4" s="1"/>
  <c r="FH43" i="4" a="1"/>
  <c r="FH43" i="4" s="1"/>
  <c r="EM43" i="4" a="1"/>
  <c r="EM43" i="4" s="1"/>
  <c r="FI43" i="4" a="1"/>
  <c r="FI43" i="4" s="1"/>
  <c r="FF43" i="4" a="1"/>
  <c r="FF43" i="4" s="1"/>
  <c r="ES43" i="4" a="1"/>
  <c r="ES43" i="4" s="1"/>
  <c r="FK48" i="4" a="1"/>
  <c r="FK48" i="4" s="1"/>
  <c r="FH48" i="4" a="1"/>
  <c r="FH48" i="4" s="1"/>
  <c r="EM48" i="4" a="1"/>
  <c r="EM48" i="4" s="1"/>
  <c r="FJ48" i="4" a="1"/>
  <c r="FJ48" i="4" s="1"/>
  <c r="FE48" i="4" a="1"/>
  <c r="FE48" i="4" s="1"/>
  <c r="FI48" i="4" a="1"/>
  <c r="FI48" i="4" s="1"/>
  <c r="FF48" i="4" a="1"/>
  <c r="FF48" i="4" s="1"/>
  <c r="ES48" i="4" a="1"/>
  <c r="ES48" i="4" s="1"/>
  <c r="FG48" i="4" a="1"/>
  <c r="FG48" i="4" s="1"/>
  <c r="FX51" i="4" a="1"/>
  <c r="FX51" i="4" s="1"/>
  <c r="FV51" i="4" a="1"/>
  <c r="FV51" i="4" s="1"/>
  <c r="FT51" i="4" a="1"/>
  <c r="FT51" i="4" s="1"/>
  <c r="EV51" i="4" a="1"/>
  <c r="EV51" i="4" s="1"/>
  <c r="EP51" i="4" a="1"/>
  <c r="EP51" i="4" s="1"/>
  <c r="FY51" i="4" a="1"/>
  <c r="FY51" i="4" s="1"/>
  <c r="FS51" i="4" a="1"/>
  <c r="FS51" i="4" s="1"/>
  <c r="FW51" i="4" a="1"/>
  <c r="FW51" i="4" s="1"/>
  <c r="FU51" i="4" a="1"/>
  <c r="FU51" i="4" s="1"/>
  <c r="FD52" i="4" a="1"/>
  <c r="FD52" i="4" s="1"/>
  <c r="FB52" i="4" a="1"/>
  <c r="FB52" i="4" s="1"/>
  <c r="EZ52" i="4" a="1"/>
  <c r="EZ52" i="4" s="1"/>
  <c r="EX52" i="4" a="1"/>
  <c r="EX52" i="4" s="1"/>
  <c r="ER52" i="4" a="1"/>
  <c r="ER52" i="4" s="1"/>
  <c r="EL52" i="4" a="1"/>
  <c r="EL52" i="4" s="1"/>
  <c r="EY52" i="4" a="1"/>
  <c r="EY52" i="4" s="1"/>
  <c r="FC52" i="4" a="1"/>
  <c r="FC52" i="4" s="1"/>
  <c r="FA52" i="4" a="1"/>
  <c r="FA52" i="4" s="1"/>
  <c r="FX55" i="4" a="1"/>
  <c r="FX55" i="4" s="1"/>
  <c r="FV55" i="4" a="1"/>
  <c r="FV55" i="4" s="1"/>
  <c r="FT55" i="4" a="1"/>
  <c r="FT55" i="4" s="1"/>
  <c r="EV55" i="4" a="1"/>
  <c r="EV55" i="4" s="1"/>
  <c r="EP55" i="4" a="1"/>
  <c r="EP55" i="4" s="1"/>
  <c r="FY55" i="4" a="1"/>
  <c r="FY55" i="4" s="1"/>
  <c r="FS55" i="4" a="1"/>
  <c r="FS55" i="4" s="1"/>
  <c r="FW55" i="4" a="1"/>
  <c r="FW55" i="4" s="1"/>
  <c r="FU55" i="4" a="1"/>
  <c r="FU55" i="4" s="1"/>
  <c r="FD56" i="4" a="1"/>
  <c r="FD56" i="4" s="1"/>
  <c r="FB56" i="4" a="1"/>
  <c r="FB56" i="4" s="1"/>
  <c r="EZ56" i="4" a="1"/>
  <c r="EZ56" i="4" s="1"/>
  <c r="EX56" i="4" a="1"/>
  <c r="EX56" i="4" s="1"/>
  <c r="ER56" i="4" a="1"/>
  <c r="ER56" i="4" s="1"/>
  <c r="EL56" i="4" a="1"/>
  <c r="EL56" i="4" s="1"/>
  <c r="EY56" i="4" a="1"/>
  <c r="EY56" i="4" s="1"/>
  <c r="FC56" i="4" a="1"/>
  <c r="FC56" i="4" s="1"/>
  <c r="FA56" i="4" a="1"/>
  <c r="FA56" i="4" s="1"/>
  <c r="FX59" i="4" a="1"/>
  <c r="FX59" i="4" s="1"/>
  <c r="FV59" i="4" a="1"/>
  <c r="FV59" i="4" s="1"/>
  <c r="FT59" i="4" a="1"/>
  <c r="FT59" i="4" s="1"/>
  <c r="EV59" i="4" a="1"/>
  <c r="EV59" i="4" s="1"/>
  <c r="EP59" i="4" a="1"/>
  <c r="EP59" i="4" s="1"/>
  <c r="FY59" i="4" a="1"/>
  <c r="FY59" i="4" s="1"/>
  <c r="FS59" i="4" a="1"/>
  <c r="FS59" i="4" s="1"/>
  <c r="FW59" i="4" a="1"/>
  <c r="FW59" i="4" s="1"/>
  <c r="FU59" i="4" a="1"/>
  <c r="FU59" i="4" s="1"/>
  <c r="FD60" i="4" a="1"/>
  <c r="FD60" i="4" s="1"/>
  <c r="FB60" i="4" a="1"/>
  <c r="FB60" i="4" s="1"/>
  <c r="EZ60" i="4" a="1"/>
  <c r="EZ60" i="4" s="1"/>
  <c r="EX60" i="4" a="1"/>
  <c r="EX60" i="4" s="1"/>
  <c r="ER60" i="4" a="1"/>
  <c r="ER60" i="4" s="1"/>
  <c r="EL60" i="4" a="1"/>
  <c r="EL60" i="4" s="1"/>
  <c r="EY60" i="4" a="1"/>
  <c r="EY60" i="4" s="1"/>
  <c r="FC60" i="4" a="1"/>
  <c r="FC60" i="4" s="1"/>
  <c r="FA60" i="4" a="1"/>
  <c r="FA60" i="4" s="1"/>
  <c r="EN183" i="4" a="1"/>
  <c r="EN183" i="4" s="1"/>
  <c r="ET183" i="4" a="1"/>
  <c r="ET183" i="4" s="1"/>
  <c r="ET185" i="4" a="1"/>
  <c r="ET185" i="4" s="1"/>
  <c r="EN185" i="4" a="1"/>
  <c r="EN185" i="4" s="1"/>
  <c r="EN187" i="4" a="1"/>
  <c r="EN187" i="4" s="1"/>
  <c r="ET187" i="4" a="1"/>
  <c r="ET187" i="4" s="1"/>
  <c r="ET189" i="4" a="1"/>
  <c r="ET189" i="4" s="1"/>
  <c r="EN189" i="4" a="1"/>
  <c r="EN189" i="4" s="1"/>
  <c r="FX191" i="4" a="1"/>
  <c r="FX191" i="4" s="1"/>
  <c r="FV191" i="4" a="1"/>
  <c r="FV191" i="4" s="1"/>
  <c r="FT191" i="4" a="1"/>
  <c r="FT191" i="4" s="1"/>
  <c r="EV191" i="4" a="1"/>
  <c r="EV191" i="4" s="1"/>
  <c r="EP191" i="4" a="1"/>
  <c r="EP191" i="4" s="1"/>
  <c r="FU191" i="4" a="1"/>
  <c r="FU191" i="4" s="1"/>
  <c r="FW191" i="4" a="1"/>
  <c r="FW191" i="4" s="1"/>
  <c r="FS191" i="4" a="1"/>
  <c r="FS191" i="4" s="1"/>
  <c r="FY191" i="4" a="1"/>
  <c r="FY191" i="4" s="1"/>
  <c r="FD192" i="4" a="1"/>
  <c r="FD192" i="4" s="1"/>
  <c r="FB192" i="4" a="1"/>
  <c r="FB192" i="4" s="1"/>
  <c r="EZ192" i="4" a="1"/>
  <c r="EZ192" i="4" s="1"/>
  <c r="EX192" i="4" a="1"/>
  <c r="EX192" i="4" s="1"/>
  <c r="ER192" i="4" a="1"/>
  <c r="ER192" i="4" s="1"/>
  <c r="EL192" i="4" a="1"/>
  <c r="EL192" i="4" s="1"/>
  <c r="FA192" i="4" a="1"/>
  <c r="FA192" i="4" s="1"/>
  <c r="FC192" i="4" a="1"/>
  <c r="FC192" i="4" s="1"/>
  <c r="EY192" i="4" a="1"/>
  <c r="EY192" i="4" s="1"/>
  <c r="FX195" i="4" a="1"/>
  <c r="FX195" i="4" s="1"/>
  <c r="FV195" i="4" a="1"/>
  <c r="FV195" i="4" s="1"/>
  <c r="FT195" i="4" a="1"/>
  <c r="FT195" i="4" s="1"/>
  <c r="EV195" i="4" a="1"/>
  <c r="EV195" i="4" s="1"/>
  <c r="EP195" i="4" a="1"/>
  <c r="EP195" i="4" s="1"/>
  <c r="FU195" i="4" a="1"/>
  <c r="FU195" i="4" s="1"/>
  <c r="FW195" i="4" a="1"/>
  <c r="FW195" i="4" s="1"/>
  <c r="FS195" i="4" a="1"/>
  <c r="FS195" i="4" s="1"/>
  <c r="FY195" i="4" a="1"/>
  <c r="FY195" i="4" s="1"/>
  <c r="FD196" i="4" a="1"/>
  <c r="FD196" i="4" s="1"/>
  <c r="FB196" i="4" a="1"/>
  <c r="FB196" i="4" s="1"/>
  <c r="EZ196" i="4" a="1"/>
  <c r="EZ196" i="4" s="1"/>
  <c r="EX196" i="4" a="1"/>
  <c r="EX196" i="4" s="1"/>
  <c r="ER196" i="4" a="1"/>
  <c r="ER196" i="4" s="1"/>
  <c r="EL196" i="4" a="1"/>
  <c r="EL196" i="4" s="1"/>
  <c r="FA196" i="4" a="1"/>
  <c r="FA196" i="4" s="1"/>
  <c r="FC196" i="4" a="1"/>
  <c r="FC196" i="4" s="1"/>
  <c r="EY196" i="4" a="1"/>
  <c r="EY196" i="4" s="1"/>
  <c r="FX199" i="4" a="1"/>
  <c r="FX199" i="4" s="1"/>
  <c r="FV199" i="4" a="1"/>
  <c r="FV199" i="4" s="1"/>
  <c r="FT199" i="4" a="1"/>
  <c r="FT199" i="4" s="1"/>
  <c r="EV199" i="4" a="1"/>
  <c r="EV199" i="4" s="1"/>
  <c r="EP199" i="4" a="1"/>
  <c r="EP199" i="4" s="1"/>
  <c r="FU199" i="4" a="1"/>
  <c r="FU199" i="4" s="1"/>
  <c r="FW199" i="4" a="1"/>
  <c r="FW199" i="4" s="1"/>
  <c r="FS199" i="4" a="1"/>
  <c r="FS199" i="4" s="1"/>
  <c r="FY199" i="4" a="1"/>
  <c r="FY199" i="4" s="1"/>
  <c r="FD200" i="4" a="1"/>
  <c r="FD200" i="4" s="1"/>
  <c r="FB200" i="4" a="1"/>
  <c r="FB200" i="4" s="1"/>
  <c r="EZ200" i="4" a="1"/>
  <c r="EZ200" i="4" s="1"/>
  <c r="EX200" i="4" a="1"/>
  <c r="EX200" i="4" s="1"/>
  <c r="ER200" i="4" a="1"/>
  <c r="ER200" i="4" s="1"/>
  <c r="EL200" i="4" a="1"/>
  <c r="EL200" i="4" s="1"/>
  <c r="FA200" i="4" a="1"/>
  <c r="FA200" i="4" s="1"/>
  <c r="FC200" i="4" a="1"/>
  <c r="FC200" i="4" s="1"/>
  <c r="EY200" i="4" a="1"/>
  <c r="EY200" i="4" s="1"/>
  <c r="FX203" i="4" a="1"/>
  <c r="FX203" i="4" s="1"/>
  <c r="FV203" i="4" a="1"/>
  <c r="FV203" i="4" s="1"/>
  <c r="FT203" i="4" a="1"/>
  <c r="FT203" i="4" s="1"/>
  <c r="EV203" i="4" a="1"/>
  <c r="EV203" i="4" s="1"/>
  <c r="EP203" i="4" a="1"/>
  <c r="EP203" i="4" s="1"/>
  <c r="FU203" i="4" a="1"/>
  <c r="FU203" i="4" s="1"/>
  <c r="FW203" i="4" a="1"/>
  <c r="FW203" i="4" s="1"/>
  <c r="FS203" i="4" a="1"/>
  <c r="FS203" i="4" s="1"/>
  <c r="FY203" i="4" a="1"/>
  <c r="FY203" i="4" s="1"/>
  <c r="FD204" i="4" a="1"/>
  <c r="FD204" i="4" s="1"/>
  <c r="FB204" i="4" a="1"/>
  <c r="FB204" i="4" s="1"/>
  <c r="EZ204" i="4" a="1"/>
  <c r="EZ204" i="4" s="1"/>
  <c r="EX204" i="4" a="1"/>
  <c r="EX204" i="4" s="1"/>
  <c r="ER204" i="4" a="1"/>
  <c r="ER204" i="4" s="1"/>
  <c r="EL204" i="4" a="1"/>
  <c r="EL204" i="4" s="1"/>
  <c r="FA204" i="4" a="1"/>
  <c r="FA204" i="4" s="1"/>
  <c r="FC204" i="4" a="1"/>
  <c r="FC204" i="4" s="1"/>
  <c r="EY204" i="4" a="1"/>
  <c r="EY204" i="4" s="1"/>
  <c r="FX207" i="4" a="1"/>
  <c r="FX207" i="4" s="1"/>
  <c r="FV207" i="4" a="1"/>
  <c r="FV207" i="4" s="1"/>
  <c r="FT207" i="4" a="1"/>
  <c r="FT207" i="4" s="1"/>
  <c r="EV207" i="4" a="1"/>
  <c r="EV207" i="4" s="1"/>
  <c r="EP207" i="4" a="1"/>
  <c r="EP207" i="4" s="1"/>
  <c r="FS207" i="4" a="1"/>
  <c r="FS207" i="4" s="1"/>
  <c r="FU207" i="4" a="1"/>
  <c r="FU207" i="4" s="1"/>
  <c r="FY207" i="4" a="1"/>
  <c r="FY207" i="4" s="1"/>
  <c r="FW207" i="4" a="1"/>
  <c r="FW207" i="4" s="1"/>
  <c r="FD208" i="4" a="1"/>
  <c r="FD208" i="4" s="1"/>
  <c r="FB208" i="4" a="1"/>
  <c r="FB208" i="4" s="1"/>
  <c r="EZ208" i="4" a="1"/>
  <c r="EZ208" i="4" s="1"/>
  <c r="EX208" i="4" a="1"/>
  <c r="EX208" i="4" s="1"/>
  <c r="ER208" i="4" a="1"/>
  <c r="ER208" i="4" s="1"/>
  <c r="EL208" i="4" a="1"/>
  <c r="EL208" i="4" s="1"/>
  <c r="EY208" i="4" a="1"/>
  <c r="EY208" i="4" s="1"/>
  <c r="FA208" i="4" a="1"/>
  <c r="FA208" i="4" s="1"/>
  <c r="FC208" i="4" a="1"/>
  <c r="FC208" i="4" s="1"/>
  <c r="FX211" i="4" a="1"/>
  <c r="FX211" i="4" s="1"/>
  <c r="FV211" i="4" a="1"/>
  <c r="FV211" i="4" s="1"/>
  <c r="FT211" i="4" a="1"/>
  <c r="FT211" i="4" s="1"/>
  <c r="EV211" i="4" a="1"/>
  <c r="EV211" i="4" s="1"/>
  <c r="EP211" i="4" a="1"/>
  <c r="EP211" i="4" s="1"/>
  <c r="FS211" i="4" a="1"/>
  <c r="FS211" i="4" s="1"/>
  <c r="FU211" i="4" a="1"/>
  <c r="FU211" i="4" s="1"/>
  <c r="FY211" i="4" a="1"/>
  <c r="FY211" i="4" s="1"/>
  <c r="FW211" i="4" a="1"/>
  <c r="FW211" i="4" s="1"/>
  <c r="FD212" i="4" a="1"/>
  <c r="FD212" i="4" s="1"/>
  <c r="FB212" i="4" a="1"/>
  <c r="FB212" i="4" s="1"/>
  <c r="EZ212" i="4" a="1"/>
  <c r="EZ212" i="4" s="1"/>
  <c r="EX212" i="4" a="1"/>
  <c r="EX212" i="4" s="1"/>
  <c r="ER212" i="4" a="1"/>
  <c r="ER212" i="4" s="1"/>
  <c r="EL212" i="4" a="1"/>
  <c r="EL212" i="4" s="1"/>
  <c r="EY212" i="4" a="1"/>
  <c r="EY212" i="4" s="1"/>
  <c r="FA212" i="4" a="1"/>
  <c r="FA212" i="4" s="1"/>
  <c r="FC212" i="4" a="1"/>
  <c r="FC212" i="4" s="1"/>
  <c r="FX215" i="4" a="1"/>
  <c r="FX215" i="4" s="1"/>
  <c r="FV215" i="4" a="1"/>
  <c r="FV215" i="4" s="1"/>
  <c r="FT215" i="4" a="1"/>
  <c r="FT215" i="4" s="1"/>
  <c r="EV215" i="4" a="1"/>
  <c r="EV215" i="4" s="1"/>
  <c r="EP215" i="4" a="1"/>
  <c r="EP215" i="4" s="1"/>
  <c r="FS215" i="4" a="1"/>
  <c r="FS215" i="4" s="1"/>
  <c r="FU215" i="4" a="1"/>
  <c r="FU215" i="4" s="1"/>
  <c r="FY215" i="4" a="1"/>
  <c r="FY215" i="4" s="1"/>
  <c r="FW215" i="4" a="1"/>
  <c r="FW215" i="4" s="1"/>
  <c r="FD216" i="4" a="1"/>
  <c r="FD216" i="4" s="1"/>
  <c r="FB216" i="4" a="1"/>
  <c r="FB216" i="4" s="1"/>
  <c r="EZ216" i="4" a="1"/>
  <c r="EZ216" i="4" s="1"/>
  <c r="EX216" i="4" a="1"/>
  <c r="EX216" i="4" s="1"/>
  <c r="ER216" i="4" a="1"/>
  <c r="ER216" i="4" s="1"/>
  <c r="EL216" i="4" a="1"/>
  <c r="EL216" i="4" s="1"/>
  <c r="EY216" i="4" a="1"/>
  <c r="EY216" i="4" s="1"/>
  <c r="FA216" i="4" a="1"/>
  <c r="FA216" i="4" s="1"/>
  <c r="FC216" i="4" a="1"/>
  <c r="FC216" i="4" s="1"/>
  <c r="FX219" i="4" a="1"/>
  <c r="FX219" i="4" s="1"/>
  <c r="FV219" i="4" a="1"/>
  <c r="FV219" i="4" s="1"/>
  <c r="FT219" i="4" a="1"/>
  <c r="FT219" i="4" s="1"/>
  <c r="EV219" i="4" a="1"/>
  <c r="EV219" i="4" s="1"/>
  <c r="EP219" i="4" a="1"/>
  <c r="EP219" i="4" s="1"/>
  <c r="FY219" i="4" a="1"/>
  <c r="FY219" i="4" s="1"/>
  <c r="FS219" i="4" a="1"/>
  <c r="FS219" i="4" s="1"/>
  <c r="FW219" i="4" a="1"/>
  <c r="FW219" i="4" s="1"/>
  <c r="FU219" i="4" a="1"/>
  <c r="FU219" i="4" s="1"/>
  <c r="FD220" i="4" a="1"/>
  <c r="FD220" i="4" s="1"/>
  <c r="FB220" i="4" a="1"/>
  <c r="FB220" i="4" s="1"/>
  <c r="EZ220" i="4" a="1"/>
  <c r="EZ220" i="4" s="1"/>
  <c r="EX220" i="4" a="1"/>
  <c r="EX220" i="4" s="1"/>
  <c r="ER220" i="4" a="1"/>
  <c r="ER220" i="4" s="1"/>
  <c r="EL220" i="4" a="1"/>
  <c r="EL220" i="4" s="1"/>
  <c r="EY220" i="4" a="1"/>
  <c r="EY220" i="4" s="1"/>
  <c r="FC220" i="4" a="1"/>
  <c r="FC220" i="4" s="1"/>
  <c r="FA220" i="4" a="1"/>
  <c r="FA220" i="4" s="1"/>
  <c r="FX223" i="4" a="1"/>
  <c r="FX223" i="4" s="1"/>
  <c r="FV223" i="4" a="1"/>
  <c r="FV223" i="4" s="1"/>
  <c r="FT223" i="4" a="1"/>
  <c r="FT223" i="4" s="1"/>
  <c r="EV223" i="4" a="1"/>
  <c r="EV223" i="4" s="1"/>
  <c r="EP223" i="4" a="1"/>
  <c r="EP223" i="4" s="1"/>
  <c r="FY223" i="4" a="1"/>
  <c r="FY223" i="4" s="1"/>
  <c r="FS223" i="4" a="1"/>
  <c r="FS223" i="4" s="1"/>
  <c r="FW223" i="4" a="1"/>
  <c r="FW223" i="4" s="1"/>
  <c r="FU223" i="4" a="1"/>
  <c r="FU223" i="4" s="1"/>
  <c r="FD224" i="4" a="1"/>
  <c r="FD224" i="4" s="1"/>
  <c r="FB224" i="4" a="1"/>
  <c r="FB224" i="4" s="1"/>
  <c r="EZ224" i="4" a="1"/>
  <c r="EZ224" i="4" s="1"/>
  <c r="EX224" i="4" a="1"/>
  <c r="EX224" i="4" s="1"/>
  <c r="ER224" i="4" a="1"/>
  <c r="ER224" i="4" s="1"/>
  <c r="EL224" i="4" a="1"/>
  <c r="EL224" i="4" s="1"/>
  <c r="EY224" i="4" a="1"/>
  <c r="EY224" i="4" s="1"/>
  <c r="FC224" i="4" a="1"/>
  <c r="FC224" i="4" s="1"/>
  <c r="FA224" i="4" a="1"/>
  <c r="FA224" i="4" s="1"/>
  <c r="FX227" i="4" a="1"/>
  <c r="FX227" i="4" s="1"/>
  <c r="FV227" i="4" a="1"/>
  <c r="FV227" i="4" s="1"/>
  <c r="FT227" i="4" a="1"/>
  <c r="FT227" i="4" s="1"/>
  <c r="EV227" i="4" a="1"/>
  <c r="EV227" i="4" s="1"/>
  <c r="EP227" i="4" a="1"/>
  <c r="EP227" i="4" s="1"/>
  <c r="FY227" i="4" a="1"/>
  <c r="FY227" i="4" s="1"/>
  <c r="FS227" i="4" a="1"/>
  <c r="FS227" i="4" s="1"/>
  <c r="FW227" i="4" a="1"/>
  <c r="FW227" i="4" s="1"/>
  <c r="FU227" i="4" a="1"/>
  <c r="FU227" i="4" s="1"/>
  <c r="FD228" i="4" a="1"/>
  <c r="FD228" i="4" s="1"/>
  <c r="FB228" i="4" a="1"/>
  <c r="FB228" i="4" s="1"/>
  <c r="EZ228" i="4" a="1"/>
  <c r="EZ228" i="4" s="1"/>
  <c r="EX228" i="4" a="1"/>
  <c r="EX228" i="4" s="1"/>
  <c r="ER228" i="4" a="1"/>
  <c r="ER228" i="4" s="1"/>
  <c r="EL228" i="4" a="1"/>
  <c r="EL228" i="4" s="1"/>
  <c r="EY228" i="4" a="1"/>
  <c r="EY228" i="4" s="1"/>
  <c r="FC228" i="4" a="1"/>
  <c r="FC228" i="4" s="1"/>
  <c r="FA228" i="4" a="1"/>
  <c r="FA228" i="4" s="1"/>
  <c r="FX231" i="4" a="1"/>
  <c r="FX231" i="4" s="1"/>
  <c r="FV231" i="4" a="1"/>
  <c r="FV231" i="4" s="1"/>
  <c r="FT231" i="4" a="1"/>
  <c r="FT231" i="4" s="1"/>
  <c r="EV231" i="4" a="1"/>
  <c r="EV231" i="4" s="1"/>
  <c r="EP231" i="4" a="1"/>
  <c r="EP231" i="4" s="1"/>
  <c r="FY231" i="4" a="1"/>
  <c r="FY231" i="4" s="1"/>
  <c r="FS231" i="4" a="1"/>
  <c r="FS231" i="4" s="1"/>
  <c r="FW231" i="4" a="1"/>
  <c r="FW231" i="4" s="1"/>
  <c r="FU231" i="4" a="1"/>
  <c r="FU231" i="4" s="1"/>
  <c r="FD232" i="4" a="1"/>
  <c r="FD232" i="4" s="1"/>
  <c r="FB232" i="4" a="1"/>
  <c r="FB232" i="4" s="1"/>
  <c r="EZ232" i="4" a="1"/>
  <c r="EZ232" i="4" s="1"/>
  <c r="EX232" i="4" a="1"/>
  <c r="EX232" i="4" s="1"/>
  <c r="ER232" i="4" a="1"/>
  <c r="ER232" i="4" s="1"/>
  <c r="EL232" i="4" a="1"/>
  <c r="EL232" i="4" s="1"/>
  <c r="EY232" i="4" a="1"/>
  <c r="EY232" i="4" s="1"/>
  <c r="FC232" i="4" a="1"/>
  <c r="FC232" i="4" s="1"/>
  <c r="FA232" i="4" a="1"/>
  <c r="FA232" i="4" s="1"/>
  <c r="FX235" i="4" a="1"/>
  <c r="FX235" i="4" s="1"/>
  <c r="FV235" i="4" a="1"/>
  <c r="FV235" i="4" s="1"/>
  <c r="FT235" i="4" a="1"/>
  <c r="FT235" i="4" s="1"/>
  <c r="EV235" i="4" a="1"/>
  <c r="EV235" i="4" s="1"/>
  <c r="EP235" i="4" a="1"/>
  <c r="EP235" i="4" s="1"/>
  <c r="FY235" i="4" a="1"/>
  <c r="FY235" i="4" s="1"/>
  <c r="FS235" i="4" a="1"/>
  <c r="FS235" i="4" s="1"/>
  <c r="FW235" i="4" a="1"/>
  <c r="FW235" i="4" s="1"/>
  <c r="FU235" i="4" a="1"/>
  <c r="FU235" i="4" s="1"/>
  <c r="FD236" i="4" a="1"/>
  <c r="FD236" i="4" s="1"/>
  <c r="FB236" i="4" a="1"/>
  <c r="FB236" i="4" s="1"/>
  <c r="EZ236" i="4" a="1"/>
  <c r="EZ236" i="4" s="1"/>
  <c r="EX236" i="4" a="1"/>
  <c r="EX236" i="4" s="1"/>
  <c r="ER236" i="4" a="1"/>
  <c r="ER236" i="4" s="1"/>
  <c r="EL236" i="4" a="1"/>
  <c r="EL236" i="4" s="1"/>
  <c r="EY236" i="4" a="1"/>
  <c r="EY236" i="4" s="1"/>
  <c r="FC236" i="4" a="1"/>
  <c r="FC236" i="4" s="1"/>
  <c r="FA236" i="4" a="1"/>
  <c r="FA236" i="4" s="1"/>
  <c r="FK240" i="4" a="1"/>
  <c r="FK240" i="4" s="1"/>
  <c r="FH240" i="4" a="1"/>
  <c r="FH240" i="4" s="1"/>
  <c r="EM240" i="4" a="1"/>
  <c r="EM240" i="4" s="1"/>
  <c r="FJ240" i="4" a="1"/>
  <c r="FJ240" i="4" s="1"/>
  <c r="FE240" i="4" a="1"/>
  <c r="FE240" i="4" s="1"/>
  <c r="FI240" i="4" a="1"/>
  <c r="FI240" i="4" s="1"/>
  <c r="FF240" i="4" a="1"/>
  <c r="FF240" i="4" s="1"/>
  <c r="ES240" i="4" a="1"/>
  <c r="ES240" i="4" s="1"/>
  <c r="FG240" i="4" a="1"/>
  <c r="FG240" i="4" s="1"/>
  <c r="FK244" i="4" a="1"/>
  <c r="FK244" i="4" s="1"/>
  <c r="FH244" i="4" a="1"/>
  <c r="FH244" i="4" s="1"/>
  <c r="EM244" i="4" a="1"/>
  <c r="EM244" i="4" s="1"/>
  <c r="FJ244" i="4" a="1"/>
  <c r="FJ244" i="4" s="1"/>
  <c r="FE244" i="4" a="1"/>
  <c r="FE244" i="4" s="1"/>
  <c r="FI244" i="4" a="1"/>
  <c r="FI244" i="4" s="1"/>
  <c r="FF244" i="4" a="1"/>
  <c r="FF244" i="4" s="1"/>
  <c r="ES244" i="4" a="1"/>
  <c r="ES244" i="4" s="1"/>
  <c r="FG244" i="4" a="1"/>
  <c r="FG244" i="4" s="1"/>
  <c r="EQ248" i="4" a="1"/>
  <c r="EQ248" i="4" s="1"/>
  <c r="EK248" i="4" a="1"/>
  <c r="EK248" i="4" s="1"/>
  <c r="FX251" i="4" a="1"/>
  <c r="FX251" i="4" s="1"/>
  <c r="FV251" i="4" a="1"/>
  <c r="FV251" i="4" s="1"/>
  <c r="FT251" i="4" a="1"/>
  <c r="FT251" i="4" s="1"/>
  <c r="EV251" i="4" a="1"/>
  <c r="EV251" i="4" s="1"/>
  <c r="EP251" i="4" a="1"/>
  <c r="EP251" i="4" s="1"/>
  <c r="FY251" i="4" a="1"/>
  <c r="FY251" i="4" s="1"/>
  <c r="FS251" i="4" a="1"/>
  <c r="FS251" i="4" s="1"/>
  <c r="FW251" i="4" a="1"/>
  <c r="FW251" i="4" s="1"/>
  <c r="FU251" i="4" a="1"/>
  <c r="FU251" i="4" s="1"/>
  <c r="FD252" i="4" a="1"/>
  <c r="FD252" i="4" s="1"/>
  <c r="FB252" i="4" a="1"/>
  <c r="FB252" i="4" s="1"/>
  <c r="EZ252" i="4" a="1"/>
  <c r="EZ252" i="4" s="1"/>
  <c r="EX252" i="4" a="1"/>
  <c r="EX252" i="4" s="1"/>
  <c r="ER252" i="4" a="1"/>
  <c r="ER252" i="4" s="1"/>
  <c r="EL252" i="4" a="1"/>
  <c r="EL252" i="4" s="1"/>
  <c r="EY252" i="4" a="1"/>
  <c r="EY252" i="4" s="1"/>
  <c r="FC252" i="4" a="1"/>
  <c r="FC252" i="4" s="1"/>
  <c r="FA252" i="4" a="1"/>
  <c r="FA252" i="4" s="1"/>
  <c r="FX255" i="4" a="1"/>
  <c r="FX255" i="4" s="1"/>
  <c r="FV255" i="4" a="1"/>
  <c r="FV255" i="4" s="1"/>
  <c r="FT255" i="4" a="1"/>
  <c r="FT255" i="4" s="1"/>
  <c r="EV255" i="4" a="1"/>
  <c r="EV255" i="4" s="1"/>
  <c r="EP255" i="4" a="1"/>
  <c r="EP255" i="4" s="1"/>
  <c r="FW255" i="4" a="1"/>
  <c r="FW255" i="4" s="1"/>
  <c r="FY255" i="4" a="1"/>
  <c r="FY255" i="4" s="1"/>
  <c r="FU255" i="4" a="1"/>
  <c r="FU255" i="4" s="1"/>
  <c r="FS255" i="4" a="1"/>
  <c r="FS255" i="4" s="1"/>
  <c r="FD256" i="4" a="1"/>
  <c r="FD256" i="4" s="1"/>
  <c r="FB256" i="4" a="1"/>
  <c r="FB256" i="4" s="1"/>
  <c r="EZ256" i="4" a="1"/>
  <c r="EZ256" i="4" s="1"/>
  <c r="EX256" i="4" a="1"/>
  <c r="EX256" i="4" s="1"/>
  <c r="ER256" i="4" a="1"/>
  <c r="ER256" i="4" s="1"/>
  <c r="EL256" i="4" a="1"/>
  <c r="EL256" i="4" s="1"/>
  <c r="FC256" i="4" a="1"/>
  <c r="FC256" i="4" s="1"/>
  <c r="FA256" i="4" a="1"/>
  <c r="FA256" i="4" s="1"/>
  <c r="EY256" i="4" a="1"/>
  <c r="EY256" i="4" s="1"/>
  <c r="FX259" i="4" a="1"/>
  <c r="FX259" i="4" s="1"/>
  <c r="FV259" i="4" a="1"/>
  <c r="FV259" i="4" s="1"/>
  <c r="FT259" i="4" a="1"/>
  <c r="FT259" i="4" s="1"/>
  <c r="EV259" i="4" a="1"/>
  <c r="EV259" i="4" s="1"/>
  <c r="EP259" i="4" a="1"/>
  <c r="EP259" i="4" s="1"/>
  <c r="FW259" i="4" a="1"/>
  <c r="FW259" i="4" s="1"/>
  <c r="FY259" i="4" a="1"/>
  <c r="FY259" i="4" s="1"/>
  <c r="FU259" i="4" a="1"/>
  <c r="FU259" i="4" s="1"/>
  <c r="FS259" i="4" a="1"/>
  <c r="FS259" i="4" s="1"/>
  <c r="FD260" i="4" a="1"/>
  <c r="FD260" i="4" s="1"/>
  <c r="FB260" i="4" a="1"/>
  <c r="FB260" i="4" s="1"/>
  <c r="EZ260" i="4" a="1"/>
  <c r="EZ260" i="4" s="1"/>
  <c r="EX260" i="4" a="1"/>
  <c r="EX260" i="4" s="1"/>
  <c r="ER260" i="4" a="1"/>
  <c r="ER260" i="4" s="1"/>
  <c r="EL260" i="4" a="1"/>
  <c r="EL260" i="4" s="1"/>
  <c r="FA260" i="4" a="1"/>
  <c r="FA260" i="4" s="1"/>
  <c r="FC260" i="4" a="1"/>
  <c r="FC260" i="4" s="1"/>
  <c r="EY260" i="4" a="1"/>
  <c r="EY260" i="4" s="1"/>
  <c r="FX263" i="4" a="1"/>
  <c r="FX263" i="4" s="1"/>
  <c r="FV263" i="4" a="1"/>
  <c r="FV263" i="4" s="1"/>
  <c r="FT263" i="4" a="1"/>
  <c r="FT263" i="4" s="1"/>
  <c r="EV263" i="4" a="1"/>
  <c r="EV263" i="4" s="1"/>
  <c r="EP263" i="4" a="1"/>
  <c r="EP263" i="4" s="1"/>
  <c r="FU263" i="4" a="1"/>
  <c r="FU263" i="4" s="1"/>
  <c r="FW263" i="4" a="1"/>
  <c r="FW263" i="4" s="1"/>
  <c r="FS263" i="4" a="1"/>
  <c r="FS263" i="4" s="1"/>
  <c r="FY263" i="4" a="1"/>
  <c r="FY263" i="4" s="1"/>
  <c r="FD264" i="4" a="1"/>
  <c r="FD264" i="4" s="1"/>
  <c r="FB264" i="4" a="1"/>
  <c r="FB264" i="4" s="1"/>
  <c r="EZ264" i="4" a="1"/>
  <c r="EZ264" i="4" s="1"/>
  <c r="EX264" i="4" a="1"/>
  <c r="EX264" i="4" s="1"/>
  <c r="ER264" i="4" a="1"/>
  <c r="ER264" i="4" s="1"/>
  <c r="EL264" i="4" a="1"/>
  <c r="EL264" i="4" s="1"/>
  <c r="FA264" i="4" a="1"/>
  <c r="FA264" i="4" s="1"/>
  <c r="FC264" i="4" a="1"/>
  <c r="FC264" i="4" s="1"/>
  <c r="EY264" i="4" a="1"/>
  <c r="EY264" i="4" s="1"/>
  <c r="FU31" i="4" a="1"/>
  <c r="FU31" i="4" s="1"/>
  <c r="FW31" i="4" a="1"/>
  <c r="FW31" i="4" s="1"/>
  <c r="FT31" i="4" a="1"/>
  <c r="FT31" i="4" s="1"/>
  <c r="EV31" i="4" a="1"/>
  <c r="EV31" i="4" s="1"/>
  <c r="FX31" i="4" a="1"/>
  <c r="FX31" i="4" s="1"/>
  <c r="FS31" i="4" a="1"/>
  <c r="FS31" i="4" s="1"/>
  <c r="FY31" i="4" a="1"/>
  <c r="FY31" i="4" s="1"/>
  <c r="EP31" i="4" a="1"/>
  <c r="EP31" i="4" s="1"/>
  <c r="FV31" i="4" a="1"/>
  <c r="FV31" i="4" s="1"/>
  <c r="FU33" i="4" a="1"/>
  <c r="FU33" i="4" s="1"/>
  <c r="FW33" i="4" a="1"/>
  <c r="FW33" i="4" s="1"/>
  <c r="FT33" i="4" a="1"/>
  <c r="FT33" i="4" s="1"/>
  <c r="EV33" i="4" a="1"/>
  <c r="EV33" i="4" s="1"/>
  <c r="FX33" i="4" a="1"/>
  <c r="FX33" i="4" s="1"/>
  <c r="FS33" i="4" a="1"/>
  <c r="FS33" i="4" s="1"/>
  <c r="FY33" i="4" a="1"/>
  <c r="FY33" i="4" s="1"/>
  <c r="FV33" i="4" a="1"/>
  <c r="FV33" i="4" s="1"/>
  <c r="EP33" i="4" a="1"/>
  <c r="EP33" i="4" s="1"/>
  <c r="FU35" i="4" a="1"/>
  <c r="FU35" i="4" s="1"/>
  <c r="FW35" i="4" a="1"/>
  <c r="FW35" i="4" s="1"/>
  <c r="FT35" i="4" a="1"/>
  <c r="FT35" i="4" s="1"/>
  <c r="EV35" i="4" a="1"/>
  <c r="EV35" i="4" s="1"/>
  <c r="FX35" i="4" a="1"/>
  <c r="FX35" i="4" s="1"/>
  <c r="FS35" i="4" a="1"/>
  <c r="FS35" i="4" s="1"/>
  <c r="FY35" i="4" a="1"/>
  <c r="FY35" i="4" s="1"/>
  <c r="FV35" i="4" a="1"/>
  <c r="FV35" i="4" s="1"/>
  <c r="EP35" i="4" a="1"/>
  <c r="EP35" i="4" s="1"/>
  <c r="FU37" i="4" a="1"/>
  <c r="FU37" i="4" s="1"/>
  <c r="FW37" i="4" a="1"/>
  <c r="FW37" i="4" s="1"/>
  <c r="FT37" i="4" a="1"/>
  <c r="FT37" i="4" s="1"/>
  <c r="EV37" i="4" a="1"/>
  <c r="EV37" i="4" s="1"/>
  <c r="FX37" i="4" a="1"/>
  <c r="FX37" i="4" s="1"/>
  <c r="FS37" i="4" a="1"/>
  <c r="FS37" i="4" s="1"/>
  <c r="FY37" i="4" a="1"/>
  <c r="FY37" i="4" s="1"/>
  <c r="FV37" i="4" a="1"/>
  <c r="FV37" i="4" s="1"/>
  <c r="EP37" i="4" a="1"/>
  <c r="EP37" i="4" s="1"/>
  <c r="FU39" i="4" a="1"/>
  <c r="FU39" i="4" s="1"/>
  <c r="FW39" i="4" a="1"/>
  <c r="FW39" i="4" s="1"/>
  <c r="FT39" i="4" a="1"/>
  <c r="FT39" i="4" s="1"/>
  <c r="EV39" i="4" a="1"/>
  <c r="EV39" i="4" s="1"/>
  <c r="FX39" i="4" a="1"/>
  <c r="FX39" i="4" s="1"/>
  <c r="FS39" i="4" a="1"/>
  <c r="FS39" i="4" s="1"/>
  <c r="FY39" i="4" a="1"/>
  <c r="FY39" i="4" s="1"/>
  <c r="FV39" i="4" a="1"/>
  <c r="FV39" i="4" s="1"/>
  <c r="EP39" i="4" a="1"/>
  <c r="EP39" i="4" s="1"/>
  <c r="FU41" i="4" a="1"/>
  <c r="FU41" i="4" s="1"/>
  <c r="FW41" i="4" a="1"/>
  <c r="FW41" i="4" s="1"/>
  <c r="FT41" i="4" a="1"/>
  <c r="FT41" i="4" s="1"/>
  <c r="EV41" i="4" a="1"/>
  <c r="EV41" i="4" s="1"/>
  <c r="FX41" i="4" a="1"/>
  <c r="FX41" i="4" s="1"/>
  <c r="FS41" i="4" a="1"/>
  <c r="FS41" i="4" s="1"/>
  <c r="FV41" i="4" a="1"/>
  <c r="FV41" i="4" s="1"/>
  <c r="EP41" i="4" a="1"/>
  <c r="EP41" i="4" s="1"/>
  <c r="FY41" i="4" a="1"/>
  <c r="FY41" i="4" s="1"/>
  <c r="FU43" i="4" a="1"/>
  <c r="FU43" i="4" s="1"/>
  <c r="FW43" i="4" a="1"/>
  <c r="FW43" i="4" s="1"/>
  <c r="FT43" i="4" a="1"/>
  <c r="FT43" i="4" s="1"/>
  <c r="EV43" i="4" a="1"/>
  <c r="EV43" i="4" s="1"/>
  <c r="FX43" i="4" a="1"/>
  <c r="FX43" i="4" s="1"/>
  <c r="FS43" i="4" a="1"/>
  <c r="FS43" i="4" s="1"/>
  <c r="FV43" i="4" a="1"/>
  <c r="FV43" i="4" s="1"/>
  <c r="EP43" i="4" a="1"/>
  <c r="EP43" i="4" s="1"/>
  <c r="FY43" i="4" a="1"/>
  <c r="FY43" i="4" s="1"/>
  <c r="FO45" i="4" a="1"/>
  <c r="FO45" i="4" s="1"/>
  <c r="FL45" i="4" a="1"/>
  <c r="FL45" i="4" s="1"/>
  <c r="FQ45" i="4" a="1"/>
  <c r="FQ45" i="4" s="1"/>
  <c r="FN45" i="4" a="1"/>
  <c r="FN45" i="4" s="1"/>
  <c r="FR45" i="4" a="1"/>
  <c r="FR45" i="4" s="1"/>
  <c r="FM45" i="4" a="1"/>
  <c r="FM45" i="4" s="1"/>
  <c r="EO45" i="4" a="1"/>
  <c r="EO45" i="4" s="1"/>
  <c r="FP45" i="4" a="1"/>
  <c r="FP45" i="4" s="1"/>
  <c r="EU45" i="4" a="1"/>
  <c r="EU45" i="4" s="1"/>
  <c r="FO47" i="4" a="1"/>
  <c r="FO47" i="4" s="1"/>
  <c r="FL47" i="4" a="1"/>
  <c r="FL47" i="4" s="1"/>
  <c r="FQ47" i="4" a="1"/>
  <c r="FQ47" i="4" s="1"/>
  <c r="FN47" i="4" a="1"/>
  <c r="FN47" i="4" s="1"/>
  <c r="FR47" i="4" a="1"/>
  <c r="FR47" i="4" s="1"/>
  <c r="FM47" i="4" a="1"/>
  <c r="FM47" i="4" s="1"/>
  <c r="EO47" i="4" a="1"/>
  <c r="EO47" i="4" s="1"/>
  <c r="FP47" i="4" a="1"/>
  <c r="FP47" i="4" s="1"/>
  <c r="EU47" i="4" a="1"/>
  <c r="EU47" i="4" s="1"/>
  <c r="FO49" i="4" a="1"/>
  <c r="FO49" i="4" s="1"/>
  <c r="FL49" i="4" a="1"/>
  <c r="FL49" i="4" s="1"/>
  <c r="FQ49" i="4" a="1"/>
  <c r="FQ49" i="4" s="1"/>
  <c r="FN49" i="4" a="1"/>
  <c r="FN49" i="4" s="1"/>
  <c r="FR49" i="4" a="1"/>
  <c r="FR49" i="4" s="1"/>
  <c r="FM49" i="4" a="1"/>
  <c r="FM49" i="4" s="1"/>
  <c r="EO49" i="4" a="1"/>
  <c r="EO49" i="4" s="1"/>
  <c r="FP49" i="4" a="1"/>
  <c r="FP49" i="4" s="1"/>
  <c r="EU49" i="4" a="1"/>
  <c r="EU49" i="4" s="1"/>
  <c r="FQ75" i="4" a="1"/>
  <c r="FQ75" i="4" s="1"/>
  <c r="FO75" i="4" a="1"/>
  <c r="FO75" i="4" s="1"/>
  <c r="FM75" i="4" a="1"/>
  <c r="FM75" i="4" s="1"/>
  <c r="EU75" i="4" a="1"/>
  <c r="EU75" i="4" s="1"/>
  <c r="EO75" i="4" a="1"/>
  <c r="EO75" i="4" s="1"/>
  <c r="FL75" i="4" a="1"/>
  <c r="FL75" i="4" s="1"/>
  <c r="FN75" i="4" a="1"/>
  <c r="FN75" i="4" s="1"/>
  <c r="FR75" i="4" a="1"/>
  <c r="FR75" i="4" s="1"/>
  <c r="FP75" i="4" a="1"/>
  <c r="FP75" i="4" s="1"/>
  <c r="FY80" i="4" a="1"/>
  <c r="FY80" i="4" s="1"/>
  <c r="FW80" i="4" a="1"/>
  <c r="FW80" i="4" s="1"/>
  <c r="FU80" i="4" a="1"/>
  <c r="FU80" i="4" s="1"/>
  <c r="FS80" i="4" a="1"/>
  <c r="FS80" i="4" s="1"/>
  <c r="FT80" i="4" a="1"/>
  <c r="FT80" i="4" s="1"/>
  <c r="EV80" i="4" a="1"/>
  <c r="EV80" i="4" s="1"/>
  <c r="FX80" i="4" a="1"/>
  <c r="FX80" i="4" s="1"/>
  <c r="FV80" i="4" a="1"/>
  <c r="FV80" i="4" s="1"/>
  <c r="EP80" i="4" a="1"/>
  <c r="EP80" i="4" s="1"/>
  <c r="FK84" i="4" a="1"/>
  <c r="FK84" i="4" s="1"/>
  <c r="FI84" i="4" a="1"/>
  <c r="FI84" i="4" s="1"/>
  <c r="FG84" i="4" a="1"/>
  <c r="FG84" i="4" s="1"/>
  <c r="FE84" i="4" a="1"/>
  <c r="FE84" i="4" s="1"/>
  <c r="ES84" i="4" a="1"/>
  <c r="ES84" i="4" s="1"/>
  <c r="EM84" i="4" a="1"/>
  <c r="EM84" i="4" s="1"/>
  <c r="FF84" i="4" a="1"/>
  <c r="FF84" i="4" s="1"/>
  <c r="FH84" i="4" a="1"/>
  <c r="FH84" i="4" s="1"/>
  <c r="FJ84" i="4" a="1"/>
  <c r="FJ84" i="4" s="1"/>
  <c r="FK85" i="4" a="1"/>
  <c r="FK85" i="4" s="1"/>
  <c r="FI85" i="4" a="1"/>
  <c r="FI85" i="4" s="1"/>
  <c r="FG85" i="4" a="1"/>
  <c r="FG85" i="4" s="1"/>
  <c r="FE85" i="4" a="1"/>
  <c r="FE85" i="4" s="1"/>
  <c r="ES85" i="4" a="1"/>
  <c r="ES85" i="4" s="1"/>
  <c r="EM85" i="4" a="1"/>
  <c r="EM85" i="4" s="1"/>
  <c r="FF85" i="4" a="1"/>
  <c r="FF85" i="4" s="1"/>
  <c r="FH85" i="4" a="1"/>
  <c r="FH85" i="4" s="1"/>
  <c r="FJ85" i="4" a="1"/>
  <c r="FJ85" i="4" s="1"/>
  <c r="FC86" i="4" a="1"/>
  <c r="FC86" i="4" s="1"/>
  <c r="FA86" i="4" a="1"/>
  <c r="FA86" i="4" s="1"/>
  <c r="EY86" i="4" a="1"/>
  <c r="EY86" i="4" s="1"/>
  <c r="EZ86" i="4" a="1"/>
  <c r="EZ86" i="4" s="1"/>
  <c r="ER86" i="4" a="1"/>
  <c r="ER86" i="4" s="1"/>
  <c r="FB86" i="4" a="1"/>
  <c r="FB86" i="4" s="1"/>
  <c r="EL86" i="4" a="1"/>
  <c r="EL86" i="4" s="1"/>
  <c r="EX86" i="4" a="1"/>
  <c r="EX86" i="4" s="1"/>
  <c r="FD86" i="4" a="1"/>
  <c r="FD86" i="4" s="1"/>
  <c r="EQ87" i="4" a="1"/>
  <c r="EQ87" i="4" s="1"/>
  <c r="EK87" i="4" a="1"/>
  <c r="EK87" i="4" s="1"/>
  <c r="FQ88" i="4" a="1"/>
  <c r="FQ88" i="4" s="1"/>
  <c r="FO88" i="4" a="1"/>
  <c r="FO88" i="4" s="1"/>
  <c r="FM88" i="4" a="1"/>
  <c r="FM88" i="4" s="1"/>
  <c r="EU88" i="4" a="1"/>
  <c r="EU88" i="4" s="1"/>
  <c r="EO88" i="4" a="1"/>
  <c r="EO88" i="4" s="1"/>
  <c r="FL88" i="4" a="1"/>
  <c r="FL88" i="4" s="1"/>
  <c r="FN88" i="4" a="1"/>
  <c r="FN88" i="4" s="1"/>
  <c r="FR88" i="4" a="1"/>
  <c r="FR88" i="4" s="1"/>
  <c r="FP88" i="4" a="1"/>
  <c r="FP88" i="4" s="1"/>
  <c r="FY91" i="4" a="1"/>
  <c r="FY91" i="4" s="1"/>
  <c r="FW91" i="4" a="1"/>
  <c r="FW91" i="4" s="1"/>
  <c r="FU91" i="4" a="1"/>
  <c r="FU91" i="4" s="1"/>
  <c r="FS91" i="4" a="1"/>
  <c r="FS91" i="4" s="1"/>
  <c r="FT91" i="4" a="1"/>
  <c r="FT91" i="4" s="1"/>
  <c r="EV91" i="4" a="1"/>
  <c r="EV91" i="4" s="1"/>
  <c r="FX91" i="4" a="1"/>
  <c r="FX91" i="4" s="1"/>
  <c r="FV91" i="4" a="1"/>
  <c r="FV91" i="4" s="1"/>
  <c r="EP91" i="4" a="1"/>
  <c r="EP91" i="4" s="1"/>
  <c r="FY92" i="4" a="1"/>
  <c r="FY92" i="4" s="1"/>
  <c r="FW92" i="4" a="1"/>
  <c r="FW92" i="4" s="1"/>
  <c r="FU92" i="4" a="1"/>
  <c r="FU92" i="4" s="1"/>
  <c r="FS92" i="4" a="1"/>
  <c r="FS92" i="4" s="1"/>
  <c r="FT92" i="4" a="1"/>
  <c r="FT92" i="4" s="1"/>
  <c r="EV92" i="4" a="1"/>
  <c r="EV92" i="4" s="1"/>
  <c r="FX92" i="4" a="1"/>
  <c r="FX92" i="4" s="1"/>
  <c r="FV92" i="4" a="1"/>
  <c r="FV92" i="4" s="1"/>
  <c r="EP92" i="4" a="1"/>
  <c r="EP92" i="4" s="1"/>
  <c r="FK99" i="4" a="1"/>
  <c r="FK99" i="4" s="1"/>
  <c r="FI99" i="4" a="1"/>
  <c r="FI99" i="4" s="1"/>
  <c r="FG99" i="4" a="1"/>
  <c r="FG99" i="4" s="1"/>
  <c r="FE99" i="4" a="1"/>
  <c r="FE99" i="4" s="1"/>
  <c r="ES99" i="4" a="1"/>
  <c r="ES99" i="4" s="1"/>
  <c r="EM99" i="4" a="1"/>
  <c r="EM99" i="4" s="1"/>
  <c r="FF99" i="4" a="1"/>
  <c r="FF99" i="4" s="1"/>
  <c r="FH99" i="4" a="1"/>
  <c r="FH99" i="4" s="1"/>
  <c r="FJ99" i="4" a="1"/>
  <c r="FJ99" i="4" s="1"/>
  <c r="FC100" i="4" a="1"/>
  <c r="FC100" i="4" s="1"/>
  <c r="FA100" i="4" a="1"/>
  <c r="FA100" i="4" s="1"/>
  <c r="EY100" i="4" a="1"/>
  <c r="EY100" i="4" s="1"/>
  <c r="EZ100" i="4" a="1"/>
  <c r="EZ100" i="4" s="1"/>
  <c r="ER100" i="4" a="1"/>
  <c r="ER100" i="4" s="1"/>
  <c r="FB100" i="4" a="1"/>
  <c r="FB100" i="4" s="1"/>
  <c r="EL100" i="4" a="1"/>
  <c r="EL100" i="4" s="1"/>
  <c r="EX100" i="4" a="1"/>
  <c r="EX100" i="4" s="1"/>
  <c r="FD100" i="4" a="1"/>
  <c r="FD100" i="4" s="1"/>
  <c r="EQ101" i="4" a="1"/>
  <c r="EQ101" i="4" s="1"/>
  <c r="EK101" i="4" a="1"/>
  <c r="EK101" i="4" s="1"/>
  <c r="FQ102" i="4" a="1"/>
  <c r="FQ102" i="4" s="1"/>
  <c r="FO102" i="4" a="1"/>
  <c r="FO102" i="4" s="1"/>
  <c r="FM102" i="4" a="1"/>
  <c r="FM102" i="4" s="1"/>
  <c r="EU102" i="4" a="1"/>
  <c r="EU102" i="4" s="1"/>
  <c r="EO102" i="4" a="1"/>
  <c r="EO102" i="4" s="1"/>
  <c r="FL102" i="4" a="1"/>
  <c r="FL102" i="4" s="1"/>
  <c r="FN102" i="4" a="1"/>
  <c r="FN102" i="4" s="1"/>
  <c r="FR102" i="4" a="1"/>
  <c r="FR102" i="4" s="1"/>
  <c r="FP102" i="4" a="1"/>
  <c r="FP102" i="4" s="1"/>
  <c r="FY105" i="4" a="1"/>
  <c r="FY105" i="4" s="1"/>
  <c r="FW105" i="4" a="1"/>
  <c r="FW105" i="4" s="1"/>
  <c r="FU105" i="4" a="1"/>
  <c r="FU105" i="4" s="1"/>
  <c r="FS105" i="4" a="1"/>
  <c r="FS105" i="4" s="1"/>
  <c r="FT105" i="4" a="1"/>
  <c r="FT105" i="4" s="1"/>
  <c r="EV105" i="4" a="1"/>
  <c r="EV105" i="4" s="1"/>
  <c r="FX105" i="4" a="1"/>
  <c r="FX105" i="4" s="1"/>
  <c r="FV105" i="4" a="1"/>
  <c r="FV105" i="4" s="1"/>
  <c r="EP105" i="4" a="1"/>
  <c r="EP105" i="4" s="1"/>
  <c r="FK113" i="4" a="1"/>
  <c r="FK113" i="4" s="1"/>
  <c r="FI113" i="4" a="1"/>
  <c r="FI113" i="4" s="1"/>
  <c r="FG113" i="4" a="1"/>
  <c r="FG113" i="4" s="1"/>
  <c r="FE113" i="4" a="1"/>
  <c r="FE113" i="4" s="1"/>
  <c r="ES113" i="4" a="1"/>
  <c r="ES113" i="4" s="1"/>
  <c r="EM113" i="4" a="1"/>
  <c r="EM113" i="4" s="1"/>
  <c r="FF113" i="4" a="1"/>
  <c r="FF113" i="4" s="1"/>
  <c r="FH113" i="4" a="1"/>
  <c r="FH113" i="4" s="1"/>
  <c r="FJ113" i="4" a="1"/>
  <c r="FJ113" i="4" s="1"/>
  <c r="FC114" i="4" a="1"/>
  <c r="FC114" i="4" s="1"/>
  <c r="FA114" i="4" a="1"/>
  <c r="FA114" i="4" s="1"/>
  <c r="EY114" i="4" a="1"/>
  <c r="EY114" i="4" s="1"/>
  <c r="EZ114" i="4" a="1"/>
  <c r="EZ114" i="4" s="1"/>
  <c r="ER114" i="4" a="1"/>
  <c r="ER114" i="4" s="1"/>
  <c r="FB114" i="4" a="1"/>
  <c r="FB114" i="4" s="1"/>
  <c r="EL114" i="4" a="1"/>
  <c r="EL114" i="4" s="1"/>
  <c r="EX114" i="4" a="1"/>
  <c r="EX114" i="4" s="1"/>
  <c r="FD114" i="4" a="1"/>
  <c r="FD114" i="4" s="1"/>
  <c r="EQ115" i="4" a="1"/>
  <c r="EQ115" i="4" s="1"/>
  <c r="EK115" i="4" a="1"/>
  <c r="EK115" i="4" s="1"/>
  <c r="EQ116" i="4" a="1"/>
  <c r="EQ116" i="4" s="1"/>
  <c r="EK116" i="4" a="1"/>
  <c r="EK116" i="4" s="1"/>
  <c r="FQ117" i="4" a="1"/>
  <c r="FQ117" i="4" s="1"/>
  <c r="FO117" i="4" a="1"/>
  <c r="FO117" i="4" s="1"/>
  <c r="FM117" i="4" a="1"/>
  <c r="FM117" i="4" s="1"/>
  <c r="EU117" i="4" a="1"/>
  <c r="EU117" i="4" s="1"/>
  <c r="EO117" i="4" a="1"/>
  <c r="EO117" i="4" s="1"/>
  <c r="FL117" i="4" a="1"/>
  <c r="FL117" i="4" s="1"/>
  <c r="FN117" i="4" a="1"/>
  <c r="FN117" i="4" s="1"/>
  <c r="FR117" i="4" a="1"/>
  <c r="FR117" i="4" s="1"/>
  <c r="FP117" i="4" a="1"/>
  <c r="FP117" i="4" s="1"/>
  <c r="FK126" i="4" a="1"/>
  <c r="FK126" i="4" s="1"/>
  <c r="FI126" i="4" a="1"/>
  <c r="FI126" i="4" s="1"/>
  <c r="FG126" i="4" a="1"/>
  <c r="FG126" i="4" s="1"/>
  <c r="FE126" i="4" a="1"/>
  <c r="FE126" i="4" s="1"/>
  <c r="ES126" i="4" a="1"/>
  <c r="ES126" i="4" s="1"/>
  <c r="EM126" i="4" a="1"/>
  <c r="EM126" i="4" s="1"/>
  <c r="FF126" i="4" a="1"/>
  <c r="FF126" i="4" s="1"/>
  <c r="FH126" i="4" a="1"/>
  <c r="FH126" i="4" s="1"/>
  <c r="FJ126" i="4" a="1"/>
  <c r="FJ126" i="4" s="1"/>
  <c r="FK127" i="4" a="1"/>
  <c r="FK127" i="4" s="1"/>
  <c r="FI127" i="4" a="1"/>
  <c r="FI127" i="4" s="1"/>
  <c r="FG127" i="4" a="1"/>
  <c r="FG127" i="4" s="1"/>
  <c r="FE127" i="4" a="1"/>
  <c r="FE127" i="4" s="1"/>
  <c r="ES127" i="4" a="1"/>
  <c r="ES127" i="4" s="1"/>
  <c r="EM127" i="4" a="1"/>
  <c r="EM127" i="4" s="1"/>
  <c r="FF127" i="4" a="1"/>
  <c r="FF127" i="4" s="1"/>
  <c r="FH127" i="4" a="1"/>
  <c r="FH127" i="4" s="1"/>
  <c r="FJ127" i="4" a="1"/>
  <c r="FJ127" i="4" s="1"/>
  <c r="FK128" i="4" a="1"/>
  <c r="FK128" i="4" s="1"/>
  <c r="FI128" i="4" a="1"/>
  <c r="FI128" i="4" s="1"/>
  <c r="FG128" i="4" a="1"/>
  <c r="FG128" i="4" s="1"/>
  <c r="FE128" i="4" a="1"/>
  <c r="FE128" i="4" s="1"/>
  <c r="ES128" i="4" a="1"/>
  <c r="ES128" i="4" s="1"/>
  <c r="EM128" i="4" a="1"/>
  <c r="EM128" i="4" s="1"/>
  <c r="FF128" i="4" a="1"/>
  <c r="FF128" i="4" s="1"/>
  <c r="FH128" i="4" a="1"/>
  <c r="FH128" i="4" s="1"/>
  <c r="FJ128" i="4" a="1"/>
  <c r="FJ128" i="4" s="1"/>
  <c r="FC129" i="4" a="1"/>
  <c r="FC129" i="4" s="1"/>
  <c r="FA129" i="4" a="1"/>
  <c r="FA129" i="4" s="1"/>
  <c r="EY129" i="4" a="1"/>
  <c r="EY129" i="4" s="1"/>
  <c r="EZ129" i="4" a="1"/>
  <c r="EZ129" i="4" s="1"/>
  <c r="ER129" i="4" a="1"/>
  <c r="ER129" i="4" s="1"/>
  <c r="FB129" i="4" a="1"/>
  <c r="FB129" i="4" s="1"/>
  <c r="EL129" i="4" a="1"/>
  <c r="EL129" i="4" s="1"/>
  <c r="EX129" i="4" a="1"/>
  <c r="EX129" i="4" s="1"/>
  <c r="FD129" i="4" a="1"/>
  <c r="FD129" i="4" s="1"/>
  <c r="EQ130" i="4" a="1"/>
  <c r="EQ130" i="4" s="1"/>
  <c r="EK130" i="4" a="1"/>
  <c r="EK130" i="4" s="1"/>
  <c r="FQ131" i="4" a="1"/>
  <c r="FQ131" i="4" s="1"/>
  <c r="FO131" i="4" a="1"/>
  <c r="FO131" i="4" s="1"/>
  <c r="FM131" i="4" a="1"/>
  <c r="FM131" i="4" s="1"/>
  <c r="EU131" i="4" a="1"/>
  <c r="EU131" i="4" s="1"/>
  <c r="EO131" i="4" a="1"/>
  <c r="EO131" i="4" s="1"/>
  <c r="FL131" i="4" a="1"/>
  <c r="FL131" i="4" s="1"/>
  <c r="FN131" i="4" a="1"/>
  <c r="FN131" i="4" s="1"/>
  <c r="FR131" i="4" a="1"/>
  <c r="FR131" i="4" s="1"/>
  <c r="FP131" i="4" a="1"/>
  <c r="FP131" i="4" s="1"/>
  <c r="FK144" i="4" a="1"/>
  <c r="FK144" i="4" s="1"/>
  <c r="FI144" i="4" a="1"/>
  <c r="FI144" i="4" s="1"/>
  <c r="FG144" i="4" a="1"/>
  <c r="FG144" i="4" s="1"/>
  <c r="FE144" i="4" a="1"/>
  <c r="FE144" i="4" s="1"/>
  <c r="ES144" i="4" a="1"/>
  <c r="ES144" i="4" s="1"/>
  <c r="EM144" i="4" a="1"/>
  <c r="EM144" i="4" s="1"/>
  <c r="FF144" i="4" a="1"/>
  <c r="FF144" i="4" s="1"/>
  <c r="FH144" i="4" a="1"/>
  <c r="FH144" i="4" s="1"/>
  <c r="FJ144" i="4" a="1"/>
  <c r="FJ144" i="4" s="1"/>
  <c r="FC145" i="4" a="1"/>
  <c r="FC145" i="4" s="1"/>
  <c r="FA145" i="4" a="1"/>
  <c r="FA145" i="4" s="1"/>
  <c r="EY145" i="4" a="1"/>
  <c r="EY145" i="4" s="1"/>
  <c r="EZ145" i="4" a="1"/>
  <c r="EZ145" i="4" s="1"/>
  <c r="ER145" i="4" a="1"/>
  <c r="ER145" i="4" s="1"/>
  <c r="FB145" i="4" a="1"/>
  <c r="FB145" i="4" s="1"/>
  <c r="EL145" i="4" a="1"/>
  <c r="EL145" i="4" s="1"/>
  <c r="EX145" i="4" a="1"/>
  <c r="EX145" i="4" s="1"/>
  <c r="FD145" i="4" a="1"/>
  <c r="FD145" i="4" s="1"/>
  <c r="EQ146" i="4" a="1"/>
  <c r="EQ146" i="4" s="1"/>
  <c r="EK146" i="4" a="1"/>
  <c r="EK146" i="4" s="1"/>
  <c r="EQ147" i="4" a="1"/>
  <c r="EQ147" i="4" s="1"/>
  <c r="EK147" i="4" a="1"/>
  <c r="EK147" i="4" s="1"/>
  <c r="FQ148" i="4" a="1"/>
  <c r="FQ148" i="4" s="1"/>
  <c r="FO148" i="4" a="1"/>
  <c r="FO148" i="4" s="1"/>
  <c r="FM148" i="4" a="1"/>
  <c r="FM148" i="4" s="1"/>
  <c r="EU148" i="4" a="1"/>
  <c r="EU148" i="4" s="1"/>
  <c r="EO148" i="4" a="1"/>
  <c r="EO148" i="4" s="1"/>
  <c r="FL148" i="4" a="1"/>
  <c r="FL148" i="4" s="1"/>
  <c r="FN148" i="4" a="1"/>
  <c r="FN148" i="4" s="1"/>
  <c r="FR148" i="4" a="1"/>
  <c r="FR148" i="4" s="1"/>
  <c r="FP148" i="4" a="1"/>
  <c r="FP148" i="4" s="1"/>
  <c r="FY151" i="4" a="1"/>
  <c r="FY151" i="4" s="1"/>
  <c r="FW151" i="4" a="1"/>
  <c r="FW151" i="4" s="1"/>
  <c r="FU151" i="4" a="1"/>
  <c r="FU151" i="4" s="1"/>
  <c r="FS151" i="4" a="1"/>
  <c r="FS151" i="4" s="1"/>
  <c r="FT151" i="4" a="1"/>
  <c r="FT151" i="4" s="1"/>
  <c r="EV151" i="4" a="1"/>
  <c r="EV151" i="4" s="1"/>
  <c r="FX151" i="4" a="1"/>
  <c r="FX151" i="4" s="1"/>
  <c r="FV151" i="4" a="1"/>
  <c r="FV151" i="4" s="1"/>
  <c r="EP151" i="4" a="1"/>
  <c r="EP151" i="4" s="1"/>
  <c r="FQ163" i="4" a="1"/>
  <c r="FQ163" i="4" s="1"/>
  <c r="FO163" i="4" a="1"/>
  <c r="FO163" i="4" s="1"/>
  <c r="FM163" i="4" a="1"/>
  <c r="FM163" i="4" s="1"/>
  <c r="EU163" i="4" a="1"/>
  <c r="EU163" i="4" s="1"/>
  <c r="EO163" i="4" a="1"/>
  <c r="EO163" i="4" s="1"/>
  <c r="FL163" i="4" a="1"/>
  <c r="FL163" i="4" s="1"/>
  <c r="FN163" i="4" a="1"/>
  <c r="FN163" i="4" s="1"/>
  <c r="FR163" i="4" a="1"/>
  <c r="FR163" i="4" s="1"/>
  <c r="FP163" i="4" a="1"/>
  <c r="FP163" i="4" s="1"/>
  <c r="FY166" i="4" a="1"/>
  <c r="FY166" i="4" s="1"/>
  <c r="FW166" i="4" a="1"/>
  <c r="FW166" i="4" s="1"/>
  <c r="FU166" i="4" a="1"/>
  <c r="FU166" i="4" s="1"/>
  <c r="FS166" i="4" a="1"/>
  <c r="FS166" i="4" s="1"/>
  <c r="FT166" i="4" a="1"/>
  <c r="FT166" i="4" s="1"/>
  <c r="EV166" i="4" a="1"/>
  <c r="EV166" i="4" s="1"/>
  <c r="FX166" i="4" a="1"/>
  <c r="FX166" i="4" s="1"/>
  <c r="FV166" i="4" a="1"/>
  <c r="FV166" i="4" s="1"/>
  <c r="EP166" i="4" a="1"/>
  <c r="EP166" i="4" s="1"/>
  <c r="FY167" i="4" a="1"/>
  <c r="FY167" i="4" s="1"/>
  <c r="FW167" i="4" a="1"/>
  <c r="FW167" i="4" s="1"/>
  <c r="FU167" i="4" a="1"/>
  <c r="FU167" i="4" s="1"/>
  <c r="FS167" i="4" a="1"/>
  <c r="FS167" i="4" s="1"/>
  <c r="FT167" i="4" a="1"/>
  <c r="FT167" i="4" s="1"/>
  <c r="EV167" i="4" a="1"/>
  <c r="EV167" i="4" s="1"/>
  <c r="FX167" i="4" a="1"/>
  <c r="FX167" i="4" s="1"/>
  <c r="FV167" i="4" a="1"/>
  <c r="FV167" i="4" s="1"/>
  <c r="EP167" i="4" a="1"/>
  <c r="EP167" i="4" s="1"/>
  <c r="FK181" i="4" a="1"/>
  <c r="FK181" i="4" s="1"/>
  <c r="FI181" i="4" a="1"/>
  <c r="FI181" i="4" s="1"/>
  <c r="FG181" i="4" a="1"/>
  <c r="FG181" i="4" s="1"/>
  <c r="FE181" i="4" a="1"/>
  <c r="FE181" i="4" s="1"/>
  <c r="ES181" i="4" a="1"/>
  <c r="ES181" i="4" s="1"/>
  <c r="EM181" i="4" a="1"/>
  <c r="EM181" i="4" s="1"/>
  <c r="FF181" i="4" a="1"/>
  <c r="FF181" i="4" s="1"/>
  <c r="FH181" i="4" a="1"/>
  <c r="FH181" i="4" s="1"/>
  <c r="FJ181" i="4" a="1"/>
  <c r="FJ181" i="4" s="1"/>
  <c r="EQ182" i="4" a="1"/>
  <c r="EQ182" i="4" s="1"/>
  <c r="EK182" i="4" a="1"/>
  <c r="EK182" i="4" s="1"/>
  <c r="FQ183" i="4" a="1"/>
  <c r="FQ183" i="4" s="1"/>
  <c r="FO183" i="4" a="1"/>
  <c r="FO183" i="4" s="1"/>
  <c r="FM183" i="4" a="1"/>
  <c r="FM183" i="4" s="1"/>
  <c r="EU183" i="4" a="1"/>
  <c r="EU183" i="4" s="1"/>
  <c r="EO183" i="4" a="1"/>
  <c r="EO183" i="4" s="1"/>
  <c r="FL183" i="4" a="1"/>
  <c r="FL183" i="4" s="1"/>
  <c r="FN183" i="4" a="1"/>
  <c r="FN183" i="4" s="1"/>
  <c r="FR183" i="4" a="1"/>
  <c r="FR183" i="4" s="1"/>
  <c r="FP183" i="4" a="1"/>
  <c r="FP183" i="4" s="1"/>
  <c r="FY186" i="4" a="1"/>
  <c r="FY186" i="4" s="1"/>
  <c r="FW186" i="4" a="1"/>
  <c r="FW186" i="4" s="1"/>
  <c r="FU186" i="4" a="1"/>
  <c r="FU186" i="4" s="1"/>
  <c r="FS186" i="4" a="1"/>
  <c r="FS186" i="4" s="1"/>
  <c r="FT186" i="4" a="1"/>
  <c r="FT186" i="4" s="1"/>
  <c r="EV186" i="4" a="1"/>
  <c r="EV186" i="4" s="1"/>
  <c r="FX186" i="4" a="1"/>
  <c r="FX186" i="4" s="1"/>
  <c r="FV186" i="4" a="1"/>
  <c r="FV186" i="4" s="1"/>
  <c r="EP186" i="4" a="1"/>
  <c r="EP186" i="4" s="1"/>
  <c r="FK66" i="4" a="1"/>
  <c r="FK66" i="4" s="1"/>
  <c r="FI66" i="4" a="1"/>
  <c r="FI66" i="4" s="1"/>
  <c r="FG66" i="4" a="1"/>
  <c r="FG66" i="4" s="1"/>
  <c r="FE66" i="4" a="1"/>
  <c r="FE66" i="4" s="1"/>
  <c r="ES66" i="4" a="1"/>
  <c r="ES66" i="4" s="1"/>
  <c r="EM66" i="4" a="1"/>
  <c r="EM66" i="4" s="1"/>
  <c r="FJ66" i="4" a="1"/>
  <c r="FJ66" i="4" s="1"/>
  <c r="FH66" i="4" a="1"/>
  <c r="FH66" i="4" s="1"/>
  <c r="FF66" i="4" a="1"/>
  <c r="FF66" i="4" s="1"/>
  <c r="FC67" i="4" a="1"/>
  <c r="FC67" i="4" s="1"/>
  <c r="FA67" i="4" a="1"/>
  <c r="FA67" i="4" s="1"/>
  <c r="EY67" i="4" a="1"/>
  <c r="EY67" i="4" s="1"/>
  <c r="FD67" i="4" a="1"/>
  <c r="FD67" i="4" s="1"/>
  <c r="EX67" i="4" a="1"/>
  <c r="EX67" i="4" s="1"/>
  <c r="FB67" i="4" a="1"/>
  <c r="FB67" i="4" s="1"/>
  <c r="EL67" i="4" a="1"/>
  <c r="EL67" i="4" s="1"/>
  <c r="EZ67" i="4" a="1"/>
  <c r="EZ67" i="4" s="1"/>
  <c r="ER67" i="4" a="1"/>
  <c r="ER67" i="4" s="1"/>
  <c r="EQ68" i="4" a="1"/>
  <c r="EQ68" i="4" s="1"/>
  <c r="EK68" i="4" a="1"/>
  <c r="EK68" i="4" s="1"/>
  <c r="EQ69" i="4" a="1"/>
  <c r="EQ69" i="4" s="1"/>
  <c r="EK69" i="4" a="1"/>
  <c r="EK69" i="4" s="1"/>
  <c r="FQ70" i="4" a="1"/>
  <c r="FQ70" i="4" s="1"/>
  <c r="FO70" i="4" a="1"/>
  <c r="FO70" i="4" s="1"/>
  <c r="FM70" i="4" a="1"/>
  <c r="FM70" i="4" s="1"/>
  <c r="EU70" i="4" a="1"/>
  <c r="EU70" i="4" s="1"/>
  <c r="EO70" i="4" a="1"/>
  <c r="EO70" i="4" s="1"/>
  <c r="FP70" i="4" a="1"/>
  <c r="FP70" i="4" s="1"/>
  <c r="FR70" i="4" a="1"/>
  <c r="FR70" i="4" s="1"/>
  <c r="FN70" i="4" a="1"/>
  <c r="FN70" i="4" s="1"/>
  <c r="FL70" i="4" a="1"/>
  <c r="FL70" i="4" s="1"/>
  <c r="FK80" i="4" a="1"/>
  <c r="FK80" i="4" s="1"/>
  <c r="FI80" i="4" a="1"/>
  <c r="FI80" i="4" s="1"/>
  <c r="FG80" i="4" a="1"/>
  <c r="FG80" i="4" s="1"/>
  <c r="FE80" i="4" a="1"/>
  <c r="FE80" i="4" s="1"/>
  <c r="ES80" i="4" a="1"/>
  <c r="ES80" i="4" s="1"/>
  <c r="EM80" i="4" a="1"/>
  <c r="EM80" i="4" s="1"/>
  <c r="FJ80" i="4" a="1"/>
  <c r="FJ80" i="4" s="1"/>
  <c r="FH80" i="4" a="1"/>
  <c r="FH80" i="4" s="1"/>
  <c r="FF80" i="4" a="1"/>
  <c r="FF80" i="4" s="1"/>
  <c r="FC81" i="4" a="1"/>
  <c r="FC81" i="4" s="1"/>
  <c r="FA81" i="4" a="1"/>
  <c r="FA81" i="4" s="1"/>
  <c r="EY81" i="4" a="1"/>
  <c r="EY81" i="4" s="1"/>
  <c r="FD81" i="4" a="1"/>
  <c r="FD81" i="4" s="1"/>
  <c r="EX81" i="4" a="1"/>
  <c r="EX81" i="4" s="1"/>
  <c r="FB81" i="4" a="1"/>
  <c r="FB81" i="4" s="1"/>
  <c r="EL81" i="4" a="1"/>
  <c r="EL81" i="4" s="1"/>
  <c r="EZ81" i="4" a="1"/>
  <c r="EZ81" i="4" s="1"/>
  <c r="ER81" i="4" a="1"/>
  <c r="ER81" i="4" s="1"/>
  <c r="FC82" i="4" a="1"/>
  <c r="FC82" i="4" s="1"/>
  <c r="FA82" i="4" a="1"/>
  <c r="FA82" i="4" s="1"/>
  <c r="EY82" i="4" a="1"/>
  <c r="EY82" i="4" s="1"/>
  <c r="FD82" i="4" a="1"/>
  <c r="FD82" i="4" s="1"/>
  <c r="EX82" i="4" a="1"/>
  <c r="EX82" i="4" s="1"/>
  <c r="FB82" i="4" a="1"/>
  <c r="FB82" i="4" s="1"/>
  <c r="EL82" i="4" a="1"/>
  <c r="EL82" i="4" s="1"/>
  <c r="EZ82" i="4" a="1"/>
  <c r="EZ82" i="4" s="1"/>
  <c r="ER82" i="4" a="1"/>
  <c r="ER82" i="4" s="1"/>
  <c r="FC83" i="4" a="1"/>
  <c r="FC83" i="4" s="1"/>
  <c r="FA83" i="4" a="1"/>
  <c r="FA83" i="4" s="1"/>
  <c r="EY83" i="4" a="1"/>
  <c r="EY83" i="4" s="1"/>
  <c r="FD83" i="4" a="1"/>
  <c r="FD83" i="4" s="1"/>
  <c r="EX83" i="4" a="1"/>
  <c r="EX83" i="4" s="1"/>
  <c r="FB83" i="4" a="1"/>
  <c r="FB83" i="4" s="1"/>
  <c r="EL83" i="4" a="1"/>
  <c r="EL83" i="4" s="1"/>
  <c r="EZ83" i="4" a="1"/>
  <c r="EZ83" i="4" s="1"/>
  <c r="ER83" i="4" a="1"/>
  <c r="ER83" i="4" s="1"/>
  <c r="EQ84" i="4" a="1"/>
  <c r="EQ84" i="4" s="1"/>
  <c r="EK84" i="4" a="1"/>
  <c r="EK84" i="4" s="1"/>
  <c r="EQ85" i="4" a="1"/>
  <c r="EQ85" i="4" s="1"/>
  <c r="EK85" i="4" a="1"/>
  <c r="EK85" i="4" s="1"/>
  <c r="FQ86" i="4" a="1"/>
  <c r="FQ86" i="4" s="1"/>
  <c r="FO86" i="4" a="1"/>
  <c r="FO86" i="4" s="1"/>
  <c r="FM86" i="4" a="1"/>
  <c r="FM86" i="4" s="1"/>
  <c r="EU86" i="4" a="1"/>
  <c r="EU86" i="4" s="1"/>
  <c r="EO86" i="4" a="1"/>
  <c r="EO86" i="4" s="1"/>
  <c r="FP86" i="4" a="1"/>
  <c r="FP86" i="4" s="1"/>
  <c r="FR86" i="4" a="1"/>
  <c r="FR86" i="4" s="1"/>
  <c r="FN86" i="4" a="1"/>
  <c r="FN86" i="4" s="1"/>
  <c r="FL86" i="4" a="1"/>
  <c r="FL86" i="4" s="1"/>
  <c r="FY89" i="4" a="1"/>
  <c r="FY89" i="4" s="1"/>
  <c r="FW89" i="4" a="1"/>
  <c r="FW89" i="4" s="1"/>
  <c r="FU89" i="4" a="1"/>
  <c r="FU89" i="4" s="1"/>
  <c r="FS89" i="4" a="1"/>
  <c r="FS89" i="4" s="1"/>
  <c r="FV89" i="4" a="1"/>
  <c r="FV89" i="4" s="1"/>
  <c r="EP89" i="4" a="1"/>
  <c r="EP89" i="4" s="1"/>
  <c r="FX89" i="4" a="1"/>
  <c r="FX89" i="4" s="1"/>
  <c r="FT89" i="4" a="1"/>
  <c r="FT89" i="4" s="1"/>
  <c r="EV89" i="4" a="1"/>
  <c r="EV89" i="4" s="1"/>
  <c r="FK101" i="4" a="1"/>
  <c r="FK101" i="4" s="1"/>
  <c r="FI101" i="4" a="1"/>
  <c r="FI101" i="4" s="1"/>
  <c r="FG101" i="4" a="1"/>
  <c r="FG101" i="4" s="1"/>
  <c r="FE101" i="4" a="1"/>
  <c r="FE101" i="4" s="1"/>
  <c r="ES101" i="4" a="1"/>
  <c r="ES101" i="4" s="1"/>
  <c r="EM101" i="4" a="1"/>
  <c r="EM101" i="4" s="1"/>
  <c r="FJ101" i="4" a="1"/>
  <c r="FJ101" i="4" s="1"/>
  <c r="FH101" i="4" a="1"/>
  <c r="FH101" i="4" s="1"/>
  <c r="FF101" i="4" a="1"/>
  <c r="FF101" i="4" s="1"/>
  <c r="FC102" i="4" a="1"/>
  <c r="FC102" i="4" s="1"/>
  <c r="FA102" i="4" a="1"/>
  <c r="FA102" i="4" s="1"/>
  <c r="EY102" i="4" a="1"/>
  <c r="EY102" i="4" s="1"/>
  <c r="FD102" i="4" a="1"/>
  <c r="FD102" i="4" s="1"/>
  <c r="EX102" i="4" a="1"/>
  <c r="EX102" i="4" s="1"/>
  <c r="FB102" i="4" a="1"/>
  <c r="FB102" i="4" s="1"/>
  <c r="EL102" i="4" a="1"/>
  <c r="EL102" i="4" s="1"/>
  <c r="EZ102" i="4" a="1"/>
  <c r="EZ102" i="4" s="1"/>
  <c r="ER102" i="4" a="1"/>
  <c r="ER102" i="4" s="1"/>
  <c r="EQ103" i="4" a="1"/>
  <c r="EQ103" i="4" s="1"/>
  <c r="EK103" i="4" a="1"/>
  <c r="EK103" i="4" s="1"/>
  <c r="FQ104" i="4" a="1"/>
  <c r="FQ104" i="4" s="1"/>
  <c r="FO104" i="4" a="1"/>
  <c r="FO104" i="4" s="1"/>
  <c r="FM104" i="4" a="1"/>
  <c r="FM104" i="4" s="1"/>
  <c r="EU104" i="4" a="1"/>
  <c r="EU104" i="4" s="1"/>
  <c r="EO104" i="4" a="1"/>
  <c r="EO104" i="4" s="1"/>
  <c r="FP104" i="4" a="1"/>
  <c r="FP104" i="4" s="1"/>
  <c r="FR104" i="4" a="1"/>
  <c r="FR104" i="4" s="1"/>
  <c r="FN104" i="4" a="1"/>
  <c r="FN104" i="4" s="1"/>
  <c r="FL104" i="4" a="1"/>
  <c r="FL104" i="4" s="1"/>
  <c r="FY108" i="4" a="1"/>
  <c r="FY108" i="4" s="1"/>
  <c r="FW108" i="4" a="1"/>
  <c r="FW108" i="4" s="1"/>
  <c r="FU108" i="4" a="1"/>
  <c r="FU108" i="4" s="1"/>
  <c r="FS108" i="4" a="1"/>
  <c r="FS108" i="4" s="1"/>
  <c r="FV108" i="4" a="1"/>
  <c r="FV108" i="4" s="1"/>
  <c r="EP108" i="4" a="1"/>
  <c r="EP108" i="4" s="1"/>
  <c r="FX108" i="4" a="1"/>
  <c r="FX108" i="4" s="1"/>
  <c r="FT108" i="4" a="1"/>
  <c r="FT108" i="4" s="1"/>
  <c r="EV108" i="4" a="1"/>
  <c r="EV108" i="4" s="1"/>
  <c r="FK122" i="4" a="1"/>
  <c r="FK122" i="4" s="1"/>
  <c r="FI122" i="4" a="1"/>
  <c r="FI122" i="4" s="1"/>
  <c r="FG122" i="4" a="1"/>
  <c r="FG122" i="4" s="1"/>
  <c r="FE122" i="4" a="1"/>
  <c r="FE122" i="4" s="1"/>
  <c r="ES122" i="4" a="1"/>
  <c r="ES122" i="4" s="1"/>
  <c r="EM122" i="4" a="1"/>
  <c r="EM122" i="4" s="1"/>
  <c r="FJ122" i="4" a="1"/>
  <c r="FJ122" i="4" s="1"/>
  <c r="FH122" i="4" a="1"/>
  <c r="FH122" i="4" s="1"/>
  <c r="FF122" i="4" a="1"/>
  <c r="FF122" i="4" s="1"/>
  <c r="FK123" i="4" a="1"/>
  <c r="FK123" i="4" s="1"/>
  <c r="FI123" i="4" a="1"/>
  <c r="FI123" i="4" s="1"/>
  <c r="FG123" i="4" a="1"/>
  <c r="FG123" i="4" s="1"/>
  <c r="FE123" i="4" a="1"/>
  <c r="FE123" i="4" s="1"/>
  <c r="ES123" i="4" a="1"/>
  <c r="ES123" i="4" s="1"/>
  <c r="EM123" i="4" a="1"/>
  <c r="EM123" i="4" s="1"/>
  <c r="FJ123" i="4" a="1"/>
  <c r="FJ123" i="4" s="1"/>
  <c r="FH123" i="4" a="1"/>
  <c r="FH123" i="4" s="1"/>
  <c r="FF123" i="4" a="1"/>
  <c r="FF123" i="4" s="1"/>
  <c r="FC124" i="4" a="1"/>
  <c r="FC124" i="4" s="1"/>
  <c r="FA124" i="4" a="1"/>
  <c r="FA124" i="4" s="1"/>
  <c r="EY124" i="4" a="1"/>
  <c r="EY124" i="4" s="1"/>
  <c r="FD124" i="4" a="1"/>
  <c r="FD124" i="4" s="1"/>
  <c r="EX124" i="4" a="1"/>
  <c r="EX124" i="4" s="1"/>
  <c r="FB124" i="4" a="1"/>
  <c r="FB124" i="4" s="1"/>
  <c r="EL124" i="4" a="1"/>
  <c r="EL124" i="4" s="1"/>
  <c r="ER124" i="4" a="1"/>
  <c r="ER124" i="4" s="1"/>
  <c r="EZ124" i="4" a="1"/>
  <c r="EZ124" i="4" s="1"/>
  <c r="FC125" i="4" a="1"/>
  <c r="FC125" i="4" s="1"/>
  <c r="FA125" i="4" a="1"/>
  <c r="FA125" i="4" s="1"/>
  <c r="EY125" i="4" a="1"/>
  <c r="EY125" i="4" s="1"/>
  <c r="FD125" i="4" a="1"/>
  <c r="FD125" i="4" s="1"/>
  <c r="EX125" i="4" a="1"/>
  <c r="EX125" i="4" s="1"/>
  <c r="FB125" i="4" a="1"/>
  <c r="FB125" i="4" s="1"/>
  <c r="EL125" i="4" a="1"/>
  <c r="EL125" i="4" s="1"/>
  <c r="EZ125" i="4" a="1"/>
  <c r="EZ125" i="4" s="1"/>
  <c r="ER125" i="4" a="1"/>
  <c r="ER125" i="4" s="1"/>
  <c r="EQ126" i="4" a="1"/>
  <c r="EQ126" i="4" s="1"/>
  <c r="EK126" i="4" a="1"/>
  <c r="EK126" i="4" s="1"/>
  <c r="EQ127" i="4" a="1"/>
  <c r="EQ127" i="4" s="1"/>
  <c r="EK127" i="4" a="1"/>
  <c r="EK127" i="4" s="1"/>
  <c r="EQ128" i="4" a="1"/>
  <c r="EQ128" i="4" s="1"/>
  <c r="EK128" i="4" a="1"/>
  <c r="EK128" i="4" s="1"/>
  <c r="FQ129" i="4" a="1"/>
  <c r="FQ129" i="4" s="1"/>
  <c r="FO129" i="4" a="1"/>
  <c r="FO129" i="4" s="1"/>
  <c r="FM129" i="4" a="1"/>
  <c r="FM129" i="4" s="1"/>
  <c r="EU129" i="4" a="1"/>
  <c r="EU129" i="4" s="1"/>
  <c r="EO129" i="4" a="1"/>
  <c r="EO129" i="4" s="1"/>
  <c r="FP129" i="4" a="1"/>
  <c r="FP129" i="4" s="1"/>
  <c r="FR129" i="4" a="1"/>
  <c r="FR129" i="4" s="1"/>
  <c r="FN129" i="4" a="1"/>
  <c r="FN129" i="4" s="1"/>
  <c r="FL129" i="4" a="1"/>
  <c r="FL129" i="4" s="1"/>
  <c r="FY133" i="4" a="1"/>
  <c r="FY133" i="4" s="1"/>
  <c r="FW133" i="4" a="1"/>
  <c r="FW133" i="4" s="1"/>
  <c r="FU133" i="4" a="1"/>
  <c r="FU133" i="4" s="1"/>
  <c r="FS133" i="4" a="1"/>
  <c r="FS133" i="4" s="1"/>
  <c r="FV133" i="4" a="1"/>
  <c r="FV133" i="4" s="1"/>
  <c r="EP133" i="4" a="1"/>
  <c r="EP133" i="4" s="1"/>
  <c r="FX133" i="4" a="1"/>
  <c r="FX133" i="4" s="1"/>
  <c r="FT133" i="4" a="1"/>
  <c r="FT133" i="4" s="1"/>
  <c r="EV133" i="4" a="1"/>
  <c r="EV133" i="4" s="1"/>
  <c r="FY134" i="4" a="1"/>
  <c r="FY134" i="4" s="1"/>
  <c r="FW134" i="4" a="1"/>
  <c r="FW134" i="4" s="1"/>
  <c r="FU134" i="4" a="1"/>
  <c r="FU134" i="4" s="1"/>
  <c r="FS134" i="4" a="1"/>
  <c r="FS134" i="4" s="1"/>
  <c r="FV134" i="4" a="1"/>
  <c r="FV134" i="4" s="1"/>
  <c r="EP134" i="4" a="1"/>
  <c r="EP134" i="4" s="1"/>
  <c r="FX134" i="4" a="1"/>
  <c r="FX134" i="4" s="1"/>
  <c r="FT134" i="4" a="1"/>
  <c r="FT134" i="4" s="1"/>
  <c r="EV134" i="4" a="1"/>
  <c r="EV134" i="4" s="1"/>
  <c r="FK146" i="4" a="1"/>
  <c r="FK146" i="4" s="1"/>
  <c r="FI146" i="4" a="1"/>
  <c r="FI146" i="4" s="1"/>
  <c r="FG146" i="4" a="1"/>
  <c r="FG146" i="4" s="1"/>
  <c r="FE146" i="4" a="1"/>
  <c r="FE146" i="4" s="1"/>
  <c r="ES146" i="4" a="1"/>
  <c r="ES146" i="4" s="1"/>
  <c r="EM146" i="4" a="1"/>
  <c r="EM146" i="4" s="1"/>
  <c r="FJ146" i="4" a="1"/>
  <c r="FJ146" i="4" s="1"/>
  <c r="FH146" i="4" a="1"/>
  <c r="FH146" i="4" s="1"/>
  <c r="FF146" i="4" a="1"/>
  <c r="FF146" i="4" s="1"/>
  <c r="FK147" i="4" a="1"/>
  <c r="FK147" i="4" s="1"/>
  <c r="FI147" i="4" a="1"/>
  <c r="FI147" i="4" s="1"/>
  <c r="FG147" i="4" a="1"/>
  <c r="FG147" i="4" s="1"/>
  <c r="FE147" i="4" a="1"/>
  <c r="FE147" i="4" s="1"/>
  <c r="ES147" i="4" a="1"/>
  <c r="ES147" i="4" s="1"/>
  <c r="EM147" i="4" a="1"/>
  <c r="EM147" i="4" s="1"/>
  <c r="FJ147" i="4" a="1"/>
  <c r="FJ147" i="4" s="1"/>
  <c r="FH147" i="4" a="1"/>
  <c r="FH147" i="4" s="1"/>
  <c r="FF147" i="4" a="1"/>
  <c r="FF147" i="4" s="1"/>
  <c r="FC148" i="4" a="1"/>
  <c r="FC148" i="4" s="1"/>
  <c r="FA148" i="4" a="1"/>
  <c r="FA148" i="4" s="1"/>
  <c r="EY148" i="4" a="1"/>
  <c r="EY148" i="4" s="1"/>
  <c r="FD148" i="4" a="1"/>
  <c r="FD148" i="4" s="1"/>
  <c r="EX148" i="4" a="1"/>
  <c r="EX148" i="4" s="1"/>
  <c r="FB148" i="4" a="1"/>
  <c r="FB148" i="4" s="1"/>
  <c r="EL148" i="4" a="1"/>
  <c r="EL148" i="4" s="1"/>
  <c r="ER148" i="4" a="1"/>
  <c r="ER148" i="4" s="1"/>
  <c r="EZ148" i="4" a="1"/>
  <c r="EZ148" i="4" s="1"/>
  <c r="EQ149" i="4" a="1"/>
  <c r="EQ149" i="4" s="1"/>
  <c r="EK149" i="4" a="1"/>
  <c r="EK149" i="4" s="1"/>
  <c r="FQ150" i="4" a="1"/>
  <c r="FQ150" i="4" s="1"/>
  <c r="FO150" i="4" a="1"/>
  <c r="FO150" i="4" s="1"/>
  <c r="FM150" i="4" a="1"/>
  <c r="FM150" i="4" s="1"/>
  <c r="EU150" i="4" a="1"/>
  <c r="EU150" i="4" s="1"/>
  <c r="EO150" i="4" a="1"/>
  <c r="EO150" i="4" s="1"/>
  <c r="FP150" i="4" a="1"/>
  <c r="FP150" i="4" s="1"/>
  <c r="FR150" i="4" a="1"/>
  <c r="FR150" i="4" s="1"/>
  <c r="FN150" i="4" a="1"/>
  <c r="FN150" i="4" s="1"/>
  <c r="FL150" i="4" a="1"/>
  <c r="FL150" i="4" s="1"/>
  <c r="FY153" i="4" a="1"/>
  <c r="FY153" i="4" s="1"/>
  <c r="FW153" i="4" a="1"/>
  <c r="FW153" i="4" s="1"/>
  <c r="FU153" i="4" a="1"/>
  <c r="FU153" i="4" s="1"/>
  <c r="FS153" i="4" a="1"/>
  <c r="FS153" i="4" s="1"/>
  <c r="FV153" i="4" a="1"/>
  <c r="FV153" i="4" s="1"/>
  <c r="EP153" i="4" a="1"/>
  <c r="EP153" i="4" s="1"/>
  <c r="FX153" i="4" a="1"/>
  <c r="FX153" i="4" s="1"/>
  <c r="FT153" i="4" a="1"/>
  <c r="FT153" i="4" s="1"/>
  <c r="EV153" i="4" a="1"/>
  <c r="EV153" i="4" s="1"/>
  <c r="FK160" i="4" a="1"/>
  <c r="FK160" i="4" s="1"/>
  <c r="FI160" i="4" a="1"/>
  <c r="FI160" i="4" s="1"/>
  <c r="FG160" i="4" a="1"/>
  <c r="FG160" i="4" s="1"/>
  <c r="FE160" i="4" a="1"/>
  <c r="FE160" i="4" s="1"/>
  <c r="ES160" i="4" a="1"/>
  <c r="ES160" i="4" s="1"/>
  <c r="EM160" i="4" a="1"/>
  <c r="EM160" i="4" s="1"/>
  <c r="FJ160" i="4" a="1"/>
  <c r="FJ160" i="4" s="1"/>
  <c r="FH160" i="4" a="1"/>
  <c r="FH160" i="4" s="1"/>
  <c r="FF160" i="4" a="1"/>
  <c r="FF160" i="4" s="1"/>
  <c r="FK161" i="4" a="1"/>
  <c r="FK161" i="4" s="1"/>
  <c r="FI161" i="4" a="1"/>
  <c r="FI161" i="4" s="1"/>
  <c r="FG161" i="4" a="1"/>
  <c r="FG161" i="4" s="1"/>
  <c r="FE161" i="4" a="1"/>
  <c r="FE161" i="4" s="1"/>
  <c r="ES161" i="4" a="1"/>
  <c r="ES161" i="4" s="1"/>
  <c r="EM161" i="4" a="1"/>
  <c r="EM161" i="4" s="1"/>
  <c r="FJ161" i="4" a="1"/>
  <c r="FJ161" i="4" s="1"/>
  <c r="FH161" i="4" a="1"/>
  <c r="FH161" i="4" s="1"/>
  <c r="FF161" i="4" a="1"/>
  <c r="FF161" i="4" s="1"/>
  <c r="FC162" i="4" a="1"/>
  <c r="FC162" i="4" s="1"/>
  <c r="FA162" i="4" a="1"/>
  <c r="FA162" i="4" s="1"/>
  <c r="EY162" i="4" a="1"/>
  <c r="EY162" i="4" s="1"/>
  <c r="FD162" i="4" a="1"/>
  <c r="FD162" i="4" s="1"/>
  <c r="EX162" i="4" a="1"/>
  <c r="EX162" i="4" s="1"/>
  <c r="FB162" i="4" a="1"/>
  <c r="FB162" i="4" s="1"/>
  <c r="EL162" i="4" a="1"/>
  <c r="EL162" i="4" s="1"/>
  <c r="ER162" i="4" a="1"/>
  <c r="ER162" i="4" s="1"/>
  <c r="EZ162" i="4" a="1"/>
  <c r="EZ162" i="4" s="1"/>
  <c r="FC163" i="4" a="1"/>
  <c r="FC163" i="4" s="1"/>
  <c r="FA163" i="4" a="1"/>
  <c r="FA163" i="4" s="1"/>
  <c r="EY163" i="4" a="1"/>
  <c r="EY163" i="4" s="1"/>
  <c r="FD163" i="4" a="1"/>
  <c r="FD163" i="4" s="1"/>
  <c r="EX163" i="4" a="1"/>
  <c r="EX163" i="4" s="1"/>
  <c r="FB163" i="4" a="1"/>
  <c r="FB163" i="4" s="1"/>
  <c r="EL163" i="4" a="1"/>
  <c r="EL163" i="4" s="1"/>
  <c r="EZ163" i="4" a="1"/>
  <c r="EZ163" i="4" s="1"/>
  <c r="ER163" i="4" a="1"/>
  <c r="ER163" i="4" s="1"/>
  <c r="EQ164" i="4" a="1"/>
  <c r="EQ164" i="4" s="1"/>
  <c r="EK164" i="4" a="1"/>
  <c r="EK164" i="4" s="1"/>
  <c r="FQ165" i="4" a="1"/>
  <c r="FQ165" i="4" s="1"/>
  <c r="FO165" i="4" a="1"/>
  <c r="FO165" i="4" s="1"/>
  <c r="FM165" i="4" a="1"/>
  <c r="FM165" i="4" s="1"/>
  <c r="EU165" i="4" a="1"/>
  <c r="EU165" i="4" s="1"/>
  <c r="EO165" i="4" a="1"/>
  <c r="EO165" i="4" s="1"/>
  <c r="FP165" i="4" a="1"/>
  <c r="FP165" i="4" s="1"/>
  <c r="FR165" i="4" a="1"/>
  <c r="FR165" i="4" s="1"/>
  <c r="FN165" i="4" a="1"/>
  <c r="FN165" i="4" s="1"/>
  <c r="FL165" i="4" a="1"/>
  <c r="FL165" i="4" s="1"/>
  <c r="FY169" i="4" a="1"/>
  <c r="FY169" i="4" s="1"/>
  <c r="FW169" i="4" a="1"/>
  <c r="FW169" i="4" s="1"/>
  <c r="FU169" i="4" a="1"/>
  <c r="FU169" i="4" s="1"/>
  <c r="FS169" i="4" a="1"/>
  <c r="FS169" i="4" s="1"/>
  <c r="FV169" i="4" a="1"/>
  <c r="FV169" i="4" s="1"/>
  <c r="EP169" i="4" a="1"/>
  <c r="EP169" i="4" s="1"/>
  <c r="FX169" i="4" a="1"/>
  <c r="FX169" i="4" s="1"/>
  <c r="FT169" i="4" a="1"/>
  <c r="FT169" i="4" s="1"/>
  <c r="EV169" i="4" a="1"/>
  <c r="EV169" i="4" s="1"/>
  <c r="FK178" i="4" a="1"/>
  <c r="FK178" i="4" s="1"/>
  <c r="FI178" i="4" a="1"/>
  <c r="FI178" i="4" s="1"/>
  <c r="FG178" i="4" a="1"/>
  <c r="FG178" i="4" s="1"/>
  <c r="FE178" i="4" a="1"/>
  <c r="FE178" i="4" s="1"/>
  <c r="ES178" i="4" a="1"/>
  <c r="ES178" i="4" s="1"/>
  <c r="EM178" i="4" a="1"/>
  <c r="EM178" i="4" s="1"/>
  <c r="FJ178" i="4" a="1"/>
  <c r="FJ178" i="4" s="1"/>
  <c r="FH178" i="4" a="1"/>
  <c r="FH178" i="4" s="1"/>
  <c r="FF178" i="4" a="1"/>
  <c r="FF178" i="4" s="1"/>
  <c r="FK179" i="4" a="1"/>
  <c r="FK179" i="4" s="1"/>
  <c r="FI179" i="4" a="1"/>
  <c r="FI179" i="4" s="1"/>
  <c r="FG179" i="4" a="1"/>
  <c r="FG179" i="4" s="1"/>
  <c r="FE179" i="4" a="1"/>
  <c r="FE179" i="4" s="1"/>
  <c r="ES179" i="4" a="1"/>
  <c r="ES179" i="4" s="1"/>
  <c r="EM179" i="4" a="1"/>
  <c r="EM179" i="4" s="1"/>
  <c r="FJ179" i="4" a="1"/>
  <c r="FJ179" i="4" s="1"/>
  <c r="FH179" i="4" a="1"/>
  <c r="FH179" i="4" s="1"/>
  <c r="FF179" i="4" a="1"/>
  <c r="FF179" i="4" s="1"/>
  <c r="FC180" i="4" a="1"/>
  <c r="FC180" i="4" s="1"/>
  <c r="FA180" i="4" a="1"/>
  <c r="FA180" i="4" s="1"/>
  <c r="EY180" i="4" a="1"/>
  <c r="EY180" i="4" s="1"/>
  <c r="FD180" i="4" a="1"/>
  <c r="FD180" i="4" s="1"/>
  <c r="EX180" i="4" a="1"/>
  <c r="EX180" i="4" s="1"/>
  <c r="FB180" i="4" a="1"/>
  <c r="FB180" i="4" s="1"/>
  <c r="EL180" i="4" a="1"/>
  <c r="EL180" i="4" s="1"/>
  <c r="ER180" i="4" a="1"/>
  <c r="ER180" i="4" s="1"/>
  <c r="EZ180" i="4" a="1"/>
  <c r="EZ180" i="4" s="1"/>
  <c r="EQ181" i="4" a="1"/>
  <c r="EQ181" i="4" s="1"/>
  <c r="EK181" i="4" a="1"/>
  <c r="EK181" i="4" s="1"/>
  <c r="FK182" i="4" a="1"/>
  <c r="FK182" i="4" s="1"/>
  <c r="FI182" i="4" a="1"/>
  <c r="FI182" i="4" s="1"/>
  <c r="FG182" i="4" a="1"/>
  <c r="FG182" i="4" s="1"/>
  <c r="FE182" i="4" a="1"/>
  <c r="FE182" i="4" s="1"/>
  <c r="ES182" i="4" a="1"/>
  <c r="ES182" i="4" s="1"/>
  <c r="EM182" i="4" a="1"/>
  <c r="EM182" i="4" s="1"/>
  <c r="FJ182" i="4" a="1"/>
  <c r="FJ182" i="4" s="1"/>
  <c r="FH182" i="4" a="1"/>
  <c r="FH182" i="4" s="1"/>
  <c r="FF182" i="4" a="1"/>
  <c r="FF182" i="4" s="1"/>
  <c r="FY184" i="4" a="1"/>
  <c r="FY184" i="4" s="1"/>
  <c r="FW184" i="4" a="1"/>
  <c r="FW184" i="4" s="1"/>
  <c r="FU184" i="4" a="1"/>
  <c r="FU184" i="4" s="1"/>
  <c r="FS184" i="4" a="1"/>
  <c r="FS184" i="4" s="1"/>
  <c r="FV184" i="4" a="1"/>
  <c r="FV184" i="4" s="1"/>
  <c r="EP184" i="4" a="1"/>
  <c r="EP184" i="4" s="1"/>
  <c r="FX184" i="4" a="1"/>
  <c r="FX184" i="4" s="1"/>
  <c r="FT184" i="4" a="1"/>
  <c r="FT184" i="4" s="1"/>
  <c r="EV184" i="4" a="1"/>
  <c r="EV184" i="4" s="1"/>
  <c r="FK67" i="4" a="1"/>
  <c r="FK67" i="4" s="1"/>
  <c r="FI67" i="4" a="1"/>
  <c r="FI67" i="4" s="1"/>
  <c r="FG67" i="4" a="1"/>
  <c r="FG67" i="4" s="1"/>
  <c r="FE67" i="4" a="1"/>
  <c r="FE67" i="4" s="1"/>
  <c r="ES67" i="4" a="1"/>
  <c r="ES67" i="4" s="1"/>
  <c r="EM67" i="4" a="1"/>
  <c r="EM67" i="4" s="1"/>
  <c r="FF67" i="4" a="1"/>
  <c r="FF67" i="4" s="1"/>
  <c r="FJ67" i="4" a="1"/>
  <c r="FJ67" i="4" s="1"/>
  <c r="FH67" i="4" a="1"/>
  <c r="FH67" i="4" s="1"/>
  <c r="FC68" i="4" a="1"/>
  <c r="FC68" i="4" s="1"/>
  <c r="FA68" i="4" a="1"/>
  <c r="FA68" i="4" s="1"/>
  <c r="EY68" i="4" a="1"/>
  <c r="EY68" i="4" s="1"/>
  <c r="EX68" i="4" a="1"/>
  <c r="EX68" i="4" s="1"/>
  <c r="EZ68" i="4" a="1"/>
  <c r="EZ68" i="4" s="1"/>
  <c r="ER68" i="4" a="1"/>
  <c r="ER68" i="4" s="1"/>
  <c r="FD68" i="4" a="1"/>
  <c r="FD68" i="4" s="1"/>
  <c r="FB68" i="4" a="1"/>
  <c r="FB68" i="4" s="1"/>
  <c r="EL68" i="4" a="1"/>
  <c r="EL68" i="4" s="1"/>
  <c r="FC69" i="4" a="1"/>
  <c r="FC69" i="4" s="1"/>
  <c r="FA69" i="4" a="1"/>
  <c r="FA69" i="4" s="1"/>
  <c r="EY69" i="4" a="1"/>
  <c r="EY69" i="4" s="1"/>
  <c r="EX69" i="4" a="1"/>
  <c r="EX69" i="4" s="1"/>
  <c r="EZ69" i="4" a="1"/>
  <c r="EZ69" i="4" s="1"/>
  <c r="ER69" i="4" a="1"/>
  <c r="ER69" i="4" s="1"/>
  <c r="FD69" i="4" a="1"/>
  <c r="FD69" i="4" s="1"/>
  <c r="EL69" i="4" a="1"/>
  <c r="EL69" i="4" s="1"/>
  <c r="FB69" i="4" a="1"/>
  <c r="FB69" i="4" s="1"/>
  <c r="EQ70" i="4" a="1"/>
  <c r="EQ70" i="4" s="1"/>
  <c r="EK70" i="4" a="1"/>
  <c r="EK70" i="4" s="1"/>
  <c r="EQ71" i="4" a="1"/>
  <c r="EQ71" i="4" s="1"/>
  <c r="EK71" i="4" a="1"/>
  <c r="EK71" i="4" s="1"/>
  <c r="FQ72" i="4" a="1"/>
  <c r="FQ72" i="4" s="1"/>
  <c r="FO72" i="4" a="1"/>
  <c r="FO72" i="4" s="1"/>
  <c r="FM72" i="4" a="1"/>
  <c r="FM72" i="4" s="1"/>
  <c r="EU72" i="4" a="1"/>
  <c r="EU72" i="4" s="1"/>
  <c r="EO72" i="4" a="1"/>
  <c r="EO72" i="4" s="1"/>
  <c r="FR72" i="4" a="1"/>
  <c r="FR72" i="4" s="1"/>
  <c r="FL72" i="4" a="1"/>
  <c r="FL72" i="4" s="1"/>
  <c r="FP72" i="4" a="1"/>
  <c r="FP72" i="4" s="1"/>
  <c r="FN72" i="4" a="1"/>
  <c r="FN72" i="4" s="1"/>
  <c r="FK88" i="4" a="1"/>
  <c r="FK88" i="4" s="1"/>
  <c r="FI88" i="4" a="1"/>
  <c r="FI88" i="4" s="1"/>
  <c r="FG88" i="4" a="1"/>
  <c r="FG88" i="4" s="1"/>
  <c r="FE88" i="4" a="1"/>
  <c r="FE88" i="4" s="1"/>
  <c r="ES88" i="4" a="1"/>
  <c r="ES88" i="4" s="1"/>
  <c r="EM88" i="4" a="1"/>
  <c r="EM88" i="4" s="1"/>
  <c r="FF88" i="4" a="1"/>
  <c r="FF88" i="4" s="1"/>
  <c r="FJ88" i="4" a="1"/>
  <c r="FJ88" i="4" s="1"/>
  <c r="FH88" i="4" a="1"/>
  <c r="FH88" i="4" s="1"/>
  <c r="FC89" i="4" a="1"/>
  <c r="FC89" i="4" s="1"/>
  <c r="FA89" i="4" a="1"/>
  <c r="FA89" i="4" s="1"/>
  <c r="EY89" i="4" a="1"/>
  <c r="EY89" i="4" s="1"/>
  <c r="EX89" i="4" a="1"/>
  <c r="EX89" i="4" s="1"/>
  <c r="EZ89" i="4" a="1"/>
  <c r="EZ89" i="4" s="1"/>
  <c r="ER89" i="4" a="1"/>
  <c r="ER89" i="4" s="1"/>
  <c r="FD89" i="4" a="1"/>
  <c r="FD89" i="4" s="1"/>
  <c r="FB89" i="4" a="1"/>
  <c r="FB89" i="4" s="1"/>
  <c r="EL89" i="4" a="1"/>
  <c r="EL89" i="4" s="1"/>
  <c r="EQ90" i="4" a="1"/>
  <c r="EQ90" i="4" s="1"/>
  <c r="EK90" i="4" a="1"/>
  <c r="EK90" i="4" s="1"/>
  <c r="FQ91" i="4" a="1"/>
  <c r="FQ91" i="4" s="1"/>
  <c r="FO91" i="4" a="1"/>
  <c r="FO91" i="4" s="1"/>
  <c r="FM91" i="4" a="1"/>
  <c r="FM91" i="4" s="1"/>
  <c r="EU91" i="4" a="1"/>
  <c r="EU91" i="4" s="1"/>
  <c r="EO91" i="4" a="1"/>
  <c r="EO91" i="4" s="1"/>
  <c r="FR91" i="4" a="1"/>
  <c r="FR91" i="4" s="1"/>
  <c r="FL91" i="4" a="1"/>
  <c r="FL91" i="4" s="1"/>
  <c r="FP91" i="4" a="1"/>
  <c r="FP91" i="4" s="1"/>
  <c r="FN91" i="4" a="1"/>
  <c r="FN91" i="4" s="1"/>
  <c r="FK102" i="4" a="1"/>
  <c r="FK102" i="4" s="1"/>
  <c r="FI102" i="4" a="1"/>
  <c r="FI102" i="4" s="1"/>
  <c r="FG102" i="4" a="1"/>
  <c r="FG102" i="4" s="1"/>
  <c r="FE102" i="4" a="1"/>
  <c r="FE102" i="4" s="1"/>
  <c r="ES102" i="4" a="1"/>
  <c r="ES102" i="4" s="1"/>
  <c r="EM102" i="4" a="1"/>
  <c r="EM102" i="4" s="1"/>
  <c r="FF102" i="4" a="1"/>
  <c r="FF102" i="4" s="1"/>
  <c r="FJ102" i="4" a="1"/>
  <c r="FJ102" i="4" s="1"/>
  <c r="FH102" i="4" a="1"/>
  <c r="FH102" i="4" s="1"/>
  <c r="FC103" i="4" a="1"/>
  <c r="FC103" i="4" s="1"/>
  <c r="FA103" i="4" a="1"/>
  <c r="FA103" i="4" s="1"/>
  <c r="EY103" i="4" a="1"/>
  <c r="EY103" i="4" s="1"/>
  <c r="EX103" i="4" a="1"/>
  <c r="EX103" i="4" s="1"/>
  <c r="EZ103" i="4" a="1"/>
  <c r="EZ103" i="4" s="1"/>
  <c r="ER103" i="4" a="1"/>
  <c r="ER103" i="4" s="1"/>
  <c r="FD103" i="4" a="1"/>
  <c r="FD103" i="4" s="1"/>
  <c r="EL103" i="4" a="1"/>
  <c r="EL103" i="4" s="1"/>
  <c r="FB103" i="4" a="1"/>
  <c r="FB103" i="4" s="1"/>
  <c r="EQ104" i="4" a="1"/>
  <c r="EQ104" i="4" s="1"/>
  <c r="EK104" i="4" a="1"/>
  <c r="EK104" i="4" s="1"/>
  <c r="FQ105" i="4" a="1"/>
  <c r="FQ105" i="4" s="1"/>
  <c r="FO105" i="4" a="1"/>
  <c r="FO105" i="4" s="1"/>
  <c r="FM105" i="4" a="1"/>
  <c r="FM105" i="4" s="1"/>
  <c r="EU105" i="4" a="1"/>
  <c r="EU105" i="4" s="1"/>
  <c r="EO105" i="4" a="1"/>
  <c r="EO105" i="4" s="1"/>
  <c r="FR105" i="4" a="1"/>
  <c r="FR105" i="4" s="1"/>
  <c r="FL105" i="4" a="1"/>
  <c r="FL105" i="4" s="1"/>
  <c r="FP105" i="4" a="1"/>
  <c r="FP105" i="4" s="1"/>
  <c r="FN105" i="4" a="1"/>
  <c r="FN105" i="4" s="1"/>
  <c r="FY109" i="4" a="1"/>
  <c r="FY109" i="4" s="1"/>
  <c r="FW109" i="4" a="1"/>
  <c r="FW109" i="4" s="1"/>
  <c r="FU109" i="4" a="1"/>
  <c r="FU109" i="4" s="1"/>
  <c r="FS109" i="4" a="1"/>
  <c r="FS109" i="4" s="1"/>
  <c r="FX109" i="4" a="1"/>
  <c r="FX109" i="4" s="1"/>
  <c r="FV109" i="4" a="1"/>
  <c r="FV109" i="4" s="1"/>
  <c r="EP109" i="4" a="1"/>
  <c r="EP109" i="4" s="1"/>
  <c r="EV109" i="4" a="1"/>
  <c r="EV109" i="4" s="1"/>
  <c r="FT109" i="4" a="1"/>
  <c r="FT109" i="4" s="1"/>
  <c r="FQ116" i="4" a="1"/>
  <c r="FQ116" i="4" s="1"/>
  <c r="FO116" i="4" a="1"/>
  <c r="FO116" i="4" s="1"/>
  <c r="FM116" i="4" a="1"/>
  <c r="FM116" i="4" s="1"/>
  <c r="EU116" i="4" a="1"/>
  <c r="EU116" i="4" s="1"/>
  <c r="EO116" i="4" a="1"/>
  <c r="EO116" i="4" s="1"/>
  <c r="FR116" i="4" a="1"/>
  <c r="FR116" i="4" s="1"/>
  <c r="FL116" i="4" a="1"/>
  <c r="FL116" i="4" s="1"/>
  <c r="FP116" i="4" a="1"/>
  <c r="FP116" i="4" s="1"/>
  <c r="FN116" i="4" a="1"/>
  <c r="FN116" i="4" s="1"/>
  <c r="FY121" i="4" a="1"/>
  <c r="FY121" i="4" s="1"/>
  <c r="FW121" i="4" a="1"/>
  <c r="FW121" i="4" s="1"/>
  <c r="FU121" i="4" a="1"/>
  <c r="FU121" i="4" s="1"/>
  <c r="FS121" i="4" a="1"/>
  <c r="FS121" i="4" s="1"/>
  <c r="FX121" i="4" a="1"/>
  <c r="FX121" i="4" s="1"/>
  <c r="FV121" i="4" a="1"/>
  <c r="FV121" i="4" s="1"/>
  <c r="EP121" i="4" a="1"/>
  <c r="EP121" i="4" s="1"/>
  <c r="FT121" i="4" a="1"/>
  <c r="FT121" i="4" s="1"/>
  <c r="EV121" i="4" a="1"/>
  <c r="EV121" i="4" s="1"/>
  <c r="FK131" i="4" a="1"/>
  <c r="FK131" i="4" s="1"/>
  <c r="FI131" i="4" a="1"/>
  <c r="FI131" i="4" s="1"/>
  <c r="FG131" i="4" a="1"/>
  <c r="FG131" i="4" s="1"/>
  <c r="FE131" i="4" a="1"/>
  <c r="FE131" i="4" s="1"/>
  <c r="ES131" i="4" a="1"/>
  <c r="ES131" i="4" s="1"/>
  <c r="EM131" i="4" a="1"/>
  <c r="EM131" i="4" s="1"/>
  <c r="FF131" i="4" a="1"/>
  <c r="FF131" i="4" s="1"/>
  <c r="FJ131" i="4" a="1"/>
  <c r="FJ131" i="4" s="1"/>
  <c r="FH131" i="4" a="1"/>
  <c r="FH131" i="4" s="1"/>
  <c r="FK132" i="4" a="1"/>
  <c r="FK132" i="4" s="1"/>
  <c r="FI132" i="4" a="1"/>
  <c r="FI132" i="4" s="1"/>
  <c r="FG132" i="4" a="1"/>
  <c r="FG132" i="4" s="1"/>
  <c r="FE132" i="4" a="1"/>
  <c r="FE132" i="4" s="1"/>
  <c r="ES132" i="4" a="1"/>
  <c r="ES132" i="4" s="1"/>
  <c r="EM132" i="4" a="1"/>
  <c r="EM132" i="4" s="1"/>
  <c r="FF132" i="4" a="1"/>
  <c r="FF132" i="4" s="1"/>
  <c r="FJ132" i="4" a="1"/>
  <c r="FJ132" i="4" s="1"/>
  <c r="FH132" i="4" a="1"/>
  <c r="FH132" i="4" s="1"/>
  <c r="FC133" i="4" a="1"/>
  <c r="FC133" i="4" s="1"/>
  <c r="FA133" i="4" a="1"/>
  <c r="FA133" i="4" s="1"/>
  <c r="EY133" i="4" a="1"/>
  <c r="EY133" i="4" s="1"/>
  <c r="EX133" i="4" a="1"/>
  <c r="EX133" i="4" s="1"/>
  <c r="EZ133" i="4" a="1"/>
  <c r="EZ133" i="4" s="1"/>
  <c r="ER133" i="4" a="1"/>
  <c r="ER133" i="4" s="1"/>
  <c r="FD133" i="4" a="1"/>
  <c r="FD133" i="4" s="1"/>
  <c r="EL133" i="4" a="1"/>
  <c r="EL133" i="4" s="1"/>
  <c r="FB133" i="4" a="1"/>
  <c r="FB133" i="4" s="1"/>
  <c r="FC134" i="4" a="1"/>
  <c r="FC134" i="4" s="1"/>
  <c r="FA134" i="4" a="1"/>
  <c r="FA134" i="4" s="1"/>
  <c r="EY134" i="4" a="1"/>
  <c r="EY134" i="4" s="1"/>
  <c r="EX134" i="4" a="1"/>
  <c r="EX134" i="4" s="1"/>
  <c r="EZ134" i="4" a="1"/>
  <c r="EZ134" i="4" s="1"/>
  <c r="ER134" i="4" a="1"/>
  <c r="ER134" i="4" s="1"/>
  <c r="FD134" i="4" a="1"/>
  <c r="FD134" i="4" s="1"/>
  <c r="FB134" i="4" a="1"/>
  <c r="FB134" i="4" s="1"/>
  <c r="EL134" i="4" a="1"/>
  <c r="EL134" i="4" s="1"/>
  <c r="EQ135" i="4" a="1"/>
  <c r="EQ135" i="4" s="1"/>
  <c r="EK135" i="4" a="1"/>
  <c r="EK135" i="4" s="1"/>
  <c r="FQ136" i="4" a="1"/>
  <c r="FQ136" i="4" s="1"/>
  <c r="FO136" i="4" a="1"/>
  <c r="FO136" i="4" s="1"/>
  <c r="FM136" i="4" a="1"/>
  <c r="FM136" i="4" s="1"/>
  <c r="EU136" i="4" a="1"/>
  <c r="EU136" i="4" s="1"/>
  <c r="EO136" i="4" a="1"/>
  <c r="EO136" i="4" s="1"/>
  <c r="FR136" i="4" a="1"/>
  <c r="FR136" i="4" s="1"/>
  <c r="FL136" i="4" a="1"/>
  <c r="FL136" i="4" s="1"/>
  <c r="FP136" i="4" a="1"/>
  <c r="FP136" i="4" s="1"/>
  <c r="FN136" i="4" a="1"/>
  <c r="FN136" i="4" s="1"/>
  <c r="FY139" i="4" a="1"/>
  <c r="FY139" i="4" s="1"/>
  <c r="FW139" i="4" a="1"/>
  <c r="FW139" i="4" s="1"/>
  <c r="FU139" i="4" a="1"/>
  <c r="FU139" i="4" s="1"/>
  <c r="FS139" i="4" a="1"/>
  <c r="FS139" i="4" s="1"/>
  <c r="FX139" i="4" a="1"/>
  <c r="FX139" i="4" s="1"/>
  <c r="FV139" i="4" a="1"/>
  <c r="FV139" i="4" s="1"/>
  <c r="EP139" i="4" a="1"/>
  <c r="EP139" i="4" s="1"/>
  <c r="FT139" i="4" a="1"/>
  <c r="FT139" i="4" s="1"/>
  <c r="EV139" i="4" a="1"/>
  <c r="EV139" i="4" s="1"/>
  <c r="FK143" i="4" a="1"/>
  <c r="FK143" i="4" s="1"/>
  <c r="FI143" i="4" a="1"/>
  <c r="FI143" i="4" s="1"/>
  <c r="FG143" i="4" a="1"/>
  <c r="FG143" i="4" s="1"/>
  <c r="FE143" i="4" a="1"/>
  <c r="FE143" i="4" s="1"/>
  <c r="ES143" i="4" a="1"/>
  <c r="ES143" i="4" s="1"/>
  <c r="EM143" i="4" a="1"/>
  <c r="EM143" i="4" s="1"/>
  <c r="FF143" i="4" a="1"/>
  <c r="FF143" i="4" s="1"/>
  <c r="FJ143" i="4" a="1"/>
  <c r="FJ143" i="4" s="1"/>
  <c r="FH143" i="4" a="1"/>
  <c r="FH143" i="4" s="1"/>
  <c r="FC144" i="4" a="1"/>
  <c r="FC144" i="4" s="1"/>
  <c r="FA144" i="4" a="1"/>
  <c r="FA144" i="4" s="1"/>
  <c r="EY144" i="4" a="1"/>
  <c r="EY144" i="4" s="1"/>
  <c r="EX144" i="4" a="1"/>
  <c r="EX144" i="4" s="1"/>
  <c r="EZ144" i="4" a="1"/>
  <c r="EZ144" i="4" s="1"/>
  <c r="ER144" i="4" a="1"/>
  <c r="ER144" i="4" s="1"/>
  <c r="FD144" i="4" a="1"/>
  <c r="FD144" i="4" s="1"/>
  <c r="FB144" i="4" a="1"/>
  <c r="FB144" i="4" s="1"/>
  <c r="EL144" i="4" a="1"/>
  <c r="EL144" i="4" s="1"/>
  <c r="EQ145" i="4" a="1"/>
  <c r="EQ145" i="4" s="1"/>
  <c r="EK145" i="4" a="1"/>
  <c r="EK145" i="4" s="1"/>
  <c r="FQ146" i="4" a="1"/>
  <c r="FQ146" i="4" s="1"/>
  <c r="FO146" i="4" a="1"/>
  <c r="FO146" i="4" s="1"/>
  <c r="FM146" i="4" a="1"/>
  <c r="FM146" i="4" s="1"/>
  <c r="EU146" i="4" a="1"/>
  <c r="EU146" i="4" s="1"/>
  <c r="EO146" i="4" a="1"/>
  <c r="EO146" i="4" s="1"/>
  <c r="FR146" i="4" a="1"/>
  <c r="FR146" i="4" s="1"/>
  <c r="FL146" i="4" a="1"/>
  <c r="FL146" i="4" s="1"/>
  <c r="FP146" i="4" a="1"/>
  <c r="FP146" i="4" s="1"/>
  <c r="FN146" i="4" a="1"/>
  <c r="FN146" i="4" s="1"/>
  <c r="FK157" i="4" a="1"/>
  <c r="FK157" i="4" s="1"/>
  <c r="FI157" i="4" a="1"/>
  <c r="FI157" i="4" s="1"/>
  <c r="FG157" i="4" a="1"/>
  <c r="FG157" i="4" s="1"/>
  <c r="FE157" i="4" a="1"/>
  <c r="FE157" i="4" s="1"/>
  <c r="ES157" i="4" a="1"/>
  <c r="ES157" i="4" s="1"/>
  <c r="EM157" i="4" a="1"/>
  <c r="EM157" i="4" s="1"/>
  <c r="FF157" i="4" a="1"/>
  <c r="FF157" i="4" s="1"/>
  <c r="FJ157" i="4" a="1"/>
  <c r="FJ157" i="4" s="1"/>
  <c r="FH157" i="4" a="1"/>
  <c r="FH157" i="4" s="1"/>
  <c r="FC158" i="4" a="1"/>
  <c r="FC158" i="4" s="1"/>
  <c r="FA158" i="4" a="1"/>
  <c r="FA158" i="4" s="1"/>
  <c r="EY158" i="4" a="1"/>
  <c r="EY158" i="4" s="1"/>
  <c r="EX158" i="4" a="1"/>
  <c r="EX158" i="4" s="1"/>
  <c r="EZ158" i="4" a="1"/>
  <c r="EZ158" i="4" s="1"/>
  <c r="ER158" i="4" a="1"/>
  <c r="ER158" i="4" s="1"/>
  <c r="FD158" i="4" a="1"/>
  <c r="FD158" i="4" s="1"/>
  <c r="FB158" i="4" a="1"/>
  <c r="FB158" i="4" s="1"/>
  <c r="EL158" i="4" a="1"/>
  <c r="EL158" i="4" s="1"/>
  <c r="EQ159" i="4" a="1"/>
  <c r="EQ159" i="4" s="1"/>
  <c r="EK159" i="4" a="1"/>
  <c r="EK159" i="4" s="1"/>
  <c r="FQ160" i="4" a="1"/>
  <c r="FQ160" i="4" s="1"/>
  <c r="FO160" i="4" a="1"/>
  <c r="FO160" i="4" s="1"/>
  <c r="FM160" i="4" a="1"/>
  <c r="FM160" i="4" s="1"/>
  <c r="EU160" i="4" a="1"/>
  <c r="EU160" i="4" s="1"/>
  <c r="EO160" i="4" a="1"/>
  <c r="EO160" i="4" s="1"/>
  <c r="FR160" i="4" a="1"/>
  <c r="FR160" i="4" s="1"/>
  <c r="FL160" i="4" a="1"/>
  <c r="FL160" i="4" s="1"/>
  <c r="FP160" i="4" a="1"/>
  <c r="FP160" i="4" s="1"/>
  <c r="FN160" i="4" a="1"/>
  <c r="FN160" i="4" s="1"/>
  <c r="FK168" i="4" a="1"/>
  <c r="FK168" i="4" s="1"/>
  <c r="FI168" i="4" a="1"/>
  <c r="FI168" i="4" s="1"/>
  <c r="FG168" i="4" a="1"/>
  <c r="FG168" i="4" s="1"/>
  <c r="FE168" i="4" a="1"/>
  <c r="FE168" i="4" s="1"/>
  <c r="ES168" i="4" a="1"/>
  <c r="ES168" i="4" s="1"/>
  <c r="EM168" i="4" a="1"/>
  <c r="EM168" i="4" s="1"/>
  <c r="FF168" i="4" a="1"/>
  <c r="FF168" i="4" s="1"/>
  <c r="FJ168" i="4" a="1"/>
  <c r="FJ168" i="4" s="1"/>
  <c r="FH168" i="4" a="1"/>
  <c r="FH168" i="4" s="1"/>
  <c r="FC169" i="4" a="1"/>
  <c r="FC169" i="4" s="1"/>
  <c r="FA169" i="4" a="1"/>
  <c r="FA169" i="4" s="1"/>
  <c r="EY169" i="4" a="1"/>
  <c r="EY169" i="4" s="1"/>
  <c r="EX169" i="4" a="1"/>
  <c r="EX169" i="4" s="1"/>
  <c r="EZ169" i="4" a="1"/>
  <c r="EZ169" i="4" s="1"/>
  <c r="ER169" i="4" a="1"/>
  <c r="ER169" i="4" s="1"/>
  <c r="FD169" i="4" a="1"/>
  <c r="FD169" i="4" s="1"/>
  <c r="EL169" i="4" a="1"/>
  <c r="EL169" i="4" s="1"/>
  <c r="FB169" i="4" a="1"/>
  <c r="FB169" i="4" s="1"/>
  <c r="EQ170" i="4" a="1"/>
  <c r="EQ170" i="4" s="1"/>
  <c r="EK170" i="4" a="1"/>
  <c r="EK170" i="4" s="1"/>
  <c r="FQ171" i="4" a="1"/>
  <c r="FQ171" i="4" s="1"/>
  <c r="FO171" i="4" a="1"/>
  <c r="FO171" i="4" s="1"/>
  <c r="FM171" i="4" a="1"/>
  <c r="FM171" i="4" s="1"/>
  <c r="EU171" i="4" a="1"/>
  <c r="EU171" i="4" s="1"/>
  <c r="EO171" i="4" a="1"/>
  <c r="EO171" i="4" s="1"/>
  <c r="FR171" i="4" a="1"/>
  <c r="FR171" i="4" s="1"/>
  <c r="FL171" i="4" a="1"/>
  <c r="FL171" i="4" s="1"/>
  <c r="FP171" i="4" a="1"/>
  <c r="FP171" i="4" s="1"/>
  <c r="FN171" i="4" a="1"/>
  <c r="FN171" i="4" s="1"/>
  <c r="FY176" i="4" a="1"/>
  <c r="FY176" i="4" s="1"/>
  <c r="FW176" i="4" a="1"/>
  <c r="FW176" i="4" s="1"/>
  <c r="FU176" i="4" a="1"/>
  <c r="FU176" i="4" s="1"/>
  <c r="FS176" i="4" a="1"/>
  <c r="FS176" i="4" s="1"/>
  <c r="FX176" i="4" a="1"/>
  <c r="FX176" i="4" s="1"/>
  <c r="FV176" i="4" a="1"/>
  <c r="FV176" i="4" s="1"/>
  <c r="EP176" i="4" a="1"/>
  <c r="EP176" i="4" s="1"/>
  <c r="EV176" i="4" a="1"/>
  <c r="EV176" i="4" s="1"/>
  <c r="FT176" i="4" a="1"/>
  <c r="FT176" i="4" s="1"/>
  <c r="FY177" i="4" a="1"/>
  <c r="FY177" i="4" s="1"/>
  <c r="FW177" i="4" a="1"/>
  <c r="FW177" i="4" s="1"/>
  <c r="FU177" i="4" a="1"/>
  <c r="FU177" i="4" s="1"/>
  <c r="FS177" i="4" a="1"/>
  <c r="FS177" i="4" s="1"/>
  <c r="FX177" i="4" a="1"/>
  <c r="FX177" i="4" s="1"/>
  <c r="FV177" i="4" a="1"/>
  <c r="FV177" i="4" s="1"/>
  <c r="EP177" i="4" a="1"/>
  <c r="EP177" i="4" s="1"/>
  <c r="FT177" i="4" a="1"/>
  <c r="FT177" i="4" s="1"/>
  <c r="EV177" i="4" a="1"/>
  <c r="EV177" i="4" s="1"/>
  <c r="FK183" i="4" a="1"/>
  <c r="FK183" i="4" s="1"/>
  <c r="FI183" i="4" a="1"/>
  <c r="FI183" i="4" s="1"/>
  <c r="FG183" i="4" a="1"/>
  <c r="FG183" i="4" s="1"/>
  <c r="FE183" i="4" a="1"/>
  <c r="FE183" i="4" s="1"/>
  <c r="ES183" i="4" a="1"/>
  <c r="ES183" i="4" s="1"/>
  <c r="EM183" i="4" a="1"/>
  <c r="EM183" i="4" s="1"/>
  <c r="FF183" i="4" a="1"/>
  <c r="FF183" i="4" s="1"/>
  <c r="FJ183" i="4" a="1"/>
  <c r="FJ183" i="4" s="1"/>
  <c r="FH183" i="4" a="1"/>
  <c r="FH183" i="4" s="1"/>
  <c r="FC184" i="4" a="1"/>
  <c r="FC184" i="4" s="1"/>
  <c r="FA184" i="4" a="1"/>
  <c r="FA184" i="4" s="1"/>
  <c r="EY184" i="4" a="1"/>
  <c r="EY184" i="4" s="1"/>
  <c r="EX184" i="4" a="1"/>
  <c r="EX184" i="4" s="1"/>
  <c r="EZ184" i="4" a="1"/>
  <c r="EZ184" i="4" s="1"/>
  <c r="ER184" i="4" a="1"/>
  <c r="ER184" i="4" s="1"/>
  <c r="FD184" i="4" a="1"/>
  <c r="FD184" i="4" s="1"/>
  <c r="FB184" i="4" a="1"/>
  <c r="FB184" i="4" s="1"/>
  <c r="EL184" i="4" a="1"/>
  <c r="EL184" i="4" s="1"/>
  <c r="EQ185" i="4" a="1"/>
  <c r="EQ185" i="4" s="1"/>
  <c r="EK185" i="4" a="1"/>
  <c r="EK185" i="4" s="1"/>
  <c r="FQ186" i="4" a="1"/>
  <c r="FQ186" i="4" s="1"/>
  <c r="FO186" i="4" a="1"/>
  <c r="FO186" i="4" s="1"/>
  <c r="FM186" i="4" a="1"/>
  <c r="FM186" i="4" s="1"/>
  <c r="EU186" i="4" a="1"/>
  <c r="EU186" i="4" s="1"/>
  <c r="EO186" i="4" a="1"/>
  <c r="EO186" i="4" s="1"/>
  <c r="FR186" i="4" a="1"/>
  <c r="FR186" i="4" s="1"/>
  <c r="FL186" i="4" a="1"/>
  <c r="FL186" i="4" s="1"/>
  <c r="FP186" i="4" a="1"/>
  <c r="FP186" i="4" s="1"/>
  <c r="FN186" i="4" a="1"/>
  <c r="FN186" i="4" s="1"/>
  <c r="FY189" i="4" a="1"/>
  <c r="FY189" i="4" s="1"/>
  <c r="FW189" i="4" a="1"/>
  <c r="FW189" i="4" s="1"/>
  <c r="FU189" i="4" a="1"/>
  <c r="FU189" i="4" s="1"/>
  <c r="FS189" i="4" a="1"/>
  <c r="FS189" i="4" s="1"/>
  <c r="FX189" i="4" a="1"/>
  <c r="FX189" i="4" s="1"/>
  <c r="FV189" i="4" a="1"/>
  <c r="FV189" i="4" s="1"/>
  <c r="EP189" i="4" a="1"/>
  <c r="EP189" i="4" s="1"/>
  <c r="FT189" i="4" a="1"/>
  <c r="FT189" i="4" s="1"/>
  <c r="EV189" i="4" a="1"/>
  <c r="EV189" i="4" s="1"/>
  <c r="ET213" i="4" a="1"/>
  <c r="ET213" i="4" s="1"/>
  <c r="EN213" i="4" a="1"/>
  <c r="EN213" i="4" s="1"/>
  <c r="FC171" i="4" a="1"/>
  <c r="FC171" i="4" s="1"/>
  <c r="FA171" i="4" a="1"/>
  <c r="FA171" i="4" s="1"/>
  <c r="EY171" i="4" a="1"/>
  <c r="EY171" i="4" s="1"/>
  <c r="FB171" i="4" a="1"/>
  <c r="FB171" i="4" s="1"/>
  <c r="EL171" i="4" a="1"/>
  <c r="EL171" i="4" s="1"/>
  <c r="FD171" i="4" a="1"/>
  <c r="FD171" i="4" s="1"/>
  <c r="EZ171" i="4" a="1"/>
  <c r="EZ171" i="4" s="1"/>
  <c r="ER171" i="4" a="1"/>
  <c r="ER171" i="4" s="1"/>
  <c r="EX171" i="4" a="1"/>
  <c r="EX171" i="4" s="1"/>
  <c r="FY124" i="4" a="1"/>
  <c r="FY124" i="4" s="1"/>
  <c r="FW124" i="4" a="1"/>
  <c r="FW124" i="4" s="1"/>
  <c r="FU124" i="4" a="1"/>
  <c r="FU124" i="4" s="1"/>
  <c r="FS124" i="4" a="1"/>
  <c r="FS124" i="4" s="1"/>
  <c r="FT124" i="4" a="1"/>
  <c r="FT124" i="4" s="1"/>
  <c r="EV124" i="4" a="1"/>
  <c r="EV124" i="4" s="1"/>
  <c r="FV124" i="4" a="1"/>
  <c r="FV124" i="4" s="1"/>
  <c r="EP124" i="4" a="1"/>
  <c r="EP124" i="4" s="1"/>
  <c r="FX124" i="4" a="1"/>
  <c r="FX124" i="4" s="1"/>
  <c r="FY107" i="4" a="1"/>
  <c r="FY107" i="4" s="1"/>
  <c r="FW107" i="4" a="1"/>
  <c r="FW107" i="4" s="1"/>
  <c r="FU107" i="4" a="1"/>
  <c r="FU107" i="4" s="1"/>
  <c r="FS107" i="4" a="1"/>
  <c r="FS107" i="4" s="1"/>
  <c r="FT107" i="4" a="1"/>
  <c r="FT107" i="4" s="1"/>
  <c r="EV107" i="4" a="1"/>
  <c r="EV107" i="4" s="1"/>
  <c r="FV107" i="4" a="1"/>
  <c r="FV107" i="4" s="1"/>
  <c r="EP107" i="4" a="1"/>
  <c r="EP107" i="4" s="1"/>
  <c r="FX107" i="4" a="1"/>
  <c r="FX107" i="4" s="1"/>
  <c r="FQ89" i="4" a="1"/>
  <c r="FQ89" i="4" s="1"/>
  <c r="FO89" i="4" a="1"/>
  <c r="FO89" i="4" s="1"/>
  <c r="FM89" i="4" a="1"/>
  <c r="FM89" i="4" s="1"/>
  <c r="EU89" i="4" a="1"/>
  <c r="EU89" i="4" s="1"/>
  <c r="EO89" i="4" a="1"/>
  <c r="EO89" i="4" s="1"/>
  <c r="FN89" i="4" a="1"/>
  <c r="FN89" i="4" s="1"/>
  <c r="FP89" i="4" a="1"/>
  <c r="FP89" i="4" s="1"/>
  <c r="FL89" i="4" a="1"/>
  <c r="FL89" i="4" s="1"/>
  <c r="FR89" i="4" a="1"/>
  <c r="FR89" i="4" s="1"/>
  <c r="FC73" i="4" a="1"/>
  <c r="FC73" i="4" s="1"/>
  <c r="FA73" i="4" a="1"/>
  <c r="FA73" i="4" s="1"/>
  <c r="EY73" i="4" a="1"/>
  <c r="EY73" i="4" s="1"/>
  <c r="FB73" i="4" a="1"/>
  <c r="FB73" i="4" s="1"/>
  <c r="EL73" i="4" a="1"/>
  <c r="EL73" i="4" s="1"/>
  <c r="FD73" i="4" a="1"/>
  <c r="FD73" i="4" s="1"/>
  <c r="EZ73" i="4" a="1"/>
  <c r="EZ73" i="4" s="1"/>
  <c r="ER73" i="4" a="1"/>
  <c r="ER73" i="4" s="1"/>
  <c r="EX73" i="4" a="1"/>
  <c r="EX73" i="4" s="1"/>
  <c r="EJ25" i="4" a="1"/>
  <c r="EJ25" i="4" s="1"/>
  <c r="FB33" i="4" a="1"/>
  <c r="FB33" i="4" s="1"/>
  <c r="EL33" i="4" a="1"/>
  <c r="EL33" i="4" s="1"/>
  <c r="FD33" i="4" a="1"/>
  <c r="FD33" i="4" s="1"/>
  <c r="EY33" i="4" a="1"/>
  <c r="EY33" i="4" s="1"/>
  <c r="FC33" i="4" a="1"/>
  <c r="FC33" i="4" s="1"/>
  <c r="EZ33" i="4" a="1"/>
  <c r="EZ33" i="4" s="1"/>
  <c r="ER33" i="4" a="1"/>
  <c r="ER33" i="4" s="1"/>
  <c r="FA33" i="4" a="1"/>
  <c r="FA33" i="4" s="1"/>
  <c r="EX33" i="4" a="1"/>
  <c r="EX33" i="4" s="1"/>
  <c r="FB37" i="4" a="1"/>
  <c r="FB37" i="4" s="1"/>
  <c r="EL37" i="4" a="1"/>
  <c r="EL37" i="4" s="1"/>
  <c r="FD37" i="4" a="1"/>
  <c r="FD37" i="4" s="1"/>
  <c r="EY37" i="4" a="1"/>
  <c r="EY37" i="4" s="1"/>
  <c r="FC37" i="4" a="1"/>
  <c r="FC37" i="4" s="1"/>
  <c r="EZ37" i="4" a="1"/>
  <c r="EZ37" i="4" s="1"/>
  <c r="ER37" i="4" a="1"/>
  <c r="ER37" i="4" s="1"/>
  <c r="FA37" i="4" a="1"/>
  <c r="FA37" i="4" s="1"/>
  <c r="EX37" i="4" a="1"/>
  <c r="EX37" i="4" s="1"/>
  <c r="FW45" i="4" a="1"/>
  <c r="FW45" i="4" s="1"/>
  <c r="FT45" i="4" a="1"/>
  <c r="FT45" i="4" s="1"/>
  <c r="EV45" i="4" a="1"/>
  <c r="EV45" i="4" s="1"/>
  <c r="FY45" i="4" a="1"/>
  <c r="FY45" i="4" s="1"/>
  <c r="FV45" i="4" a="1"/>
  <c r="FV45" i="4" s="1"/>
  <c r="EP45" i="4" a="1"/>
  <c r="EP45" i="4" s="1"/>
  <c r="FU45" i="4" a="1"/>
  <c r="FU45" i="4" s="1"/>
  <c r="FX45" i="4" a="1"/>
  <c r="FX45" i="4" s="1"/>
  <c r="FS45" i="4" a="1"/>
  <c r="FS45" i="4" s="1"/>
  <c r="FR53" i="4" a="1"/>
  <c r="FR53" i="4" s="1"/>
  <c r="FP53" i="4" a="1"/>
  <c r="FP53" i="4" s="1"/>
  <c r="FN53" i="4" a="1"/>
  <c r="FN53" i="4" s="1"/>
  <c r="FL53" i="4" a="1"/>
  <c r="FL53" i="4" s="1"/>
  <c r="FQ53" i="4" a="1"/>
  <c r="FQ53" i="4" s="1"/>
  <c r="EU53" i="4" a="1"/>
  <c r="EU53" i="4" s="1"/>
  <c r="FO53" i="4" a="1"/>
  <c r="FO53" i="4" s="1"/>
  <c r="FM53" i="4" a="1"/>
  <c r="FM53" i="4" s="1"/>
  <c r="EO53" i="4" a="1"/>
  <c r="EO53" i="4" s="1"/>
  <c r="FR57" i="4" a="1"/>
  <c r="FR57" i="4" s="1"/>
  <c r="FP57" i="4" a="1"/>
  <c r="FP57" i="4" s="1"/>
  <c r="FN57" i="4" a="1"/>
  <c r="FN57" i="4" s="1"/>
  <c r="FL57" i="4" a="1"/>
  <c r="FL57" i="4" s="1"/>
  <c r="FQ57" i="4" a="1"/>
  <c r="FQ57" i="4" s="1"/>
  <c r="EU57" i="4" a="1"/>
  <c r="EU57" i="4" s="1"/>
  <c r="FO57" i="4" a="1"/>
  <c r="FO57" i="4" s="1"/>
  <c r="FM57" i="4" a="1"/>
  <c r="FM57" i="4" s="1"/>
  <c r="EO57" i="4" a="1"/>
  <c r="EO57" i="4" s="1"/>
  <c r="FC66" i="4" a="1"/>
  <c r="FC66" i="4" s="1"/>
  <c r="FA66" i="4" a="1"/>
  <c r="FA66" i="4" s="1"/>
  <c r="EY66" i="4" a="1"/>
  <c r="EY66" i="4" s="1"/>
  <c r="FB66" i="4" a="1"/>
  <c r="FB66" i="4" s="1"/>
  <c r="EL66" i="4" a="1"/>
  <c r="EL66" i="4" s="1"/>
  <c r="FD66" i="4" a="1"/>
  <c r="FD66" i="4" s="1"/>
  <c r="EZ66" i="4" a="1"/>
  <c r="EZ66" i="4" s="1"/>
  <c r="ER66" i="4" a="1"/>
  <c r="ER66" i="4" s="1"/>
  <c r="EX66" i="4" a="1"/>
  <c r="EX66" i="4" s="1"/>
  <c r="EW92" i="4" a="1"/>
  <c r="EW92" i="4" s="1"/>
  <c r="FK104" i="4" a="1"/>
  <c r="FK104" i="4" s="1"/>
  <c r="FI104" i="4" a="1"/>
  <c r="FI104" i="4" s="1"/>
  <c r="FG104" i="4" a="1"/>
  <c r="FG104" i="4" s="1"/>
  <c r="FE104" i="4" a="1"/>
  <c r="FE104" i="4" s="1"/>
  <c r="ES104" i="4" a="1"/>
  <c r="ES104" i="4" s="1"/>
  <c r="EM104" i="4" a="1"/>
  <c r="EM104" i="4" s="1"/>
  <c r="FH104" i="4" a="1"/>
  <c r="FH104" i="4" s="1"/>
  <c r="FJ104" i="4" a="1"/>
  <c r="FJ104" i="4" s="1"/>
  <c r="FF104" i="4" a="1"/>
  <c r="FF104" i="4" s="1"/>
  <c r="FQ134" i="4" a="1"/>
  <c r="FQ134" i="4" s="1"/>
  <c r="FO134" i="4" a="1"/>
  <c r="FO134" i="4" s="1"/>
  <c r="FM134" i="4" a="1"/>
  <c r="FM134" i="4" s="1"/>
  <c r="EU134" i="4" a="1"/>
  <c r="EU134" i="4" s="1"/>
  <c r="EO134" i="4" a="1"/>
  <c r="EO134" i="4" s="1"/>
  <c r="FN134" i="4" a="1"/>
  <c r="FN134" i="4" s="1"/>
  <c r="FP134" i="4" a="1"/>
  <c r="FP134" i="4" s="1"/>
  <c r="FL134" i="4" a="1"/>
  <c r="FL134" i="4" s="1"/>
  <c r="FR134" i="4" a="1"/>
  <c r="FR134" i="4" s="1"/>
  <c r="EW178" i="4" a="1"/>
  <c r="EW178" i="4" s="1"/>
  <c r="FC182" i="4" a="1"/>
  <c r="FC182" i="4" s="1"/>
  <c r="FA182" i="4" a="1"/>
  <c r="FA182" i="4" s="1"/>
  <c r="EY182" i="4" a="1"/>
  <c r="EY182" i="4" s="1"/>
  <c r="FB182" i="4" a="1"/>
  <c r="FB182" i="4" s="1"/>
  <c r="EL182" i="4" a="1"/>
  <c r="EL182" i="4" s="1"/>
  <c r="FD182" i="4" a="1"/>
  <c r="FD182" i="4" s="1"/>
  <c r="EZ182" i="4" a="1"/>
  <c r="EZ182" i="4" s="1"/>
  <c r="ER182" i="4" a="1"/>
  <c r="ER182" i="4" s="1"/>
  <c r="EX182" i="4" a="1"/>
  <c r="EX182" i="4" s="1"/>
  <c r="FC186" i="4" a="1"/>
  <c r="FC186" i="4" s="1"/>
  <c r="FA186" i="4" a="1"/>
  <c r="FA186" i="4" s="1"/>
  <c r="EY186" i="4" a="1"/>
  <c r="EY186" i="4" s="1"/>
  <c r="FB186" i="4" a="1"/>
  <c r="FB186" i="4" s="1"/>
  <c r="EL186" i="4" a="1"/>
  <c r="EL186" i="4" s="1"/>
  <c r="FD186" i="4" a="1"/>
  <c r="FD186" i="4" s="1"/>
  <c r="EZ186" i="4" a="1"/>
  <c r="EZ186" i="4" s="1"/>
  <c r="ER186" i="4" a="1"/>
  <c r="ER186" i="4" s="1"/>
  <c r="EX186" i="4" a="1"/>
  <c r="EX186" i="4" s="1"/>
  <c r="EQ210" i="4" a="1"/>
  <c r="EQ210" i="4" s="1"/>
  <c r="EK210" i="4" a="1"/>
  <c r="EK210" i="4" s="1"/>
  <c r="ET238" i="4" a="1"/>
  <c r="ET238" i="4" s="1"/>
  <c r="EN238" i="4" a="1"/>
  <c r="EN238" i="4" s="1"/>
  <c r="EQ247" i="4" a="1"/>
  <c r="EQ247" i="4" s="1"/>
  <c r="EK247" i="4" a="1"/>
  <c r="EK247" i="4" s="1"/>
  <c r="EW255" i="4" a="1"/>
  <c r="EW255" i="4" s="1"/>
  <c r="FH6" i="4" a="1"/>
  <c r="FH6" i="4" s="1"/>
  <c r="FE6" i="4" a="1"/>
  <c r="FE6" i="4" s="1"/>
  <c r="FJ6" i="4" a="1"/>
  <c r="FJ6" i="4" s="1"/>
  <c r="FG6" i="4" a="1"/>
  <c r="FG6" i="4" s="1"/>
  <c r="FK6" i="4" a="1"/>
  <c r="FK6" i="4" s="1"/>
  <c r="FF6" i="4" a="1"/>
  <c r="FF6" i="4" s="1"/>
  <c r="EM6" i="4" a="1"/>
  <c r="EM6" i="4" s="1"/>
  <c r="FI6" i="4" a="1"/>
  <c r="FI6" i="4" s="1"/>
  <c r="ES6" i="4" a="1"/>
  <c r="ES6" i="4" s="1"/>
  <c r="FH10" i="4" a="1"/>
  <c r="FH10" i="4" s="1"/>
  <c r="FE10" i="4" a="1"/>
  <c r="FE10" i="4" s="1"/>
  <c r="FJ10" i="4" a="1"/>
  <c r="FJ10" i="4" s="1"/>
  <c r="FG10" i="4" a="1"/>
  <c r="FG10" i="4" s="1"/>
  <c r="FK10" i="4" a="1"/>
  <c r="FK10" i="4" s="1"/>
  <c r="FF10" i="4" a="1"/>
  <c r="FF10" i="4" s="1"/>
  <c r="EM10" i="4" a="1"/>
  <c r="EM10" i="4" s="1"/>
  <c r="FI10" i="4" a="1"/>
  <c r="FI10" i="4" s="1"/>
  <c r="ES10" i="4" a="1"/>
  <c r="ES10" i="4" s="1"/>
  <c r="FH14" i="4" a="1"/>
  <c r="FH14" i="4" s="1"/>
  <c r="FE14" i="4" a="1"/>
  <c r="FE14" i="4" s="1"/>
  <c r="FJ14" i="4" a="1"/>
  <c r="FJ14" i="4" s="1"/>
  <c r="FG14" i="4" a="1"/>
  <c r="FG14" i="4" s="1"/>
  <c r="FK14" i="4" a="1"/>
  <c r="FK14" i="4" s="1"/>
  <c r="FF14" i="4" a="1"/>
  <c r="FF14" i="4" s="1"/>
  <c r="EM14" i="4" a="1"/>
  <c r="EM14" i="4" s="1"/>
  <c r="FI14" i="4" a="1"/>
  <c r="FI14" i="4" s="1"/>
  <c r="ES14" i="4" a="1"/>
  <c r="ES14" i="4" s="1"/>
  <c r="FH18" i="4" a="1"/>
  <c r="FH18" i="4" s="1"/>
  <c r="FE18" i="4" a="1"/>
  <c r="FE18" i="4" s="1"/>
  <c r="FJ18" i="4" a="1"/>
  <c r="FJ18" i="4" s="1"/>
  <c r="FG18" i="4" a="1"/>
  <c r="FG18" i="4" s="1"/>
  <c r="FK18" i="4" a="1"/>
  <c r="FK18" i="4" s="1"/>
  <c r="FF18" i="4" a="1"/>
  <c r="FF18" i="4" s="1"/>
  <c r="EM18" i="4" a="1"/>
  <c r="EM18" i="4" s="1"/>
  <c r="FI18" i="4" a="1"/>
  <c r="FI18" i="4" s="1"/>
  <c r="ES18" i="4" a="1"/>
  <c r="ES18" i="4" s="1"/>
  <c r="FH22" i="4" a="1"/>
  <c r="FH22" i="4" s="1"/>
  <c r="FE22" i="4" a="1"/>
  <c r="FE22" i="4" s="1"/>
  <c r="FJ22" i="4" a="1"/>
  <c r="FJ22" i="4" s="1"/>
  <c r="FG22" i="4" a="1"/>
  <c r="FG22" i="4" s="1"/>
  <c r="FK22" i="4" a="1"/>
  <c r="FK22" i="4" s="1"/>
  <c r="FF22" i="4" a="1"/>
  <c r="FF22" i="4" s="1"/>
  <c r="EM22" i="4" a="1"/>
  <c r="EM22" i="4" s="1"/>
  <c r="FI22" i="4" a="1"/>
  <c r="FI22" i="4" s="1"/>
  <c r="ES22" i="4" a="1"/>
  <c r="ES22" i="4" s="1"/>
  <c r="FB43" i="4" a="1"/>
  <c r="FB43" i="4" s="1"/>
  <c r="EL43" i="4" a="1"/>
  <c r="EL43" i="4" s="1"/>
  <c r="FD43" i="4" a="1"/>
  <c r="FD43" i="4" s="1"/>
  <c r="EY43" i="4" a="1"/>
  <c r="EY43" i="4" s="1"/>
  <c r="FC43" i="4" a="1"/>
  <c r="FC43" i="4" s="1"/>
  <c r="EZ43" i="4" a="1"/>
  <c r="EZ43" i="4" s="1"/>
  <c r="ER43" i="4" a="1"/>
  <c r="ER43" i="4" s="1"/>
  <c r="EX43" i="4" a="1"/>
  <c r="EX43" i="4" s="1"/>
  <c r="FA43" i="4" a="1"/>
  <c r="FA43" i="4" s="1"/>
  <c r="ET50" i="4" a="1"/>
  <c r="ET50" i="4" s="1"/>
  <c r="EN50" i="4" a="1"/>
  <c r="EN50" i="4" s="1"/>
  <c r="FY62" i="4" a="1"/>
  <c r="FY62" i="4" s="1"/>
  <c r="FW62" i="4" a="1"/>
  <c r="FW62" i="4" s="1"/>
  <c r="FU62" i="4" a="1"/>
  <c r="FU62" i="4" s="1"/>
  <c r="FS62" i="4" a="1"/>
  <c r="FS62" i="4" s="1"/>
  <c r="FT62" i="4" a="1"/>
  <c r="FT62" i="4" s="1"/>
  <c r="EV62" i="4" a="1"/>
  <c r="EV62" i="4" s="1"/>
  <c r="FV62" i="4" a="1"/>
  <c r="FV62" i="4" s="1"/>
  <c r="EP62" i="4" a="1"/>
  <c r="EP62" i="4" s="1"/>
  <c r="FX62" i="4" a="1"/>
  <c r="FX62" i="4" s="1"/>
  <c r="EQ67" i="4" a="1"/>
  <c r="EQ67" i="4" s="1"/>
  <c r="EK67" i="4" a="1"/>
  <c r="EK67" i="4" s="1"/>
  <c r="FQ85" i="4" a="1"/>
  <c r="FQ85" i="4" s="1"/>
  <c r="FO85" i="4" a="1"/>
  <c r="FO85" i="4" s="1"/>
  <c r="FM85" i="4" a="1"/>
  <c r="FM85" i="4" s="1"/>
  <c r="EU85" i="4" a="1"/>
  <c r="EU85" i="4" s="1"/>
  <c r="EO85" i="4" a="1"/>
  <c r="EO85" i="4" s="1"/>
  <c r="FN85" i="4" a="1"/>
  <c r="FN85" i="4" s="1"/>
  <c r="FP85" i="4" a="1"/>
  <c r="FP85" i="4" s="1"/>
  <c r="FL85" i="4" a="1"/>
  <c r="FL85" i="4" s="1"/>
  <c r="FR85" i="4" a="1"/>
  <c r="FR85" i="4" s="1"/>
  <c r="FY93" i="4" a="1"/>
  <c r="FY93" i="4" s="1"/>
  <c r="FW93" i="4" a="1"/>
  <c r="FW93" i="4" s="1"/>
  <c r="FU93" i="4" a="1"/>
  <c r="FU93" i="4" s="1"/>
  <c r="FS93" i="4" a="1"/>
  <c r="FS93" i="4" s="1"/>
  <c r="FT93" i="4" a="1"/>
  <c r="FT93" i="4" s="1"/>
  <c r="EV93" i="4" a="1"/>
  <c r="EV93" i="4" s="1"/>
  <c r="FV93" i="4" a="1"/>
  <c r="FV93" i="4" s="1"/>
  <c r="EP93" i="4" a="1"/>
  <c r="EP93" i="4" s="1"/>
  <c r="FX93" i="4" a="1"/>
  <c r="FX93" i="4" s="1"/>
  <c r="EQ98" i="4" a="1"/>
  <c r="EQ98" i="4" s="1"/>
  <c r="EK98" i="4" a="1"/>
  <c r="EK98" i="4" s="1"/>
  <c r="FY102" i="4" a="1"/>
  <c r="FY102" i="4" s="1"/>
  <c r="FW102" i="4" a="1"/>
  <c r="FW102" i="4" s="1"/>
  <c r="FU102" i="4" a="1"/>
  <c r="FU102" i="4" s="1"/>
  <c r="FS102" i="4" a="1"/>
  <c r="FS102" i="4" s="1"/>
  <c r="FT102" i="4" a="1"/>
  <c r="FT102" i="4" s="1"/>
  <c r="EV102" i="4" a="1"/>
  <c r="EV102" i="4" s="1"/>
  <c r="FV102" i="4" a="1"/>
  <c r="FV102" i="4" s="1"/>
  <c r="EP102" i="4" a="1"/>
  <c r="EP102" i="4" s="1"/>
  <c r="FX102" i="4" a="1"/>
  <c r="FX102" i="4" s="1"/>
  <c r="EQ112" i="4" a="1"/>
  <c r="EQ112" i="4" s="1"/>
  <c r="EK112" i="4" a="1"/>
  <c r="EK112" i="4" s="1"/>
  <c r="EW116" i="4" a="1"/>
  <c r="EW116" i="4" s="1"/>
  <c r="FK121" i="4" a="1"/>
  <c r="FK121" i="4" s="1"/>
  <c r="FI121" i="4" a="1"/>
  <c r="FI121" i="4" s="1"/>
  <c r="FG121" i="4" a="1"/>
  <c r="FG121" i="4" s="1"/>
  <c r="FE121" i="4" a="1"/>
  <c r="FE121" i="4" s="1"/>
  <c r="ES121" i="4" a="1"/>
  <c r="ES121" i="4" s="1"/>
  <c r="EM121" i="4" a="1"/>
  <c r="EM121" i="4" s="1"/>
  <c r="FH121" i="4" a="1"/>
  <c r="FH121" i="4" s="1"/>
  <c r="FJ121" i="4" a="1"/>
  <c r="FJ121" i="4" s="1"/>
  <c r="FF121" i="4" a="1"/>
  <c r="FF121" i="4" s="1"/>
  <c r="FY125" i="4" a="1"/>
  <c r="FY125" i="4" s="1"/>
  <c r="FW125" i="4" a="1"/>
  <c r="FW125" i="4" s="1"/>
  <c r="FU125" i="4" a="1"/>
  <c r="FU125" i="4" s="1"/>
  <c r="FS125" i="4" a="1"/>
  <c r="FS125" i="4" s="1"/>
  <c r="FT125" i="4" a="1"/>
  <c r="FT125" i="4" s="1"/>
  <c r="EV125" i="4" a="1"/>
  <c r="EV125" i="4" s="1"/>
  <c r="FV125" i="4" a="1"/>
  <c r="FV125" i="4" s="1"/>
  <c r="EP125" i="4" a="1"/>
  <c r="EP125" i="4" s="1"/>
  <c r="FX125" i="4" a="1"/>
  <c r="FX125" i="4" s="1"/>
  <c r="EQ131" i="4" a="1"/>
  <c r="EQ131" i="4" s="1"/>
  <c r="EK131" i="4" a="1"/>
  <c r="EK131" i="4" s="1"/>
  <c r="FK139" i="4" a="1"/>
  <c r="FK139" i="4" s="1"/>
  <c r="FI139" i="4" a="1"/>
  <c r="FI139" i="4" s="1"/>
  <c r="FG139" i="4" a="1"/>
  <c r="FG139" i="4" s="1"/>
  <c r="FE139" i="4" a="1"/>
  <c r="FE139" i="4" s="1"/>
  <c r="ES139" i="4" a="1"/>
  <c r="ES139" i="4" s="1"/>
  <c r="EM139" i="4" a="1"/>
  <c r="EM139" i="4" s="1"/>
  <c r="FH139" i="4" a="1"/>
  <c r="FH139" i="4" s="1"/>
  <c r="FJ139" i="4" a="1"/>
  <c r="FJ139" i="4" s="1"/>
  <c r="FF139" i="4" a="1"/>
  <c r="FF139" i="4" s="1"/>
  <c r="EQ143" i="4" a="1"/>
  <c r="EQ143" i="4" s="1"/>
  <c r="EK143" i="4" a="1"/>
  <c r="EK143" i="4" s="1"/>
  <c r="EQ152" i="4" a="1"/>
  <c r="EQ152" i="4" s="1"/>
  <c r="EK152" i="4" a="1"/>
  <c r="EK152" i="4" s="1"/>
  <c r="EW156" i="4" a="1"/>
  <c r="EW156" i="4" s="1"/>
  <c r="FQ181" i="4" a="1"/>
  <c r="FQ181" i="4" s="1"/>
  <c r="FO181" i="4" a="1"/>
  <c r="FO181" i="4" s="1"/>
  <c r="FM181" i="4" a="1"/>
  <c r="FM181" i="4" s="1"/>
  <c r="EU181" i="4" a="1"/>
  <c r="EU181" i="4" s="1"/>
  <c r="EO181" i="4" a="1"/>
  <c r="EO181" i="4" s="1"/>
  <c r="FN181" i="4" a="1"/>
  <c r="FN181" i="4" s="1"/>
  <c r="FP181" i="4" a="1"/>
  <c r="FP181" i="4" s="1"/>
  <c r="FL181" i="4" a="1"/>
  <c r="FL181" i="4" s="1"/>
  <c r="FR181" i="4" a="1"/>
  <c r="FR181" i="4" s="1"/>
  <c r="FK185" i="4" a="1"/>
  <c r="FK185" i="4" s="1"/>
  <c r="FI185" i="4" a="1"/>
  <c r="FI185" i="4" s="1"/>
  <c r="FG185" i="4" a="1"/>
  <c r="FG185" i="4" s="1"/>
  <c r="FE185" i="4" a="1"/>
  <c r="FE185" i="4" s="1"/>
  <c r="ES185" i="4" a="1"/>
  <c r="ES185" i="4" s="1"/>
  <c r="EM185" i="4" a="1"/>
  <c r="EM185" i="4" s="1"/>
  <c r="FH185" i="4" a="1"/>
  <c r="FH185" i="4" s="1"/>
  <c r="FJ185" i="4" a="1"/>
  <c r="FJ185" i="4" s="1"/>
  <c r="FF185" i="4" a="1"/>
  <c r="FF185" i="4" s="1"/>
  <c r="FR217" i="4" a="1"/>
  <c r="FR217" i="4" s="1"/>
  <c r="FP217" i="4" a="1"/>
  <c r="FP217" i="4" s="1"/>
  <c r="FN217" i="4" a="1"/>
  <c r="FN217" i="4" s="1"/>
  <c r="FL217" i="4" a="1"/>
  <c r="FL217" i="4" s="1"/>
  <c r="FQ217" i="4" a="1"/>
  <c r="FQ217" i="4" s="1"/>
  <c r="EU217" i="4" a="1"/>
  <c r="EU217" i="4" s="1"/>
  <c r="FO217" i="4" a="1"/>
  <c r="FO217" i="4" s="1"/>
  <c r="EO217" i="4" a="1"/>
  <c r="EO217" i="4" s="1"/>
  <c r="FM217" i="4" a="1"/>
  <c r="FM217" i="4" s="1"/>
  <c r="FR221" i="4" a="1"/>
  <c r="FR221" i="4" s="1"/>
  <c r="FP221" i="4" a="1"/>
  <c r="FP221" i="4" s="1"/>
  <c r="FN221" i="4" a="1"/>
  <c r="FN221" i="4" s="1"/>
  <c r="FL221" i="4" a="1"/>
  <c r="FL221" i="4" s="1"/>
  <c r="FQ221" i="4" a="1"/>
  <c r="FQ221" i="4" s="1"/>
  <c r="EU221" i="4" a="1"/>
  <c r="EU221" i="4" s="1"/>
  <c r="FO221" i="4" a="1"/>
  <c r="FO221" i="4" s="1"/>
  <c r="EO221" i="4" a="1"/>
  <c r="EO221" i="4" s="1"/>
  <c r="FM221" i="4" a="1"/>
  <c r="FM221" i="4" s="1"/>
  <c r="FR225" i="4" a="1"/>
  <c r="FR225" i="4" s="1"/>
  <c r="FP225" i="4" a="1"/>
  <c r="FP225" i="4" s="1"/>
  <c r="FN225" i="4" a="1"/>
  <c r="FN225" i="4" s="1"/>
  <c r="FL225" i="4" a="1"/>
  <c r="FL225" i="4" s="1"/>
  <c r="FQ225" i="4" a="1"/>
  <c r="FQ225" i="4" s="1"/>
  <c r="EU225" i="4" a="1"/>
  <c r="EU225" i="4" s="1"/>
  <c r="FO225" i="4" a="1"/>
  <c r="FO225" i="4" s="1"/>
  <c r="EO225" i="4" a="1"/>
  <c r="EO225" i="4" s="1"/>
  <c r="FM225" i="4" a="1"/>
  <c r="FM225" i="4" s="1"/>
  <c r="FR229" i="4" a="1"/>
  <c r="FR229" i="4" s="1"/>
  <c r="FP229" i="4" a="1"/>
  <c r="FP229" i="4" s="1"/>
  <c r="FN229" i="4" a="1"/>
  <c r="FN229" i="4" s="1"/>
  <c r="FL229" i="4" a="1"/>
  <c r="FL229" i="4" s="1"/>
  <c r="FQ229" i="4" a="1"/>
  <c r="FQ229" i="4" s="1"/>
  <c r="EU229" i="4" a="1"/>
  <c r="EU229" i="4" s="1"/>
  <c r="FO229" i="4" a="1"/>
  <c r="FO229" i="4" s="1"/>
  <c r="EO229" i="4" a="1"/>
  <c r="EO229" i="4" s="1"/>
  <c r="FM229" i="4" a="1"/>
  <c r="FM229" i="4" s="1"/>
  <c r="FR233" i="4" a="1"/>
  <c r="FR233" i="4" s="1"/>
  <c r="FP233" i="4" a="1"/>
  <c r="FP233" i="4" s="1"/>
  <c r="FN233" i="4" a="1"/>
  <c r="FN233" i="4" s="1"/>
  <c r="FL233" i="4" a="1"/>
  <c r="FL233" i="4" s="1"/>
  <c r="FQ233" i="4" a="1"/>
  <c r="FQ233" i="4" s="1"/>
  <c r="EU233" i="4" a="1"/>
  <c r="EU233" i="4" s="1"/>
  <c r="FO233" i="4" a="1"/>
  <c r="FO233" i="4" s="1"/>
  <c r="EO233" i="4" a="1"/>
  <c r="EO233" i="4" s="1"/>
  <c r="FM233" i="4" a="1"/>
  <c r="FM233" i="4" s="1"/>
  <c r="FW241" i="4" a="1"/>
  <c r="FW241" i="4" s="1"/>
  <c r="FT241" i="4" a="1"/>
  <c r="FT241" i="4" s="1"/>
  <c r="EV241" i="4" a="1"/>
  <c r="EV241" i="4" s="1"/>
  <c r="FY241" i="4" a="1"/>
  <c r="FY241" i="4" s="1"/>
  <c r="FV241" i="4" a="1"/>
  <c r="FV241" i="4" s="1"/>
  <c r="EP241" i="4" a="1"/>
  <c r="EP241" i="4" s="1"/>
  <c r="FU241" i="4" a="1"/>
  <c r="FU241" i="4" s="1"/>
  <c r="FS241" i="4" a="1"/>
  <c r="FS241" i="4" s="1"/>
  <c r="FX241" i="4" a="1"/>
  <c r="FX241" i="4" s="1"/>
  <c r="EQ257" i="4" a="1"/>
  <c r="EQ257" i="4" s="1"/>
  <c r="EK257" i="4" a="1"/>
  <c r="EK257" i="4" s="1"/>
  <c r="FY5" i="4" a="1"/>
  <c r="FY5" i="4" s="1"/>
  <c r="FT5" i="4" a="1"/>
  <c r="FT5" i="4" s="1"/>
  <c r="EV5" i="4" a="1"/>
  <c r="EV5" i="4" s="1"/>
  <c r="FV5" i="4" a="1"/>
  <c r="FV5" i="4" s="1"/>
  <c r="FS5" i="4" a="1"/>
  <c r="FS5" i="4" s="1"/>
  <c r="EP5" i="4" a="1"/>
  <c r="EP5" i="4" s="1"/>
  <c r="FW5" i="4" a="1"/>
  <c r="FW5" i="4" s="1"/>
  <c r="FU5" i="4" a="1"/>
  <c r="FU5" i="4" s="1"/>
  <c r="FX5" i="4" a="1"/>
  <c r="FX5" i="4" s="1"/>
  <c r="FY9" i="4" a="1"/>
  <c r="FY9" i="4" s="1"/>
  <c r="FT9" i="4" a="1"/>
  <c r="FT9" i="4" s="1"/>
  <c r="EV9" i="4" a="1"/>
  <c r="EV9" i="4" s="1"/>
  <c r="FV9" i="4" a="1"/>
  <c r="FV9" i="4" s="1"/>
  <c r="FS9" i="4" a="1"/>
  <c r="FS9" i="4" s="1"/>
  <c r="EP9" i="4" a="1"/>
  <c r="EP9" i="4" s="1"/>
  <c r="FW9" i="4" a="1"/>
  <c r="FW9" i="4" s="1"/>
  <c r="FU9" i="4" a="1"/>
  <c r="FU9" i="4" s="1"/>
  <c r="FX9" i="4" a="1"/>
  <c r="FX9" i="4" s="1"/>
  <c r="FY13" i="4" a="1"/>
  <c r="FY13" i="4" s="1"/>
  <c r="FT13" i="4" a="1"/>
  <c r="FT13" i="4" s="1"/>
  <c r="EV13" i="4" a="1"/>
  <c r="EV13" i="4" s="1"/>
  <c r="FV13" i="4" a="1"/>
  <c r="FV13" i="4" s="1"/>
  <c r="FS13" i="4" a="1"/>
  <c r="FS13" i="4" s="1"/>
  <c r="EP13" i="4" a="1"/>
  <c r="EP13" i="4" s="1"/>
  <c r="FW13" i="4" a="1"/>
  <c r="FW13" i="4" s="1"/>
  <c r="FU13" i="4" a="1"/>
  <c r="FU13" i="4" s="1"/>
  <c r="FX13" i="4" a="1"/>
  <c r="FX13" i="4" s="1"/>
  <c r="FY17" i="4" a="1"/>
  <c r="FY17" i="4" s="1"/>
  <c r="FT17" i="4" a="1"/>
  <c r="FT17" i="4" s="1"/>
  <c r="EV17" i="4" a="1"/>
  <c r="EV17" i="4" s="1"/>
  <c r="FV17" i="4" a="1"/>
  <c r="FV17" i="4" s="1"/>
  <c r="FS17" i="4" a="1"/>
  <c r="FS17" i="4" s="1"/>
  <c r="EP17" i="4" a="1"/>
  <c r="EP17" i="4" s="1"/>
  <c r="FW17" i="4" a="1"/>
  <c r="FW17" i="4" s="1"/>
  <c r="FU17" i="4" a="1"/>
  <c r="FU17" i="4" s="1"/>
  <c r="FX17" i="4" a="1"/>
  <c r="FX17" i="4" s="1"/>
  <c r="FY21" i="4" a="1"/>
  <c r="FY21" i="4" s="1"/>
  <c r="FT21" i="4" a="1"/>
  <c r="FT21" i="4" s="1"/>
  <c r="EV21" i="4" a="1"/>
  <c r="EV21" i="4" s="1"/>
  <c r="FV21" i="4" a="1"/>
  <c r="FV21" i="4" s="1"/>
  <c r="FS21" i="4" a="1"/>
  <c r="FS21" i="4" s="1"/>
  <c r="EP21" i="4" a="1"/>
  <c r="EP21" i="4" s="1"/>
  <c r="FW21" i="4" a="1"/>
  <c r="FW21" i="4" s="1"/>
  <c r="FU21" i="4" a="1"/>
  <c r="FU21" i="4" s="1"/>
  <c r="FX21" i="4" a="1"/>
  <c r="FX21" i="4" s="1"/>
  <c r="EQ75" i="4" a="1"/>
  <c r="EQ75" i="4" s="1"/>
  <c r="EK75" i="4" a="1"/>
  <c r="EK75" i="4" s="1"/>
  <c r="FY112" i="4" a="1"/>
  <c r="FY112" i="4" s="1"/>
  <c r="FW112" i="4" a="1"/>
  <c r="FW112" i="4" s="1"/>
  <c r="FU112" i="4" a="1"/>
  <c r="FU112" i="4" s="1"/>
  <c r="FS112" i="4" a="1"/>
  <c r="FS112" i="4" s="1"/>
  <c r="FT112" i="4" a="1"/>
  <c r="FT112" i="4" s="1"/>
  <c r="EV112" i="4" a="1"/>
  <c r="EV112" i="4" s="1"/>
  <c r="FV112" i="4" a="1"/>
  <c r="FV112" i="4" s="1"/>
  <c r="EP112" i="4" a="1"/>
  <c r="EP112" i="4" s="1"/>
  <c r="FX112" i="4" a="1"/>
  <c r="FX112" i="4" s="1"/>
  <c r="EQ117" i="4" a="1"/>
  <c r="EQ117" i="4" s="1"/>
  <c r="EK117" i="4" a="1"/>
  <c r="EK117" i="4" s="1"/>
  <c r="FJ191" i="4" a="1"/>
  <c r="FJ191" i="4" s="1"/>
  <c r="FH191" i="4" a="1"/>
  <c r="FH191" i="4" s="1"/>
  <c r="FF191" i="4" a="1"/>
  <c r="FF191" i="4" s="1"/>
  <c r="FE191" i="4" a="1"/>
  <c r="FE191" i="4" s="1"/>
  <c r="FG191" i="4" a="1"/>
  <c r="FG191" i="4" s="1"/>
  <c r="FK191" i="4" a="1"/>
  <c r="FK191" i="4" s="1"/>
  <c r="EM191" i="4" a="1"/>
  <c r="EM191" i="4" s="1"/>
  <c r="ES191" i="4" a="1"/>
  <c r="ES191" i="4" s="1"/>
  <c r="FI191" i="4" a="1"/>
  <c r="FI191" i="4" s="1"/>
  <c r="FJ195" i="4" a="1"/>
  <c r="FJ195" i="4" s="1"/>
  <c r="FH195" i="4" a="1"/>
  <c r="FH195" i="4" s="1"/>
  <c r="FF195" i="4" a="1"/>
  <c r="FF195" i="4" s="1"/>
  <c r="FE195" i="4" a="1"/>
  <c r="FE195" i="4" s="1"/>
  <c r="FG195" i="4" a="1"/>
  <c r="FG195" i="4" s="1"/>
  <c r="FK195" i="4" a="1"/>
  <c r="FK195" i="4" s="1"/>
  <c r="EM195" i="4" a="1"/>
  <c r="EM195" i="4" s="1"/>
  <c r="ES195" i="4" a="1"/>
  <c r="ES195" i="4" s="1"/>
  <c r="FI195" i="4" a="1"/>
  <c r="FI195" i="4" s="1"/>
  <c r="FJ199" i="4" a="1"/>
  <c r="FJ199" i="4" s="1"/>
  <c r="FH199" i="4" a="1"/>
  <c r="FH199" i="4" s="1"/>
  <c r="FF199" i="4" a="1"/>
  <c r="FF199" i="4" s="1"/>
  <c r="FE199" i="4" a="1"/>
  <c r="FE199" i="4" s="1"/>
  <c r="FG199" i="4" a="1"/>
  <c r="FG199" i="4" s="1"/>
  <c r="FK199" i="4" a="1"/>
  <c r="FK199" i="4" s="1"/>
  <c r="EM199" i="4" a="1"/>
  <c r="EM199" i="4" s="1"/>
  <c r="ES199" i="4" a="1"/>
  <c r="ES199" i="4" s="1"/>
  <c r="FI199" i="4" a="1"/>
  <c r="FI199" i="4" s="1"/>
  <c r="FJ203" i="4" a="1"/>
  <c r="FJ203" i="4" s="1"/>
  <c r="FH203" i="4" a="1"/>
  <c r="FH203" i="4" s="1"/>
  <c r="FF203" i="4" a="1"/>
  <c r="FF203" i="4" s="1"/>
  <c r="FE203" i="4" a="1"/>
  <c r="FE203" i="4" s="1"/>
  <c r="FG203" i="4" a="1"/>
  <c r="FG203" i="4" s="1"/>
  <c r="FK203" i="4" a="1"/>
  <c r="FK203" i="4" s="1"/>
  <c r="EM203" i="4" a="1"/>
  <c r="EM203" i="4" s="1"/>
  <c r="ES203" i="4" a="1"/>
  <c r="ES203" i="4" s="1"/>
  <c r="FI203" i="4" a="1"/>
  <c r="FI203" i="4" s="1"/>
  <c r="FW243" i="4" a="1"/>
  <c r="FW243" i="4" s="1"/>
  <c r="FT243" i="4" a="1"/>
  <c r="FT243" i="4" s="1"/>
  <c r="EV243" i="4" a="1"/>
  <c r="EV243" i="4" s="1"/>
  <c r="FY243" i="4" a="1"/>
  <c r="FY243" i="4" s="1"/>
  <c r="FV243" i="4" a="1"/>
  <c r="FV243" i="4" s="1"/>
  <c r="EP243" i="4" a="1"/>
  <c r="EP243" i="4" s="1"/>
  <c r="FU243" i="4" a="1"/>
  <c r="FU243" i="4" s="1"/>
  <c r="FS243" i="4" a="1"/>
  <c r="FS243" i="4" s="1"/>
  <c r="FX243" i="4" a="1"/>
  <c r="FX243" i="4" s="1"/>
  <c r="EQ255" i="4" a="1"/>
  <c r="EQ255" i="4" s="1"/>
  <c r="EK255" i="4" a="1"/>
  <c r="EK255" i="4" s="1"/>
  <c r="FJ263" i="4" a="1"/>
  <c r="FJ263" i="4" s="1"/>
  <c r="FH263" i="4" a="1"/>
  <c r="FH263" i="4" s="1"/>
  <c r="FF263" i="4" a="1"/>
  <c r="FF263" i="4" s="1"/>
  <c r="FE263" i="4" a="1"/>
  <c r="FE263" i="4" s="1"/>
  <c r="FG263" i="4" a="1"/>
  <c r="FG263" i="4" s="1"/>
  <c r="FK263" i="4" a="1"/>
  <c r="FK263" i="4" s="1"/>
  <c r="EM263" i="4" a="1"/>
  <c r="EM263" i="4" s="1"/>
  <c r="ES263" i="4" a="1"/>
  <c r="ES263" i="4" s="1"/>
  <c r="FI263" i="4" a="1"/>
  <c r="FI263" i="4" s="1"/>
  <c r="CT233" i="4" a="1"/>
  <c r="CT233" i="4" s="1"/>
  <c r="EJ198" i="4" a="1"/>
  <c r="EJ198" i="4" s="1"/>
  <c r="CY84" i="4" a="1"/>
  <c r="CY84" i="4" s="1"/>
  <c r="CW9" i="4" a="1"/>
  <c r="CW9" i="4" s="1"/>
  <c r="CT246" i="4" a="1"/>
  <c r="CT246" i="4" s="1"/>
  <c r="CV215" i="4" a="1"/>
  <c r="CV215" i="4" s="1"/>
  <c r="EW182" i="4" a="1"/>
  <c r="EW182" i="4" s="1"/>
  <c r="FQ158" i="4" a="1"/>
  <c r="FQ158" i="4" s="1"/>
  <c r="FO158" i="4" a="1"/>
  <c r="FO158" i="4" s="1"/>
  <c r="FM158" i="4" a="1"/>
  <c r="FM158" i="4" s="1"/>
  <c r="EU158" i="4" a="1"/>
  <c r="EU158" i="4" s="1"/>
  <c r="EO158" i="4" a="1"/>
  <c r="EO158" i="4" s="1"/>
  <c r="FN158" i="4" a="1"/>
  <c r="FN158" i="4" s="1"/>
  <c r="FP158" i="4" a="1"/>
  <c r="FP158" i="4" s="1"/>
  <c r="FL158" i="4" a="1"/>
  <c r="FL158" i="4" s="1"/>
  <c r="FR158" i="4" a="1"/>
  <c r="FR158" i="4" s="1"/>
  <c r="FC141" i="4" a="1"/>
  <c r="FC141" i="4" s="1"/>
  <c r="FA141" i="4" a="1"/>
  <c r="FA141" i="4" s="1"/>
  <c r="EY141" i="4" a="1"/>
  <c r="EY141" i="4" s="1"/>
  <c r="FB141" i="4" a="1"/>
  <c r="FB141" i="4" s="1"/>
  <c r="EL141" i="4" a="1"/>
  <c r="EL141" i="4" s="1"/>
  <c r="FD141" i="4" a="1"/>
  <c r="FD141" i="4" s="1"/>
  <c r="EZ141" i="4" a="1"/>
  <c r="EZ141" i="4" s="1"/>
  <c r="ER141" i="4" a="1"/>
  <c r="ER141" i="4" s="1"/>
  <c r="EX141" i="4" a="1"/>
  <c r="EX141" i="4" s="1"/>
  <c r="FY132" i="4" a="1"/>
  <c r="FY132" i="4" s="1"/>
  <c r="FW132" i="4" a="1"/>
  <c r="FW132" i="4" s="1"/>
  <c r="FU132" i="4" a="1"/>
  <c r="FU132" i="4" s="1"/>
  <c r="FS132" i="4" a="1"/>
  <c r="FS132" i="4" s="1"/>
  <c r="FT132" i="4" a="1"/>
  <c r="FT132" i="4" s="1"/>
  <c r="EV132" i="4" a="1"/>
  <c r="EV132" i="4" s="1"/>
  <c r="FV132" i="4" a="1"/>
  <c r="FV132" i="4" s="1"/>
  <c r="EP132" i="4" a="1"/>
  <c r="EP132" i="4" s="1"/>
  <c r="FX132" i="4" a="1"/>
  <c r="FX132" i="4" s="1"/>
  <c r="CU105" i="4" a="1"/>
  <c r="CU105" i="4" s="1"/>
  <c r="EJ235" i="4" a="1"/>
  <c r="EJ235" i="4" s="1"/>
  <c r="EJ219" i="4" a="1"/>
  <c r="EJ219" i="4" s="1"/>
  <c r="EJ194" i="4" a="1"/>
  <c r="EJ194" i="4" s="1"/>
  <c r="EJ40" i="4" a="1"/>
  <c r="EJ40" i="4" s="1"/>
  <c r="ET256" i="4" a="1"/>
  <c r="ET256" i="4" s="1"/>
  <c r="EN256" i="4" a="1"/>
  <c r="EN256" i="4" s="1"/>
  <c r="EQ241" i="4" a="1"/>
  <c r="EQ241" i="4" s="1"/>
  <c r="EK241" i="4" a="1"/>
  <c r="EK241" i="4" s="1"/>
  <c r="FK154" i="4" a="1"/>
  <c r="FK154" i="4" s="1"/>
  <c r="FI154" i="4" a="1"/>
  <c r="FI154" i="4" s="1"/>
  <c r="FG154" i="4" a="1"/>
  <c r="FG154" i="4" s="1"/>
  <c r="FE154" i="4" a="1"/>
  <c r="FE154" i="4" s="1"/>
  <c r="ES154" i="4" a="1"/>
  <c r="ES154" i="4" s="1"/>
  <c r="EM154" i="4" a="1"/>
  <c r="EM154" i="4" s="1"/>
  <c r="FH154" i="4" a="1"/>
  <c r="FH154" i="4" s="1"/>
  <c r="FJ154" i="4" a="1"/>
  <c r="FJ154" i="4" s="1"/>
  <c r="FF154" i="4" a="1"/>
  <c r="FF154" i="4" s="1"/>
  <c r="CY126" i="4" a="1"/>
  <c r="CY126" i="4" s="1"/>
  <c r="EQ102" i="4" a="1"/>
  <c r="EQ102" i="4" s="1"/>
  <c r="EK102" i="4" a="1"/>
  <c r="EK102" i="4" s="1"/>
  <c r="ET48" i="4" a="1"/>
  <c r="ET48" i="4" s="1"/>
  <c r="EN48" i="4" a="1"/>
  <c r="EN48" i="4" s="1"/>
  <c r="FQ32" i="4" a="1"/>
  <c r="FQ32" i="4" s="1"/>
  <c r="FN32" i="4" a="1"/>
  <c r="FN32" i="4" s="1"/>
  <c r="FP32" i="4" a="1"/>
  <c r="FP32" i="4" s="1"/>
  <c r="EU32" i="4" a="1"/>
  <c r="EU32" i="4" s="1"/>
  <c r="FO32" i="4" a="1"/>
  <c r="FO32" i="4" s="1"/>
  <c r="FL32" i="4" a="1"/>
  <c r="FL32" i="4" s="1"/>
  <c r="FM32" i="4" a="1"/>
  <c r="FM32" i="4" s="1"/>
  <c r="EO32" i="4" a="1"/>
  <c r="EO32" i="4" s="1"/>
  <c r="FR32" i="4" a="1"/>
  <c r="FR32" i="4" s="1"/>
  <c r="CT3" i="4" a="1"/>
  <c r="CT3" i="4" s="1"/>
  <c r="CT11" i="4" a="1"/>
  <c r="CT11" i="4" s="1"/>
  <c r="CT19" i="4" a="1"/>
  <c r="CT19" i="4" s="1"/>
  <c r="CZ34" i="4" a="1"/>
  <c r="CZ34" i="4" s="1"/>
  <c r="CW42" i="4" a="1"/>
  <c r="CW42" i="4" s="1"/>
  <c r="CT51" i="4" a="1"/>
  <c r="CT51" i="4" s="1"/>
  <c r="CW88" i="4" a="1"/>
  <c r="CW88" i="4" s="1"/>
  <c r="CY133" i="4" a="1"/>
  <c r="CY133" i="4" s="1"/>
  <c r="CW172" i="4" a="1"/>
  <c r="CW172" i="4" s="1"/>
  <c r="CX199" i="4" a="1"/>
  <c r="CX199" i="4" s="1"/>
  <c r="CZ206" i="4" a="1"/>
  <c r="CZ206" i="4" s="1"/>
  <c r="CX218" i="4" a="1"/>
  <c r="CX218" i="4" s="1"/>
  <c r="CX234" i="4" a="1"/>
  <c r="CX234" i="4" s="1"/>
  <c r="CX243" i="4" a="1"/>
  <c r="CX243" i="4" s="1"/>
  <c r="CX250" i="4" a="1"/>
  <c r="CX250" i="4" s="1"/>
  <c r="CT27" i="4" a="1"/>
  <c r="CT27" i="4" s="1"/>
  <c r="CV33" i="4" a="1"/>
  <c r="CV33" i="4" s="1"/>
  <c r="CW62" i="4" a="1"/>
  <c r="CW62" i="4" s="1"/>
  <c r="CU80" i="4" a="1"/>
  <c r="CU80" i="4" s="1"/>
  <c r="CW116" i="4" a="1"/>
  <c r="CW116" i="4" s="1"/>
  <c r="CW141" i="4" a="1"/>
  <c r="CW141" i="4" s="1"/>
  <c r="CY153" i="4" a="1"/>
  <c r="CY153" i="4" s="1"/>
  <c r="CU190" i="4" a="1"/>
  <c r="CU190" i="4" s="1"/>
  <c r="CZ248" i="4" a="1"/>
  <c r="CZ248" i="4" s="1"/>
  <c r="CW27" i="4" a="1"/>
  <c r="CW27" i="4" s="1"/>
  <c r="CW34" i="4" a="1"/>
  <c r="CW34" i="4" s="1"/>
  <c r="CW38" i="4" a="1"/>
  <c r="CW38" i="4" s="1"/>
  <c r="CT53" i="4" a="1"/>
  <c r="CT53" i="4" s="1"/>
  <c r="CU66" i="4" a="1"/>
  <c r="CU66" i="4" s="1"/>
  <c r="CU91" i="4" a="1"/>
  <c r="CU91" i="4" s="1"/>
  <c r="CU122" i="4" a="1"/>
  <c r="CU122" i="4" s="1"/>
  <c r="CW143" i="4" a="1"/>
  <c r="CW143" i="4" s="1"/>
  <c r="CY158" i="4" a="1"/>
  <c r="CY158" i="4" s="1"/>
  <c r="CY184" i="4" a="1"/>
  <c r="CY184" i="4" s="1"/>
  <c r="CV211" i="4" a="1"/>
  <c r="CV211" i="4" s="1"/>
  <c r="CV254" i="4" a="1"/>
  <c r="CV254" i="4" s="1"/>
  <c r="CT2" i="4" a="1"/>
  <c r="CT2" i="4" s="1"/>
  <c r="CU4" i="4" a="1"/>
  <c r="CU4" i="4" s="1"/>
  <c r="CU6" i="4" a="1"/>
  <c r="CU6" i="4" s="1"/>
  <c r="CU8" i="4" a="1"/>
  <c r="CU8" i="4" s="1"/>
  <c r="CU10" i="4" a="1"/>
  <c r="CU10" i="4" s="1"/>
  <c r="CU14" i="4" a="1"/>
  <c r="CU14" i="4" s="1"/>
  <c r="CU16" i="4" a="1"/>
  <c r="CU16" i="4" s="1"/>
  <c r="CU18" i="4" a="1"/>
  <c r="CU18" i="4" s="1"/>
  <c r="CU20" i="4" a="1"/>
  <c r="CU20" i="4" s="1"/>
  <c r="CU22" i="4" a="1"/>
  <c r="CU22" i="4" s="1"/>
  <c r="CU26" i="4" a="1"/>
  <c r="CU26" i="4" s="1"/>
  <c r="CT30" i="4" a="1"/>
  <c r="CT30" i="4" s="1"/>
  <c r="CT34" i="4" a="1"/>
  <c r="CT34" i="4" s="1"/>
  <c r="CT38" i="4" a="1"/>
  <c r="CT38" i="4" s="1"/>
  <c r="CT40" i="4" a="1"/>
  <c r="CT40" i="4" s="1"/>
  <c r="CT42" i="4" a="1"/>
  <c r="CT42" i="4" s="1"/>
  <c r="CZ56" i="4" a="1"/>
  <c r="CZ56" i="4" s="1"/>
  <c r="CZ60" i="4" a="1"/>
  <c r="CZ60" i="4" s="1"/>
  <c r="CU65" i="4" a="1"/>
  <c r="CU65" i="4" s="1"/>
  <c r="CU70" i="4" a="1"/>
  <c r="CU70" i="4" s="1"/>
  <c r="CW80" i="4" a="1"/>
  <c r="CW80" i="4" s="1"/>
  <c r="CW87" i="4" a="1"/>
  <c r="CW87" i="4" s="1"/>
  <c r="CY97" i="4" a="1"/>
  <c r="CY97" i="4" s="1"/>
  <c r="CU104" i="4" a="1"/>
  <c r="CU104" i="4" s="1"/>
  <c r="CW115" i="4" a="1"/>
  <c r="CW115" i="4" s="1"/>
  <c r="CU121" i="4" a="1"/>
  <c r="CU121" i="4" s="1"/>
  <c r="CU127" i="4" a="1"/>
  <c r="CU127" i="4" s="1"/>
  <c r="CY131" i="4" a="1"/>
  <c r="CY131" i="4" s="1"/>
  <c r="CY152" i="4" a="1"/>
  <c r="CY152" i="4" s="1"/>
  <c r="CY162" i="4" a="1"/>
  <c r="CY162" i="4" s="1"/>
  <c r="CY168" i="4" a="1"/>
  <c r="CY168" i="4" s="1"/>
  <c r="CU174" i="4" a="1"/>
  <c r="CU174" i="4" s="1"/>
  <c r="CW178" i="4" a="1"/>
  <c r="CW178" i="4" s="1"/>
  <c r="EJ182" i="4" a="1"/>
  <c r="EJ182" i="4" s="1"/>
  <c r="CY187" i="4" a="1"/>
  <c r="CY187" i="4" s="1"/>
  <c r="CV192" i="4" a="1"/>
  <c r="CV192" i="4" s="1"/>
  <c r="CV196" i="4" a="1"/>
  <c r="CV196" i="4" s="1"/>
  <c r="CV200" i="4" a="1"/>
  <c r="CV200" i="4" s="1"/>
  <c r="CV204" i="4" a="1"/>
  <c r="CV204" i="4" s="1"/>
  <c r="CT208" i="4" a="1"/>
  <c r="CT208" i="4" s="1"/>
  <c r="CT212" i="4" a="1"/>
  <c r="CT212" i="4" s="1"/>
  <c r="CT216" i="4" a="1"/>
  <c r="CT216" i="4" s="1"/>
  <c r="CZ220" i="4" a="1"/>
  <c r="CZ220" i="4" s="1"/>
  <c r="CZ224" i="4" a="1"/>
  <c r="CZ224" i="4" s="1"/>
  <c r="CZ228" i="4" a="1"/>
  <c r="CZ228" i="4" s="1"/>
  <c r="CZ232" i="4" a="1"/>
  <c r="CZ232" i="4" s="1"/>
  <c r="CZ236" i="4" a="1"/>
  <c r="CZ236" i="4" s="1"/>
  <c r="CV244" i="4" a="1"/>
  <c r="CV244" i="4" s="1"/>
  <c r="CW247" i="4" a="1"/>
  <c r="CW247" i="4" s="1"/>
  <c r="CX249" i="4" a="1"/>
  <c r="CX249" i="4" s="1"/>
  <c r="CT257" i="4" a="1"/>
  <c r="CT257" i="4" s="1"/>
  <c r="CX2" i="4" a="1"/>
  <c r="CX2" i="4" s="1"/>
  <c r="CY4" i="4" a="1"/>
  <c r="CY4" i="4" s="1"/>
  <c r="CY6" i="4" a="1"/>
  <c r="CY6" i="4" s="1"/>
  <c r="CY8" i="4" a="1"/>
  <c r="CY8" i="4" s="1"/>
  <c r="CY10" i="4" a="1"/>
  <c r="CY10" i="4" s="1"/>
  <c r="CY14" i="4" a="1"/>
  <c r="CY14" i="4" s="1"/>
  <c r="CY16" i="4" a="1"/>
  <c r="CY16" i="4" s="1"/>
  <c r="CY18" i="4" a="1"/>
  <c r="CY18" i="4" s="1"/>
  <c r="CY20" i="4" a="1"/>
  <c r="CY20" i="4" s="1"/>
  <c r="CY22" i="4" a="1"/>
  <c r="CY22" i="4" s="1"/>
  <c r="CY26" i="4" a="1"/>
  <c r="CY26" i="4" s="1"/>
  <c r="CX30" i="4" a="1"/>
  <c r="CX30" i="4" s="1"/>
  <c r="CX34" i="4" a="1"/>
  <c r="CX34" i="4" s="1"/>
  <c r="CX38" i="4" a="1"/>
  <c r="CX38" i="4" s="1"/>
  <c r="CX40" i="4" a="1"/>
  <c r="CX40" i="4" s="1"/>
  <c r="CX42" i="4" a="1"/>
  <c r="CX42" i="4" s="1"/>
  <c r="CV56" i="4" a="1"/>
  <c r="CV56" i="4" s="1"/>
  <c r="CV60" i="4" a="1"/>
  <c r="CV60" i="4" s="1"/>
  <c r="CY64" i="4" a="1"/>
  <c r="CY64" i="4" s="1"/>
  <c r="CY69" i="4" a="1"/>
  <c r="CY69" i="4" s="1"/>
  <c r="CU81" i="4" a="1"/>
  <c r="CU81" i="4" s="1"/>
  <c r="CY85" i="4" a="1"/>
  <c r="CY85" i="4" s="1"/>
  <c r="CY90" i="4" a="1"/>
  <c r="CY90" i="4" s="1"/>
  <c r="CY95" i="4" a="1"/>
  <c r="CY95" i="4" s="1"/>
  <c r="CY100" i="4" a="1"/>
  <c r="CY100" i="4" s="1"/>
  <c r="CU106" i="4" a="1"/>
  <c r="CU106" i="4" s="1"/>
  <c r="CU116" i="4" a="1"/>
  <c r="CU116" i="4" s="1"/>
  <c r="CY120" i="4" a="1"/>
  <c r="CY120" i="4" s="1"/>
  <c r="CY129" i="4" a="1"/>
  <c r="CY129" i="4" s="1"/>
  <c r="CY134" i="4" a="1"/>
  <c r="CY134" i="4" s="1"/>
  <c r="CY139" i="4" a="1"/>
  <c r="CY139" i="4" s="1"/>
  <c r="CW144" i="4" a="1"/>
  <c r="CW144" i="4" s="1"/>
  <c r="CW149" i="4" a="1"/>
  <c r="CW149" i="4" s="1"/>
  <c r="CY154" i="4" a="1"/>
  <c r="CY154" i="4" s="1"/>
  <c r="CY170" i="4" a="1"/>
  <c r="CY170" i="4" s="1"/>
  <c r="CY175" i="4" a="1"/>
  <c r="CY175" i="4" s="1"/>
  <c r="CW181" i="4" a="1"/>
  <c r="CW181" i="4" s="1"/>
  <c r="CY185" i="4" a="1"/>
  <c r="CY185" i="4" s="1"/>
  <c r="CV199" i="4" a="1"/>
  <c r="CV199" i="4" s="1"/>
  <c r="CT207" i="4" a="1"/>
  <c r="CT207" i="4" s="1"/>
  <c r="CT211" i="4" a="1"/>
  <c r="CT211" i="4" s="1"/>
  <c r="CT215" i="4" a="1"/>
  <c r="CT215" i="4" s="1"/>
  <c r="CZ219" i="4" a="1"/>
  <c r="CZ219" i="4" s="1"/>
  <c r="CZ223" i="4" a="1"/>
  <c r="CZ223" i="4" s="1"/>
  <c r="CZ227" i="4" a="1"/>
  <c r="CZ227" i="4" s="1"/>
  <c r="CZ231" i="4" a="1"/>
  <c r="CZ231" i="4" s="1"/>
  <c r="CZ235" i="4" a="1"/>
  <c r="CZ235" i="4" s="1"/>
  <c r="CZ238" i="4" a="1"/>
  <c r="CZ238" i="4" s="1"/>
  <c r="CW244" i="4" a="1"/>
  <c r="CW244" i="4" s="1"/>
  <c r="CZ246" i="4" a="1"/>
  <c r="CZ246" i="4" s="1"/>
  <c r="CW249" i="4" a="1"/>
  <c r="CW249" i="4" s="1"/>
  <c r="CX257" i="4" a="1"/>
  <c r="CX257" i="4" s="1"/>
  <c r="CT4" i="4" a="1"/>
  <c r="CT4" i="4" s="1"/>
  <c r="CW6" i="4" a="1"/>
  <c r="CW6" i="4" s="1"/>
  <c r="CX9" i="4" a="1"/>
  <c r="CX9" i="4" s="1"/>
  <c r="CW14" i="4" a="1"/>
  <c r="CW14" i="4" s="1"/>
  <c r="CX17" i="4" a="1"/>
  <c r="CX17" i="4" s="1"/>
  <c r="CT20" i="4" a="1"/>
  <c r="CT20" i="4" s="1"/>
  <c r="CW22" i="4" a="1"/>
  <c r="CW22" i="4" s="1"/>
  <c r="CX25" i="4" a="1"/>
  <c r="CX25" i="4" s="1"/>
  <c r="CW31" i="4" a="1"/>
  <c r="CW31" i="4" s="1"/>
  <c r="CZ33" i="4" a="1"/>
  <c r="CZ33" i="4" s="1"/>
  <c r="CZ41" i="4" a="1"/>
  <c r="CZ41" i="4" s="1"/>
  <c r="CX48" i="4" a="1"/>
  <c r="CX48" i="4" s="1"/>
  <c r="CX50" i="4" a="1"/>
  <c r="CX50" i="4" s="1"/>
  <c r="CT54" i="4" a="1"/>
  <c r="CT54" i="4" s="1"/>
  <c r="CT58" i="4" a="1"/>
  <c r="CT58" i="4" s="1"/>
  <c r="CU68" i="4" a="1"/>
  <c r="CU68" i="4" s="1"/>
  <c r="CY72" i="4" a="1"/>
  <c r="CY72" i="4" s="1"/>
  <c r="CW78" i="4" a="1"/>
  <c r="CW78" i="4" s="1"/>
  <c r="CY87" i="4" a="1"/>
  <c r="CY87" i="4" s="1"/>
  <c r="CU94" i="4" a="1"/>
  <c r="CU94" i="4" s="1"/>
  <c r="CW104" i="4" a="1"/>
  <c r="CW104" i="4" s="1"/>
  <c r="CW109" i="4" a="1"/>
  <c r="CW109" i="4" s="1"/>
  <c r="CY115" i="4" a="1"/>
  <c r="CY115" i="4" s="1"/>
  <c r="CW121" i="4" a="1"/>
  <c r="CW121" i="4" s="1"/>
  <c r="CW127" i="4" a="1"/>
  <c r="CW127" i="4" s="1"/>
  <c r="CU132" i="4" a="1"/>
  <c r="CU132" i="4" s="1"/>
  <c r="CY136" i="4" a="1"/>
  <c r="CY136" i="4" s="1"/>
  <c r="CU144" i="4" a="1"/>
  <c r="CU144" i="4" s="1"/>
  <c r="CW150" i="4" a="1"/>
  <c r="CW150" i="4" s="1"/>
  <c r="CY160" i="4" a="1"/>
  <c r="CY160" i="4" s="1"/>
  <c r="CU184" i="4" a="1"/>
  <c r="CU184" i="4" s="1"/>
  <c r="CW189" i="4" a="1"/>
  <c r="CW189" i="4" s="1"/>
  <c r="CT193" i="4" a="1"/>
  <c r="CT193" i="4" s="1"/>
  <c r="CT201" i="4" a="1"/>
  <c r="CT201" i="4" s="1"/>
  <c r="CT205" i="4" a="1"/>
  <c r="CT205" i="4" s="1"/>
  <c r="CZ209" i="4" a="1"/>
  <c r="CZ209" i="4" s="1"/>
  <c r="CZ213" i="4" a="1"/>
  <c r="CZ213" i="4" s="1"/>
  <c r="CZ217" i="4" a="1"/>
  <c r="CZ217" i="4" s="1"/>
  <c r="CX221" i="4" a="1"/>
  <c r="CX221" i="4" s="1"/>
  <c r="CX225" i="4" a="1"/>
  <c r="CX225" i="4" s="1"/>
  <c r="CX233" i="4" a="1"/>
  <c r="CX233" i="4" s="1"/>
  <c r="CT237" i="4" a="1"/>
  <c r="CT237" i="4" s="1"/>
  <c r="CT243" i="4" a="1"/>
  <c r="CT243" i="4" s="1"/>
  <c r="CT247" i="4" a="1"/>
  <c r="CT247" i="4" s="1"/>
  <c r="CU249" i="4" a="1"/>
  <c r="CU249" i="4" s="1"/>
  <c r="CZ256" i="4" a="1"/>
  <c r="CZ256" i="4" s="1"/>
  <c r="CZ260" i="4" a="1"/>
  <c r="CZ260" i="4" s="1"/>
  <c r="CU51" i="4" a="1"/>
  <c r="CU51" i="4" s="1"/>
  <c r="CY53" i="4" a="1"/>
  <c r="CY53" i="4" s="1"/>
  <c r="CU55" i="4" a="1"/>
  <c r="CU55" i="4" s="1"/>
  <c r="CW56" i="4" a="1"/>
  <c r="CW56" i="4" s="1"/>
  <c r="CY57" i="4" a="1"/>
  <c r="CY57" i="4" s="1"/>
  <c r="CU59" i="4" a="1"/>
  <c r="CU59" i="4" s="1"/>
  <c r="CW60" i="4" a="1"/>
  <c r="CW60" i="4" s="1"/>
  <c r="CY61" i="4" a="1"/>
  <c r="CY61" i="4" s="1"/>
  <c r="CZ62" i="4" a="1"/>
  <c r="CZ62" i="4" s="1"/>
  <c r="CZ64" i="4" a="1"/>
  <c r="CZ64" i="4" s="1"/>
  <c r="CZ65" i="4" a="1"/>
  <c r="CZ65" i="4" s="1"/>
  <c r="CZ66" i="4" a="1"/>
  <c r="CZ66" i="4" s="1"/>
  <c r="CZ67" i="4" a="1"/>
  <c r="CZ67" i="4" s="1"/>
  <c r="CZ68" i="4" a="1"/>
  <c r="CZ68" i="4" s="1"/>
  <c r="CZ69" i="4" a="1"/>
  <c r="CZ69" i="4" s="1"/>
  <c r="CZ70" i="4" a="1"/>
  <c r="CZ70" i="4" s="1"/>
  <c r="CZ72" i="4" a="1"/>
  <c r="CZ72" i="4" s="1"/>
  <c r="CZ78" i="4" a="1"/>
  <c r="CZ78" i="4" s="1"/>
  <c r="CZ80" i="4" a="1"/>
  <c r="CZ80" i="4" s="1"/>
  <c r="CZ81" i="4" a="1"/>
  <c r="CZ81" i="4" s="1"/>
  <c r="CZ82" i="4" a="1"/>
  <c r="CZ82" i="4" s="1"/>
  <c r="CZ84" i="4" a="1"/>
  <c r="CZ84" i="4" s="1"/>
  <c r="CZ85" i="4" a="1"/>
  <c r="CZ85" i="4" s="1"/>
  <c r="CZ87" i="4" a="1"/>
  <c r="CZ87" i="4" s="1"/>
  <c r="CZ88" i="4" a="1"/>
  <c r="CZ88" i="4" s="1"/>
  <c r="CZ89" i="4" a="1"/>
  <c r="CZ89" i="4" s="1"/>
  <c r="CZ90" i="4" a="1"/>
  <c r="CZ90" i="4" s="1"/>
  <c r="CZ91" i="4" a="1"/>
  <c r="CZ91" i="4" s="1"/>
  <c r="CZ93" i="4" a="1"/>
  <c r="CZ93" i="4" s="1"/>
  <c r="CZ94" i="4" a="1"/>
  <c r="CZ94" i="4" s="1"/>
  <c r="CZ95" i="4" a="1"/>
  <c r="CZ95" i="4" s="1"/>
  <c r="CZ96" i="4" a="1"/>
  <c r="CZ96" i="4" s="1"/>
  <c r="CZ97" i="4" a="1"/>
  <c r="CZ97" i="4" s="1"/>
  <c r="CZ98" i="4" a="1"/>
  <c r="CZ98" i="4" s="1"/>
  <c r="CZ100" i="4" a="1"/>
  <c r="CZ100" i="4" s="1"/>
  <c r="CZ102" i="4" a="1"/>
  <c r="CZ102" i="4" s="1"/>
  <c r="CZ103" i="4" a="1"/>
  <c r="CZ103" i="4" s="1"/>
  <c r="CZ104" i="4" a="1"/>
  <c r="CZ104" i="4" s="1"/>
  <c r="CZ105" i="4" a="1"/>
  <c r="CZ105" i="4" s="1"/>
  <c r="CZ106" i="4" a="1"/>
  <c r="CZ106" i="4" s="1"/>
  <c r="CZ107" i="4" a="1"/>
  <c r="CZ107" i="4" s="1"/>
  <c r="CZ108" i="4" a="1"/>
  <c r="CZ108" i="4" s="1"/>
  <c r="CZ109" i="4" a="1"/>
  <c r="CZ109" i="4" s="1"/>
  <c r="CZ113" i="4" a="1"/>
  <c r="CZ113" i="4" s="1"/>
  <c r="CZ114" i="4" a="1"/>
  <c r="CZ114" i="4" s="1"/>
  <c r="CZ115" i="4" a="1"/>
  <c r="CZ115" i="4" s="1"/>
  <c r="CZ116" i="4" a="1"/>
  <c r="CZ116" i="4" s="1"/>
  <c r="CZ117" i="4" a="1"/>
  <c r="CZ117" i="4" s="1"/>
  <c r="CZ118" i="4" a="1"/>
  <c r="CZ118" i="4" s="1"/>
  <c r="CZ119" i="4" a="1"/>
  <c r="CZ119" i="4" s="1"/>
  <c r="CZ120" i="4" a="1"/>
  <c r="CZ120" i="4" s="1"/>
  <c r="CZ121" i="4" a="1"/>
  <c r="CZ121" i="4" s="1"/>
  <c r="CZ122" i="4" a="1"/>
  <c r="CZ122" i="4" s="1"/>
  <c r="CZ123" i="4" a="1"/>
  <c r="CZ123" i="4" s="1"/>
  <c r="CZ124" i="4" a="1"/>
  <c r="CZ124" i="4" s="1"/>
  <c r="CZ126" i="4" a="1"/>
  <c r="CZ126" i="4" s="1"/>
  <c r="CZ127" i="4" a="1"/>
  <c r="CZ127" i="4" s="1"/>
  <c r="CZ128" i="4" a="1"/>
  <c r="CZ128" i="4" s="1"/>
  <c r="CZ129" i="4" a="1"/>
  <c r="CZ129" i="4" s="1"/>
  <c r="CZ131" i="4" a="1"/>
  <c r="CZ131" i="4" s="1"/>
  <c r="CZ132" i="4" a="1"/>
  <c r="CZ132" i="4" s="1"/>
  <c r="CZ133" i="4" a="1"/>
  <c r="CZ133" i="4" s="1"/>
  <c r="CZ134" i="4" a="1"/>
  <c r="CZ134" i="4" s="1"/>
  <c r="CZ135" i="4" a="1"/>
  <c r="CZ135" i="4" s="1"/>
  <c r="CZ136" i="4" a="1"/>
  <c r="CZ136" i="4" s="1"/>
  <c r="CZ138" i="4" a="1"/>
  <c r="CZ138" i="4" s="1"/>
  <c r="CZ139" i="4" a="1"/>
  <c r="CZ139" i="4" s="1"/>
  <c r="CZ140" i="4" a="1"/>
  <c r="CZ140" i="4" s="1"/>
  <c r="CZ141" i="4" a="1"/>
  <c r="CZ141" i="4" s="1"/>
  <c r="CZ143" i="4" a="1"/>
  <c r="CZ143" i="4" s="1"/>
  <c r="CZ144" i="4" a="1"/>
  <c r="CZ144" i="4" s="1"/>
  <c r="CZ145" i="4" a="1"/>
  <c r="CZ145" i="4" s="1"/>
  <c r="CZ148" i="4" a="1"/>
  <c r="CZ148" i="4" s="1"/>
  <c r="CZ149" i="4" a="1"/>
  <c r="CZ149" i="4" s="1"/>
  <c r="CZ150" i="4" a="1"/>
  <c r="CZ150" i="4" s="1"/>
  <c r="CZ151" i="4" a="1"/>
  <c r="CZ151" i="4" s="1"/>
  <c r="CZ152" i="4" a="1"/>
  <c r="CZ152" i="4" s="1"/>
  <c r="CZ153" i="4" a="1"/>
  <c r="CZ153" i="4" s="1"/>
  <c r="CZ154" i="4" a="1"/>
  <c r="CZ154" i="4" s="1"/>
  <c r="CZ156" i="4" a="1"/>
  <c r="CZ156" i="4" s="1"/>
  <c r="CZ158" i="4" a="1"/>
  <c r="CZ158" i="4" s="1"/>
  <c r="CZ159" i="4" a="1"/>
  <c r="CZ159" i="4" s="1"/>
  <c r="CZ160" i="4" a="1"/>
  <c r="CZ160" i="4" s="1"/>
  <c r="CZ162" i="4" a="1"/>
  <c r="CZ162" i="4" s="1"/>
  <c r="CZ168" i="4" a="1"/>
  <c r="CZ168" i="4" s="1"/>
  <c r="CZ169" i="4" a="1"/>
  <c r="CZ169" i="4" s="1"/>
  <c r="CZ170" i="4" a="1"/>
  <c r="CZ170" i="4" s="1"/>
  <c r="CZ171" i="4" a="1"/>
  <c r="CZ171" i="4" s="1"/>
  <c r="CZ172" i="4" a="1"/>
  <c r="CZ172" i="4" s="1"/>
  <c r="CZ174" i="4" a="1"/>
  <c r="CZ174" i="4" s="1"/>
  <c r="CZ175" i="4" a="1"/>
  <c r="CZ175" i="4" s="1"/>
  <c r="CZ176" i="4" a="1"/>
  <c r="CZ176" i="4" s="1"/>
  <c r="CZ178" i="4" a="1"/>
  <c r="CZ178" i="4" s="1"/>
  <c r="CZ179" i="4" a="1"/>
  <c r="CZ179" i="4" s="1"/>
  <c r="CZ181" i="4" a="1"/>
  <c r="CZ181" i="4" s="1"/>
  <c r="CZ184" i="4" a="1"/>
  <c r="CZ184" i="4" s="1"/>
  <c r="CZ185" i="4" a="1"/>
  <c r="CZ185" i="4" s="1"/>
  <c r="CZ186" i="4" a="1"/>
  <c r="CZ186" i="4" s="1"/>
  <c r="CZ187" i="4" a="1"/>
  <c r="CZ187" i="4" s="1"/>
  <c r="CZ188" i="4" a="1"/>
  <c r="CZ188" i="4" s="1"/>
  <c r="CZ189" i="4" a="1"/>
  <c r="CZ189" i="4" s="1"/>
  <c r="CZ190" i="4" a="1"/>
  <c r="CZ190" i="4" s="1"/>
  <c r="CU192" i="4" a="1"/>
  <c r="CU192" i="4" s="1"/>
  <c r="CW193" i="4" a="1"/>
  <c r="CW193" i="4" s="1"/>
  <c r="CU196" i="4" a="1"/>
  <c r="CU196" i="4" s="1"/>
  <c r="CY198" i="4" a="1"/>
  <c r="CY198" i="4" s="1"/>
  <c r="CU200" i="4" a="1"/>
  <c r="CU200" i="4" s="1"/>
  <c r="CW201" i="4" a="1"/>
  <c r="CW201" i="4" s="1"/>
  <c r="CY202" i="4" a="1"/>
  <c r="CY202" i="4" s="1"/>
  <c r="CU204" i="4" a="1"/>
  <c r="CU204" i="4" s="1"/>
  <c r="CW205" i="4" a="1"/>
  <c r="CW205" i="4" s="1"/>
  <c r="CY206" i="4" a="1"/>
  <c r="CY206" i="4" s="1"/>
  <c r="CU208" i="4" a="1"/>
  <c r="CU208" i="4" s="1"/>
  <c r="CW209" i="4" a="1"/>
  <c r="CW209" i="4" s="1"/>
  <c r="CU212" i="4" a="1"/>
  <c r="CU212" i="4" s="1"/>
  <c r="CW213" i="4" a="1"/>
  <c r="CW213" i="4" s="1"/>
  <c r="CY214" i="4" a="1"/>
  <c r="CY214" i="4" s="1"/>
  <c r="CU216" i="4" a="1"/>
  <c r="CU216" i="4" s="1"/>
  <c r="CW217" i="4" a="1"/>
  <c r="CW217" i="4" s="1"/>
  <c r="CY218" i="4" a="1"/>
  <c r="CY218" i="4" s="1"/>
  <c r="CU220" i="4" a="1"/>
  <c r="CU220" i="4" s="1"/>
  <c r="CW221" i="4" a="1"/>
  <c r="CW221" i="4" s="1"/>
  <c r="CY222" i="4" a="1"/>
  <c r="CY222" i="4" s="1"/>
  <c r="CU224" i="4" a="1"/>
  <c r="CU224" i="4" s="1"/>
  <c r="CW225" i="4" a="1"/>
  <c r="CW225" i="4" s="1"/>
  <c r="CU228" i="4" a="1"/>
  <c r="CU228" i="4" s="1"/>
  <c r="CY230" i="4" a="1"/>
  <c r="CY230" i="4" s="1"/>
  <c r="CU232" i="4" a="1"/>
  <c r="CU232" i="4" s="1"/>
  <c r="CW233" i="4" a="1"/>
  <c r="CW233" i="4" s="1"/>
  <c r="CY234" i="4" a="1"/>
  <c r="CY234" i="4" s="1"/>
  <c r="CU236" i="4" a="1"/>
  <c r="CU236" i="4" s="1"/>
  <c r="CW250" i="4" a="1"/>
  <c r="CW250" i="4" s="1"/>
  <c r="CY251" i="4" a="1"/>
  <c r="CY251" i="4" s="1"/>
  <c r="CW254" i="4" a="1"/>
  <c r="CW254" i="4" s="1"/>
  <c r="CY255" i="4" a="1"/>
  <c r="CY255" i="4" s="1"/>
  <c r="CU257" i="4" a="1"/>
  <c r="CU257" i="4" s="1"/>
  <c r="CW258" i="4" a="1"/>
  <c r="CW258" i="4" s="1"/>
  <c r="CY259" i="4" a="1"/>
  <c r="CY259" i="4" s="1"/>
  <c r="CW262" i="4" a="1"/>
  <c r="CW262" i="4" s="1"/>
  <c r="CY263" i="4" a="1"/>
  <c r="CY263" i="4" s="1"/>
  <c r="FQ3" i="4" a="1"/>
  <c r="FQ3" i="4" s="1"/>
  <c r="FL3" i="4" a="1"/>
  <c r="FL3" i="4" s="1"/>
  <c r="FN3" i="4" a="1"/>
  <c r="FN3" i="4" s="1"/>
  <c r="EU3" i="4" a="1"/>
  <c r="EU3" i="4" s="1"/>
  <c r="FR3" i="4" a="1"/>
  <c r="FR3" i="4" s="1"/>
  <c r="FO3" i="4" a="1"/>
  <c r="FO3" i="4" s="1"/>
  <c r="FP3" i="4" a="1"/>
  <c r="FP3" i="4" s="1"/>
  <c r="EO3" i="4" a="1"/>
  <c r="EO3" i="4" s="1"/>
  <c r="FM3" i="4" a="1"/>
  <c r="FM3" i="4" s="1"/>
  <c r="EQ4" i="4" a="1"/>
  <c r="EQ4" i="4" s="1"/>
  <c r="EK4" i="4" a="1"/>
  <c r="EK4" i="4" s="1"/>
  <c r="FQ7" i="4" a="1"/>
  <c r="FQ7" i="4" s="1"/>
  <c r="FL7" i="4" a="1"/>
  <c r="FL7" i="4" s="1"/>
  <c r="FN7" i="4" a="1"/>
  <c r="FN7" i="4" s="1"/>
  <c r="EU7" i="4" a="1"/>
  <c r="EU7" i="4" s="1"/>
  <c r="FR7" i="4" a="1"/>
  <c r="FR7" i="4" s="1"/>
  <c r="FO7" i="4" a="1"/>
  <c r="FO7" i="4" s="1"/>
  <c r="FP7" i="4" a="1"/>
  <c r="FP7" i="4" s="1"/>
  <c r="EO7" i="4" a="1"/>
  <c r="EO7" i="4" s="1"/>
  <c r="FM7" i="4" a="1"/>
  <c r="FM7" i="4" s="1"/>
  <c r="EQ8" i="4" a="1"/>
  <c r="EQ8" i="4" s="1"/>
  <c r="EK8" i="4" a="1"/>
  <c r="EK8" i="4" s="1"/>
  <c r="FQ11" i="4" a="1"/>
  <c r="FQ11" i="4" s="1"/>
  <c r="FL11" i="4" a="1"/>
  <c r="FL11" i="4" s="1"/>
  <c r="FN11" i="4" a="1"/>
  <c r="FN11" i="4" s="1"/>
  <c r="EU11" i="4" a="1"/>
  <c r="EU11" i="4" s="1"/>
  <c r="FR11" i="4" a="1"/>
  <c r="FR11" i="4" s="1"/>
  <c r="FO11" i="4" a="1"/>
  <c r="FO11" i="4" s="1"/>
  <c r="FP11" i="4" a="1"/>
  <c r="FP11" i="4" s="1"/>
  <c r="EO11" i="4" a="1"/>
  <c r="EO11" i="4" s="1"/>
  <c r="FM11" i="4" a="1"/>
  <c r="FM11" i="4" s="1"/>
  <c r="EQ12" i="4" a="1"/>
  <c r="EQ12" i="4" s="1"/>
  <c r="EK12" i="4" a="1"/>
  <c r="EK12" i="4" s="1"/>
  <c r="FQ15" i="4" a="1"/>
  <c r="FQ15" i="4" s="1"/>
  <c r="FL15" i="4" a="1"/>
  <c r="FL15" i="4" s="1"/>
  <c r="FN15" i="4" a="1"/>
  <c r="FN15" i="4" s="1"/>
  <c r="EU15" i="4" a="1"/>
  <c r="EU15" i="4" s="1"/>
  <c r="FR15" i="4" a="1"/>
  <c r="FR15" i="4" s="1"/>
  <c r="FO15" i="4" a="1"/>
  <c r="FO15" i="4" s="1"/>
  <c r="FP15" i="4" a="1"/>
  <c r="FP15" i="4" s="1"/>
  <c r="EO15" i="4" a="1"/>
  <c r="EO15" i="4" s="1"/>
  <c r="FM15" i="4" a="1"/>
  <c r="FM15" i="4" s="1"/>
  <c r="EQ16" i="4" a="1"/>
  <c r="EQ16" i="4" s="1"/>
  <c r="EK16" i="4" a="1"/>
  <c r="EK16" i="4" s="1"/>
  <c r="FQ19" i="4" a="1"/>
  <c r="FQ19" i="4" s="1"/>
  <c r="FL19" i="4" a="1"/>
  <c r="FL19" i="4" s="1"/>
  <c r="FN19" i="4" a="1"/>
  <c r="FN19" i="4" s="1"/>
  <c r="EU19" i="4" a="1"/>
  <c r="EU19" i="4" s="1"/>
  <c r="FR19" i="4" a="1"/>
  <c r="FR19" i="4" s="1"/>
  <c r="FO19" i="4" a="1"/>
  <c r="FO19" i="4" s="1"/>
  <c r="FP19" i="4" a="1"/>
  <c r="FP19" i="4" s="1"/>
  <c r="EO19" i="4" a="1"/>
  <c r="EO19" i="4" s="1"/>
  <c r="FM19" i="4" a="1"/>
  <c r="FM19" i="4" s="1"/>
  <c r="EQ20" i="4" a="1"/>
  <c r="EQ20" i="4" s="1"/>
  <c r="EK20" i="4" a="1"/>
  <c r="EK20" i="4" s="1"/>
  <c r="FQ23" i="4" a="1"/>
  <c r="FQ23" i="4" s="1"/>
  <c r="FL23" i="4" a="1"/>
  <c r="FL23" i="4" s="1"/>
  <c r="FN23" i="4" a="1"/>
  <c r="FN23" i="4" s="1"/>
  <c r="EU23" i="4" a="1"/>
  <c r="EU23" i="4" s="1"/>
  <c r="FR23" i="4" a="1"/>
  <c r="FR23" i="4" s="1"/>
  <c r="FO23" i="4" a="1"/>
  <c r="FO23" i="4" s="1"/>
  <c r="FP23" i="4" a="1"/>
  <c r="FP23" i="4" s="1"/>
  <c r="EO23" i="4" a="1"/>
  <c r="EO23" i="4" s="1"/>
  <c r="FM23" i="4" a="1"/>
  <c r="FM23" i="4" s="1"/>
  <c r="EQ24" i="4" a="1"/>
  <c r="EQ24" i="4" s="1"/>
  <c r="EK24" i="4" a="1"/>
  <c r="EK24" i="4" s="1"/>
  <c r="FQ27" i="4" a="1"/>
  <c r="FQ27" i="4" s="1"/>
  <c r="FL27" i="4" a="1"/>
  <c r="FL27" i="4" s="1"/>
  <c r="FN27" i="4" a="1"/>
  <c r="FN27" i="4" s="1"/>
  <c r="EU27" i="4" a="1"/>
  <c r="EU27" i="4" s="1"/>
  <c r="FR27" i="4" a="1"/>
  <c r="FR27" i="4" s="1"/>
  <c r="FO27" i="4" a="1"/>
  <c r="FO27" i="4" s="1"/>
  <c r="FM27" i="4" a="1"/>
  <c r="FM27" i="4" s="1"/>
  <c r="EO27" i="4" a="1"/>
  <c r="EO27" i="4" s="1"/>
  <c r="FP27" i="4" a="1"/>
  <c r="FP27" i="4" s="1"/>
  <c r="EQ28" i="4" a="1"/>
  <c r="EQ28" i="4" s="1"/>
  <c r="EK28" i="4" a="1"/>
  <c r="EK28" i="4" s="1"/>
  <c r="FI32" i="4" a="1"/>
  <c r="FI32" i="4" s="1"/>
  <c r="FF32" i="4" a="1"/>
  <c r="FF32" i="4" s="1"/>
  <c r="ES32" i="4" a="1"/>
  <c r="ES32" i="4" s="1"/>
  <c r="FK32" i="4" a="1"/>
  <c r="FK32" i="4" s="1"/>
  <c r="FH32" i="4" a="1"/>
  <c r="FH32" i="4" s="1"/>
  <c r="EM32" i="4" a="1"/>
  <c r="EM32" i="4" s="1"/>
  <c r="FG32" i="4" a="1"/>
  <c r="FG32" i="4" s="1"/>
  <c r="FJ32" i="4" a="1"/>
  <c r="FJ32" i="4" s="1"/>
  <c r="FE32" i="4" a="1"/>
  <c r="FE32" i="4" s="1"/>
  <c r="FI36" i="4" a="1"/>
  <c r="FI36" i="4" s="1"/>
  <c r="FF36" i="4" a="1"/>
  <c r="FF36" i="4" s="1"/>
  <c r="ES36" i="4" a="1"/>
  <c r="ES36" i="4" s="1"/>
  <c r="FK36" i="4" a="1"/>
  <c r="FK36" i="4" s="1"/>
  <c r="FH36" i="4" a="1"/>
  <c r="FH36" i="4" s="1"/>
  <c r="EM36" i="4" a="1"/>
  <c r="EM36" i="4" s="1"/>
  <c r="FG36" i="4" a="1"/>
  <c r="FG36" i="4" s="1"/>
  <c r="FJ36" i="4" a="1"/>
  <c r="FJ36" i="4" s="1"/>
  <c r="FE36" i="4" a="1"/>
  <c r="FE36" i="4" s="1"/>
  <c r="FI40" i="4" a="1"/>
  <c r="FI40" i="4" s="1"/>
  <c r="FF40" i="4" a="1"/>
  <c r="FF40" i="4" s="1"/>
  <c r="ES40" i="4" a="1"/>
  <c r="ES40" i="4" s="1"/>
  <c r="FK40" i="4" a="1"/>
  <c r="FK40" i="4" s="1"/>
  <c r="FH40" i="4" a="1"/>
  <c r="FH40" i="4" s="1"/>
  <c r="EM40" i="4" a="1"/>
  <c r="EM40" i="4" s="1"/>
  <c r="FG40" i="4" a="1"/>
  <c r="FG40" i="4" s="1"/>
  <c r="FJ40" i="4" a="1"/>
  <c r="FJ40" i="4" s="1"/>
  <c r="FE40" i="4" a="1"/>
  <c r="FE40" i="4" s="1"/>
  <c r="FK44" i="4" a="1"/>
  <c r="FK44" i="4" s="1"/>
  <c r="FH44" i="4" a="1"/>
  <c r="FH44" i="4" s="1"/>
  <c r="EM44" i="4" a="1"/>
  <c r="EM44" i="4" s="1"/>
  <c r="FJ44" i="4" a="1"/>
  <c r="FJ44" i="4" s="1"/>
  <c r="FE44" i="4" a="1"/>
  <c r="FE44" i="4" s="1"/>
  <c r="FI44" i="4" a="1"/>
  <c r="FI44" i="4" s="1"/>
  <c r="FF44" i="4" a="1"/>
  <c r="FF44" i="4" s="1"/>
  <c r="ES44" i="4" a="1"/>
  <c r="ES44" i="4" s="1"/>
  <c r="FG44" i="4" a="1"/>
  <c r="FG44" i="4" s="1"/>
  <c r="FG45" i="4" a="1"/>
  <c r="FG45" i="4" s="1"/>
  <c r="FI45" i="4" a="1"/>
  <c r="FI45" i="4" s="1"/>
  <c r="FF45" i="4" a="1"/>
  <c r="FF45" i="4" s="1"/>
  <c r="ES45" i="4" a="1"/>
  <c r="ES45" i="4" s="1"/>
  <c r="FJ45" i="4" a="1"/>
  <c r="FJ45" i="4" s="1"/>
  <c r="FE45" i="4" a="1"/>
  <c r="FE45" i="4" s="1"/>
  <c r="FH45" i="4" a="1"/>
  <c r="FH45" i="4" s="1"/>
  <c r="EM45" i="4" a="1"/>
  <c r="EM45" i="4" s="1"/>
  <c r="FK45" i="4" a="1"/>
  <c r="FK45" i="4" s="1"/>
  <c r="FG49" i="4" a="1"/>
  <c r="FG49" i="4" s="1"/>
  <c r="FI49" i="4" a="1"/>
  <c r="FI49" i="4" s="1"/>
  <c r="FF49" i="4" a="1"/>
  <c r="FF49" i="4" s="1"/>
  <c r="ES49" i="4" a="1"/>
  <c r="ES49" i="4" s="1"/>
  <c r="FJ49" i="4" a="1"/>
  <c r="FJ49" i="4" s="1"/>
  <c r="FE49" i="4" a="1"/>
  <c r="FE49" i="4" s="1"/>
  <c r="FK49" i="4" a="1"/>
  <c r="FK49" i="4" s="1"/>
  <c r="FH49" i="4" a="1"/>
  <c r="FH49" i="4" s="1"/>
  <c r="EM49" i="4" a="1"/>
  <c r="EM49" i="4" s="1"/>
  <c r="FX52" i="4" a="1"/>
  <c r="FX52" i="4" s="1"/>
  <c r="FV52" i="4" a="1"/>
  <c r="FV52" i="4" s="1"/>
  <c r="FT52" i="4" a="1"/>
  <c r="FT52" i="4" s="1"/>
  <c r="EV52" i="4" a="1"/>
  <c r="EV52" i="4" s="1"/>
  <c r="EP52" i="4" a="1"/>
  <c r="EP52" i="4" s="1"/>
  <c r="FU52" i="4" a="1"/>
  <c r="FU52" i="4" s="1"/>
  <c r="FW52" i="4" a="1"/>
  <c r="FW52" i="4" s="1"/>
  <c r="FS52" i="4" a="1"/>
  <c r="FS52" i="4" s="1"/>
  <c r="FY52" i="4" a="1"/>
  <c r="FY52" i="4" s="1"/>
  <c r="FD53" i="4" a="1"/>
  <c r="FD53" i="4" s="1"/>
  <c r="FB53" i="4" a="1"/>
  <c r="FB53" i="4" s="1"/>
  <c r="EZ53" i="4" a="1"/>
  <c r="EZ53" i="4" s="1"/>
  <c r="EX53" i="4" a="1"/>
  <c r="EX53" i="4" s="1"/>
  <c r="ER53" i="4" a="1"/>
  <c r="ER53" i="4" s="1"/>
  <c r="EL53" i="4" a="1"/>
  <c r="EL53" i="4" s="1"/>
  <c r="FA53" i="4" a="1"/>
  <c r="FA53" i="4" s="1"/>
  <c r="FC53" i="4" a="1"/>
  <c r="FC53" i="4" s="1"/>
  <c r="EY53" i="4" a="1"/>
  <c r="EY53" i="4" s="1"/>
  <c r="FX56" i="4" a="1"/>
  <c r="FX56" i="4" s="1"/>
  <c r="FV56" i="4" a="1"/>
  <c r="FV56" i="4" s="1"/>
  <c r="FT56" i="4" a="1"/>
  <c r="FT56" i="4" s="1"/>
  <c r="EV56" i="4" a="1"/>
  <c r="EV56" i="4" s="1"/>
  <c r="EP56" i="4" a="1"/>
  <c r="EP56" i="4" s="1"/>
  <c r="FU56" i="4" a="1"/>
  <c r="FU56" i="4" s="1"/>
  <c r="FW56" i="4" a="1"/>
  <c r="FW56" i="4" s="1"/>
  <c r="FS56" i="4" a="1"/>
  <c r="FS56" i="4" s="1"/>
  <c r="FY56" i="4" a="1"/>
  <c r="FY56" i="4" s="1"/>
  <c r="FD57" i="4" a="1"/>
  <c r="FD57" i="4" s="1"/>
  <c r="FB57" i="4" a="1"/>
  <c r="FB57" i="4" s="1"/>
  <c r="EZ57" i="4" a="1"/>
  <c r="EZ57" i="4" s="1"/>
  <c r="EX57" i="4" a="1"/>
  <c r="EX57" i="4" s="1"/>
  <c r="ER57" i="4" a="1"/>
  <c r="ER57" i="4" s="1"/>
  <c r="EL57" i="4" a="1"/>
  <c r="EL57" i="4" s="1"/>
  <c r="FA57" i="4" a="1"/>
  <c r="FA57" i="4" s="1"/>
  <c r="FC57" i="4" a="1"/>
  <c r="FC57" i="4" s="1"/>
  <c r="EY57" i="4" a="1"/>
  <c r="EY57" i="4" s="1"/>
  <c r="FX60" i="4" a="1"/>
  <c r="FX60" i="4" s="1"/>
  <c r="FV60" i="4" a="1"/>
  <c r="FV60" i="4" s="1"/>
  <c r="FT60" i="4" a="1"/>
  <c r="FT60" i="4" s="1"/>
  <c r="EV60" i="4" a="1"/>
  <c r="EV60" i="4" s="1"/>
  <c r="EP60" i="4" a="1"/>
  <c r="EP60" i="4" s="1"/>
  <c r="FU60" i="4" a="1"/>
  <c r="FU60" i="4" s="1"/>
  <c r="FW60" i="4" a="1"/>
  <c r="FW60" i="4" s="1"/>
  <c r="FS60" i="4" a="1"/>
  <c r="FS60" i="4" s="1"/>
  <c r="FY60" i="4" a="1"/>
  <c r="FY60" i="4" s="1"/>
  <c r="FD61" i="4" a="1"/>
  <c r="FD61" i="4" s="1"/>
  <c r="FB61" i="4" a="1"/>
  <c r="FB61" i="4" s="1"/>
  <c r="EZ61" i="4" a="1"/>
  <c r="EZ61" i="4" s="1"/>
  <c r="EX61" i="4" a="1"/>
  <c r="EX61" i="4" s="1"/>
  <c r="ER61" i="4" a="1"/>
  <c r="ER61" i="4" s="1"/>
  <c r="EL61" i="4" a="1"/>
  <c r="EL61" i="4" s="1"/>
  <c r="FA61" i="4" a="1"/>
  <c r="FA61" i="4" s="1"/>
  <c r="FC61" i="4" a="1"/>
  <c r="FC61" i="4" s="1"/>
  <c r="EY61" i="4" a="1"/>
  <c r="EY61" i="4" s="1"/>
  <c r="EN63" i="4" a="1"/>
  <c r="EN63" i="4" s="1"/>
  <c r="ET63" i="4" a="1"/>
  <c r="ET63" i="4" s="1"/>
  <c r="ET65" i="4" a="1"/>
  <c r="ET65" i="4" s="1"/>
  <c r="EN65" i="4" a="1"/>
  <c r="EN65" i="4" s="1"/>
  <c r="EN67" i="4" a="1"/>
  <c r="EN67" i="4" s="1"/>
  <c r="ET67" i="4" a="1"/>
  <c r="ET67" i="4" s="1"/>
  <c r="EN69" i="4" a="1"/>
  <c r="EN69" i="4" s="1"/>
  <c r="ET69" i="4" a="1"/>
  <c r="ET69" i="4" s="1"/>
  <c r="ET71" i="4" a="1"/>
  <c r="ET71" i="4" s="1"/>
  <c r="EN71" i="4" a="1"/>
  <c r="EN71" i="4" s="1"/>
  <c r="ET73" i="4" a="1"/>
  <c r="ET73" i="4" s="1"/>
  <c r="EN73" i="4" a="1"/>
  <c r="EN73" i="4" s="1"/>
  <c r="EN75" i="4" a="1"/>
  <c r="EN75" i="4" s="1"/>
  <c r="ET75" i="4" a="1"/>
  <c r="ET75" i="4" s="1"/>
  <c r="EN77" i="4" a="1"/>
  <c r="EN77" i="4" s="1"/>
  <c r="ET77" i="4" a="1"/>
  <c r="ET77" i="4" s="1"/>
  <c r="ET79" i="4" a="1"/>
  <c r="ET79" i="4" s="1"/>
  <c r="EN79" i="4" a="1"/>
  <c r="EN79" i="4" s="1"/>
  <c r="EN81" i="4" a="1"/>
  <c r="EN81" i="4" s="1"/>
  <c r="ET81" i="4" a="1"/>
  <c r="ET81" i="4" s="1"/>
  <c r="EN83" i="4" a="1"/>
  <c r="EN83" i="4" s="1"/>
  <c r="ET83" i="4" a="1"/>
  <c r="ET83" i="4" s="1"/>
  <c r="EN85" i="4" a="1"/>
  <c r="EN85" i="4" s="1"/>
  <c r="ET85" i="4" a="1"/>
  <c r="ET85" i="4" s="1"/>
  <c r="ET87" i="4" a="1"/>
  <c r="ET87" i="4" s="1"/>
  <c r="EN87" i="4" a="1"/>
  <c r="EN87" i="4" s="1"/>
  <c r="EN89" i="4" a="1"/>
  <c r="EN89" i="4" s="1"/>
  <c r="ET89" i="4" a="1"/>
  <c r="ET89" i="4" s="1"/>
  <c r="ET91" i="4" a="1"/>
  <c r="ET91" i="4" s="1"/>
  <c r="EN91" i="4" a="1"/>
  <c r="EN91" i="4" s="1"/>
  <c r="EN93" i="4" a="1"/>
  <c r="EN93" i="4" s="1"/>
  <c r="ET93" i="4" a="1"/>
  <c r="ET93" i="4" s="1"/>
  <c r="ET95" i="4" a="1"/>
  <c r="ET95" i="4" s="1"/>
  <c r="EN95" i="4" a="1"/>
  <c r="EN95" i="4" s="1"/>
  <c r="EN97" i="4" a="1"/>
  <c r="EN97" i="4" s="1"/>
  <c r="ET97" i="4" a="1"/>
  <c r="ET97" i="4" s="1"/>
  <c r="EN99" i="4" a="1"/>
  <c r="EN99" i="4" s="1"/>
  <c r="ET99" i="4" a="1"/>
  <c r="ET99" i="4" s="1"/>
  <c r="ET101" i="4" a="1"/>
  <c r="ET101" i="4" s="1"/>
  <c r="EN101" i="4" a="1"/>
  <c r="EN101" i="4" s="1"/>
  <c r="EN103" i="4" a="1"/>
  <c r="EN103" i="4" s="1"/>
  <c r="ET103" i="4" a="1"/>
  <c r="ET103" i="4" s="1"/>
  <c r="ET105" i="4" a="1"/>
  <c r="ET105" i="4" s="1"/>
  <c r="EN105" i="4" a="1"/>
  <c r="EN105" i="4" s="1"/>
  <c r="EN107" i="4" a="1"/>
  <c r="EN107" i="4" s="1"/>
  <c r="ET107" i="4" a="1"/>
  <c r="ET107" i="4" s="1"/>
  <c r="ET109" i="4" a="1"/>
  <c r="ET109" i="4" s="1"/>
  <c r="EN109" i="4" a="1"/>
  <c r="EN109" i="4" s="1"/>
  <c r="ET111" i="4" a="1"/>
  <c r="ET111" i="4" s="1"/>
  <c r="EN111" i="4" a="1"/>
  <c r="EN111" i="4" s="1"/>
  <c r="EN113" i="4" a="1"/>
  <c r="EN113" i="4" s="1"/>
  <c r="ET113" i="4" a="1"/>
  <c r="ET113" i="4" s="1"/>
  <c r="ET115" i="4" a="1"/>
  <c r="ET115" i="4" s="1"/>
  <c r="EN115" i="4" a="1"/>
  <c r="EN115" i="4" s="1"/>
  <c r="EN117" i="4" a="1"/>
  <c r="EN117" i="4" s="1"/>
  <c r="ET117" i="4" a="1"/>
  <c r="ET117" i="4" s="1"/>
  <c r="EN119" i="4" a="1"/>
  <c r="EN119" i="4" s="1"/>
  <c r="ET119" i="4" a="1"/>
  <c r="ET119" i="4" s="1"/>
  <c r="ET121" i="4" a="1"/>
  <c r="ET121" i="4" s="1"/>
  <c r="EN121" i="4" a="1"/>
  <c r="EN121" i="4" s="1"/>
  <c r="ET123" i="4" a="1"/>
  <c r="ET123" i="4" s="1"/>
  <c r="EN123" i="4" a="1"/>
  <c r="EN123" i="4" s="1"/>
  <c r="EN125" i="4" a="1"/>
  <c r="EN125" i="4" s="1"/>
  <c r="ET125" i="4" a="1"/>
  <c r="ET125" i="4" s="1"/>
  <c r="EN127" i="4" a="1"/>
  <c r="EN127" i="4" s="1"/>
  <c r="ET127" i="4" a="1"/>
  <c r="ET127" i="4" s="1"/>
  <c r="ET129" i="4" a="1"/>
  <c r="ET129" i="4" s="1"/>
  <c r="EN129" i="4" a="1"/>
  <c r="EN129" i="4" s="1"/>
  <c r="EN131" i="4" a="1"/>
  <c r="EN131" i="4" s="1"/>
  <c r="ET131" i="4" a="1"/>
  <c r="ET131" i="4" s="1"/>
  <c r="EN133" i="4" a="1"/>
  <c r="EN133" i="4" s="1"/>
  <c r="ET133" i="4" a="1"/>
  <c r="ET133" i="4" s="1"/>
  <c r="ET135" i="4" a="1"/>
  <c r="ET135" i="4" s="1"/>
  <c r="EN135" i="4" a="1"/>
  <c r="EN135" i="4" s="1"/>
  <c r="EN137" i="4" a="1"/>
  <c r="EN137" i="4" s="1"/>
  <c r="ET137" i="4" a="1"/>
  <c r="ET137" i="4" s="1"/>
  <c r="ET139" i="4" a="1"/>
  <c r="ET139" i="4" s="1"/>
  <c r="EN139" i="4" a="1"/>
  <c r="EN139" i="4" s="1"/>
  <c r="ET141" i="4" a="1"/>
  <c r="ET141" i="4" s="1"/>
  <c r="EN141" i="4" a="1"/>
  <c r="EN141" i="4" s="1"/>
  <c r="EN143" i="4" a="1"/>
  <c r="EN143" i="4" s="1"/>
  <c r="ET143" i="4" a="1"/>
  <c r="ET143" i="4" s="1"/>
  <c r="ET145" i="4" a="1"/>
  <c r="ET145" i="4" s="1"/>
  <c r="EN145" i="4" a="1"/>
  <c r="EN145" i="4" s="1"/>
  <c r="ET147" i="4" a="1"/>
  <c r="ET147" i="4" s="1"/>
  <c r="EN147" i="4" a="1"/>
  <c r="EN147" i="4" s="1"/>
  <c r="EN149" i="4" a="1"/>
  <c r="EN149" i="4" s="1"/>
  <c r="ET149" i="4" a="1"/>
  <c r="ET149" i="4" s="1"/>
  <c r="ET151" i="4" a="1"/>
  <c r="ET151" i="4" s="1"/>
  <c r="EN151" i="4" a="1"/>
  <c r="EN151" i="4" s="1"/>
  <c r="EN153" i="4" a="1"/>
  <c r="EN153" i="4" s="1"/>
  <c r="ET153" i="4" a="1"/>
  <c r="ET153" i="4" s="1"/>
  <c r="ET155" i="4" a="1"/>
  <c r="ET155" i="4" s="1"/>
  <c r="EN155" i="4" a="1"/>
  <c r="EN155" i="4" s="1"/>
  <c r="EN157" i="4" a="1"/>
  <c r="EN157" i="4" s="1"/>
  <c r="ET157" i="4" a="1"/>
  <c r="ET157" i="4" s="1"/>
  <c r="ET159" i="4" a="1"/>
  <c r="ET159" i="4" s="1"/>
  <c r="EN159" i="4" a="1"/>
  <c r="EN159" i="4" s="1"/>
  <c r="ET161" i="4" a="1"/>
  <c r="ET161" i="4" s="1"/>
  <c r="EN161" i="4" a="1"/>
  <c r="EN161" i="4" s="1"/>
  <c r="EN163" i="4" a="1"/>
  <c r="EN163" i="4" s="1"/>
  <c r="ET163" i="4" a="1"/>
  <c r="ET163" i="4" s="1"/>
  <c r="ET165" i="4" a="1"/>
  <c r="ET165" i="4" s="1"/>
  <c r="EN165" i="4" a="1"/>
  <c r="EN165" i="4" s="1"/>
  <c r="ET167" i="4" a="1"/>
  <c r="ET167" i="4" s="1"/>
  <c r="EN167" i="4" a="1"/>
  <c r="EN167" i="4" s="1"/>
  <c r="EN169" i="4" a="1"/>
  <c r="EN169" i="4" s="1"/>
  <c r="ET169" i="4" a="1"/>
  <c r="ET169" i="4" s="1"/>
  <c r="ET171" i="4" a="1"/>
  <c r="ET171" i="4" s="1"/>
  <c r="EN171" i="4" a="1"/>
  <c r="EN171" i="4" s="1"/>
  <c r="EN173" i="4" a="1"/>
  <c r="EN173" i="4" s="1"/>
  <c r="ET173" i="4" a="1"/>
  <c r="ET173" i="4" s="1"/>
  <c r="EN175" i="4" a="1"/>
  <c r="EN175" i="4" s="1"/>
  <c r="ET175" i="4" a="1"/>
  <c r="ET175" i="4" s="1"/>
  <c r="ET177" i="4" a="1"/>
  <c r="ET177" i="4" s="1"/>
  <c r="EN177" i="4" a="1"/>
  <c r="EN177" i="4" s="1"/>
  <c r="ET179" i="4" a="1"/>
  <c r="ET179" i="4" s="1"/>
  <c r="EN179" i="4" a="1"/>
  <c r="EN179" i="4" s="1"/>
  <c r="EN181" i="4" a="1"/>
  <c r="EN181" i="4" s="1"/>
  <c r="ET181" i="4" a="1"/>
  <c r="ET181" i="4" s="1"/>
  <c r="FX192" i="4" a="1"/>
  <c r="FX192" i="4" s="1"/>
  <c r="FV192" i="4" a="1"/>
  <c r="FV192" i="4" s="1"/>
  <c r="FT192" i="4" a="1"/>
  <c r="FT192" i="4" s="1"/>
  <c r="EV192" i="4" a="1"/>
  <c r="EV192" i="4" s="1"/>
  <c r="EP192" i="4" a="1"/>
  <c r="EP192" i="4" s="1"/>
  <c r="FY192" i="4" a="1"/>
  <c r="FY192" i="4" s="1"/>
  <c r="FS192" i="4" a="1"/>
  <c r="FS192" i="4" s="1"/>
  <c r="FW192" i="4" a="1"/>
  <c r="FW192" i="4" s="1"/>
  <c r="FU192" i="4" a="1"/>
  <c r="FU192" i="4" s="1"/>
  <c r="FD193" i="4" a="1"/>
  <c r="FD193" i="4" s="1"/>
  <c r="FB193" i="4" a="1"/>
  <c r="FB193" i="4" s="1"/>
  <c r="EZ193" i="4" a="1"/>
  <c r="EZ193" i="4" s="1"/>
  <c r="EX193" i="4" a="1"/>
  <c r="EX193" i="4" s="1"/>
  <c r="ER193" i="4" a="1"/>
  <c r="ER193" i="4" s="1"/>
  <c r="EL193" i="4" a="1"/>
  <c r="EL193" i="4" s="1"/>
  <c r="EY193" i="4" a="1"/>
  <c r="EY193" i="4" s="1"/>
  <c r="FC193" i="4" a="1"/>
  <c r="FC193" i="4" s="1"/>
  <c r="FA193" i="4" a="1"/>
  <c r="FA193" i="4" s="1"/>
  <c r="FX196" i="4" a="1"/>
  <c r="FX196" i="4" s="1"/>
  <c r="FV196" i="4" a="1"/>
  <c r="FV196" i="4" s="1"/>
  <c r="FT196" i="4" a="1"/>
  <c r="FT196" i="4" s="1"/>
  <c r="EV196" i="4" a="1"/>
  <c r="EV196" i="4" s="1"/>
  <c r="EP196" i="4" a="1"/>
  <c r="EP196" i="4" s="1"/>
  <c r="FY196" i="4" a="1"/>
  <c r="FY196" i="4" s="1"/>
  <c r="FS196" i="4" a="1"/>
  <c r="FS196" i="4" s="1"/>
  <c r="FW196" i="4" a="1"/>
  <c r="FW196" i="4" s="1"/>
  <c r="FU196" i="4" a="1"/>
  <c r="FU196" i="4" s="1"/>
  <c r="FD197" i="4" a="1"/>
  <c r="FD197" i="4" s="1"/>
  <c r="FB197" i="4" a="1"/>
  <c r="FB197" i="4" s="1"/>
  <c r="EZ197" i="4" a="1"/>
  <c r="EZ197" i="4" s="1"/>
  <c r="EX197" i="4" a="1"/>
  <c r="EX197" i="4" s="1"/>
  <c r="ER197" i="4" a="1"/>
  <c r="ER197" i="4" s="1"/>
  <c r="EL197" i="4" a="1"/>
  <c r="EL197" i="4" s="1"/>
  <c r="EY197" i="4" a="1"/>
  <c r="EY197" i="4" s="1"/>
  <c r="FC197" i="4" a="1"/>
  <c r="FC197" i="4" s="1"/>
  <c r="FA197" i="4" a="1"/>
  <c r="FA197" i="4" s="1"/>
  <c r="FX200" i="4" a="1"/>
  <c r="FX200" i="4" s="1"/>
  <c r="FV200" i="4" a="1"/>
  <c r="FV200" i="4" s="1"/>
  <c r="FT200" i="4" a="1"/>
  <c r="FT200" i="4" s="1"/>
  <c r="EV200" i="4" a="1"/>
  <c r="EV200" i="4" s="1"/>
  <c r="EP200" i="4" a="1"/>
  <c r="EP200" i="4" s="1"/>
  <c r="FY200" i="4" a="1"/>
  <c r="FY200" i="4" s="1"/>
  <c r="FS200" i="4" a="1"/>
  <c r="FS200" i="4" s="1"/>
  <c r="FW200" i="4" a="1"/>
  <c r="FW200" i="4" s="1"/>
  <c r="FU200" i="4" a="1"/>
  <c r="FU200" i="4" s="1"/>
  <c r="FD201" i="4" a="1"/>
  <c r="FD201" i="4" s="1"/>
  <c r="FB201" i="4" a="1"/>
  <c r="FB201" i="4" s="1"/>
  <c r="EZ201" i="4" a="1"/>
  <c r="EZ201" i="4" s="1"/>
  <c r="EX201" i="4" a="1"/>
  <c r="EX201" i="4" s="1"/>
  <c r="ER201" i="4" a="1"/>
  <c r="ER201" i="4" s="1"/>
  <c r="EL201" i="4" a="1"/>
  <c r="EL201" i="4" s="1"/>
  <c r="EY201" i="4" a="1"/>
  <c r="EY201" i="4" s="1"/>
  <c r="FC201" i="4" a="1"/>
  <c r="FC201" i="4" s="1"/>
  <c r="FA201" i="4" a="1"/>
  <c r="FA201" i="4" s="1"/>
  <c r="FX204" i="4" a="1"/>
  <c r="FX204" i="4" s="1"/>
  <c r="FV204" i="4" a="1"/>
  <c r="FV204" i="4" s="1"/>
  <c r="FT204" i="4" a="1"/>
  <c r="FT204" i="4" s="1"/>
  <c r="EV204" i="4" a="1"/>
  <c r="EV204" i="4" s="1"/>
  <c r="EP204" i="4" a="1"/>
  <c r="EP204" i="4" s="1"/>
  <c r="FY204" i="4" a="1"/>
  <c r="FY204" i="4" s="1"/>
  <c r="FS204" i="4" a="1"/>
  <c r="FS204" i="4" s="1"/>
  <c r="FW204" i="4" a="1"/>
  <c r="FW204" i="4" s="1"/>
  <c r="FU204" i="4" a="1"/>
  <c r="FU204" i="4" s="1"/>
  <c r="FD205" i="4" a="1"/>
  <c r="FD205" i="4" s="1"/>
  <c r="FB205" i="4" a="1"/>
  <c r="FB205" i="4" s="1"/>
  <c r="EZ205" i="4" a="1"/>
  <c r="EZ205" i="4" s="1"/>
  <c r="EX205" i="4" a="1"/>
  <c r="EX205" i="4" s="1"/>
  <c r="ER205" i="4" a="1"/>
  <c r="ER205" i="4" s="1"/>
  <c r="EL205" i="4" a="1"/>
  <c r="EL205" i="4" s="1"/>
  <c r="FC205" i="4" a="1"/>
  <c r="FC205" i="4" s="1"/>
  <c r="FA205" i="4" a="1"/>
  <c r="FA205" i="4" s="1"/>
  <c r="EY205" i="4" a="1"/>
  <c r="EY205" i="4" s="1"/>
  <c r="FX208" i="4" a="1"/>
  <c r="FX208" i="4" s="1"/>
  <c r="FV208" i="4" a="1"/>
  <c r="FV208" i="4" s="1"/>
  <c r="FT208" i="4" a="1"/>
  <c r="FT208" i="4" s="1"/>
  <c r="EV208" i="4" a="1"/>
  <c r="EV208" i="4" s="1"/>
  <c r="EP208" i="4" a="1"/>
  <c r="EP208" i="4" s="1"/>
  <c r="FW208" i="4" a="1"/>
  <c r="FW208" i="4" s="1"/>
  <c r="FY208" i="4" a="1"/>
  <c r="FY208" i="4" s="1"/>
  <c r="FU208" i="4" a="1"/>
  <c r="FU208" i="4" s="1"/>
  <c r="FS208" i="4" a="1"/>
  <c r="FS208" i="4" s="1"/>
  <c r="FD209" i="4" a="1"/>
  <c r="FD209" i="4" s="1"/>
  <c r="FB209" i="4" a="1"/>
  <c r="FB209" i="4" s="1"/>
  <c r="EZ209" i="4" a="1"/>
  <c r="EZ209" i="4" s="1"/>
  <c r="EX209" i="4" a="1"/>
  <c r="EX209" i="4" s="1"/>
  <c r="ER209" i="4" a="1"/>
  <c r="ER209" i="4" s="1"/>
  <c r="EL209" i="4" a="1"/>
  <c r="EL209" i="4" s="1"/>
  <c r="FC209" i="4" a="1"/>
  <c r="FC209" i="4" s="1"/>
  <c r="FA209" i="4" a="1"/>
  <c r="FA209" i="4" s="1"/>
  <c r="EY209" i="4" a="1"/>
  <c r="EY209" i="4" s="1"/>
  <c r="FX212" i="4" a="1"/>
  <c r="FX212" i="4" s="1"/>
  <c r="FV212" i="4" a="1"/>
  <c r="FV212" i="4" s="1"/>
  <c r="FT212" i="4" a="1"/>
  <c r="FT212" i="4" s="1"/>
  <c r="EV212" i="4" a="1"/>
  <c r="EV212" i="4" s="1"/>
  <c r="EP212" i="4" a="1"/>
  <c r="EP212" i="4" s="1"/>
  <c r="FW212" i="4" a="1"/>
  <c r="FW212" i="4" s="1"/>
  <c r="FY212" i="4" a="1"/>
  <c r="FY212" i="4" s="1"/>
  <c r="FU212" i="4" a="1"/>
  <c r="FU212" i="4" s="1"/>
  <c r="FS212" i="4" a="1"/>
  <c r="FS212" i="4" s="1"/>
  <c r="FD213" i="4" a="1"/>
  <c r="FD213" i="4" s="1"/>
  <c r="FB213" i="4" a="1"/>
  <c r="FB213" i="4" s="1"/>
  <c r="EZ213" i="4" a="1"/>
  <c r="EZ213" i="4" s="1"/>
  <c r="EX213" i="4" a="1"/>
  <c r="EX213" i="4" s="1"/>
  <c r="ER213" i="4" a="1"/>
  <c r="ER213" i="4" s="1"/>
  <c r="EL213" i="4" a="1"/>
  <c r="EL213" i="4" s="1"/>
  <c r="FC213" i="4" a="1"/>
  <c r="FC213" i="4" s="1"/>
  <c r="FA213" i="4" a="1"/>
  <c r="FA213" i="4" s="1"/>
  <c r="EY213" i="4" a="1"/>
  <c r="EY213" i="4" s="1"/>
  <c r="FX216" i="4" a="1"/>
  <c r="FX216" i="4" s="1"/>
  <c r="FV216" i="4" a="1"/>
  <c r="FV216" i="4" s="1"/>
  <c r="FT216" i="4" a="1"/>
  <c r="FT216" i="4" s="1"/>
  <c r="EV216" i="4" a="1"/>
  <c r="EV216" i="4" s="1"/>
  <c r="EP216" i="4" a="1"/>
  <c r="EP216" i="4" s="1"/>
  <c r="FW216" i="4" a="1"/>
  <c r="FW216" i="4" s="1"/>
  <c r="FY216" i="4" a="1"/>
  <c r="FY216" i="4" s="1"/>
  <c r="FU216" i="4" a="1"/>
  <c r="FU216" i="4" s="1"/>
  <c r="FS216" i="4" a="1"/>
  <c r="FS216" i="4" s="1"/>
  <c r="FD217" i="4" a="1"/>
  <c r="FD217" i="4" s="1"/>
  <c r="FB217" i="4" a="1"/>
  <c r="FB217" i="4" s="1"/>
  <c r="EZ217" i="4" a="1"/>
  <c r="EZ217" i="4" s="1"/>
  <c r="EX217" i="4" a="1"/>
  <c r="EX217" i="4" s="1"/>
  <c r="ER217" i="4" a="1"/>
  <c r="ER217" i="4" s="1"/>
  <c r="EL217" i="4" a="1"/>
  <c r="EL217" i="4" s="1"/>
  <c r="FA217" i="4" a="1"/>
  <c r="FA217" i="4" s="1"/>
  <c r="FC217" i="4" a="1"/>
  <c r="FC217" i="4" s="1"/>
  <c r="EY217" i="4" a="1"/>
  <c r="EY217" i="4" s="1"/>
  <c r="FX220" i="4" a="1"/>
  <c r="FX220" i="4" s="1"/>
  <c r="FV220" i="4" a="1"/>
  <c r="FV220" i="4" s="1"/>
  <c r="FT220" i="4" a="1"/>
  <c r="FT220" i="4" s="1"/>
  <c r="EV220" i="4" a="1"/>
  <c r="EV220" i="4" s="1"/>
  <c r="EP220" i="4" a="1"/>
  <c r="EP220" i="4" s="1"/>
  <c r="FU220" i="4" a="1"/>
  <c r="FU220" i="4" s="1"/>
  <c r="FW220" i="4" a="1"/>
  <c r="FW220" i="4" s="1"/>
  <c r="FS220" i="4" a="1"/>
  <c r="FS220" i="4" s="1"/>
  <c r="FY220" i="4" a="1"/>
  <c r="FY220" i="4" s="1"/>
  <c r="FD221" i="4" a="1"/>
  <c r="FD221" i="4" s="1"/>
  <c r="FB221" i="4" a="1"/>
  <c r="FB221" i="4" s="1"/>
  <c r="EZ221" i="4" a="1"/>
  <c r="EZ221" i="4" s="1"/>
  <c r="EX221" i="4" a="1"/>
  <c r="EX221" i="4" s="1"/>
  <c r="ER221" i="4" a="1"/>
  <c r="ER221" i="4" s="1"/>
  <c r="EL221" i="4" a="1"/>
  <c r="EL221" i="4" s="1"/>
  <c r="FA221" i="4" a="1"/>
  <c r="FA221" i="4" s="1"/>
  <c r="FC221" i="4" a="1"/>
  <c r="FC221" i="4" s="1"/>
  <c r="EY221" i="4" a="1"/>
  <c r="EY221" i="4" s="1"/>
  <c r="FX224" i="4" a="1"/>
  <c r="FX224" i="4" s="1"/>
  <c r="FV224" i="4" a="1"/>
  <c r="FV224" i="4" s="1"/>
  <c r="FT224" i="4" a="1"/>
  <c r="FT224" i="4" s="1"/>
  <c r="EV224" i="4" a="1"/>
  <c r="EV224" i="4" s="1"/>
  <c r="EP224" i="4" a="1"/>
  <c r="EP224" i="4" s="1"/>
  <c r="FU224" i="4" a="1"/>
  <c r="FU224" i="4" s="1"/>
  <c r="FW224" i="4" a="1"/>
  <c r="FW224" i="4" s="1"/>
  <c r="FS224" i="4" a="1"/>
  <c r="FS224" i="4" s="1"/>
  <c r="FY224" i="4" a="1"/>
  <c r="FY224" i="4" s="1"/>
  <c r="FD225" i="4" a="1"/>
  <c r="FD225" i="4" s="1"/>
  <c r="FB225" i="4" a="1"/>
  <c r="FB225" i="4" s="1"/>
  <c r="EZ225" i="4" a="1"/>
  <c r="EZ225" i="4" s="1"/>
  <c r="EX225" i="4" a="1"/>
  <c r="EX225" i="4" s="1"/>
  <c r="ER225" i="4" a="1"/>
  <c r="ER225" i="4" s="1"/>
  <c r="EL225" i="4" a="1"/>
  <c r="EL225" i="4" s="1"/>
  <c r="FA225" i="4" a="1"/>
  <c r="FA225" i="4" s="1"/>
  <c r="FC225" i="4" a="1"/>
  <c r="FC225" i="4" s="1"/>
  <c r="EY225" i="4" a="1"/>
  <c r="EY225" i="4" s="1"/>
  <c r="FX228" i="4" a="1"/>
  <c r="FX228" i="4" s="1"/>
  <c r="FV228" i="4" a="1"/>
  <c r="FV228" i="4" s="1"/>
  <c r="FT228" i="4" a="1"/>
  <c r="FT228" i="4" s="1"/>
  <c r="EV228" i="4" a="1"/>
  <c r="EV228" i="4" s="1"/>
  <c r="EP228" i="4" a="1"/>
  <c r="EP228" i="4" s="1"/>
  <c r="FU228" i="4" a="1"/>
  <c r="FU228" i="4" s="1"/>
  <c r="FW228" i="4" a="1"/>
  <c r="FW228" i="4" s="1"/>
  <c r="FS228" i="4" a="1"/>
  <c r="FS228" i="4" s="1"/>
  <c r="FY228" i="4" a="1"/>
  <c r="FY228" i="4" s="1"/>
  <c r="FD229" i="4" a="1"/>
  <c r="FD229" i="4" s="1"/>
  <c r="FB229" i="4" a="1"/>
  <c r="FB229" i="4" s="1"/>
  <c r="EZ229" i="4" a="1"/>
  <c r="EZ229" i="4" s="1"/>
  <c r="EX229" i="4" a="1"/>
  <c r="EX229" i="4" s="1"/>
  <c r="ER229" i="4" a="1"/>
  <c r="ER229" i="4" s="1"/>
  <c r="EL229" i="4" a="1"/>
  <c r="EL229" i="4" s="1"/>
  <c r="FA229" i="4" a="1"/>
  <c r="FA229" i="4" s="1"/>
  <c r="FC229" i="4" a="1"/>
  <c r="FC229" i="4" s="1"/>
  <c r="EY229" i="4" a="1"/>
  <c r="EY229" i="4" s="1"/>
  <c r="FX232" i="4" a="1"/>
  <c r="FX232" i="4" s="1"/>
  <c r="FV232" i="4" a="1"/>
  <c r="FV232" i="4" s="1"/>
  <c r="FT232" i="4" a="1"/>
  <c r="FT232" i="4" s="1"/>
  <c r="EV232" i="4" a="1"/>
  <c r="EV232" i="4" s="1"/>
  <c r="EP232" i="4" a="1"/>
  <c r="EP232" i="4" s="1"/>
  <c r="FU232" i="4" a="1"/>
  <c r="FU232" i="4" s="1"/>
  <c r="FW232" i="4" a="1"/>
  <c r="FW232" i="4" s="1"/>
  <c r="FS232" i="4" a="1"/>
  <c r="FS232" i="4" s="1"/>
  <c r="FY232" i="4" a="1"/>
  <c r="FY232" i="4" s="1"/>
  <c r="FD233" i="4" a="1"/>
  <c r="FD233" i="4" s="1"/>
  <c r="FB233" i="4" a="1"/>
  <c r="FB233" i="4" s="1"/>
  <c r="EZ233" i="4" a="1"/>
  <c r="EZ233" i="4" s="1"/>
  <c r="EX233" i="4" a="1"/>
  <c r="EX233" i="4" s="1"/>
  <c r="ER233" i="4" a="1"/>
  <c r="ER233" i="4" s="1"/>
  <c r="EL233" i="4" a="1"/>
  <c r="EL233" i="4" s="1"/>
  <c r="FA233" i="4" a="1"/>
  <c r="FA233" i="4" s="1"/>
  <c r="FC233" i="4" a="1"/>
  <c r="FC233" i="4" s="1"/>
  <c r="EY233" i="4" a="1"/>
  <c r="EY233" i="4" s="1"/>
  <c r="FX236" i="4" a="1"/>
  <c r="FX236" i="4" s="1"/>
  <c r="FV236" i="4" a="1"/>
  <c r="FV236" i="4" s="1"/>
  <c r="FT236" i="4" a="1"/>
  <c r="FT236" i="4" s="1"/>
  <c r="EV236" i="4" a="1"/>
  <c r="EV236" i="4" s="1"/>
  <c r="EP236" i="4" a="1"/>
  <c r="EP236" i="4" s="1"/>
  <c r="FU236" i="4" a="1"/>
  <c r="FU236" i="4" s="1"/>
  <c r="FW236" i="4" a="1"/>
  <c r="FW236" i="4" s="1"/>
  <c r="FS236" i="4" a="1"/>
  <c r="FS236" i="4" s="1"/>
  <c r="FY236" i="4" a="1"/>
  <c r="FY236" i="4" s="1"/>
  <c r="FG237" i="4" a="1"/>
  <c r="FG237" i="4" s="1"/>
  <c r="FI237" i="4" a="1"/>
  <c r="FI237" i="4" s="1"/>
  <c r="FF237" i="4" a="1"/>
  <c r="FF237" i="4" s="1"/>
  <c r="ES237" i="4" a="1"/>
  <c r="ES237" i="4" s="1"/>
  <c r="FJ237" i="4" a="1"/>
  <c r="FJ237" i="4" s="1"/>
  <c r="FE237" i="4" a="1"/>
  <c r="FE237" i="4" s="1"/>
  <c r="FH237" i="4" a="1"/>
  <c r="FH237" i="4" s="1"/>
  <c r="EM237" i="4" a="1"/>
  <c r="EM237" i="4" s="1"/>
  <c r="FK237" i="4" a="1"/>
  <c r="FK237" i="4" s="1"/>
  <c r="FG241" i="4" a="1"/>
  <c r="FG241" i="4" s="1"/>
  <c r="FI241" i="4" a="1"/>
  <c r="FI241" i="4" s="1"/>
  <c r="FF241" i="4" a="1"/>
  <c r="FF241" i="4" s="1"/>
  <c r="ES241" i="4" a="1"/>
  <c r="ES241" i="4" s="1"/>
  <c r="FJ241" i="4" a="1"/>
  <c r="FJ241" i="4" s="1"/>
  <c r="FE241" i="4" a="1"/>
  <c r="FE241" i="4" s="1"/>
  <c r="FK241" i="4" a="1"/>
  <c r="FK241" i="4" s="1"/>
  <c r="FH241" i="4" a="1"/>
  <c r="FH241" i="4" s="1"/>
  <c r="EM241" i="4" a="1"/>
  <c r="EM241" i="4" s="1"/>
  <c r="FG245" i="4" a="1"/>
  <c r="FG245" i="4" s="1"/>
  <c r="FI245" i="4" a="1"/>
  <c r="FI245" i="4" s="1"/>
  <c r="FF245" i="4" a="1"/>
  <c r="FF245" i="4" s="1"/>
  <c r="ES245" i="4" a="1"/>
  <c r="ES245" i="4" s="1"/>
  <c r="FJ245" i="4" a="1"/>
  <c r="FJ245" i="4" s="1"/>
  <c r="FE245" i="4" a="1"/>
  <c r="FE245" i="4" s="1"/>
  <c r="FH245" i="4" a="1"/>
  <c r="FH245" i="4" s="1"/>
  <c r="EM245" i="4" a="1"/>
  <c r="EM245" i="4" s="1"/>
  <c r="FK245" i="4" a="1"/>
  <c r="FK245" i="4" s="1"/>
  <c r="FR248" i="4" a="1"/>
  <c r="FR248" i="4" s="1"/>
  <c r="FO248" i="4" a="1"/>
  <c r="FO248" i="4" s="1"/>
  <c r="FQ248" i="4" a="1"/>
  <c r="FQ248" i="4" s="1"/>
  <c r="FL248" i="4" a="1"/>
  <c r="FL248" i="4" s="1"/>
  <c r="FP248" i="4" a="1"/>
  <c r="FP248" i="4" s="1"/>
  <c r="FM248" i="4" a="1"/>
  <c r="FM248" i="4" s="1"/>
  <c r="EO248" i="4" a="1"/>
  <c r="EO248" i="4" s="1"/>
  <c r="EU248" i="4" a="1"/>
  <c r="EU248" i="4" s="1"/>
  <c r="FN248" i="4" a="1"/>
  <c r="FN248" i="4" s="1"/>
  <c r="EK249" i="4" a="1"/>
  <c r="EK249" i="4" s="1"/>
  <c r="EQ249" i="4" a="1"/>
  <c r="EQ249" i="4" s="1"/>
  <c r="FX252" i="4" a="1"/>
  <c r="FX252" i="4" s="1"/>
  <c r="FV252" i="4" a="1"/>
  <c r="FV252" i="4" s="1"/>
  <c r="FT252" i="4" a="1"/>
  <c r="FT252" i="4" s="1"/>
  <c r="EV252" i="4" a="1"/>
  <c r="EV252" i="4" s="1"/>
  <c r="EP252" i="4" a="1"/>
  <c r="EP252" i="4" s="1"/>
  <c r="FU252" i="4" a="1"/>
  <c r="FU252" i="4" s="1"/>
  <c r="FW252" i="4" a="1"/>
  <c r="FW252" i="4" s="1"/>
  <c r="FS252" i="4" a="1"/>
  <c r="FS252" i="4" s="1"/>
  <c r="FY252" i="4" a="1"/>
  <c r="FY252" i="4" s="1"/>
  <c r="FD253" i="4" a="1"/>
  <c r="FD253" i="4" s="1"/>
  <c r="FB253" i="4" a="1"/>
  <c r="FB253" i="4" s="1"/>
  <c r="EZ253" i="4" a="1"/>
  <c r="EZ253" i="4" s="1"/>
  <c r="EX253" i="4" a="1"/>
  <c r="EX253" i="4" s="1"/>
  <c r="ER253" i="4" a="1"/>
  <c r="ER253" i="4" s="1"/>
  <c r="EL253" i="4" a="1"/>
  <c r="EL253" i="4" s="1"/>
  <c r="EY253" i="4" a="1"/>
  <c r="EY253" i="4" s="1"/>
  <c r="FA253" i="4" a="1"/>
  <c r="FA253" i="4" s="1"/>
  <c r="FC253" i="4" a="1"/>
  <c r="FC253" i="4" s="1"/>
  <c r="FX256" i="4" a="1"/>
  <c r="FX256" i="4" s="1"/>
  <c r="FV256" i="4" a="1"/>
  <c r="FV256" i="4" s="1"/>
  <c r="FT256" i="4" a="1"/>
  <c r="FT256" i="4" s="1"/>
  <c r="EV256" i="4" a="1"/>
  <c r="EV256" i="4" s="1"/>
  <c r="EP256" i="4" a="1"/>
  <c r="EP256" i="4" s="1"/>
  <c r="FS256" i="4" a="1"/>
  <c r="FS256" i="4" s="1"/>
  <c r="FU256" i="4" a="1"/>
  <c r="FU256" i="4" s="1"/>
  <c r="FY256" i="4" a="1"/>
  <c r="FY256" i="4" s="1"/>
  <c r="FW256" i="4" a="1"/>
  <c r="FW256" i="4" s="1"/>
  <c r="FD257" i="4" a="1"/>
  <c r="FD257" i="4" s="1"/>
  <c r="FB257" i="4" a="1"/>
  <c r="FB257" i="4" s="1"/>
  <c r="EZ257" i="4" a="1"/>
  <c r="EZ257" i="4" s="1"/>
  <c r="EX257" i="4" a="1"/>
  <c r="EX257" i="4" s="1"/>
  <c r="ER257" i="4" a="1"/>
  <c r="ER257" i="4" s="1"/>
  <c r="EL257" i="4" a="1"/>
  <c r="EL257" i="4" s="1"/>
  <c r="EY257" i="4" a="1"/>
  <c r="EY257" i="4" s="1"/>
  <c r="FA257" i="4" a="1"/>
  <c r="FA257" i="4" s="1"/>
  <c r="FC257" i="4" a="1"/>
  <c r="FC257" i="4" s="1"/>
  <c r="FX260" i="4" a="1"/>
  <c r="FX260" i="4" s="1"/>
  <c r="FV260" i="4" a="1"/>
  <c r="FV260" i="4" s="1"/>
  <c r="FT260" i="4" a="1"/>
  <c r="FT260" i="4" s="1"/>
  <c r="EV260" i="4" a="1"/>
  <c r="EV260" i="4" s="1"/>
  <c r="EP260" i="4" a="1"/>
  <c r="EP260" i="4" s="1"/>
  <c r="FY260" i="4" a="1"/>
  <c r="FY260" i="4" s="1"/>
  <c r="FS260" i="4" a="1"/>
  <c r="FS260" i="4" s="1"/>
  <c r="FW260" i="4" a="1"/>
  <c r="FW260" i="4" s="1"/>
  <c r="FU260" i="4" a="1"/>
  <c r="FU260" i="4" s="1"/>
  <c r="FD261" i="4" a="1"/>
  <c r="FD261" i="4" s="1"/>
  <c r="FB261" i="4" a="1"/>
  <c r="FB261" i="4" s="1"/>
  <c r="EZ261" i="4" a="1"/>
  <c r="EZ261" i="4" s="1"/>
  <c r="EX261" i="4" a="1"/>
  <c r="EX261" i="4" s="1"/>
  <c r="ER261" i="4" a="1"/>
  <c r="ER261" i="4" s="1"/>
  <c r="EL261" i="4" a="1"/>
  <c r="EL261" i="4" s="1"/>
  <c r="EY261" i="4" a="1"/>
  <c r="EY261" i="4" s="1"/>
  <c r="FC261" i="4" a="1"/>
  <c r="FC261" i="4" s="1"/>
  <c r="FA261" i="4" a="1"/>
  <c r="FA261" i="4" s="1"/>
  <c r="FX264" i="4" a="1"/>
  <c r="FX264" i="4" s="1"/>
  <c r="FV264" i="4" a="1"/>
  <c r="FV264" i="4" s="1"/>
  <c r="FT264" i="4" a="1"/>
  <c r="FT264" i="4" s="1"/>
  <c r="EV264" i="4" a="1"/>
  <c r="EV264" i="4" s="1"/>
  <c r="EP264" i="4" a="1"/>
  <c r="EP264" i="4" s="1"/>
  <c r="FY264" i="4" a="1"/>
  <c r="FY264" i="4" s="1"/>
  <c r="FS264" i="4" a="1"/>
  <c r="FS264" i="4" s="1"/>
  <c r="FW264" i="4" a="1"/>
  <c r="FW264" i="4" s="1"/>
  <c r="FU264" i="4" a="1"/>
  <c r="FU264" i="4" s="1"/>
  <c r="FK68" i="4" a="1"/>
  <c r="FK68" i="4" s="1"/>
  <c r="FI68" i="4" a="1"/>
  <c r="FI68" i="4" s="1"/>
  <c r="FG68" i="4" a="1"/>
  <c r="FG68" i="4" s="1"/>
  <c r="FE68" i="4" a="1"/>
  <c r="FE68" i="4" s="1"/>
  <c r="ES68" i="4" a="1"/>
  <c r="ES68" i="4" s="1"/>
  <c r="EM68" i="4" a="1"/>
  <c r="EM68" i="4" s="1"/>
  <c r="FF68" i="4" a="1"/>
  <c r="FF68" i="4" s="1"/>
  <c r="FH68" i="4" a="1"/>
  <c r="FH68" i="4" s="1"/>
  <c r="FJ68" i="4" a="1"/>
  <c r="FJ68" i="4" s="1"/>
  <c r="FK69" i="4" a="1"/>
  <c r="FK69" i="4" s="1"/>
  <c r="FI69" i="4" a="1"/>
  <c r="FI69" i="4" s="1"/>
  <c r="FG69" i="4" a="1"/>
  <c r="FG69" i="4" s="1"/>
  <c r="FE69" i="4" a="1"/>
  <c r="FE69" i="4" s="1"/>
  <c r="ES69" i="4" a="1"/>
  <c r="ES69" i="4" s="1"/>
  <c r="EM69" i="4" a="1"/>
  <c r="EM69" i="4" s="1"/>
  <c r="FF69" i="4" a="1"/>
  <c r="FF69" i="4" s="1"/>
  <c r="FH69" i="4" a="1"/>
  <c r="FH69" i="4" s="1"/>
  <c r="FJ69" i="4" a="1"/>
  <c r="FJ69" i="4" s="1"/>
  <c r="FC70" i="4" a="1"/>
  <c r="FC70" i="4" s="1"/>
  <c r="FA70" i="4" a="1"/>
  <c r="FA70" i="4" s="1"/>
  <c r="EY70" i="4" a="1"/>
  <c r="EY70" i="4" s="1"/>
  <c r="EZ70" i="4" a="1"/>
  <c r="EZ70" i="4" s="1"/>
  <c r="ER70" i="4" a="1"/>
  <c r="ER70" i="4" s="1"/>
  <c r="FB70" i="4" a="1"/>
  <c r="FB70" i="4" s="1"/>
  <c r="EL70" i="4" a="1"/>
  <c r="EL70" i="4" s="1"/>
  <c r="EX70" i="4" a="1"/>
  <c r="EX70" i="4" s="1"/>
  <c r="FD70" i="4" a="1"/>
  <c r="FD70" i="4" s="1"/>
  <c r="FC71" i="4" a="1"/>
  <c r="FC71" i="4" s="1"/>
  <c r="FA71" i="4" a="1"/>
  <c r="FA71" i="4" s="1"/>
  <c r="EY71" i="4" a="1"/>
  <c r="EY71" i="4" s="1"/>
  <c r="EZ71" i="4" a="1"/>
  <c r="EZ71" i="4" s="1"/>
  <c r="ER71" i="4" a="1"/>
  <c r="ER71" i="4" s="1"/>
  <c r="FB71" i="4" a="1"/>
  <c r="FB71" i="4" s="1"/>
  <c r="EL71" i="4" a="1"/>
  <c r="EL71" i="4" s="1"/>
  <c r="EX71" i="4" a="1"/>
  <c r="EX71" i="4" s="1"/>
  <c r="FD71" i="4" a="1"/>
  <c r="FD71" i="4" s="1"/>
  <c r="EQ72" i="4" a="1"/>
  <c r="EQ72" i="4" s="1"/>
  <c r="EK72" i="4" a="1"/>
  <c r="EK72" i="4" s="1"/>
  <c r="EQ73" i="4" a="1"/>
  <c r="EQ73" i="4" s="1"/>
  <c r="EK73" i="4" a="1"/>
  <c r="EK73" i="4" s="1"/>
  <c r="FQ74" i="4" a="1"/>
  <c r="FQ74" i="4" s="1"/>
  <c r="FO74" i="4" a="1"/>
  <c r="FO74" i="4" s="1"/>
  <c r="FM74" i="4" a="1"/>
  <c r="FM74" i="4" s="1"/>
  <c r="EU74" i="4" a="1"/>
  <c r="EU74" i="4" s="1"/>
  <c r="EO74" i="4" a="1"/>
  <c r="EO74" i="4" s="1"/>
  <c r="FL74" i="4" a="1"/>
  <c r="FL74" i="4" s="1"/>
  <c r="FN74" i="4" a="1"/>
  <c r="FN74" i="4" s="1"/>
  <c r="FR74" i="4" a="1"/>
  <c r="FR74" i="4" s="1"/>
  <c r="FP74" i="4" a="1"/>
  <c r="FP74" i="4" s="1"/>
  <c r="FQ83" i="4" a="1"/>
  <c r="FQ83" i="4" s="1"/>
  <c r="FO83" i="4" a="1"/>
  <c r="FO83" i="4" s="1"/>
  <c r="FM83" i="4" a="1"/>
  <c r="FM83" i="4" s="1"/>
  <c r="EU83" i="4" a="1"/>
  <c r="EU83" i="4" s="1"/>
  <c r="EO83" i="4" a="1"/>
  <c r="EO83" i="4" s="1"/>
  <c r="FL83" i="4" a="1"/>
  <c r="FL83" i="4" s="1"/>
  <c r="FN83" i="4" a="1"/>
  <c r="FN83" i="4" s="1"/>
  <c r="FR83" i="4" a="1"/>
  <c r="FR83" i="4" s="1"/>
  <c r="FP83" i="4" a="1"/>
  <c r="FP83" i="4" s="1"/>
  <c r="FY87" i="4" a="1"/>
  <c r="FY87" i="4" s="1"/>
  <c r="FW87" i="4" a="1"/>
  <c r="FW87" i="4" s="1"/>
  <c r="FU87" i="4" a="1"/>
  <c r="FU87" i="4" s="1"/>
  <c r="FS87" i="4" a="1"/>
  <c r="FS87" i="4" s="1"/>
  <c r="FT87" i="4" a="1"/>
  <c r="FT87" i="4" s="1"/>
  <c r="EV87" i="4" a="1"/>
  <c r="EV87" i="4" s="1"/>
  <c r="FX87" i="4" a="1"/>
  <c r="FX87" i="4" s="1"/>
  <c r="FV87" i="4" a="1"/>
  <c r="FV87" i="4" s="1"/>
  <c r="EP87" i="4" a="1"/>
  <c r="EP87" i="4" s="1"/>
  <c r="FQ98" i="4" a="1"/>
  <c r="FQ98" i="4" s="1"/>
  <c r="FO98" i="4" a="1"/>
  <c r="FO98" i="4" s="1"/>
  <c r="FM98" i="4" a="1"/>
  <c r="FM98" i="4" s="1"/>
  <c r="EU98" i="4" a="1"/>
  <c r="EU98" i="4" s="1"/>
  <c r="EO98" i="4" a="1"/>
  <c r="EO98" i="4" s="1"/>
  <c r="FL98" i="4" a="1"/>
  <c r="FL98" i="4" s="1"/>
  <c r="FN98" i="4" a="1"/>
  <c r="FN98" i="4" s="1"/>
  <c r="FR98" i="4" a="1"/>
  <c r="FR98" i="4" s="1"/>
  <c r="FP98" i="4" a="1"/>
  <c r="FP98" i="4" s="1"/>
  <c r="FY101" i="4" a="1"/>
  <c r="FY101" i="4" s="1"/>
  <c r="FW101" i="4" a="1"/>
  <c r="FW101" i="4" s="1"/>
  <c r="FU101" i="4" a="1"/>
  <c r="FU101" i="4" s="1"/>
  <c r="FS101" i="4" a="1"/>
  <c r="FS101" i="4" s="1"/>
  <c r="FT101" i="4" a="1"/>
  <c r="FT101" i="4" s="1"/>
  <c r="EV101" i="4" a="1"/>
  <c r="EV101" i="4" s="1"/>
  <c r="FX101" i="4" a="1"/>
  <c r="FX101" i="4" s="1"/>
  <c r="FV101" i="4" a="1"/>
  <c r="FV101" i="4" s="1"/>
  <c r="EP101" i="4" a="1"/>
  <c r="EP101" i="4" s="1"/>
  <c r="FK108" i="4" a="1"/>
  <c r="FK108" i="4" s="1"/>
  <c r="FI108" i="4" a="1"/>
  <c r="FI108" i="4" s="1"/>
  <c r="FG108" i="4" a="1"/>
  <c r="FG108" i="4" s="1"/>
  <c r="FE108" i="4" a="1"/>
  <c r="FE108" i="4" s="1"/>
  <c r="ES108" i="4" a="1"/>
  <c r="ES108" i="4" s="1"/>
  <c r="EM108" i="4" a="1"/>
  <c r="EM108" i="4" s="1"/>
  <c r="FF108" i="4" a="1"/>
  <c r="FF108" i="4" s="1"/>
  <c r="FH108" i="4" a="1"/>
  <c r="FH108" i="4" s="1"/>
  <c r="FJ108" i="4" a="1"/>
  <c r="FJ108" i="4" s="1"/>
  <c r="FC109" i="4" a="1"/>
  <c r="FC109" i="4" s="1"/>
  <c r="FA109" i="4" a="1"/>
  <c r="FA109" i="4" s="1"/>
  <c r="EY109" i="4" a="1"/>
  <c r="EY109" i="4" s="1"/>
  <c r="EZ109" i="4" a="1"/>
  <c r="EZ109" i="4" s="1"/>
  <c r="ER109" i="4" a="1"/>
  <c r="ER109" i="4" s="1"/>
  <c r="FB109" i="4" a="1"/>
  <c r="FB109" i="4" s="1"/>
  <c r="EL109" i="4" a="1"/>
  <c r="EL109" i="4" s="1"/>
  <c r="EX109" i="4" a="1"/>
  <c r="EX109" i="4" s="1"/>
  <c r="FD109" i="4" a="1"/>
  <c r="FD109" i="4" s="1"/>
  <c r="EQ110" i="4" a="1"/>
  <c r="EQ110" i="4" s="1"/>
  <c r="EK110" i="4" a="1"/>
  <c r="EK110" i="4" s="1"/>
  <c r="EQ111" i="4" a="1"/>
  <c r="EQ111" i="4" s="1"/>
  <c r="EK111" i="4" a="1"/>
  <c r="EK111" i="4" s="1"/>
  <c r="FQ112" i="4" a="1"/>
  <c r="FQ112" i="4" s="1"/>
  <c r="FO112" i="4" a="1"/>
  <c r="FO112" i="4" s="1"/>
  <c r="FM112" i="4" a="1"/>
  <c r="FM112" i="4" s="1"/>
  <c r="EU112" i="4" a="1"/>
  <c r="EU112" i="4" s="1"/>
  <c r="EO112" i="4" a="1"/>
  <c r="EO112" i="4" s="1"/>
  <c r="FL112" i="4" a="1"/>
  <c r="FL112" i="4" s="1"/>
  <c r="FN112" i="4" a="1"/>
  <c r="FN112" i="4" s="1"/>
  <c r="FR112" i="4" a="1"/>
  <c r="FR112" i="4" s="1"/>
  <c r="FP112" i="4" a="1"/>
  <c r="FP112" i="4" s="1"/>
  <c r="FY115" i="4" a="1"/>
  <c r="FY115" i="4" s="1"/>
  <c r="FW115" i="4" a="1"/>
  <c r="FW115" i="4" s="1"/>
  <c r="FU115" i="4" a="1"/>
  <c r="FU115" i="4" s="1"/>
  <c r="FS115" i="4" a="1"/>
  <c r="FS115" i="4" s="1"/>
  <c r="FT115" i="4" a="1"/>
  <c r="FT115" i="4" s="1"/>
  <c r="EV115" i="4" a="1"/>
  <c r="EV115" i="4" s="1"/>
  <c r="FX115" i="4" a="1"/>
  <c r="FX115" i="4" s="1"/>
  <c r="EP115" i="4" a="1"/>
  <c r="EP115" i="4" s="1"/>
  <c r="FV115" i="4" a="1"/>
  <c r="FV115" i="4" s="1"/>
  <c r="FY116" i="4" a="1"/>
  <c r="FY116" i="4" s="1"/>
  <c r="FW116" i="4" a="1"/>
  <c r="FW116" i="4" s="1"/>
  <c r="FU116" i="4" a="1"/>
  <c r="FU116" i="4" s="1"/>
  <c r="FS116" i="4" a="1"/>
  <c r="FS116" i="4" s="1"/>
  <c r="FT116" i="4" a="1"/>
  <c r="FT116" i="4" s="1"/>
  <c r="EV116" i="4" a="1"/>
  <c r="EV116" i="4" s="1"/>
  <c r="FX116" i="4" a="1"/>
  <c r="FX116" i="4" s="1"/>
  <c r="FV116" i="4" a="1"/>
  <c r="FV116" i="4" s="1"/>
  <c r="EP116" i="4" a="1"/>
  <c r="EP116" i="4" s="1"/>
  <c r="FQ125" i="4" a="1"/>
  <c r="FQ125" i="4" s="1"/>
  <c r="FO125" i="4" a="1"/>
  <c r="FO125" i="4" s="1"/>
  <c r="FM125" i="4" a="1"/>
  <c r="FM125" i="4" s="1"/>
  <c r="EU125" i="4" a="1"/>
  <c r="EU125" i="4" s="1"/>
  <c r="EO125" i="4" a="1"/>
  <c r="EO125" i="4" s="1"/>
  <c r="FL125" i="4" a="1"/>
  <c r="FL125" i="4" s="1"/>
  <c r="FN125" i="4" a="1"/>
  <c r="FN125" i="4" s="1"/>
  <c r="FR125" i="4" a="1"/>
  <c r="FR125" i="4" s="1"/>
  <c r="FP125" i="4" a="1"/>
  <c r="FP125" i="4" s="1"/>
  <c r="FY130" i="4" a="1"/>
  <c r="FY130" i="4" s="1"/>
  <c r="FW130" i="4" a="1"/>
  <c r="FW130" i="4" s="1"/>
  <c r="FU130" i="4" a="1"/>
  <c r="FU130" i="4" s="1"/>
  <c r="FS130" i="4" a="1"/>
  <c r="FS130" i="4" s="1"/>
  <c r="FT130" i="4" a="1"/>
  <c r="FT130" i="4" s="1"/>
  <c r="EV130" i="4" a="1"/>
  <c r="EV130" i="4" s="1"/>
  <c r="FX130" i="4" a="1"/>
  <c r="FX130" i="4" s="1"/>
  <c r="FV130" i="4" a="1"/>
  <c r="FV130" i="4" s="1"/>
  <c r="EP130" i="4" a="1"/>
  <c r="EP130" i="4" s="1"/>
  <c r="FK138" i="4" a="1"/>
  <c r="FK138" i="4" s="1"/>
  <c r="FI138" i="4" a="1"/>
  <c r="FI138" i="4" s="1"/>
  <c r="FG138" i="4" a="1"/>
  <c r="FG138" i="4" s="1"/>
  <c r="FE138" i="4" a="1"/>
  <c r="FE138" i="4" s="1"/>
  <c r="ES138" i="4" a="1"/>
  <c r="ES138" i="4" s="1"/>
  <c r="EM138" i="4" a="1"/>
  <c r="EM138" i="4" s="1"/>
  <c r="FF138" i="4" a="1"/>
  <c r="FF138" i="4" s="1"/>
  <c r="FH138" i="4" a="1"/>
  <c r="FH138" i="4" s="1"/>
  <c r="FJ138" i="4" a="1"/>
  <c r="FJ138" i="4" s="1"/>
  <c r="FC139" i="4" a="1"/>
  <c r="FC139" i="4" s="1"/>
  <c r="FA139" i="4" a="1"/>
  <c r="FA139" i="4" s="1"/>
  <c r="EY139" i="4" a="1"/>
  <c r="EY139" i="4" s="1"/>
  <c r="EZ139" i="4" a="1"/>
  <c r="EZ139" i="4" s="1"/>
  <c r="ER139" i="4" a="1"/>
  <c r="ER139" i="4" s="1"/>
  <c r="FB139" i="4" a="1"/>
  <c r="FB139" i="4" s="1"/>
  <c r="EL139" i="4" a="1"/>
  <c r="EL139" i="4" s="1"/>
  <c r="EX139" i="4" a="1"/>
  <c r="EX139" i="4" s="1"/>
  <c r="FD139" i="4" a="1"/>
  <c r="FD139" i="4" s="1"/>
  <c r="EQ140" i="4" a="1"/>
  <c r="EQ140" i="4" s="1"/>
  <c r="EK140" i="4" a="1"/>
  <c r="EK140" i="4" s="1"/>
  <c r="EQ141" i="4" a="1"/>
  <c r="EQ141" i="4" s="1"/>
  <c r="EK141" i="4" a="1"/>
  <c r="EK141" i="4" s="1"/>
  <c r="EQ142" i="4" a="1"/>
  <c r="EQ142" i="4" s="1"/>
  <c r="EK142" i="4" a="1"/>
  <c r="EK142" i="4" s="1"/>
  <c r="FQ143" i="4" a="1"/>
  <c r="FQ143" i="4" s="1"/>
  <c r="FO143" i="4" a="1"/>
  <c r="FO143" i="4" s="1"/>
  <c r="FM143" i="4" a="1"/>
  <c r="FM143" i="4" s="1"/>
  <c r="EU143" i="4" a="1"/>
  <c r="EU143" i="4" s="1"/>
  <c r="EO143" i="4" a="1"/>
  <c r="EO143" i="4" s="1"/>
  <c r="FL143" i="4" a="1"/>
  <c r="FL143" i="4" s="1"/>
  <c r="FN143" i="4" a="1"/>
  <c r="FN143" i="4" s="1"/>
  <c r="FR143" i="4" a="1"/>
  <c r="FR143" i="4" s="1"/>
  <c r="FP143" i="4" a="1"/>
  <c r="FP143" i="4" s="1"/>
  <c r="FY146" i="4" a="1"/>
  <c r="FY146" i="4" s="1"/>
  <c r="FW146" i="4" a="1"/>
  <c r="FW146" i="4" s="1"/>
  <c r="FU146" i="4" a="1"/>
  <c r="FU146" i="4" s="1"/>
  <c r="FS146" i="4" a="1"/>
  <c r="FS146" i="4" s="1"/>
  <c r="FT146" i="4" a="1"/>
  <c r="FT146" i="4" s="1"/>
  <c r="EV146" i="4" a="1"/>
  <c r="EV146" i="4" s="1"/>
  <c r="FX146" i="4" a="1"/>
  <c r="FX146" i="4" s="1"/>
  <c r="EP146" i="4" a="1"/>
  <c r="EP146" i="4" s="1"/>
  <c r="FV146" i="4" a="1"/>
  <c r="FV146" i="4" s="1"/>
  <c r="FY147" i="4" a="1"/>
  <c r="FY147" i="4" s="1"/>
  <c r="FW147" i="4" a="1"/>
  <c r="FW147" i="4" s="1"/>
  <c r="FU147" i="4" a="1"/>
  <c r="FU147" i="4" s="1"/>
  <c r="FS147" i="4" a="1"/>
  <c r="FS147" i="4" s="1"/>
  <c r="FT147" i="4" a="1"/>
  <c r="FT147" i="4" s="1"/>
  <c r="EV147" i="4" a="1"/>
  <c r="EV147" i="4" s="1"/>
  <c r="FX147" i="4" a="1"/>
  <c r="FX147" i="4" s="1"/>
  <c r="FV147" i="4" a="1"/>
  <c r="FV147" i="4" s="1"/>
  <c r="EP147" i="4" a="1"/>
  <c r="EP147" i="4" s="1"/>
  <c r="FK158" i="4" a="1"/>
  <c r="FK158" i="4" s="1"/>
  <c r="FI158" i="4" a="1"/>
  <c r="FI158" i="4" s="1"/>
  <c r="FG158" i="4" a="1"/>
  <c r="FG158" i="4" s="1"/>
  <c r="FE158" i="4" a="1"/>
  <c r="FE158" i="4" s="1"/>
  <c r="ES158" i="4" a="1"/>
  <c r="ES158" i="4" s="1"/>
  <c r="EM158" i="4" a="1"/>
  <c r="EM158" i="4" s="1"/>
  <c r="FF158" i="4" a="1"/>
  <c r="FF158" i="4" s="1"/>
  <c r="FH158" i="4" a="1"/>
  <c r="FH158" i="4" s="1"/>
  <c r="FJ158" i="4" a="1"/>
  <c r="FJ158" i="4" s="1"/>
  <c r="FC159" i="4" a="1"/>
  <c r="FC159" i="4" s="1"/>
  <c r="FA159" i="4" a="1"/>
  <c r="FA159" i="4" s="1"/>
  <c r="EY159" i="4" a="1"/>
  <c r="EY159" i="4" s="1"/>
  <c r="EZ159" i="4" a="1"/>
  <c r="EZ159" i="4" s="1"/>
  <c r="ER159" i="4" a="1"/>
  <c r="ER159" i="4" s="1"/>
  <c r="FB159" i="4" a="1"/>
  <c r="FB159" i="4" s="1"/>
  <c r="EL159" i="4" a="1"/>
  <c r="EL159" i="4" s="1"/>
  <c r="EX159" i="4" a="1"/>
  <c r="EX159" i="4" s="1"/>
  <c r="FD159" i="4" a="1"/>
  <c r="FD159" i="4" s="1"/>
  <c r="EQ160" i="4" a="1"/>
  <c r="EQ160" i="4" s="1"/>
  <c r="EK160" i="4" a="1"/>
  <c r="EK160" i="4" s="1"/>
  <c r="EQ161" i="4" a="1"/>
  <c r="EQ161" i="4" s="1"/>
  <c r="EK161" i="4" a="1"/>
  <c r="EK161" i="4" s="1"/>
  <c r="FQ162" i="4" a="1"/>
  <c r="FQ162" i="4" s="1"/>
  <c r="FO162" i="4" a="1"/>
  <c r="FO162" i="4" s="1"/>
  <c r="FM162" i="4" a="1"/>
  <c r="FM162" i="4" s="1"/>
  <c r="EU162" i="4" a="1"/>
  <c r="EU162" i="4" s="1"/>
  <c r="EO162" i="4" a="1"/>
  <c r="EO162" i="4" s="1"/>
  <c r="FL162" i="4" a="1"/>
  <c r="FL162" i="4" s="1"/>
  <c r="FN162" i="4" a="1"/>
  <c r="FN162" i="4" s="1"/>
  <c r="FR162" i="4" a="1"/>
  <c r="FR162" i="4" s="1"/>
  <c r="FP162" i="4" a="1"/>
  <c r="FP162" i="4" s="1"/>
  <c r="FK173" i="4" a="1"/>
  <c r="FK173" i="4" s="1"/>
  <c r="FI173" i="4" a="1"/>
  <c r="FI173" i="4" s="1"/>
  <c r="FG173" i="4" a="1"/>
  <c r="FG173" i="4" s="1"/>
  <c r="FE173" i="4" a="1"/>
  <c r="FE173" i="4" s="1"/>
  <c r="ES173" i="4" a="1"/>
  <c r="ES173" i="4" s="1"/>
  <c r="EM173" i="4" a="1"/>
  <c r="EM173" i="4" s="1"/>
  <c r="FF173" i="4" a="1"/>
  <c r="FF173" i="4" s="1"/>
  <c r="FH173" i="4" a="1"/>
  <c r="FH173" i="4" s="1"/>
  <c r="FJ173" i="4" a="1"/>
  <c r="FJ173" i="4" s="1"/>
  <c r="FK174" i="4" a="1"/>
  <c r="FK174" i="4" s="1"/>
  <c r="FI174" i="4" a="1"/>
  <c r="FI174" i="4" s="1"/>
  <c r="FG174" i="4" a="1"/>
  <c r="FG174" i="4" s="1"/>
  <c r="FE174" i="4" a="1"/>
  <c r="FE174" i="4" s="1"/>
  <c r="ES174" i="4" a="1"/>
  <c r="ES174" i="4" s="1"/>
  <c r="EM174" i="4" a="1"/>
  <c r="EM174" i="4" s="1"/>
  <c r="FF174" i="4" a="1"/>
  <c r="FF174" i="4" s="1"/>
  <c r="FH174" i="4" a="1"/>
  <c r="FH174" i="4" s="1"/>
  <c r="FJ174" i="4" a="1"/>
  <c r="FJ174" i="4" s="1"/>
  <c r="FK175" i="4" a="1"/>
  <c r="FK175" i="4" s="1"/>
  <c r="FI175" i="4" a="1"/>
  <c r="FI175" i="4" s="1"/>
  <c r="FG175" i="4" a="1"/>
  <c r="FG175" i="4" s="1"/>
  <c r="FE175" i="4" a="1"/>
  <c r="FE175" i="4" s="1"/>
  <c r="ES175" i="4" a="1"/>
  <c r="ES175" i="4" s="1"/>
  <c r="EM175" i="4" a="1"/>
  <c r="EM175" i="4" s="1"/>
  <c r="FF175" i="4" a="1"/>
  <c r="FF175" i="4" s="1"/>
  <c r="FH175" i="4" a="1"/>
  <c r="FH175" i="4" s="1"/>
  <c r="FJ175" i="4" a="1"/>
  <c r="FJ175" i="4" s="1"/>
  <c r="FC176" i="4" a="1"/>
  <c r="FC176" i="4" s="1"/>
  <c r="FA176" i="4" a="1"/>
  <c r="FA176" i="4" s="1"/>
  <c r="EY176" i="4" a="1"/>
  <c r="EY176" i="4" s="1"/>
  <c r="EZ176" i="4" a="1"/>
  <c r="EZ176" i="4" s="1"/>
  <c r="ER176" i="4" a="1"/>
  <c r="ER176" i="4" s="1"/>
  <c r="FB176" i="4" a="1"/>
  <c r="FB176" i="4" s="1"/>
  <c r="EL176" i="4" a="1"/>
  <c r="EL176" i="4" s="1"/>
  <c r="EX176" i="4" a="1"/>
  <c r="EX176" i="4" s="1"/>
  <c r="FD176" i="4" a="1"/>
  <c r="FD176" i="4" s="1"/>
  <c r="FC177" i="4" a="1"/>
  <c r="FC177" i="4" s="1"/>
  <c r="FA177" i="4" a="1"/>
  <c r="FA177" i="4" s="1"/>
  <c r="EY177" i="4" a="1"/>
  <c r="EY177" i="4" s="1"/>
  <c r="EZ177" i="4" a="1"/>
  <c r="EZ177" i="4" s="1"/>
  <c r="ER177" i="4" a="1"/>
  <c r="ER177" i="4" s="1"/>
  <c r="FB177" i="4" a="1"/>
  <c r="FB177" i="4" s="1"/>
  <c r="EL177" i="4" a="1"/>
  <c r="EL177" i="4" s="1"/>
  <c r="EX177" i="4" a="1"/>
  <c r="EX177" i="4" s="1"/>
  <c r="FD177" i="4" a="1"/>
  <c r="FD177" i="4" s="1"/>
  <c r="EQ178" i="4" a="1"/>
  <c r="EQ178" i="4" s="1"/>
  <c r="EK178" i="4" a="1"/>
  <c r="EK178" i="4" s="1"/>
  <c r="EQ179" i="4" a="1"/>
  <c r="EQ179" i="4" s="1"/>
  <c r="EK179" i="4" a="1"/>
  <c r="EK179" i="4" s="1"/>
  <c r="FQ180" i="4" a="1"/>
  <c r="FQ180" i="4" s="1"/>
  <c r="FO180" i="4" a="1"/>
  <c r="FO180" i="4" s="1"/>
  <c r="FM180" i="4" a="1"/>
  <c r="FM180" i="4" s="1"/>
  <c r="EU180" i="4" a="1"/>
  <c r="EU180" i="4" s="1"/>
  <c r="EO180" i="4" a="1"/>
  <c r="EO180" i="4" s="1"/>
  <c r="FL180" i="4" a="1"/>
  <c r="FL180" i="4" s="1"/>
  <c r="FN180" i="4" a="1"/>
  <c r="FN180" i="4" s="1"/>
  <c r="FR180" i="4" a="1"/>
  <c r="FR180" i="4" s="1"/>
  <c r="FP180" i="4" a="1"/>
  <c r="FP180" i="4" s="1"/>
  <c r="FY182" i="4" a="1"/>
  <c r="FY182" i="4" s="1"/>
  <c r="FW182" i="4" a="1"/>
  <c r="FW182" i="4" s="1"/>
  <c r="FU182" i="4" a="1"/>
  <c r="FU182" i="4" s="1"/>
  <c r="FS182" i="4" a="1"/>
  <c r="FS182" i="4" s="1"/>
  <c r="FT182" i="4" a="1"/>
  <c r="FT182" i="4" s="1"/>
  <c r="EV182" i="4" a="1"/>
  <c r="EV182" i="4" s="1"/>
  <c r="FX182" i="4" a="1"/>
  <c r="FX182" i="4" s="1"/>
  <c r="FV182" i="4" a="1"/>
  <c r="FV182" i="4" s="1"/>
  <c r="EP182" i="4" a="1"/>
  <c r="EP182" i="4" s="1"/>
  <c r="EK2" i="4" a="1"/>
  <c r="EK2" i="4" s="1"/>
  <c r="EQ2" i="4" a="1"/>
  <c r="EQ2" i="4" s="1"/>
  <c r="FD3" i="4" a="1"/>
  <c r="FD3" i="4" s="1"/>
  <c r="FA3" i="4" a="1"/>
  <c r="FA3" i="4" s="1"/>
  <c r="FC3" i="4" a="1"/>
  <c r="FC3" i="4" s="1"/>
  <c r="EX3" i="4" a="1"/>
  <c r="EX3" i="4" s="1"/>
  <c r="FB3" i="4" a="1"/>
  <c r="FB3" i="4" s="1"/>
  <c r="EY3" i="4" a="1"/>
  <c r="EY3" i="4" s="1"/>
  <c r="EL3" i="4" a="1"/>
  <c r="EL3" i="4" s="1"/>
  <c r="EZ3" i="4" a="1"/>
  <c r="EZ3" i="4" s="1"/>
  <c r="ER3" i="4" a="1"/>
  <c r="ER3" i="4" s="1"/>
  <c r="ET4" i="4" a="1"/>
  <c r="ET4" i="4" s="1"/>
  <c r="EN4" i="4" a="1"/>
  <c r="EN4" i="4" s="1"/>
  <c r="FD5" i="4" a="1"/>
  <c r="FD5" i="4" s="1"/>
  <c r="FA5" i="4" a="1"/>
  <c r="FA5" i="4" s="1"/>
  <c r="FC5" i="4" a="1"/>
  <c r="FC5" i="4" s="1"/>
  <c r="EX5" i="4" a="1"/>
  <c r="EX5" i="4" s="1"/>
  <c r="FB5" i="4" a="1"/>
  <c r="FB5" i="4" s="1"/>
  <c r="EY5" i="4" a="1"/>
  <c r="EY5" i="4" s="1"/>
  <c r="EL5" i="4" a="1"/>
  <c r="EL5" i="4" s="1"/>
  <c r="EZ5" i="4" a="1"/>
  <c r="EZ5" i="4" s="1"/>
  <c r="ER5" i="4" a="1"/>
  <c r="ER5" i="4" s="1"/>
  <c r="ET6" i="4" a="1"/>
  <c r="ET6" i="4" s="1"/>
  <c r="EN6" i="4" a="1"/>
  <c r="EN6" i="4" s="1"/>
  <c r="FD7" i="4" a="1"/>
  <c r="FD7" i="4" s="1"/>
  <c r="FA7" i="4" a="1"/>
  <c r="FA7" i="4" s="1"/>
  <c r="FC7" i="4" a="1"/>
  <c r="FC7" i="4" s="1"/>
  <c r="EX7" i="4" a="1"/>
  <c r="EX7" i="4" s="1"/>
  <c r="FB7" i="4" a="1"/>
  <c r="FB7" i="4" s="1"/>
  <c r="EY7" i="4" a="1"/>
  <c r="EY7" i="4" s="1"/>
  <c r="EL7" i="4" a="1"/>
  <c r="EL7" i="4" s="1"/>
  <c r="EZ7" i="4" a="1"/>
  <c r="EZ7" i="4" s="1"/>
  <c r="ER7" i="4" a="1"/>
  <c r="ER7" i="4" s="1"/>
  <c r="ET8" i="4" a="1"/>
  <c r="ET8" i="4" s="1"/>
  <c r="EN8" i="4" a="1"/>
  <c r="EN8" i="4" s="1"/>
  <c r="FD9" i="4" a="1"/>
  <c r="FD9" i="4" s="1"/>
  <c r="FA9" i="4" a="1"/>
  <c r="FA9" i="4" s="1"/>
  <c r="FC9" i="4" a="1"/>
  <c r="FC9" i="4" s="1"/>
  <c r="EX9" i="4" a="1"/>
  <c r="EX9" i="4" s="1"/>
  <c r="FB9" i="4" a="1"/>
  <c r="FB9" i="4" s="1"/>
  <c r="EY9" i="4" a="1"/>
  <c r="EY9" i="4" s="1"/>
  <c r="EL9" i="4" a="1"/>
  <c r="EL9" i="4" s="1"/>
  <c r="EZ9" i="4" a="1"/>
  <c r="EZ9" i="4" s="1"/>
  <c r="ER9" i="4" a="1"/>
  <c r="ER9" i="4" s="1"/>
  <c r="ET10" i="4" a="1"/>
  <c r="ET10" i="4" s="1"/>
  <c r="EN10" i="4" a="1"/>
  <c r="EN10" i="4" s="1"/>
  <c r="FD11" i="4" a="1"/>
  <c r="FD11" i="4" s="1"/>
  <c r="FA11" i="4" a="1"/>
  <c r="FA11" i="4" s="1"/>
  <c r="FC11" i="4" a="1"/>
  <c r="FC11" i="4" s="1"/>
  <c r="EX11" i="4" a="1"/>
  <c r="EX11" i="4" s="1"/>
  <c r="FB11" i="4" a="1"/>
  <c r="FB11" i="4" s="1"/>
  <c r="EY11" i="4" a="1"/>
  <c r="EY11" i="4" s="1"/>
  <c r="EL11" i="4" a="1"/>
  <c r="EL11" i="4" s="1"/>
  <c r="EZ11" i="4" a="1"/>
  <c r="EZ11" i="4" s="1"/>
  <c r="ER11" i="4" a="1"/>
  <c r="ER11" i="4" s="1"/>
  <c r="ET12" i="4" a="1"/>
  <c r="ET12" i="4" s="1"/>
  <c r="EN12" i="4" a="1"/>
  <c r="EN12" i="4" s="1"/>
  <c r="FD13" i="4" a="1"/>
  <c r="FD13" i="4" s="1"/>
  <c r="FA13" i="4" a="1"/>
  <c r="FA13" i="4" s="1"/>
  <c r="FC13" i="4" a="1"/>
  <c r="FC13" i="4" s="1"/>
  <c r="EX13" i="4" a="1"/>
  <c r="EX13" i="4" s="1"/>
  <c r="FB13" i="4" a="1"/>
  <c r="FB13" i="4" s="1"/>
  <c r="EY13" i="4" a="1"/>
  <c r="EY13" i="4" s="1"/>
  <c r="EL13" i="4" a="1"/>
  <c r="EL13" i="4" s="1"/>
  <c r="EZ13" i="4" a="1"/>
  <c r="EZ13" i="4" s="1"/>
  <c r="ER13" i="4" a="1"/>
  <c r="ER13" i="4" s="1"/>
  <c r="ET14" i="4" a="1"/>
  <c r="ET14" i="4" s="1"/>
  <c r="EN14" i="4" a="1"/>
  <c r="EN14" i="4" s="1"/>
  <c r="FD15" i="4" a="1"/>
  <c r="FD15" i="4" s="1"/>
  <c r="FA15" i="4" a="1"/>
  <c r="FA15" i="4" s="1"/>
  <c r="FC15" i="4" a="1"/>
  <c r="FC15" i="4" s="1"/>
  <c r="EX15" i="4" a="1"/>
  <c r="EX15" i="4" s="1"/>
  <c r="FB15" i="4" a="1"/>
  <c r="FB15" i="4" s="1"/>
  <c r="EY15" i="4" a="1"/>
  <c r="EY15" i="4" s="1"/>
  <c r="EL15" i="4" a="1"/>
  <c r="EL15" i="4" s="1"/>
  <c r="EZ15" i="4" a="1"/>
  <c r="EZ15" i="4" s="1"/>
  <c r="ER15" i="4" a="1"/>
  <c r="ER15" i="4" s="1"/>
  <c r="ET16" i="4" a="1"/>
  <c r="ET16" i="4" s="1"/>
  <c r="EN16" i="4" a="1"/>
  <c r="EN16" i="4" s="1"/>
  <c r="FD17" i="4" a="1"/>
  <c r="FD17" i="4" s="1"/>
  <c r="FA17" i="4" a="1"/>
  <c r="FA17" i="4" s="1"/>
  <c r="FC17" i="4" a="1"/>
  <c r="FC17" i="4" s="1"/>
  <c r="EX17" i="4" a="1"/>
  <c r="EX17" i="4" s="1"/>
  <c r="FB17" i="4" a="1"/>
  <c r="FB17" i="4" s="1"/>
  <c r="EY17" i="4" a="1"/>
  <c r="EY17" i="4" s="1"/>
  <c r="EL17" i="4" a="1"/>
  <c r="EL17" i="4" s="1"/>
  <c r="EZ17" i="4" a="1"/>
  <c r="EZ17" i="4" s="1"/>
  <c r="ER17" i="4" a="1"/>
  <c r="ER17" i="4" s="1"/>
  <c r="ET18" i="4" a="1"/>
  <c r="ET18" i="4" s="1"/>
  <c r="EN18" i="4" a="1"/>
  <c r="EN18" i="4" s="1"/>
  <c r="FD19" i="4" a="1"/>
  <c r="FD19" i="4" s="1"/>
  <c r="FA19" i="4" a="1"/>
  <c r="FA19" i="4" s="1"/>
  <c r="FC19" i="4" a="1"/>
  <c r="FC19" i="4" s="1"/>
  <c r="EX19" i="4" a="1"/>
  <c r="EX19" i="4" s="1"/>
  <c r="FB19" i="4" a="1"/>
  <c r="FB19" i="4" s="1"/>
  <c r="EY19" i="4" a="1"/>
  <c r="EY19" i="4" s="1"/>
  <c r="EL19" i="4" a="1"/>
  <c r="EL19" i="4" s="1"/>
  <c r="EZ19" i="4" a="1"/>
  <c r="EZ19" i="4" s="1"/>
  <c r="ER19" i="4" a="1"/>
  <c r="ER19" i="4" s="1"/>
  <c r="ET20" i="4" a="1"/>
  <c r="ET20" i="4" s="1"/>
  <c r="EN20" i="4" a="1"/>
  <c r="EN20" i="4" s="1"/>
  <c r="FD21" i="4" a="1"/>
  <c r="FD21" i="4" s="1"/>
  <c r="FA21" i="4" a="1"/>
  <c r="FA21" i="4" s="1"/>
  <c r="FC21" i="4" a="1"/>
  <c r="FC21" i="4" s="1"/>
  <c r="EX21" i="4" a="1"/>
  <c r="EX21" i="4" s="1"/>
  <c r="FB21" i="4" a="1"/>
  <c r="FB21" i="4" s="1"/>
  <c r="EY21" i="4" a="1"/>
  <c r="EY21" i="4" s="1"/>
  <c r="EL21" i="4" a="1"/>
  <c r="EL21" i="4" s="1"/>
  <c r="EZ21" i="4" a="1"/>
  <c r="EZ21" i="4" s="1"/>
  <c r="ER21" i="4" a="1"/>
  <c r="ER21" i="4" s="1"/>
  <c r="ET22" i="4" a="1"/>
  <c r="ET22" i="4" s="1"/>
  <c r="EN22" i="4" a="1"/>
  <c r="EN22" i="4" s="1"/>
  <c r="FD23" i="4" a="1"/>
  <c r="FD23" i="4" s="1"/>
  <c r="FA23" i="4" a="1"/>
  <c r="FA23" i="4" s="1"/>
  <c r="FC23" i="4" a="1"/>
  <c r="FC23" i="4" s="1"/>
  <c r="EX23" i="4" a="1"/>
  <c r="EX23" i="4" s="1"/>
  <c r="FB23" i="4" a="1"/>
  <c r="FB23" i="4" s="1"/>
  <c r="EY23" i="4" a="1"/>
  <c r="EY23" i="4" s="1"/>
  <c r="EL23" i="4" a="1"/>
  <c r="EL23" i="4" s="1"/>
  <c r="EZ23" i="4" a="1"/>
  <c r="EZ23" i="4" s="1"/>
  <c r="ER23" i="4" a="1"/>
  <c r="ER23" i="4" s="1"/>
  <c r="ET24" i="4" a="1"/>
  <c r="ET24" i="4" s="1"/>
  <c r="EN24" i="4" a="1"/>
  <c r="EN24" i="4" s="1"/>
  <c r="FD25" i="4" a="1"/>
  <c r="FD25" i="4" s="1"/>
  <c r="FA25" i="4" a="1"/>
  <c r="FA25" i="4" s="1"/>
  <c r="FC25" i="4" a="1"/>
  <c r="FC25" i="4" s="1"/>
  <c r="EX25" i="4" a="1"/>
  <c r="EX25" i="4" s="1"/>
  <c r="FB25" i="4" a="1"/>
  <c r="FB25" i="4" s="1"/>
  <c r="EY25" i="4" a="1"/>
  <c r="EY25" i="4" s="1"/>
  <c r="EL25" i="4" a="1"/>
  <c r="EL25" i="4" s="1"/>
  <c r="ER25" i="4" a="1"/>
  <c r="ER25" i="4" s="1"/>
  <c r="EZ25" i="4" a="1"/>
  <c r="EZ25" i="4" s="1"/>
  <c r="ET26" i="4" a="1"/>
  <c r="ET26" i="4" s="1"/>
  <c r="EN26" i="4" a="1"/>
  <c r="EN26" i="4" s="1"/>
  <c r="FD27" i="4" a="1"/>
  <c r="FD27" i="4" s="1"/>
  <c r="FA27" i="4" a="1"/>
  <c r="FA27" i="4" s="1"/>
  <c r="FC27" i="4" a="1"/>
  <c r="FC27" i="4" s="1"/>
  <c r="EX27" i="4" a="1"/>
  <c r="EX27" i="4" s="1"/>
  <c r="FB27" i="4" a="1"/>
  <c r="FB27" i="4" s="1"/>
  <c r="EY27" i="4" a="1"/>
  <c r="EY27" i="4" s="1"/>
  <c r="EL27" i="4" a="1"/>
  <c r="EL27" i="4" s="1"/>
  <c r="ER27" i="4" a="1"/>
  <c r="ER27" i="4" s="1"/>
  <c r="EZ27" i="4" a="1"/>
  <c r="EZ27" i="4" s="1"/>
  <c r="ET28" i="4" a="1"/>
  <c r="ET28" i="4" s="1"/>
  <c r="EN28" i="4" a="1"/>
  <c r="EN28" i="4" s="1"/>
  <c r="FD29" i="4" a="1"/>
  <c r="FD29" i="4" s="1"/>
  <c r="FA29" i="4" a="1"/>
  <c r="FA29" i="4" s="1"/>
  <c r="FC29" i="4" a="1"/>
  <c r="FC29" i="4" s="1"/>
  <c r="EX29" i="4" a="1"/>
  <c r="EX29" i="4" s="1"/>
  <c r="FB29" i="4" a="1"/>
  <c r="FB29" i="4" s="1"/>
  <c r="EY29" i="4" a="1"/>
  <c r="EY29" i="4" s="1"/>
  <c r="EL29" i="4" a="1"/>
  <c r="EL29" i="4" s="1"/>
  <c r="ER29" i="4" a="1"/>
  <c r="ER29" i="4" s="1"/>
  <c r="EZ29" i="4" a="1"/>
  <c r="EZ29" i="4" s="1"/>
  <c r="EK30" i="4" a="1"/>
  <c r="EK30" i="4" s="1"/>
  <c r="EQ30" i="4" a="1"/>
  <c r="EQ30" i="4" s="1"/>
  <c r="ET31" i="4" a="1"/>
  <c r="ET31" i="4" s="1"/>
  <c r="EN31" i="4" a="1"/>
  <c r="EN31" i="4" s="1"/>
  <c r="EK32" i="4" a="1"/>
  <c r="EK32" i="4" s="1"/>
  <c r="EQ32" i="4" a="1"/>
  <c r="EQ32" i="4" s="1"/>
  <c r="ET33" i="4" a="1"/>
  <c r="ET33" i="4" s="1"/>
  <c r="EN33" i="4" a="1"/>
  <c r="EN33" i="4" s="1"/>
  <c r="EK34" i="4" a="1"/>
  <c r="EK34" i="4" s="1"/>
  <c r="EQ34" i="4" a="1"/>
  <c r="EQ34" i="4" s="1"/>
  <c r="ET35" i="4" a="1"/>
  <c r="ET35" i="4" s="1"/>
  <c r="EN35" i="4" a="1"/>
  <c r="EN35" i="4" s="1"/>
  <c r="EK36" i="4" a="1"/>
  <c r="EK36" i="4" s="1"/>
  <c r="EQ36" i="4" a="1"/>
  <c r="EQ36" i="4" s="1"/>
  <c r="ET37" i="4" a="1"/>
  <c r="ET37" i="4" s="1"/>
  <c r="EN37" i="4" a="1"/>
  <c r="EN37" i="4" s="1"/>
  <c r="EK38" i="4" a="1"/>
  <c r="EK38" i="4" s="1"/>
  <c r="EQ38" i="4" a="1"/>
  <c r="EQ38" i="4" s="1"/>
  <c r="ET39" i="4" a="1"/>
  <c r="ET39" i="4" s="1"/>
  <c r="EN39" i="4" a="1"/>
  <c r="EN39" i="4" s="1"/>
  <c r="EK40" i="4" a="1"/>
  <c r="EK40" i="4" s="1"/>
  <c r="EQ40" i="4" a="1"/>
  <c r="EQ40" i="4" s="1"/>
  <c r="ET41" i="4" a="1"/>
  <c r="ET41" i="4" s="1"/>
  <c r="EN41" i="4" a="1"/>
  <c r="EN41" i="4" s="1"/>
  <c r="EK42" i="4" a="1"/>
  <c r="EK42" i="4" s="1"/>
  <c r="EQ42" i="4" a="1"/>
  <c r="EQ42" i="4" s="1"/>
  <c r="ET43" i="4" a="1"/>
  <c r="ET43" i="4" s="1"/>
  <c r="EN43" i="4" a="1"/>
  <c r="EN43" i="4" s="1"/>
  <c r="EK44" i="4" a="1"/>
  <c r="EK44" i="4" s="1"/>
  <c r="EQ44" i="4" a="1"/>
  <c r="EQ44" i="4" s="1"/>
  <c r="FD45" i="4" a="1"/>
  <c r="FD45" i="4" s="1"/>
  <c r="EY45" i="4" a="1"/>
  <c r="EY45" i="4" s="1"/>
  <c r="FA45" i="4" a="1"/>
  <c r="FA45" i="4" s="1"/>
  <c r="EX45" i="4" a="1"/>
  <c r="EX45" i="4" s="1"/>
  <c r="FB45" i="4" a="1"/>
  <c r="FB45" i="4" s="1"/>
  <c r="EL45" i="4" a="1"/>
  <c r="EL45" i="4" s="1"/>
  <c r="FC45" i="4" a="1"/>
  <c r="FC45" i="4" s="1"/>
  <c r="ER45" i="4" a="1"/>
  <c r="ER45" i="4" s="1"/>
  <c r="EZ45" i="4" a="1"/>
  <c r="EZ45" i="4" s="1"/>
  <c r="FD47" i="4" a="1"/>
  <c r="FD47" i="4" s="1"/>
  <c r="EY47" i="4" a="1"/>
  <c r="EY47" i="4" s="1"/>
  <c r="FA47" i="4" a="1"/>
  <c r="FA47" i="4" s="1"/>
  <c r="EX47" i="4" a="1"/>
  <c r="EX47" i="4" s="1"/>
  <c r="FB47" i="4" a="1"/>
  <c r="FB47" i="4" s="1"/>
  <c r="EL47" i="4" a="1"/>
  <c r="EL47" i="4" s="1"/>
  <c r="FC47" i="4" a="1"/>
  <c r="FC47" i="4" s="1"/>
  <c r="ER47" i="4" a="1"/>
  <c r="ER47" i="4" s="1"/>
  <c r="EZ47" i="4" a="1"/>
  <c r="EZ47" i="4" s="1"/>
  <c r="FD49" i="4" a="1"/>
  <c r="FD49" i="4" s="1"/>
  <c r="EY49" i="4" a="1"/>
  <c r="EY49" i="4" s="1"/>
  <c r="FA49" i="4" a="1"/>
  <c r="FA49" i="4" s="1"/>
  <c r="EX49" i="4" a="1"/>
  <c r="EX49" i="4" s="1"/>
  <c r="FB49" i="4" a="1"/>
  <c r="FB49" i="4" s="1"/>
  <c r="EL49" i="4" a="1"/>
  <c r="EL49" i="4" s="1"/>
  <c r="EZ49" i="4" a="1"/>
  <c r="EZ49" i="4" s="1"/>
  <c r="FC49" i="4" a="1"/>
  <c r="FC49" i="4" s="1"/>
  <c r="ER49" i="4" a="1"/>
  <c r="ER49" i="4" s="1"/>
  <c r="EK51" i="4" a="1"/>
  <c r="EK51" i="4" s="1"/>
  <c r="EQ51" i="4" a="1"/>
  <c r="EQ51" i="4" s="1"/>
  <c r="ET52" i="4" a="1"/>
  <c r="ET52" i="4" s="1"/>
  <c r="EN52" i="4" a="1"/>
  <c r="EN52" i="4" s="1"/>
  <c r="EK53" i="4" a="1"/>
  <c r="EK53" i="4" s="1"/>
  <c r="EQ53" i="4" a="1"/>
  <c r="EQ53" i="4" s="1"/>
  <c r="ET54" i="4" a="1"/>
  <c r="ET54" i="4" s="1"/>
  <c r="EN54" i="4" a="1"/>
  <c r="EN54" i="4" s="1"/>
  <c r="EK55" i="4" a="1"/>
  <c r="EK55" i="4" s="1"/>
  <c r="EQ55" i="4" a="1"/>
  <c r="EQ55" i="4" s="1"/>
  <c r="ET56" i="4" a="1"/>
  <c r="ET56" i="4" s="1"/>
  <c r="EN56" i="4" a="1"/>
  <c r="EN56" i="4" s="1"/>
  <c r="EK57" i="4" a="1"/>
  <c r="EK57" i="4" s="1"/>
  <c r="EQ57" i="4" a="1"/>
  <c r="EQ57" i="4" s="1"/>
  <c r="ET58" i="4" a="1"/>
  <c r="ET58" i="4" s="1"/>
  <c r="EN58" i="4" a="1"/>
  <c r="EN58" i="4" s="1"/>
  <c r="EK59" i="4" a="1"/>
  <c r="EK59" i="4" s="1"/>
  <c r="EQ59" i="4" a="1"/>
  <c r="EQ59" i="4" s="1"/>
  <c r="ET60" i="4" a="1"/>
  <c r="ET60" i="4" s="1"/>
  <c r="EN60" i="4" a="1"/>
  <c r="EN60" i="4" s="1"/>
  <c r="EK61" i="4" a="1"/>
  <c r="EK61" i="4" s="1"/>
  <c r="EQ61" i="4" a="1"/>
  <c r="EQ61" i="4" s="1"/>
  <c r="FC62" i="4" a="1"/>
  <c r="FC62" i="4" s="1"/>
  <c r="FA62" i="4" a="1"/>
  <c r="FA62" i="4" s="1"/>
  <c r="EY62" i="4" a="1"/>
  <c r="EY62" i="4" s="1"/>
  <c r="FD62" i="4" a="1"/>
  <c r="FD62" i="4" s="1"/>
  <c r="EX62" i="4" a="1"/>
  <c r="EX62" i="4" s="1"/>
  <c r="FB62" i="4" a="1"/>
  <c r="FB62" i="4" s="1"/>
  <c r="EL62" i="4" a="1"/>
  <c r="EL62" i="4" s="1"/>
  <c r="EZ62" i="4" a="1"/>
  <c r="EZ62" i="4" s="1"/>
  <c r="ER62" i="4" a="1"/>
  <c r="ER62" i="4" s="1"/>
  <c r="EQ63" i="4" a="1"/>
  <c r="EQ63" i="4" s="1"/>
  <c r="EK63" i="4" a="1"/>
  <c r="EK63" i="4" s="1"/>
  <c r="EQ64" i="4" a="1"/>
  <c r="EQ64" i="4" s="1"/>
  <c r="EK64" i="4" a="1"/>
  <c r="EK64" i="4" s="1"/>
  <c r="FQ65" i="4" a="1"/>
  <c r="FQ65" i="4" s="1"/>
  <c r="FO65" i="4" a="1"/>
  <c r="FO65" i="4" s="1"/>
  <c r="FM65" i="4" a="1"/>
  <c r="FM65" i="4" s="1"/>
  <c r="EU65" i="4" a="1"/>
  <c r="EU65" i="4" s="1"/>
  <c r="EO65" i="4" a="1"/>
  <c r="EO65" i="4" s="1"/>
  <c r="FP65" i="4" a="1"/>
  <c r="FP65" i="4" s="1"/>
  <c r="FR65" i="4" a="1"/>
  <c r="FR65" i="4" s="1"/>
  <c r="FN65" i="4" a="1"/>
  <c r="FN65" i="4" s="1"/>
  <c r="FL65" i="4" a="1"/>
  <c r="FL65" i="4" s="1"/>
  <c r="FY68" i="4" a="1"/>
  <c r="FY68" i="4" s="1"/>
  <c r="FW68" i="4" a="1"/>
  <c r="FW68" i="4" s="1"/>
  <c r="FU68" i="4" a="1"/>
  <c r="FU68" i="4" s="1"/>
  <c r="FS68" i="4" a="1"/>
  <c r="FS68" i="4" s="1"/>
  <c r="FV68" i="4" a="1"/>
  <c r="FV68" i="4" s="1"/>
  <c r="EP68" i="4" a="1"/>
  <c r="EP68" i="4" s="1"/>
  <c r="FX68" i="4" a="1"/>
  <c r="FX68" i="4" s="1"/>
  <c r="FT68" i="4" a="1"/>
  <c r="FT68" i="4" s="1"/>
  <c r="EV68" i="4" a="1"/>
  <c r="EV68" i="4" s="1"/>
  <c r="FY69" i="4" a="1"/>
  <c r="FY69" i="4" s="1"/>
  <c r="FW69" i="4" a="1"/>
  <c r="FW69" i="4" s="1"/>
  <c r="FU69" i="4" a="1"/>
  <c r="FU69" i="4" s="1"/>
  <c r="FS69" i="4" a="1"/>
  <c r="FS69" i="4" s="1"/>
  <c r="FV69" i="4" a="1"/>
  <c r="FV69" i="4" s="1"/>
  <c r="EP69" i="4" a="1"/>
  <c r="EP69" i="4" s="1"/>
  <c r="FX69" i="4" a="1"/>
  <c r="FX69" i="4" s="1"/>
  <c r="FT69" i="4" a="1"/>
  <c r="FT69" i="4" s="1"/>
  <c r="EV69" i="4" a="1"/>
  <c r="EV69" i="4" s="1"/>
  <c r="FQ79" i="4" a="1"/>
  <c r="FQ79" i="4" s="1"/>
  <c r="FO79" i="4" a="1"/>
  <c r="FO79" i="4" s="1"/>
  <c r="FM79" i="4" a="1"/>
  <c r="FM79" i="4" s="1"/>
  <c r="EU79" i="4" a="1"/>
  <c r="EU79" i="4" s="1"/>
  <c r="EO79" i="4" a="1"/>
  <c r="EO79" i="4" s="1"/>
  <c r="FP79" i="4" a="1"/>
  <c r="FP79" i="4" s="1"/>
  <c r="FR79" i="4" a="1"/>
  <c r="FR79" i="4" s="1"/>
  <c r="FN79" i="4" a="1"/>
  <c r="FN79" i="4" s="1"/>
  <c r="FL79" i="4" a="1"/>
  <c r="FL79" i="4" s="1"/>
  <c r="FY84" i="4" a="1"/>
  <c r="FY84" i="4" s="1"/>
  <c r="FW84" i="4" a="1"/>
  <c r="FW84" i="4" s="1"/>
  <c r="FU84" i="4" a="1"/>
  <c r="FU84" i="4" s="1"/>
  <c r="FS84" i="4" a="1"/>
  <c r="FS84" i="4" s="1"/>
  <c r="FV84" i="4" a="1"/>
  <c r="FV84" i="4" s="1"/>
  <c r="EP84" i="4" a="1"/>
  <c r="EP84" i="4" s="1"/>
  <c r="FX84" i="4" a="1"/>
  <c r="FX84" i="4" s="1"/>
  <c r="FT84" i="4" a="1"/>
  <c r="FT84" i="4" s="1"/>
  <c r="EV84" i="4" a="1"/>
  <c r="EV84" i="4" s="1"/>
  <c r="FY85" i="4" a="1"/>
  <c r="FY85" i="4" s="1"/>
  <c r="FW85" i="4" a="1"/>
  <c r="FW85" i="4" s="1"/>
  <c r="FU85" i="4" a="1"/>
  <c r="FU85" i="4" s="1"/>
  <c r="FS85" i="4" a="1"/>
  <c r="FS85" i="4" s="1"/>
  <c r="FV85" i="4" a="1"/>
  <c r="FV85" i="4" s="1"/>
  <c r="EP85" i="4" a="1"/>
  <c r="EP85" i="4" s="1"/>
  <c r="FX85" i="4" a="1"/>
  <c r="FX85" i="4" s="1"/>
  <c r="FT85" i="4" a="1"/>
  <c r="FT85" i="4" s="1"/>
  <c r="EV85" i="4" a="1"/>
  <c r="EV85" i="4" s="1"/>
  <c r="FK96" i="4" a="1"/>
  <c r="FK96" i="4" s="1"/>
  <c r="FI96" i="4" a="1"/>
  <c r="FI96" i="4" s="1"/>
  <c r="FG96" i="4" a="1"/>
  <c r="FG96" i="4" s="1"/>
  <c r="FE96" i="4" a="1"/>
  <c r="FE96" i="4" s="1"/>
  <c r="ES96" i="4" a="1"/>
  <c r="ES96" i="4" s="1"/>
  <c r="EM96" i="4" a="1"/>
  <c r="EM96" i="4" s="1"/>
  <c r="FJ96" i="4" a="1"/>
  <c r="FJ96" i="4" s="1"/>
  <c r="FH96" i="4" a="1"/>
  <c r="FH96" i="4" s="1"/>
  <c r="FF96" i="4" a="1"/>
  <c r="FF96" i="4" s="1"/>
  <c r="FC97" i="4" a="1"/>
  <c r="FC97" i="4" s="1"/>
  <c r="FA97" i="4" a="1"/>
  <c r="FA97" i="4" s="1"/>
  <c r="EY97" i="4" a="1"/>
  <c r="EY97" i="4" s="1"/>
  <c r="FD97" i="4" a="1"/>
  <c r="FD97" i="4" s="1"/>
  <c r="EX97" i="4" a="1"/>
  <c r="EX97" i="4" s="1"/>
  <c r="FB97" i="4" a="1"/>
  <c r="FB97" i="4" s="1"/>
  <c r="EL97" i="4" a="1"/>
  <c r="EL97" i="4" s="1"/>
  <c r="ER97" i="4" a="1"/>
  <c r="ER97" i="4" s="1"/>
  <c r="EZ97" i="4" a="1"/>
  <c r="EZ97" i="4" s="1"/>
  <c r="FC98" i="4" a="1"/>
  <c r="FC98" i="4" s="1"/>
  <c r="FA98" i="4" a="1"/>
  <c r="FA98" i="4" s="1"/>
  <c r="EY98" i="4" a="1"/>
  <c r="EY98" i="4" s="1"/>
  <c r="FD98" i="4" a="1"/>
  <c r="FD98" i="4" s="1"/>
  <c r="EX98" i="4" a="1"/>
  <c r="EX98" i="4" s="1"/>
  <c r="FB98" i="4" a="1"/>
  <c r="FB98" i="4" s="1"/>
  <c r="EL98" i="4" a="1"/>
  <c r="EL98" i="4" s="1"/>
  <c r="EZ98" i="4" a="1"/>
  <c r="EZ98" i="4" s="1"/>
  <c r="ER98" i="4" a="1"/>
  <c r="ER98" i="4" s="1"/>
  <c r="EQ99" i="4" a="1"/>
  <c r="EQ99" i="4" s="1"/>
  <c r="EK99" i="4" a="1"/>
  <c r="EK99" i="4" s="1"/>
  <c r="FQ100" i="4" a="1"/>
  <c r="FQ100" i="4" s="1"/>
  <c r="FO100" i="4" a="1"/>
  <c r="FO100" i="4" s="1"/>
  <c r="FM100" i="4" a="1"/>
  <c r="FM100" i="4" s="1"/>
  <c r="EU100" i="4" a="1"/>
  <c r="EU100" i="4" s="1"/>
  <c r="EO100" i="4" a="1"/>
  <c r="EO100" i="4" s="1"/>
  <c r="FP100" i="4" a="1"/>
  <c r="FP100" i="4" s="1"/>
  <c r="FR100" i="4" a="1"/>
  <c r="FR100" i="4" s="1"/>
  <c r="FN100" i="4" a="1"/>
  <c r="FN100" i="4" s="1"/>
  <c r="FL100" i="4" a="1"/>
  <c r="FL100" i="4" s="1"/>
  <c r="FY103" i="4" a="1"/>
  <c r="FY103" i="4" s="1"/>
  <c r="FW103" i="4" a="1"/>
  <c r="FW103" i="4" s="1"/>
  <c r="FU103" i="4" a="1"/>
  <c r="FU103" i="4" s="1"/>
  <c r="FS103" i="4" a="1"/>
  <c r="FS103" i="4" s="1"/>
  <c r="FV103" i="4" a="1"/>
  <c r="FV103" i="4" s="1"/>
  <c r="EP103" i="4" a="1"/>
  <c r="EP103" i="4" s="1"/>
  <c r="FX103" i="4" a="1"/>
  <c r="FX103" i="4" s="1"/>
  <c r="FT103" i="4" a="1"/>
  <c r="FT103" i="4" s="1"/>
  <c r="EV103" i="4" a="1"/>
  <c r="EV103" i="4" s="1"/>
  <c r="FK115" i="4" a="1"/>
  <c r="FK115" i="4" s="1"/>
  <c r="FI115" i="4" a="1"/>
  <c r="FI115" i="4" s="1"/>
  <c r="FG115" i="4" a="1"/>
  <c r="FG115" i="4" s="1"/>
  <c r="FE115" i="4" a="1"/>
  <c r="FE115" i="4" s="1"/>
  <c r="ES115" i="4" a="1"/>
  <c r="ES115" i="4" s="1"/>
  <c r="EM115" i="4" a="1"/>
  <c r="EM115" i="4" s="1"/>
  <c r="FJ115" i="4" a="1"/>
  <c r="FJ115" i="4" s="1"/>
  <c r="FH115" i="4" a="1"/>
  <c r="FH115" i="4" s="1"/>
  <c r="FF115" i="4" a="1"/>
  <c r="FF115" i="4" s="1"/>
  <c r="FK116" i="4" a="1"/>
  <c r="FK116" i="4" s="1"/>
  <c r="FI116" i="4" a="1"/>
  <c r="FI116" i="4" s="1"/>
  <c r="FG116" i="4" a="1"/>
  <c r="FG116" i="4" s="1"/>
  <c r="FE116" i="4" a="1"/>
  <c r="FE116" i="4" s="1"/>
  <c r="ES116" i="4" a="1"/>
  <c r="ES116" i="4" s="1"/>
  <c r="EM116" i="4" a="1"/>
  <c r="EM116" i="4" s="1"/>
  <c r="FJ116" i="4" a="1"/>
  <c r="FJ116" i="4" s="1"/>
  <c r="FH116" i="4" a="1"/>
  <c r="FH116" i="4" s="1"/>
  <c r="FF116" i="4" a="1"/>
  <c r="FF116" i="4" s="1"/>
  <c r="FC117" i="4" a="1"/>
  <c r="FC117" i="4" s="1"/>
  <c r="FA117" i="4" a="1"/>
  <c r="FA117" i="4" s="1"/>
  <c r="EY117" i="4" a="1"/>
  <c r="EY117" i="4" s="1"/>
  <c r="FD117" i="4" a="1"/>
  <c r="FD117" i="4" s="1"/>
  <c r="EX117" i="4" a="1"/>
  <c r="EX117" i="4" s="1"/>
  <c r="FB117" i="4" a="1"/>
  <c r="FB117" i="4" s="1"/>
  <c r="EL117" i="4" a="1"/>
  <c r="EL117" i="4" s="1"/>
  <c r="ER117" i="4" a="1"/>
  <c r="ER117" i="4" s="1"/>
  <c r="EZ117" i="4" a="1"/>
  <c r="EZ117" i="4" s="1"/>
  <c r="FC118" i="4" a="1"/>
  <c r="FC118" i="4" s="1"/>
  <c r="FA118" i="4" a="1"/>
  <c r="FA118" i="4" s="1"/>
  <c r="EY118" i="4" a="1"/>
  <c r="EY118" i="4" s="1"/>
  <c r="FD118" i="4" a="1"/>
  <c r="FD118" i="4" s="1"/>
  <c r="EX118" i="4" a="1"/>
  <c r="EX118" i="4" s="1"/>
  <c r="FB118" i="4" a="1"/>
  <c r="FB118" i="4" s="1"/>
  <c r="EL118" i="4" a="1"/>
  <c r="EL118" i="4" s="1"/>
  <c r="EZ118" i="4" a="1"/>
  <c r="EZ118" i="4" s="1"/>
  <c r="ER118" i="4" a="1"/>
  <c r="ER118" i="4" s="1"/>
  <c r="EQ119" i="4" a="1"/>
  <c r="EQ119" i="4" s="1"/>
  <c r="EK119" i="4" a="1"/>
  <c r="EK119" i="4" s="1"/>
  <c r="EQ120" i="4" a="1"/>
  <c r="EQ120" i="4" s="1"/>
  <c r="EK120" i="4" a="1"/>
  <c r="EK120" i="4" s="1"/>
  <c r="FQ121" i="4" a="1"/>
  <c r="FQ121" i="4" s="1"/>
  <c r="FO121" i="4" a="1"/>
  <c r="FO121" i="4" s="1"/>
  <c r="FM121" i="4" a="1"/>
  <c r="FM121" i="4" s="1"/>
  <c r="EU121" i="4" a="1"/>
  <c r="EU121" i="4" s="1"/>
  <c r="EO121" i="4" a="1"/>
  <c r="EO121" i="4" s="1"/>
  <c r="FP121" i="4" a="1"/>
  <c r="FP121" i="4" s="1"/>
  <c r="FR121" i="4" a="1"/>
  <c r="FR121" i="4" s="1"/>
  <c r="FN121" i="4" a="1"/>
  <c r="FN121" i="4" s="1"/>
  <c r="FL121" i="4" a="1"/>
  <c r="FL121" i="4" s="1"/>
  <c r="FY126" i="4" a="1"/>
  <c r="FY126" i="4" s="1"/>
  <c r="FW126" i="4" a="1"/>
  <c r="FW126" i="4" s="1"/>
  <c r="FU126" i="4" a="1"/>
  <c r="FU126" i="4" s="1"/>
  <c r="FS126" i="4" a="1"/>
  <c r="FS126" i="4" s="1"/>
  <c r="FV126" i="4" a="1"/>
  <c r="FV126" i="4" s="1"/>
  <c r="EP126" i="4" a="1"/>
  <c r="EP126" i="4" s="1"/>
  <c r="FX126" i="4" a="1"/>
  <c r="FX126" i="4" s="1"/>
  <c r="FT126" i="4" a="1"/>
  <c r="FT126" i="4" s="1"/>
  <c r="EV126" i="4" a="1"/>
  <c r="EV126" i="4" s="1"/>
  <c r="FY127" i="4" a="1"/>
  <c r="FY127" i="4" s="1"/>
  <c r="FW127" i="4" a="1"/>
  <c r="FW127" i="4" s="1"/>
  <c r="FU127" i="4" a="1"/>
  <c r="FU127" i="4" s="1"/>
  <c r="FS127" i="4" a="1"/>
  <c r="FS127" i="4" s="1"/>
  <c r="FV127" i="4" a="1"/>
  <c r="FV127" i="4" s="1"/>
  <c r="EP127" i="4" a="1"/>
  <c r="EP127" i="4" s="1"/>
  <c r="FX127" i="4" a="1"/>
  <c r="FX127" i="4" s="1"/>
  <c r="FT127" i="4" a="1"/>
  <c r="FT127" i="4" s="1"/>
  <c r="EV127" i="4" a="1"/>
  <c r="EV127" i="4" s="1"/>
  <c r="FY128" i="4" a="1"/>
  <c r="FY128" i="4" s="1"/>
  <c r="FW128" i="4" a="1"/>
  <c r="FW128" i="4" s="1"/>
  <c r="FU128" i="4" a="1"/>
  <c r="FU128" i="4" s="1"/>
  <c r="FS128" i="4" a="1"/>
  <c r="FS128" i="4" s="1"/>
  <c r="FV128" i="4" a="1"/>
  <c r="FV128" i="4" s="1"/>
  <c r="EP128" i="4" a="1"/>
  <c r="EP128" i="4" s="1"/>
  <c r="FX128" i="4" a="1"/>
  <c r="FX128" i="4" s="1"/>
  <c r="FT128" i="4" a="1"/>
  <c r="FT128" i="4" s="1"/>
  <c r="EV128" i="4" a="1"/>
  <c r="EV128" i="4" s="1"/>
  <c r="FK140" i="4" a="1"/>
  <c r="FK140" i="4" s="1"/>
  <c r="FI140" i="4" a="1"/>
  <c r="FI140" i="4" s="1"/>
  <c r="FG140" i="4" a="1"/>
  <c r="FG140" i="4" s="1"/>
  <c r="FE140" i="4" a="1"/>
  <c r="FE140" i="4" s="1"/>
  <c r="ES140" i="4" a="1"/>
  <c r="ES140" i="4" s="1"/>
  <c r="EM140" i="4" a="1"/>
  <c r="EM140" i="4" s="1"/>
  <c r="FJ140" i="4" a="1"/>
  <c r="FJ140" i="4" s="1"/>
  <c r="FH140" i="4" a="1"/>
  <c r="FH140" i="4" s="1"/>
  <c r="FF140" i="4" a="1"/>
  <c r="FF140" i="4" s="1"/>
  <c r="FK141" i="4" a="1"/>
  <c r="FK141" i="4" s="1"/>
  <c r="FI141" i="4" a="1"/>
  <c r="FI141" i="4" s="1"/>
  <c r="FG141" i="4" a="1"/>
  <c r="FG141" i="4" s="1"/>
  <c r="FE141" i="4" a="1"/>
  <c r="FE141" i="4" s="1"/>
  <c r="ES141" i="4" a="1"/>
  <c r="ES141" i="4" s="1"/>
  <c r="EM141" i="4" a="1"/>
  <c r="EM141" i="4" s="1"/>
  <c r="FJ141" i="4" a="1"/>
  <c r="FJ141" i="4" s="1"/>
  <c r="FH141" i="4" a="1"/>
  <c r="FH141" i="4" s="1"/>
  <c r="FF141" i="4" a="1"/>
  <c r="FF141" i="4" s="1"/>
  <c r="FK142" i="4" a="1"/>
  <c r="FK142" i="4" s="1"/>
  <c r="FI142" i="4" a="1"/>
  <c r="FI142" i="4" s="1"/>
  <c r="FG142" i="4" a="1"/>
  <c r="FG142" i="4" s="1"/>
  <c r="FE142" i="4" a="1"/>
  <c r="FE142" i="4" s="1"/>
  <c r="ES142" i="4" a="1"/>
  <c r="ES142" i="4" s="1"/>
  <c r="EM142" i="4" a="1"/>
  <c r="EM142" i="4" s="1"/>
  <c r="FJ142" i="4" a="1"/>
  <c r="FJ142" i="4" s="1"/>
  <c r="FH142" i="4" a="1"/>
  <c r="FH142" i="4" s="1"/>
  <c r="FF142" i="4" a="1"/>
  <c r="FF142" i="4" s="1"/>
  <c r="FC143" i="4" a="1"/>
  <c r="FC143" i="4" s="1"/>
  <c r="FA143" i="4" a="1"/>
  <c r="FA143" i="4" s="1"/>
  <c r="EY143" i="4" a="1"/>
  <c r="EY143" i="4" s="1"/>
  <c r="FD143" i="4" a="1"/>
  <c r="FD143" i="4" s="1"/>
  <c r="EX143" i="4" a="1"/>
  <c r="EX143" i="4" s="1"/>
  <c r="FB143" i="4" a="1"/>
  <c r="FB143" i="4" s="1"/>
  <c r="EL143" i="4" a="1"/>
  <c r="EL143" i="4" s="1"/>
  <c r="EZ143" i="4" a="1"/>
  <c r="EZ143" i="4" s="1"/>
  <c r="ER143" i="4" a="1"/>
  <c r="ER143" i="4" s="1"/>
  <c r="EQ144" i="4" a="1"/>
  <c r="EQ144" i="4" s="1"/>
  <c r="EK144" i="4" a="1"/>
  <c r="EK144" i="4" s="1"/>
  <c r="FQ145" i="4" a="1"/>
  <c r="FQ145" i="4" s="1"/>
  <c r="FO145" i="4" a="1"/>
  <c r="FO145" i="4" s="1"/>
  <c r="FM145" i="4" a="1"/>
  <c r="FM145" i="4" s="1"/>
  <c r="EU145" i="4" a="1"/>
  <c r="EU145" i="4" s="1"/>
  <c r="EO145" i="4" a="1"/>
  <c r="EO145" i="4" s="1"/>
  <c r="FP145" i="4" a="1"/>
  <c r="FP145" i="4" s="1"/>
  <c r="FR145" i="4" a="1"/>
  <c r="FR145" i="4" s="1"/>
  <c r="FN145" i="4" a="1"/>
  <c r="FN145" i="4" s="1"/>
  <c r="FL145" i="4" a="1"/>
  <c r="FL145" i="4" s="1"/>
  <c r="FY149" i="4" a="1"/>
  <c r="FY149" i="4" s="1"/>
  <c r="FW149" i="4" a="1"/>
  <c r="FW149" i="4" s="1"/>
  <c r="FU149" i="4" a="1"/>
  <c r="FU149" i="4" s="1"/>
  <c r="FS149" i="4" a="1"/>
  <c r="FS149" i="4" s="1"/>
  <c r="FV149" i="4" a="1"/>
  <c r="FV149" i="4" s="1"/>
  <c r="EP149" i="4" a="1"/>
  <c r="EP149" i="4" s="1"/>
  <c r="FX149" i="4" a="1"/>
  <c r="FX149" i="4" s="1"/>
  <c r="FT149" i="4" a="1"/>
  <c r="FT149" i="4" s="1"/>
  <c r="EV149" i="4" a="1"/>
  <c r="EV149" i="4" s="1"/>
  <c r="FK156" i="4" a="1"/>
  <c r="FK156" i="4" s="1"/>
  <c r="FI156" i="4" a="1"/>
  <c r="FI156" i="4" s="1"/>
  <c r="FG156" i="4" a="1"/>
  <c r="FG156" i="4" s="1"/>
  <c r="FE156" i="4" a="1"/>
  <c r="FE156" i="4" s="1"/>
  <c r="ES156" i="4" a="1"/>
  <c r="ES156" i="4" s="1"/>
  <c r="EM156" i="4" a="1"/>
  <c r="EM156" i="4" s="1"/>
  <c r="FJ156" i="4" a="1"/>
  <c r="FJ156" i="4" s="1"/>
  <c r="FH156" i="4" a="1"/>
  <c r="FH156" i="4" s="1"/>
  <c r="FF156" i="4" a="1"/>
  <c r="FF156" i="4" s="1"/>
  <c r="FC157" i="4" a="1"/>
  <c r="FC157" i="4" s="1"/>
  <c r="FA157" i="4" a="1"/>
  <c r="FA157" i="4" s="1"/>
  <c r="EY157" i="4" a="1"/>
  <c r="EY157" i="4" s="1"/>
  <c r="FD157" i="4" a="1"/>
  <c r="FD157" i="4" s="1"/>
  <c r="EX157" i="4" a="1"/>
  <c r="EX157" i="4" s="1"/>
  <c r="FB157" i="4" a="1"/>
  <c r="FB157" i="4" s="1"/>
  <c r="EL157" i="4" a="1"/>
  <c r="EL157" i="4" s="1"/>
  <c r="ER157" i="4" a="1"/>
  <c r="ER157" i="4" s="1"/>
  <c r="EZ157" i="4" a="1"/>
  <c r="EZ157" i="4" s="1"/>
  <c r="EQ158" i="4" a="1"/>
  <c r="EQ158" i="4" s="1"/>
  <c r="EK158" i="4" a="1"/>
  <c r="EK158" i="4" s="1"/>
  <c r="FQ159" i="4" a="1"/>
  <c r="FQ159" i="4" s="1"/>
  <c r="FO159" i="4" a="1"/>
  <c r="FO159" i="4" s="1"/>
  <c r="FM159" i="4" a="1"/>
  <c r="FM159" i="4" s="1"/>
  <c r="EU159" i="4" a="1"/>
  <c r="EU159" i="4" s="1"/>
  <c r="EO159" i="4" a="1"/>
  <c r="EO159" i="4" s="1"/>
  <c r="FP159" i="4" a="1"/>
  <c r="FP159" i="4" s="1"/>
  <c r="FR159" i="4" a="1"/>
  <c r="FR159" i="4" s="1"/>
  <c r="FN159" i="4" a="1"/>
  <c r="FN159" i="4" s="1"/>
  <c r="FL159" i="4" a="1"/>
  <c r="FL159" i="4" s="1"/>
  <c r="FY164" i="4" a="1"/>
  <c r="FY164" i="4" s="1"/>
  <c r="FW164" i="4" a="1"/>
  <c r="FW164" i="4" s="1"/>
  <c r="FU164" i="4" a="1"/>
  <c r="FU164" i="4" s="1"/>
  <c r="FS164" i="4" a="1"/>
  <c r="FS164" i="4" s="1"/>
  <c r="FV164" i="4" a="1"/>
  <c r="FV164" i="4" s="1"/>
  <c r="EP164" i="4" a="1"/>
  <c r="EP164" i="4" s="1"/>
  <c r="FX164" i="4" a="1"/>
  <c r="FX164" i="4" s="1"/>
  <c r="FT164" i="4" a="1"/>
  <c r="FT164" i="4" s="1"/>
  <c r="EV164" i="4" a="1"/>
  <c r="EV164" i="4" s="1"/>
  <c r="FQ177" i="4" a="1"/>
  <c r="FQ177" i="4" s="1"/>
  <c r="FO177" i="4" a="1"/>
  <c r="FO177" i="4" s="1"/>
  <c r="FM177" i="4" a="1"/>
  <c r="FM177" i="4" s="1"/>
  <c r="EU177" i="4" a="1"/>
  <c r="EU177" i="4" s="1"/>
  <c r="EO177" i="4" a="1"/>
  <c r="EO177" i="4" s="1"/>
  <c r="FP177" i="4" a="1"/>
  <c r="FP177" i="4" s="1"/>
  <c r="FR177" i="4" a="1"/>
  <c r="FR177" i="4" s="1"/>
  <c r="FN177" i="4" a="1"/>
  <c r="FN177" i="4" s="1"/>
  <c r="FL177" i="4" a="1"/>
  <c r="FL177" i="4" s="1"/>
  <c r="FY181" i="4" a="1"/>
  <c r="FY181" i="4" s="1"/>
  <c r="FW181" i="4" a="1"/>
  <c r="FW181" i="4" s="1"/>
  <c r="FU181" i="4" a="1"/>
  <c r="FU181" i="4" s="1"/>
  <c r="FS181" i="4" a="1"/>
  <c r="FS181" i="4" s="1"/>
  <c r="FV181" i="4" a="1"/>
  <c r="FV181" i="4" s="1"/>
  <c r="EP181" i="4" a="1"/>
  <c r="EP181" i="4" s="1"/>
  <c r="FX181" i="4" a="1"/>
  <c r="FX181" i="4" s="1"/>
  <c r="FT181" i="4" a="1"/>
  <c r="FT181" i="4" s="1"/>
  <c r="EV181" i="4" a="1"/>
  <c r="EV181" i="4" s="1"/>
  <c r="FK190" i="4" a="1"/>
  <c r="FK190" i="4" s="1"/>
  <c r="FI190" i="4" a="1"/>
  <c r="FI190" i="4" s="1"/>
  <c r="FG190" i="4" a="1"/>
  <c r="FG190" i="4" s="1"/>
  <c r="FE190" i="4" a="1"/>
  <c r="FE190" i="4" s="1"/>
  <c r="ES190" i="4" a="1"/>
  <c r="ES190" i="4" s="1"/>
  <c r="EM190" i="4" a="1"/>
  <c r="EM190" i="4" s="1"/>
  <c r="FJ190" i="4" a="1"/>
  <c r="FJ190" i="4" s="1"/>
  <c r="FH190" i="4" a="1"/>
  <c r="FH190" i="4" s="1"/>
  <c r="FF190" i="4" a="1"/>
  <c r="FF190" i="4" s="1"/>
  <c r="ET191" i="4" a="1"/>
  <c r="ET191" i="4" s="1"/>
  <c r="EN191" i="4" a="1"/>
  <c r="EN191" i="4" s="1"/>
  <c r="EK192" i="4" a="1"/>
  <c r="EK192" i="4" s="1"/>
  <c r="EQ192" i="4" a="1"/>
  <c r="EQ192" i="4" s="1"/>
  <c r="ET193" i="4" a="1"/>
  <c r="ET193" i="4" s="1"/>
  <c r="EN193" i="4" a="1"/>
  <c r="EN193" i="4" s="1"/>
  <c r="EK194" i="4" a="1"/>
  <c r="EK194" i="4" s="1"/>
  <c r="EQ194" i="4" a="1"/>
  <c r="EQ194" i="4" s="1"/>
  <c r="ET195" i="4" a="1"/>
  <c r="ET195" i="4" s="1"/>
  <c r="EN195" i="4" a="1"/>
  <c r="EN195" i="4" s="1"/>
  <c r="EK196" i="4" a="1"/>
  <c r="EK196" i="4" s="1"/>
  <c r="EQ196" i="4" a="1"/>
  <c r="EQ196" i="4" s="1"/>
  <c r="ET197" i="4" a="1"/>
  <c r="ET197" i="4" s="1"/>
  <c r="EN197" i="4" a="1"/>
  <c r="EN197" i="4" s="1"/>
  <c r="EK198" i="4" a="1"/>
  <c r="EK198" i="4" s="1"/>
  <c r="EQ198" i="4" a="1"/>
  <c r="EQ198" i="4" s="1"/>
  <c r="ET199" i="4" a="1"/>
  <c r="ET199" i="4" s="1"/>
  <c r="EN199" i="4" a="1"/>
  <c r="EN199" i="4" s="1"/>
  <c r="EK200" i="4" a="1"/>
  <c r="EK200" i="4" s="1"/>
  <c r="EQ200" i="4" a="1"/>
  <c r="EQ200" i="4" s="1"/>
  <c r="ET201" i="4" a="1"/>
  <c r="ET201" i="4" s="1"/>
  <c r="EN201" i="4" a="1"/>
  <c r="EN201" i="4" s="1"/>
  <c r="EK202" i="4" a="1"/>
  <c r="EK202" i="4" s="1"/>
  <c r="EQ202" i="4" a="1"/>
  <c r="EQ202" i="4" s="1"/>
  <c r="ET203" i="4" a="1"/>
  <c r="ET203" i="4" s="1"/>
  <c r="EN203" i="4" a="1"/>
  <c r="EN203" i="4" s="1"/>
  <c r="EK204" i="4" a="1"/>
  <c r="EK204" i="4" s="1"/>
  <c r="EQ204" i="4" a="1"/>
  <c r="EQ204" i="4" s="1"/>
  <c r="FJ206" i="4" a="1"/>
  <c r="FJ206" i="4" s="1"/>
  <c r="FH206" i="4" a="1"/>
  <c r="FH206" i="4" s="1"/>
  <c r="FF206" i="4" a="1"/>
  <c r="FF206" i="4" s="1"/>
  <c r="FG206" i="4" a="1"/>
  <c r="FG206" i="4" s="1"/>
  <c r="FI206" i="4" a="1"/>
  <c r="FI206" i="4" s="1"/>
  <c r="ES206" i="4" a="1"/>
  <c r="ES206" i="4" s="1"/>
  <c r="FE206" i="4" a="1"/>
  <c r="FE206" i="4" s="1"/>
  <c r="EM206" i="4" a="1"/>
  <c r="EM206" i="4" s="1"/>
  <c r="FK206" i="4" a="1"/>
  <c r="FK206" i="4" s="1"/>
  <c r="FJ208" i="4" a="1"/>
  <c r="FJ208" i="4" s="1"/>
  <c r="FH208" i="4" a="1"/>
  <c r="FH208" i="4" s="1"/>
  <c r="FF208" i="4" a="1"/>
  <c r="FF208" i="4" s="1"/>
  <c r="FG208" i="4" a="1"/>
  <c r="FG208" i="4" s="1"/>
  <c r="FI208" i="4" a="1"/>
  <c r="FI208" i="4" s="1"/>
  <c r="ES208" i="4" a="1"/>
  <c r="ES208" i="4" s="1"/>
  <c r="FE208" i="4" a="1"/>
  <c r="FE208" i="4" s="1"/>
  <c r="FK208" i="4" a="1"/>
  <c r="FK208" i="4" s="1"/>
  <c r="EM208" i="4" a="1"/>
  <c r="EM208" i="4" s="1"/>
  <c r="FJ210" i="4" a="1"/>
  <c r="FJ210" i="4" s="1"/>
  <c r="FH210" i="4" a="1"/>
  <c r="FH210" i="4" s="1"/>
  <c r="FF210" i="4" a="1"/>
  <c r="FF210" i="4" s="1"/>
  <c r="FG210" i="4" a="1"/>
  <c r="FG210" i="4" s="1"/>
  <c r="FI210" i="4" a="1"/>
  <c r="FI210" i="4" s="1"/>
  <c r="ES210" i="4" a="1"/>
  <c r="ES210" i="4" s="1"/>
  <c r="FE210" i="4" a="1"/>
  <c r="FE210" i="4" s="1"/>
  <c r="FK210" i="4" a="1"/>
  <c r="FK210" i="4" s="1"/>
  <c r="EM210" i="4" a="1"/>
  <c r="EM210" i="4" s="1"/>
  <c r="FJ212" i="4" a="1"/>
  <c r="FJ212" i="4" s="1"/>
  <c r="FH212" i="4" a="1"/>
  <c r="FH212" i="4" s="1"/>
  <c r="FF212" i="4" a="1"/>
  <c r="FF212" i="4" s="1"/>
  <c r="FG212" i="4" a="1"/>
  <c r="FG212" i="4" s="1"/>
  <c r="FI212" i="4" a="1"/>
  <c r="FI212" i="4" s="1"/>
  <c r="ES212" i="4" a="1"/>
  <c r="ES212" i="4" s="1"/>
  <c r="FE212" i="4" a="1"/>
  <c r="FE212" i="4" s="1"/>
  <c r="EM212" i="4" a="1"/>
  <c r="EM212" i="4" s="1"/>
  <c r="FK212" i="4" a="1"/>
  <c r="FK212" i="4" s="1"/>
  <c r="FJ214" i="4" a="1"/>
  <c r="FJ214" i="4" s="1"/>
  <c r="FH214" i="4" a="1"/>
  <c r="FH214" i="4" s="1"/>
  <c r="FF214" i="4" a="1"/>
  <c r="FF214" i="4" s="1"/>
  <c r="FG214" i="4" a="1"/>
  <c r="FG214" i="4" s="1"/>
  <c r="FI214" i="4" a="1"/>
  <c r="FI214" i="4" s="1"/>
  <c r="ES214" i="4" a="1"/>
  <c r="ES214" i="4" s="1"/>
  <c r="FE214" i="4" a="1"/>
  <c r="FE214" i="4" s="1"/>
  <c r="EM214" i="4" a="1"/>
  <c r="EM214" i="4" s="1"/>
  <c r="FK214" i="4" a="1"/>
  <c r="FK214" i="4" s="1"/>
  <c r="FJ216" i="4" a="1"/>
  <c r="FJ216" i="4" s="1"/>
  <c r="FH216" i="4" a="1"/>
  <c r="FH216" i="4" s="1"/>
  <c r="FF216" i="4" a="1"/>
  <c r="FF216" i="4" s="1"/>
  <c r="FG216" i="4" a="1"/>
  <c r="FG216" i="4" s="1"/>
  <c r="FI216" i="4" a="1"/>
  <c r="FI216" i="4" s="1"/>
  <c r="ES216" i="4" a="1"/>
  <c r="ES216" i="4" s="1"/>
  <c r="FE216" i="4" a="1"/>
  <c r="FE216" i="4" s="1"/>
  <c r="FK216" i="4" a="1"/>
  <c r="FK216" i="4" s="1"/>
  <c r="EM216" i="4" a="1"/>
  <c r="EM216" i="4" s="1"/>
  <c r="EK217" i="4" a="1"/>
  <c r="EK217" i="4" s="1"/>
  <c r="EQ217" i="4" a="1"/>
  <c r="EQ217" i="4" s="1"/>
  <c r="ET218" i="4" a="1"/>
  <c r="ET218" i="4" s="1"/>
  <c r="EN218" i="4" a="1"/>
  <c r="EN218" i="4" s="1"/>
  <c r="EK219" i="4" a="1"/>
  <c r="EK219" i="4" s="1"/>
  <c r="EQ219" i="4" a="1"/>
  <c r="EQ219" i="4" s="1"/>
  <c r="ET220" i="4" a="1"/>
  <c r="ET220" i="4" s="1"/>
  <c r="EN220" i="4" a="1"/>
  <c r="EN220" i="4" s="1"/>
  <c r="EK221" i="4" a="1"/>
  <c r="EK221" i="4" s="1"/>
  <c r="EQ221" i="4" a="1"/>
  <c r="EQ221" i="4" s="1"/>
  <c r="ET222" i="4" a="1"/>
  <c r="ET222" i="4" s="1"/>
  <c r="EN222" i="4" a="1"/>
  <c r="EN222" i="4" s="1"/>
  <c r="EK223" i="4" a="1"/>
  <c r="EK223" i="4" s="1"/>
  <c r="EQ223" i="4" a="1"/>
  <c r="EQ223" i="4" s="1"/>
  <c r="ET224" i="4" a="1"/>
  <c r="ET224" i="4" s="1"/>
  <c r="EN224" i="4" a="1"/>
  <c r="EN224" i="4" s="1"/>
  <c r="EK225" i="4" a="1"/>
  <c r="EK225" i="4" s="1"/>
  <c r="EQ225" i="4" a="1"/>
  <c r="EQ225" i="4" s="1"/>
  <c r="ET226" i="4" a="1"/>
  <c r="ET226" i="4" s="1"/>
  <c r="EN226" i="4" a="1"/>
  <c r="EN226" i="4" s="1"/>
  <c r="EK227" i="4" a="1"/>
  <c r="EK227" i="4" s="1"/>
  <c r="EQ227" i="4" a="1"/>
  <c r="EQ227" i="4" s="1"/>
  <c r="ET228" i="4" a="1"/>
  <c r="ET228" i="4" s="1"/>
  <c r="EN228" i="4" a="1"/>
  <c r="EN228" i="4" s="1"/>
  <c r="EK229" i="4" a="1"/>
  <c r="EK229" i="4" s="1"/>
  <c r="EQ229" i="4" a="1"/>
  <c r="EQ229" i="4" s="1"/>
  <c r="ET230" i="4" a="1"/>
  <c r="ET230" i="4" s="1"/>
  <c r="EN230" i="4" a="1"/>
  <c r="EN230" i="4" s="1"/>
  <c r="EK231" i="4" a="1"/>
  <c r="EK231" i="4" s="1"/>
  <c r="EQ231" i="4" a="1"/>
  <c r="EQ231" i="4" s="1"/>
  <c r="ET232" i="4" a="1"/>
  <c r="ET232" i="4" s="1"/>
  <c r="EN232" i="4" a="1"/>
  <c r="EN232" i="4" s="1"/>
  <c r="EK233" i="4" a="1"/>
  <c r="EK233" i="4" s="1"/>
  <c r="EQ233" i="4" a="1"/>
  <c r="EQ233" i="4" s="1"/>
  <c r="ET234" i="4" a="1"/>
  <c r="ET234" i="4" s="1"/>
  <c r="EN234" i="4" a="1"/>
  <c r="EN234" i="4" s="1"/>
  <c r="EK235" i="4" a="1"/>
  <c r="EK235" i="4" s="1"/>
  <c r="EQ235" i="4" a="1"/>
  <c r="EQ235" i="4" s="1"/>
  <c r="ET236" i="4" a="1"/>
  <c r="ET236" i="4" s="1"/>
  <c r="EN236" i="4" a="1"/>
  <c r="EN236" i="4" s="1"/>
  <c r="FD237" i="4" a="1"/>
  <c r="FD237" i="4" s="1"/>
  <c r="EY237" i="4" a="1"/>
  <c r="EY237" i="4" s="1"/>
  <c r="FA237" i="4" a="1"/>
  <c r="FA237" i="4" s="1"/>
  <c r="EX237" i="4" a="1"/>
  <c r="EX237" i="4" s="1"/>
  <c r="FB237" i="4" a="1"/>
  <c r="FB237" i="4" s="1"/>
  <c r="EL237" i="4" a="1"/>
  <c r="EL237" i="4" s="1"/>
  <c r="FC237" i="4" a="1"/>
  <c r="FC237" i="4" s="1"/>
  <c r="ER237" i="4" a="1"/>
  <c r="ER237" i="4" s="1"/>
  <c r="EZ237" i="4" a="1"/>
  <c r="EZ237" i="4" s="1"/>
  <c r="FD239" i="4" a="1"/>
  <c r="FD239" i="4" s="1"/>
  <c r="EY239" i="4" a="1"/>
  <c r="EY239" i="4" s="1"/>
  <c r="FA239" i="4" a="1"/>
  <c r="FA239" i="4" s="1"/>
  <c r="EX239" i="4" a="1"/>
  <c r="EX239" i="4" s="1"/>
  <c r="FB239" i="4" a="1"/>
  <c r="FB239" i="4" s="1"/>
  <c r="EL239" i="4" a="1"/>
  <c r="EL239" i="4" s="1"/>
  <c r="FC239" i="4" a="1"/>
  <c r="FC239" i="4" s="1"/>
  <c r="ER239" i="4" a="1"/>
  <c r="ER239" i="4" s="1"/>
  <c r="EZ239" i="4" a="1"/>
  <c r="EZ239" i="4" s="1"/>
  <c r="FD241" i="4" a="1"/>
  <c r="FD241" i="4" s="1"/>
  <c r="EY241" i="4" a="1"/>
  <c r="EY241" i="4" s="1"/>
  <c r="FA241" i="4" a="1"/>
  <c r="FA241" i="4" s="1"/>
  <c r="EX241" i="4" a="1"/>
  <c r="EX241" i="4" s="1"/>
  <c r="FB241" i="4" a="1"/>
  <c r="FB241" i="4" s="1"/>
  <c r="EL241" i="4" a="1"/>
  <c r="EL241" i="4" s="1"/>
  <c r="EZ241" i="4" a="1"/>
  <c r="EZ241" i="4" s="1"/>
  <c r="FC241" i="4" a="1"/>
  <c r="FC241" i="4" s="1"/>
  <c r="ER241" i="4" a="1"/>
  <c r="ER241" i="4" s="1"/>
  <c r="FD243" i="4" a="1"/>
  <c r="FD243" i="4" s="1"/>
  <c r="EY243" i="4" a="1"/>
  <c r="EY243" i="4" s="1"/>
  <c r="FA243" i="4" a="1"/>
  <c r="FA243" i="4" s="1"/>
  <c r="EX243" i="4" a="1"/>
  <c r="EX243" i="4" s="1"/>
  <c r="FB243" i="4" a="1"/>
  <c r="FB243" i="4" s="1"/>
  <c r="EL243" i="4" a="1"/>
  <c r="EL243" i="4" s="1"/>
  <c r="EZ243" i="4" a="1"/>
  <c r="EZ243" i="4" s="1"/>
  <c r="FC243" i="4" a="1"/>
  <c r="FC243" i="4" s="1"/>
  <c r="ER243" i="4" a="1"/>
  <c r="ER243" i="4" s="1"/>
  <c r="FD245" i="4" a="1"/>
  <c r="FD245" i="4" s="1"/>
  <c r="EY245" i="4" a="1"/>
  <c r="EY245" i="4" s="1"/>
  <c r="FA245" i="4" a="1"/>
  <c r="FA245" i="4" s="1"/>
  <c r="EX245" i="4" a="1"/>
  <c r="EX245" i="4" s="1"/>
  <c r="FB245" i="4" a="1"/>
  <c r="FB245" i="4" s="1"/>
  <c r="EL245" i="4" a="1"/>
  <c r="EL245" i="4" s="1"/>
  <c r="FC245" i="4" a="1"/>
  <c r="FC245" i="4" s="1"/>
  <c r="ER245" i="4" a="1"/>
  <c r="ER245" i="4" s="1"/>
  <c r="EZ245" i="4" a="1"/>
  <c r="EZ245" i="4" s="1"/>
  <c r="FD247" i="4" a="1"/>
  <c r="FD247" i="4" s="1"/>
  <c r="EY247" i="4" a="1"/>
  <c r="EY247" i="4" s="1"/>
  <c r="FA247" i="4" a="1"/>
  <c r="FA247" i="4" s="1"/>
  <c r="EX247" i="4" a="1"/>
  <c r="EX247" i="4" s="1"/>
  <c r="FB247" i="4" a="1"/>
  <c r="FB247" i="4" s="1"/>
  <c r="EL247" i="4" a="1"/>
  <c r="EL247" i="4" s="1"/>
  <c r="FC247" i="4" a="1"/>
  <c r="FC247" i="4" s="1"/>
  <c r="ER247" i="4" a="1"/>
  <c r="ER247" i="4" s="1"/>
  <c r="EZ247" i="4" a="1"/>
  <c r="EZ247" i="4" s="1"/>
  <c r="FJ248" i="4" a="1"/>
  <c r="FJ248" i="4" s="1"/>
  <c r="FG248" i="4" a="1"/>
  <c r="FG248" i="4" s="1"/>
  <c r="FI248" i="4" a="1"/>
  <c r="FI248" i="4" s="1"/>
  <c r="ES248" i="4" a="1"/>
  <c r="ES248" i="4" s="1"/>
  <c r="FH248" i="4" a="1"/>
  <c r="FH248" i="4" s="1"/>
  <c r="FE248" i="4" a="1"/>
  <c r="FE248" i="4" s="1"/>
  <c r="FF248" i="4" a="1"/>
  <c r="FF248" i="4" s="1"/>
  <c r="EM248" i="4" a="1"/>
  <c r="EM248" i="4" s="1"/>
  <c r="FK248" i="4" a="1"/>
  <c r="FK248" i="4" s="1"/>
  <c r="ET250" i="4" a="1"/>
  <c r="ET250" i="4" s="1"/>
  <c r="EN250" i="4" a="1"/>
  <c r="EN250" i="4" s="1"/>
  <c r="EK251" i="4" a="1"/>
  <c r="EK251" i="4" s="1"/>
  <c r="EQ251" i="4" a="1"/>
  <c r="EQ251" i="4" s="1"/>
  <c r="ET252" i="4" a="1"/>
  <c r="ET252" i="4" s="1"/>
  <c r="EN252" i="4" a="1"/>
  <c r="EN252" i="4" s="1"/>
  <c r="FJ253" i="4" a="1"/>
  <c r="FJ253" i="4" s="1"/>
  <c r="FH253" i="4" a="1"/>
  <c r="FH253" i="4" s="1"/>
  <c r="FF253" i="4" a="1"/>
  <c r="FF253" i="4" s="1"/>
  <c r="FG253" i="4" a="1"/>
  <c r="FG253" i="4" s="1"/>
  <c r="FI253" i="4" a="1"/>
  <c r="FI253" i="4" s="1"/>
  <c r="ES253" i="4" a="1"/>
  <c r="ES253" i="4" s="1"/>
  <c r="FE253" i="4" a="1"/>
  <c r="FE253" i="4" s="1"/>
  <c r="FK253" i="4" a="1"/>
  <c r="FK253" i="4" s="1"/>
  <c r="EM253" i="4" a="1"/>
  <c r="EM253" i="4" s="1"/>
  <c r="FJ255" i="4" a="1"/>
  <c r="FJ255" i="4" s="1"/>
  <c r="FH255" i="4" a="1"/>
  <c r="FH255" i="4" s="1"/>
  <c r="FF255" i="4" a="1"/>
  <c r="FF255" i="4" s="1"/>
  <c r="FG255" i="4" a="1"/>
  <c r="FG255" i="4" s="1"/>
  <c r="FI255" i="4" a="1"/>
  <c r="FI255" i="4" s="1"/>
  <c r="ES255" i="4" a="1"/>
  <c r="ES255" i="4" s="1"/>
  <c r="FE255" i="4" a="1"/>
  <c r="FE255" i="4" s="1"/>
  <c r="EM255" i="4" a="1"/>
  <c r="EM255" i="4" s="1"/>
  <c r="FK255" i="4" a="1"/>
  <c r="FK255" i="4" s="1"/>
  <c r="FJ257" i="4" a="1"/>
  <c r="FJ257" i="4" s="1"/>
  <c r="FH257" i="4" a="1"/>
  <c r="FH257" i="4" s="1"/>
  <c r="FF257" i="4" a="1"/>
  <c r="FF257" i="4" s="1"/>
  <c r="FG257" i="4" a="1"/>
  <c r="FG257" i="4" s="1"/>
  <c r="FI257" i="4" a="1"/>
  <c r="FI257" i="4" s="1"/>
  <c r="ES257" i="4" a="1"/>
  <c r="ES257" i="4" s="1"/>
  <c r="FE257" i="4" a="1"/>
  <c r="FE257" i="4" s="1"/>
  <c r="EM257" i="4" a="1"/>
  <c r="EM257" i="4" s="1"/>
  <c r="FK257" i="4" a="1"/>
  <c r="FK257" i="4" s="1"/>
  <c r="FJ259" i="4" a="1"/>
  <c r="FJ259" i="4" s="1"/>
  <c r="FH259" i="4" a="1"/>
  <c r="FH259" i="4" s="1"/>
  <c r="FF259" i="4" a="1"/>
  <c r="FF259" i="4" s="1"/>
  <c r="FG259" i="4" a="1"/>
  <c r="FG259" i="4" s="1"/>
  <c r="FI259" i="4" a="1"/>
  <c r="FI259" i="4" s="1"/>
  <c r="ES259" i="4" a="1"/>
  <c r="ES259" i="4" s="1"/>
  <c r="FE259" i="4" a="1"/>
  <c r="FE259" i="4" s="1"/>
  <c r="FK259" i="4" a="1"/>
  <c r="FK259" i="4" s="1"/>
  <c r="EM259" i="4" a="1"/>
  <c r="EM259" i="4" s="1"/>
  <c r="EK260" i="4" a="1"/>
  <c r="EK260" i="4" s="1"/>
  <c r="EQ260" i="4" a="1"/>
  <c r="EQ260" i="4" s="1"/>
  <c r="ET261" i="4" a="1"/>
  <c r="ET261" i="4" s="1"/>
  <c r="EN261" i="4" a="1"/>
  <c r="EN261" i="4" s="1"/>
  <c r="EK262" i="4" a="1"/>
  <c r="EK262" i="4" s="1"/>
  <c r="EQ262" i="4" a="1"/>
  <c r="EQ262" i="4" s="1"/>
  <c r="ET263" i="4" a="1"/>
  <c r="ET263" i="4" s="1"/>
  <c r="EN263" i="4" a="1"/>
  <c r="EN263" i="4" s="1"/>
  <c r="EK264" i="4" a="1"/>
  <c r="EK264" i="4" s="1"/>
  <c r="EQ264" i="4" a="1"/>
  <c r="EQ264" i="4" s="1"/>
  <c r="EN45" i="4" a="1"/>
  <c r="EN45" i="4" s="1"/>
  <c r="ET45" i="4" a="1"/>
  <c r="ET45" i="4" s="1"/>
  <c r="EK46" i="4" a="1"/>
  <c r="EK46" i="4" s="1"/>
  <c r="EQ46" i="4" a="1"/>
  <c r="EQ46" i="4" s="1"/>
  <c r="EN47" i="4" a="1"/>
  <c r="EN47" i="4" s="1"/>
  <c r="ET47" i="4" a="1"/>
  <c r="ET47" i="4" s="1"/>
  <c r="EK48" i="4" a="1"/>
  <c r="EK48" i="4" s="1"/>
  <c r="EQ48" i="4" a="1"/>
  <c r="EQ48" i="4" s="1"/>
  <c r="EN49" i="4" a="1"/>
  <c r="EN49" i="4" s="1"/>
  <c r="ET49" i="4" a="1"/>
  <c r="ET49" i="4" s="1"/>
  <c r="EK50" i="4" a="1"/>
  <c r="EK50" i="4" s="1"/>
  <c r="EQ50" i="4" a="1"/>
  <c r="EQ50" i="4" s="1"/>
  <c r="FJ51" i="4" a="1"/>
  <c r="FJ51" i="4" s="1"/>
  <c r="FH51" i="4" a="1"/>
  <c r="FH51" i="4" s="1"/>
  <c r="FF51" i="4" a="1"/>
  <c r="FF51" i="4" s="1"/>
  <c r="FI51" i="4" a="1"/>
  <c r="FI51" i="4" s="1"/>
  <c r="ES51" i="4" a="1"/>
  <c r="ES51" i="4" s="1"/>
  <c r="FK51" i="4" a="1"/>
  <c r="FK51" i="4" s="1"/>
  <c r="EM51" i="4" a="1"/>
  <c r="EM51" i="4" s="1"/>
  <c r="FG51" i="4" a="1"/>
  <c r="FG51" i="4" s="1"/>
  <c r="FE51" i="4" a="1"/>
  <c r="FE51" i="4" s="1"/>
  <c r="FJ53" i="4" a="1"/>
  <c r="FJ53" i="4" s="1"/>
  <c r="FH53" i="4" a="1"/>
  <c r="FH53" i="4" s="1"/>
  <c r="FF53" i="4" a="1"/>
  <c r="FF53" i="4" s="1"/>
  <c r="FI53" i="4" a="1"/>
  <c r="FI53" i="4" s="1"/>
  <c r="ES53" i="4" a="1"/>
  <c r="ES53" i="4" s="1"/>
  <c r="FK53" i="4" a="1"/>
  <c r="FK53" i="4" s="1"/>
  <c r="EM53" i="4" a="1"/>
  <c r="EM53" i="4" s="1"/>
  <c r="FG53" i="4" a="1"/>
  <c r="FG53" i="4" s="1"/>
  <c r="FE53" i="4" a="1"/>
  <c r="FE53" i="4" s="1"/>
  <c r="FJ55" i="4" a="1"/>
  <c r="FJ55" i="4" s="1"/>
  <c r="FH55" i="4" a="1"/>
  <c r="FH55" i="4" s="1"/>
  <c r="FF55" i="4" a="1"/>
  <c r="FF55" i="4" s="1"/>
  <c r="FI55" i="4" a="1"/>
  <c r="FI55" i="4" s="1"/>
  <c r="ES55" i="4" a="1"/>
  <c r="ES55" i="4" s="1"/>
  <c r="FK55" i="4" a="1"/>
  <c r="FK55" i="4" s="1"/>
  <c r="EM55" i="4" a="1"/>
  <c r="EM55" i="4" s="1"/>
  <c r="FG55" i="4" a="1"/>
  <c r="FG55" i="4" s="1"/>
  <c r="FE55" i="4" a="1"/>
  <c r="FE55" i="4" s="1"/>
  <c r="FJ57" i="4" a="1"/>
  <c r="FJ57" i="4" s="1"/>
  <c r="FH57" i="4" a="1"/>
  <c r="FH57" i="4" s="1"/>
  <c r="FF57" i="4" a="1"/>
  <c r="FF57" i="4" s="1"/>
  <c r="FI57" i="4" a="1"/>
  <c r="FI57" i="4" s="1"/>
  <c r="ES57" i="4" a="1"/>
  <c r="ES57" i="4" s="1"/>
  <c r="FK57" i="4" a="1"/>
  <c r="FK57" i="4" s="1"/>
  <c r="EM57" i="4" a="1"/>
  <c r="EM57" i="4" s="1"/>
  <c r="FG57" i="4" a="1"/>
  <c r="FG57" i="4" s="1"/>
  <c r="FE57" i="4" a="1"/>
  <c r="FE57" i="4" s="1"/>
  <c r="FJ59" i="4" a="1"/>
  <c r="FJ59" i="4" s="1"/>
  <c r="FH59" i="4" a="1"/>
  <c r="FH59" i="4" s="1"/>
  <c r="FF59" i="4" a="1"/>
  <c r="FF59" i="4" s="1"/>
  <c r="FI59" i="4" a="1"/>
  <c r="FI59" i="4" s="1"/>
  <c r="ES59" i="4" a="1"/>
  <c r="ES59" i="4" s="1"/>
  <c r="FK59" i="4" a="1"/>
  <c r="FK59" i="4" s="1"/>
  <c r="EM59" i="4" a="1"/>
  <c r="EM59" i="4" s="1"/>
  <c r="FG59" i="4" a="1"/>
  <c r="FG59" i="4" s="1"/>
  <c r="FE59" i="4" a="1"/>
  <c r="FE59" i="4" s="1"/>
  <c r="FJ61" i="4" a="1"/>
  <c r="FJ61" i="4" s="1"/>
  <c r="FH61" i="4" a="1"/>
  <c r="FH61" i="4" s="1"/>
  <c r="FF61" i="4" a="1"/>
  <c r="FF61" i="4" s="1"/>
  <c r="FI61" i="4" a="1"/>
  <c r="FI61" i="4" s="1"/>
  <c r="ES61" i="4" a="1"/>
  <c r="ES61" i="4" s="1"/>
  <c r="FK61" i="4" a="1"/>
  <c r="FK61" i="4" s="1"/>
  <c r="EM61" i="4" a="1"/>
  <c r="EM61" i="4" s="1"/>
  <c r="FG61" i="4" a="1"/>
  <c r="FG61" i="4" s="1"/>
  <c r="FE61" i="4" a="1"/>
  <c r="FE61" i="4" s="1"/>
  <c r="FK62" i="4" a="1"/>
  <c r="FK62" i="4" s="1"/>
  <c r="FI62" i="4" a="1"/>
  <c r="FI62" i="4" s="1"/>
  <c r="FG62" i="4" a="1"/>
  <c r="FG62" i="4" s="1"/>
  <c r="FE62" i="4" a="1"/>
  <c r="FE62" i="4" s="1"/>
  <c r="ES62" i="4" a="1"/>
  <c r="ES62" i="4" s="1"/>
  <c r="EM62" i="4" a="1"/>
  <c r="EM62" i="4" s="1"/>
  <c r="FF62" i="4" a="1"/>
  <c r="FF62" i="4" s="1"/>
  <c r="FJ62" i="4" a="1"/>
  <c r="FJ62" i="4" s="1"/>
  <c r="FH62" i="4" a="1"/>
  <c r="FH62" i="4" s="1"/>
  <c r="FC63" i="4" a="1"/>
  <c r="FC63" i="4" s="1"/>
  <c r="FA63" i="4" a="1"/>
  <c r="FA63" i="4" s="1"/>
  <c r="EY63" i="4" a="1"/>
  <c r="EY63" i="4" s="1"/>
  <c r="EX63" i="4" a="1"/>
  <c r="EX63" i="4" s="1"/>
  <c r="EZ63" i="4" a="1"/>
  <c r="EZ63" i="4" s="1"/>
  <c r="ER63" i="4" a="1"/>
  <c r="ER63" i="4" s="1"/>
  <c r="FD63" i="4" a="1"/>
  <c r="FD63" i="4" s="1"/>
  <c r="EL63" i="4" a="1"/>
  <c r="EL63" i="4" s="1"/>
  <c r="FB63" i="4" a="1"/>
  <c r="FB63" i="4" s="1"/>
  <c r="FC64" i="4" a="1"/>
  <c r="FC64" i="4" s="1"/>
  <c r="FA64" i="4" a="1"/>
  <c r="FA64" i="4" s="1"/>
  <c r="EY64" i="4" a="1"/>
  <c r="EY64" i="4" s="1"/>
  <c r="EX64" i="4" a="1"/>
  <c r="EX64" i="4" s="1"/>
  <c r="EZ64" i="4" a="1"/>
  <c r="EZ64" i="4" s="1"/>
  <c r="ER64" i="4" a="1"/>
  <c r="ER64" i="4" s="1"/>
  <c r="FD64" i="4" a="1"/>
  <c r="FD64" i="4" s="1"/>
  <c r="FB64" i="4" a="1"/>
  <c r="FB64" i="4" s="1"/>
  <c r="EL64" i="4" a="1"/>
  <c r="EL64" i="4" s="1"/>
  <c r="EQ65" i="4" a="1"/>
  <c r="EQ65" i="4" s="1"/>
  <c r="EK65" i="4" a="1"/>
  <c r="EK65" i="4" s="1"/>
  <c r="FQ66" i="4" a="1"/>
  <c r="FQ66" i="4" s="1"/>
  <c r="FO66" i="4" a="1"/>
  <c r="FO66" i="4" s="1"/>
  <c r="FM66" i="4" a="1"/>
  <c r="FM66" i="4" s="1"/>
  <c r="EU66" i="4" a="1"/>
  <c r="EU66" i="4" s="1"/>
  <c r="EO66" i="4" a="1"/>
  <c r="EO66" i="4" s="1"/>
  <c r="FR66" i="4" a="1"/>
  <c r="FR66" i="4" s="1"/>
  <c r="FL66" i="4" a="1"/>
  <c r="FL66" i="4" s="1"/>
  <c r="FP66" i="4" a="1"/>
  <c r="FP66" i="4" s="1"/>
  <c r="FN66" i="4" a="1"/>
  <c r="FN66" i="4" s="1"/>
  <c r="FY70" i="4" a="1"/>
  <c r="FY70" i="4" s="1"/>
  <c r="FW70" i="4" a="1"/>
  <c r="FW70" i="4" s="1"/>
  <c r="FU70" i="4" a="1"/>
  <c r="FU70" i="4" s="1"/>
  <c r="FS70" i="4" a="1"/>
  <c r="FS70" i="4" s="1"/>
  <c r="FX70" i="4" a="1"/>
  <c r="FX70" i="4" s="1"/>
  <c r="FV70" i="4" a="1"/>
  <c r="FV70" i="4" s="1"/>
  <c r="EP70" i="4" a="1"/>
  <c r="EP70" i="4" s="1"/>
  <c r="EV70" i="4" a="1"/>
  <c r="EV70" i="4" s="1"/>
  <c r="FT70" i="4" a="1"/>
  <c r="FT70" i="4" s="1"/>
  <c r="FY71" i="4" a="1"/>
  <c r="FY71" i="4" s="1"/>
  <c r="FW71" i="4" a="1"/>
  <c r="FW71" i="4" s="1"/>
  <c r="FU71" i="4" a="1"/>
  <c r="FU71" i="4" s="1"/>
  <c r="FS71" i="4" a="1"/>
  <c r="FS71" i="4" s="1"/>
  <c r="FX71" i="4" a="1"/>
  <c r="FX71" i="4" s="1"/>
  <c r="FV71" i="4" a="1"/>
  <c r="FV71" i="4" s="1"/>
  <c r="EP71" i="4" a="1"/>
  <c r="EP71" i="4" s="1"/>
  <c r="FT71" i="4" a="1"/>
  <c r="FT71" i="4" s="1"/>
  <c r="EV71" i="4" a="1"/>
  <c r="EV71" i="4" s="1"/>
  <c r="FK81" i="4" a="1"/>
  <c r="FK81" i="4" s="1"/>
  <c r="FI81" i="4" a="1"/>
  <c r="FI81" i="4" s="1"/>
  <c r="FG81" i="4" a="1"/>
  <c r="FG81" i="4" s="1"/>
  <c r="FE81" i="4" a="1"/>
  <c r="FE81" i="4" s="1"/>
  <c r="ES81" i="4" a="1"/>
  <c r="ES81" i="4" s="1"/>
  <c r="EM81" i="4" a="1"/>
  <c r="EM81" i="4" s="1"/>
  <c r="FF81" i="4" a="1"/>
  <c r="FF81" i="4" s="1"/>
  <c r="FJ81" i="4" a="1"/>
  <c r="FJ81" i="4" s="1"/>
  <c r="FH81" i="4" a="1"/>
  <c r="FH81" i="4" s="1"/>
  <c r="FK82" i="4" a="1"/>
  <c r="FK82" i="4" s="1"/>
  <c r="FI82" i="4" a="1"/>
  <c r="FI82" i="4" s="1"/>
  <c r="FG82" i="4" a="1"/>
  <c r="FG82" i="4" s="1"/>
  <c r="FE82" i="4" a="1"/>
  <c r="FE82" i="4" s="1"/>
  <c r="ES82" i="4" a="1"/>
  <c r="ES82" i="4" s="1"/>
  <c r="EM82" i="4" a="1"/>
  <c r="EM82" i="4" s="1"/>
  <c r="FF82" i="4" a="1"/>
  <c r="FF82" i="4" s="1"/>
  <c r="FJ82" i="4" a="1"/>
  <c r="FJ82" i="4" s="1"/>
  <c r="FH82" i="4" a="1"/>
  <c r="FH82" i="4" s="1"/>
  <c r="FK83" i="4" a="1"/>
  <c r="FK83" i="4" s="1"/>
  <c r="FI83" i="4" a="1"/>
  <c r="FI83" i="4" s="1"/>
  <c r="FG83" i="4" a="1"/>
  <c r="FG83" i="4" s="1"/>
  <c r="FE83" i="4" a="1"/>
  <c r="FE83" i="4" s="1"/>
  <c r="ES83" i="4" a="1"/>
  <c r="ES83" i="4" s="1"/>
  <c r="EM83" i="4" a="1"/>
  <c r="EM83" i="4" s="1"/>
  <c r="FF83" i="4" a="1"/>
  <c r="FF83" i="4" s="1"/>
  <c r="FJ83" i="4" a="1"/>
  <c r="FJ83" i="4" s="1"/>
  <c r="FH83" i="4" a="1"/>
  <c r="FH83" i="4" s="1"/>
  <c r="FC84" i="4" a="1"/>
  <c r="FC84" i="4" s="1"/>
  <c r="FA84" i="4" a="1"/>
  <c r="FA84" i="4" s="1"/>
  <c r="EY84" i="4" a="1"/>
  <c r="EY84" i="4" s="1"/>
  <c r="EX84" i="4" a="1"/>
  <c r="EX84" i="4" s="1"/>
  <c r="EZ84" i="4" a="1"/>
  <c r="EZ84" i="4" s="1"/>
  <c r="ER84" i="4" a="1"/>
  <c r="ER84" i="4" s="1"/>
  <c r="FD84" i="4" a="1"/>
  <c r="FD84" i="4" s="1"/>
  <c r="EL84" i="4" a="1"/>
  <c r="EL84" i="4" s="1"/>
  <c r="FB84" i="4" a="1"/>
  <c r="FB84" i="4" s="1"/>
  <c r="FC85" i="4" a="1"/>
  <c r="FC85" i="4" s="1"/>
  <c r="FA85" i="4" a="1"/>
  <c r="FA85" i="4" s="1"/>
  <c r="EY85" i="4" a="1"/>
  <c r="EY85" i="4" s="1"/>
  <c r="EX85" i="4" a="1"/>
  <c r="EX85" i="4" s="1"/>
  <c r="EZ85" i="4" a="1"/>
  <c r="EZ85" i="4" s="1"/>
  <c r="ER85" i="4" a="1"/>
  <c r="ER85" i="4" s="1"/>
  <c r="FD85" i="4" a="1"/>
  <c r="FD85" i="4" s="1"/>
  <c r="EL85" i="4" a="1"/>
  <c r="EL85" i="4" s="1"/>
  <c r="FB85" i="4" a="1"/>
  <c r="FB85" i="4" s="1"/>
  <c r="EQ86" i="4" a="1"/>
  <c r="EQ86" i="4" s="1"/>
  <c r="EK86" i="4" a="1"/>
  <c r="EK86" i="4" s="1"/>
  <c r="FQ87" i="4" a="1"/>
  <c r="FQ87" i="4" s="1"/>
  <c r="FO87" i="4" a="1"/>
  <c r="FO87" i="4" s="1"/>
  <c r="FM87" i="4" a="1"/>
  <c r="FM87" i="4" s="1"/>
  <c r="EU87" i="4" a="1"/>
  <c r="EU87" i="4" s="1"/>
  <c r="EO87" i="4" a="1"/>
  <c r="EO87" i="4" s="1"/>
  <c r="FR87" i="4" a="1"/>
  <c r="FR87" i="4" s="1"/>
  <c r="FL87" i="4" a="1"/>
  <c r="FL87" i="4" s="1"/>
  <c r="FP87" i="4" a="1"/>
  <c r="FP87" i="4" s="1"/>
  <c r="FN87" i="4" a="1"/>
  <c r="FN87" i="4" s="1"/>
  <c r="FY90" i="4" a="1"/>
  <c r="FY90" i="4" s="1"/>
  <c r="FW90" i="4" a="1"/>
  <c r="FW90" i="4" s="1"/>
  <c r="FU90" i="4" a="1"/>
  <c r="FU90" i="4" s="1"/>
  <c r="FS90" i="4" a="1"/>
  <c r="FS90" i="4" s="1"/>
  <c r="FX90" i="4" a="1"/>
  <c r="FX90" i="4" s="1"/>
  <c r="FV90" i="4" a="1"/>
  <c r="FV90" i="4" s="1"/>
  <c r="EP90" i="4" a="1"/>
  <c r="EP90" i="4" s="1"/>
  <c r="FT90" i="4" a="1"/>
  <c r="FT90" i="4" s="1"/>
  <c r="EV90" i="4" a="1"/>
  <c r="EV90" i="4" s="1"/>
  <c r="FK97" i="4" a="1"/>
  <c r="FK97" i="4" s="1"/>
  <c r="FI97" i="4" a="1"/>
  <c r="FI97" i="4" s="1"/>
  <c r="FG97" i="4" a="1"/>
  <c r="FG97" i="4" s="1"/>
  <c r="FE97" i="4" a="1"/>
  <c r="FE97" i="4" s="1"/>
  <c r="ES97" i="4" a="1"/>
  <c r="ES97" i="4" s="1"/>
  <c r="EM97" i="4" a="1"/>
  <c r="EM97" i="4" s="1"/>
  <c r="FF97" i="4" a="1"/>
  <c r="FF97" i="4" s="1"/>
  <c r="FJ97" i="4" a="1"/>
  <c r="FJ97" i="4" s="1"/>
  <c r="FH97" i="4" a="1"/>
  <c r="FH97" i="4" s="1"/>
  <c r="FK98" i="4" a="1"/>
  <c r="FK98" i="4" s="1"/>
  <c r="FI98" i="4" a="1"/>
  <c r="FI98" i="4" s="1"/>
  <c r="FG98" i="4" a="1"/>
  <c r="FG98" i="4" s="1"/>
  <c r="FE98" i="4" a="1"/>
  <c r="FE98" i="4" s="1"/>
  <c r="ES98" i="4" a="1"/>
  <c r="ES98" i="4" s="1"/>
  <c r="EM98" i="4" a="1"/>
  <c r="EM98" i="4" s="1"/>
  <c r="FF98" i="4" a="1"/>
  <c r="FF98" i="4" s="1"/>
  <c r="FJ98" i="4" a="1"/>
  <c r="FJ98" i="4" s="1"/>
  <c r="FH98" i="4" a="1"/>
  <c r="FH98" i="4" s="1"/>
  <c r="FC99" i="4" a="1"/>
  <c r="FC99" i="4" s="1"/>
  <c r="FA99" i="4" a="1"/>
  <c r="FA99" i="4" s="1"/>
  <c r="EY99" i="4" a="1"/>
  <c r="EY99" i="4" s="1"/>
  <c r="EX99" i="4" a="1"/>
  <c r="EX99" i="4" s="1"/>
  <c r="EZ99" i="4" a="1"/>
  <c r="EZ99" i="4" s="1"/>
  <c r="ER99" i="4" a="1"/>
  <c r="ER99" i="4" s="1"/>
  <c r="FD99" i="4" a="1"/>
  <c r="FD99" i="4" s="1"/>
  <c r="FB99" i="4" a="1"/>
  <c r="FB99" i="4" s="1"/>
  <c r="EL99" i="4" a="1"/>
  <c r="EL99" i="4" s="1"/>
  <c r="EQ100" i="4" a="1"/>
  <c r="EQ100" i="4" s="1"/>
  <c r="EK100" i="4" a="1"/>
  <c r="EK100" i="4" s="1"/>
  <c r="FQ101" i="4" a="1"/>
  <c r="FQ101" i="4" s="1"/>
  <c r="FO101" i="4" a="1"/>
  <c r="FO101" i="4" s="1"/>
  <c r="FM101" i="4" a="1"/>
  <c r="FM101" i="4" s="1"/>
  <c r="EU101" i="4" a="1"/>
  <c r="EU101" i="4" s="1"/>
  <c r="EO101" i="4" a="1"/>
  <c r="EO101" i="4" s="1"/>
  <c r="FR101" i="4" a="1"/>
  <c r="FR101" i="4" s="1"/>
  <c r="FL101" i="4" a="1"/>
  <c r="FL101" i="4" s="1"/>
  <c r="FP101" i="4" a="1"/>
  <c r="FP101" i="4" s="1"/>
  <c r="FN101" i="4" a="1"/>
  <c r="FN101" i="4" s="1"/>
  <c r="FY104" i="4" a="1"/>
  <c r="FY104" i="4" s="1"/>
  <c r="FW104" i="4" a="1"/>
  <c r="FW104" i="4" s="1"/>
  <c r="FU104" i="4" a="1"/>
  <c r="FU104" i="4" s="1"/>
  <c r="FS104" i="4" a="1"/>
  <c r="FS104" i="4" s="1"/>
  <c r="FX104" i="4" a="1"/>
  <c r="FX104" i="4" s="1"/>
  <c r="FV104" i="4" a="1"/>
  <c r="FV104" i="4" s="1"/>
  <c r="EP104" i="4" a="1"/>
  <c r="EP104" i="4" s="1"/>
  <c r="EV104" i="4" a="1"/>
  <c r="EV104" i="4" s="1"/>
  <c r="FT104" i="4" a="1"/>
  <c r="FT104" i="4" s="1"/>
  <c r="FK112" i="4" a="1"/>
  <c r="FK112" i="4" s="1"/>
  <c r="FI112" i="4" a="1"/>
  <c r="FI112" i="4" s="1"/>
  <c r="FG112" i="4" a="1"/>
  <c r="FG112" i="4" s="1"/>
  <c r="FE112" i="4" a="1"/>
  <c r="FE112" i="4" s="1"/>
  <c r="ES112" i="4" a="1"/>
  <c r="ES112" i="4" s="1"/>
  <c r="EM112" i="4" a="1"/>
  <c r="EM112" i="4" s="1"/>
  <c r="FF112" i="4" a="1"/>
  <c r="FF112" i="4" s="1"/>
  <c r="FJ112" i="4" a="1"/>
  <c r="FJ112" i="4" s="1"/>
  <c r="FH112" i="4" a="1"/>
  <c r="FH112" i="4" s="1"/>
  <c r="FC113" i="4" a="1"/>
  <c r="FC113" i="4" s="1"/>
  <c r="FA113" i="4" a="1"/>
  <c r="FA113" i="4" s="1"/>
  <c r="EY113" i="4" a="1"/>
  <c r="EY113" i="4" s="1"/>
  <c r="EX113" i="4" a="1"/>
  <c r="EX113" i="4" s="1"/>
  <c r="EZ113" i="4" a="1"/>
  <c r="EZ113" i="4" s="1"/>
  <c r="ER113" i="4" a="1"/>
  <c r="ER113" i="4" s="1"/>
  <c r="FD113" i="4" a="1"/>
  <c r="FD113" i="4" s="1"/>
  <c r="FB113" i="4" a="1"/>
  <c r="FB113" i="4" s="1"/>
  <c r="EL113" i="4" a="1"/>
  <c r="EL113" i="4" s="1"/>
  <c r="EQ114" i="4" a="1"/>
  <c r="EQ114" i="4" s="1"/>
  <c r="EK114" i="4" a="1"/>
  <c r="EK114" i="4" s="1"/>
  <c r="FQ115" i="4" a="1"/>
  <c r="FQ115" i="4" s="1"/>
  <c r="FO115" i="4" a="1"/>
  <c r="FO115" i="4" s="1"/>
  <c r="FM115" i="4" a="1"/>
  <c r="FM115" i="4" s="1"/>
  <c r="EU115" i="4" a="1"/>
  <c r="EU115" i="4" s="1"/>
  <c r="EO115" i="4" a="1"/>
  <c r="EO115" i="4" s="1"/>
  <c r="FR115" i="4" a="1"/>
  <c r="FR115" i="4" s="1"/>
  <c r="FL115" i="4" a="1"/>
  <c r="FL115" i="4" s="1"/>
  <c r="FP115" i="4" a="1"/>
  <c r="FP115" i="4" s="1"/>
  <c r="FN115" i="4" a="1"/>
  <c r="FN115" i="4" s="1"/>
  <c r="FK124" i="4" a="1"/>
  <c r="FK124" i="4" s="1"/>
  <c r="FI124" i="4" a="1"/>
  <c r="FI124" i="4" s="1"/>
  <c r="FG124" i="4" a="1"/>
  <c r="FG124" i="4" s="1"/>
  <c r="FE124" i="4" a="1"/>
  <c r="FE124" i="4" s="1"/>
  <c r="ES124" i="4" a="1"/>
  <c r="ES124" i="4" s="1"/>
  <c r="EM124" i="4" a="1"/>
  <c r="EM124" i="4" s="1"/>
  <c r="FF124" i="4" a="1"/>
  <c r="FF124" i="4" s="1"/>
  <c r="FJ124" i="4" a="1"/>
  <c r="FJ124" i="4" s="1"/>
  <c r="FH124" i="4" a="1"/>
  <c r="FH124" i="4" s="1"/>
  <c r="FK125" i="4" a="1"/>
  <c r="FK125" i="4" s="1"/>
  <c r="FI125" i="4" a="1"/>
  <c r="FI125" i="4" s="1"/>
  <c r="FG125" i="4" a="1"/>
  <c r="FG125" i="4" s="1"/>
  <c r="FE125" i="4" a="1"/>
  <c r="FE125" i="4" s="1"/>
  <c r="ES125" i="4" a="1"/>
  <c r="ES125" i="4" s="1"/>
  <c r="EM125" i="4" a="1"/>
  <c r="EM125" i="4" s="1"/>
  <c r="FF125" i="4" a="1"/>
  <c r="FF125" i="4" s="1"/>
  <c r="FJ125" i="4" a="1"/>
  <c r="FJ125" i="4" s="1"/>
  <c r="FH125" i="4" a="1"/>
  <c r="FH125" i="4" s="1"/>
  <c r="FC126" i="4" a="1"/>
  <c r="FC126" i="4" s="1"/>
  <c r="FA126" i="4" a="1"/>
  <c r="FA126" i="4" s="1"/>
  <c r="EY126" i="4" a="1"/>
  <c r="EY126" i="4" s="1"/>
  <c r="EX126" i="4" a="1"/>
  <c r="EX126" i="4" s="1"/>
  <c r="EZ126" i="4" a="1"/>
  <c r="EZ126" i="4" s="1"/>
  <c r="ER126" i="4" a="1"/>
  <c r="ER126" i="4" s="1"/>
  <c r="FD126" i="4" a="1"/>
  <c r="FD126" i="4" s="1"/>
  <c r="EL126" i="4" a="1"/>
  <c r="EL126" i="4" s="1"/>
  <c r="FB126" i="4" a="1"/>
  <c r="FB126" i="4" s="1"/>
  <c r="FC127" i="4" a="1"/>
  <c r="FC127" i="4" s="1"/>
  <c r="FA127" i="4" a="1"/>
  <c r="FA127" i="4" s="1"/>
  <c r="EY127" i="4" a="1"/>
  <c r="EY127" i="4" s="1"/>
  <c r="EX127" i="4" a="1"/>
  <c r="EX127" i="4" s="1"/>
  <c r="EZ127" i="4" a="1"/>
  <c r="EZ127" i="4" s="1"/>
  <c r="ER127" i="4" a="1"/>
  <c r="ER127" i="4" s="1"/>
  <c r="FD127" i="4" a="1"/>
  <c r="FD127" i="4" s="1"/>
  <c r="FB127" i="4" a="1"/>
  <c r="FB127" i="4" s="1"/>
  <c r="EL127" i="4" a="1"/>
  <c r="EL127" i="4" s="1"/>
  <c r="FC128" i="4" a="1"/>
  <c r="FC128" i="4" s="1"/>
  <c r="FA128" i="4" a="1"/>
  <c r="FA128" i="4" s="1"/>
  <c r="EY128" i="4" a="1"/>
  <c r="EY128" i="4" s="1"/>
  <c r="EX128" i="4" a="1"/>
  <c r="EX128" i="4" s="1"/>
  <c r="EZ128" i="4" a="1"/>
  <c r="EZ128" i="4" s="1"/>
  <c r="ER128" i="4" a="1"/>
  <c r="ER128" i="4" s="1"/>
  <c r="FD128" i="4" a="1"/>
  <c r="FD128" i="4" s="1"/>
  <c r="EL128" i="4" a="1"/>
  <c r="EL128" i="4" s="1"/>
  <c r="FB128" i="4" a="1"/>
  <c r="FB128" i="4" s="1"/>
  <c r="EQ129" i="4" a="1"/>
  <c r="EQ129" i="4" s="1"/>
  <c r="EK129" i="4" a="1"/>
  <c r="EK129" i="4" s="1"/>
  <c r="FQ130" i="4" a="1"/>
  <c r="FQ130" i="4" s="1"/>
  <c r="FO130" i="4" a="1"/>
  <c r="FO130" i="4" s="1"/>
  <c r="FM130" i="4" a="1"/>
  <c r="FM130" i="4" s="1"/>
  <c r="EU130" i="4" a="1"/>
  <c r="EU130" i="4" s="1"/>
  <c r="EO130" i="4" a="1"/>
  <c r="EO130" i="4" s="1"/>
  <c r="FR130" i="4" a="1"/>
  <c r="FR130" i="4" s="1"/>
  <c r="FL130" i="4" a="1"/>
  <c r="FL130" i="4" s="1"/>
  <c r="FP130" i="4" a="1"/>
  <c r="FP130" i="4" s="1"/>
  <c r="FN130" i="4" a="1"/>
  <c r="FN130" i="4" s="1"/>
  <c r="FY135" i="4" a="1"/>
  <c r="FY135" i="4" s="1"/>
  <c r="FW135" i="4" a="1"/>
  <c r="FW135" i="4" s="1"/>
  <c r="FU135" i="4" a="1"/>
  <c r="FU135" i="4" s="1"/>
  <c r="FS135" i="4" a="1"/>
  <c r="FS135" i="4" s="1"/>
  <c r="FX135" i="4" a="1"/>
  <c r="FX135" i="4" s="1"/>
  <c r="FV135" i="4" a="1"/>
  <c r="FV135" i="4" s="1"/>
  <c r="EP135" i="4" a="1"/>
  <c r="EP135" i="4" s="1"/>
  <c r="FT135" i="4" a="1"/>
  <c r="FT135" i="4" s="1"/>
  <c r="EV135" i="4" a="1"/>
  <c r="EV135" i="4" s="1"/>
  <c r="FQ142" i="4" a="1"/>
  <c r="FQ142" i="4" s="1"/>
  <c r="FO142" i="4" a="1"/>
  <c r="FO142" i="4" s="1"/>
  <c r="FM142" i="4" a="1"/>
  <c r="FM142" i="4" s="1"/>
  <c r="EU142" i="4" a="1"/>
  <c r="EU142" i="4" s="1"/>
  <c r="EO142" i="4" a="1"/>
  <c r="EO142" i="4" s="1"/>
  <c r="FR142" i="4" a="1"/>
  <c r="FR142" i="4" s="1"/>
  <c r="FL142" i="4" a="1"/>
  <c r="FL142" i="4" s="1"/>
  <c r="FP142" i="4" a="1"/>
  <c r="FP142" i="4" s="1"/>
  <c r="FN142" i="4" a="1"/>
  <c r="FN142" i="4" s="1"/>
  <c r="FY145" i="4" a="1"/>
  <c r="FY145" i="4" s="1"/>
  <c r="FW145" i="4" a="1"/>
  <c r="FW145" i="4" s="1"/>
  <c r="FU145" i="4" a="1"/>
  <c r="FU145" i="4" s="1"/>
  <c r="FS145" i="4" a="1"/>
  <c r="FS145" i="4" s="1"/>
  <c r="FX145" i="4" a="1"/>
  <c r="FX145" i="4" s="1"/>
  <c r="FV145" i="4" a="1"/>
  <c r="FV145" i="4" s="1"/>
  <c r="EP145" i="4" a="1"/>
  <c r="EP145" i="4" s="1"/>
  <c r="FT145" i="4" a="1"/>
  <c r="FT145" i="4" s="1"/>
  <c r="EV145" i="4" a="1"/>
  <c r="EV145" i="4" s="1"/>
  <c r="FK152" i="4" a="1"/>
  <c r="FK152" i="4" s="1"/>
  <c r="FI152" i="4" a="1"/>
  <c r="FI152" i="4" s="1"/>
  <c r="FG152" i="4" a="1"/>
  <c r="FG152" i="4" s="1"/>
  <c r="FE152" i="4" a="1"/>
  <c r="FE152" i="4" s="1"/>
  <c r="ES152" i="4" a="1"/>
  <c r="ES152" i="4" s="1"/>
  <c r="EM152" i="4" a="1"/>
  <c r="EM152" i="4" s="1"/>
  <c r="FF152" i="4" a="1"/>
  <c r="FF152" i="4" s="1"/>
  <c r="FJ152" i="4" a="1"/>
  <c r="FJ152" i="4" s="1"/>
  <c r="FH152" i="4" a="1"/>
  <c r="FH152" i="4" s="1"/>
  <c r="FC153" i="4" a="1"/>
  <c r="FC153" i="4" s="1"/>
  <c r="FA153" i="4" a="1"/>
  <c r="FA153" i="4" s="1"/>
  <c r="EY153" i="4" a="1"/>
  <c r="EY153" i="4" s="1"/>
  <c r="EX153" i="4" a="1"/>
  <c r="EX153" i="4" s="1"/>
  <c r="EZ153" i="4" a="1"/>
  <c r="EZ153" i="4" s="1"/>
  <c r="ER153" i="4" a="1"/>
  <c r="ER153" i="4" s="1"/>
  <c r="FD153" i="4" a="1"/>
  <c r="FD153" i="4" s="1"/>
  <c r="FB153" i="4" a="1"/>
  <c r="FB153" i="4" s="1"/>
  <c r="EL153" i="4" a="1"/>
  <c r="EL153" i="4" s="1"/>
  <c r="EQ154" i="4" a="1"/>
  <c r="EQ154" i="4" s="1"/>
  <c r="EK154" i="4" a="1"/>
  <c r="EK154" i="4" s="1"/>
  <c r="EQ155" i="4" a="1"/>
  <c r="EQ155" i="4" s="1"/>
  <c r="EK155" i="4" a="1"/>
  <c r="EK155" i="4" s="1"/>
  <c r="FQ156" i="4" a="1"/>
  <c r="FQ156" i="4" s="1"/>
  <c r="FO156" i="4" a="1"/>
  <c r="FO156" i="4" s="1"/>
  <c r="FM156" i="4" a="1"/>
  <c r="FM156" i="4" s="1"/>
  <c r="EU156" i="4" a="1"/>
  <c r="EU156" i="4" s="1"/>
  <c r="EO156" i="4" a="1"/>
  <c r="EO156" i="4" s="1"/>
  <c r="FR156" i="4" a="1"/>
  <c r="FR156" i="4" s="1"/>
  <c r="FL156" i="4" a="1"/>
  <c r="FL156" i="4" s="1"/>
  <c r="FP156" i="4" a="1"/>
  <c r="FP156" i="4" s="1"/>
  <c r="FN156" i="4" a="1"/>
  <c r="FN156" i="4" s="1"/>
  <c r="FY159" i="4" a="1"/>
  <c r="FY159" i="4" s="1"/>
  <c r="FW159" i="4" a="1"/>
  <c r="FW159" i="4" s="1"/>
  <c r="FU159" i="4" a="1"/>
  <c r="FU159" i="4" s="1"/>
  <c r="FS159" i="4" a="1"/>
  <c r="FS159" i="4" s="1"/>
  <c r="FX159" i="4" a="1"/>
  <c r="FX159" i="4" s="1"/>
  <c r="FV159" i="4" a="1"/>
  <c r="FV159" i="4" s="1"/>
  <c r="EP159" i="4" a="1"/>
  <c r="EP159" i="4" s="1"/>
  <c r="FT159" i="4" a="1"/>
  <c r="FT159" i="4" s="1"/>
  <c r="EV159" i="4" a="1"/>
  <c r="EV159" i="4" s="1"/>
  <c r="FQ167" i="4" a="1"/>
  <c r="FQ167" i="4" s="1"/>
  <c r="FO167" i="4" a="1"/>
  <c r="FO167" i="4" s="1"/>
  <c r="FM167" i="4" a="1"/>
  <c r="FM167" i="4" s="1"/>
  <c r="EU167" i="4" a="1"/>
  <c r="EU167" i="4" s="1"/>
  <c r="EO167" i="4" a="1"/>
  <c r="EO167" i="4" s="1"/>
  <c r="FR167" i="4" a="1"/>
  <c r="FR167" i="4" s="1"/>
  <c r="FL167" i="4" a="1"/>
  <c r="FL167" i="4" s="1"/>
  <c r="FP167" i="4" a="1"/>
  <c r="FP167" i="4" s="1"/>
  <c r="FN167" i="4" a="1"/>
  <c r="FN167" i="4" s="1"/>
  <c r="FY170" i="4" a="1"/>
  <c r="FY170" i="4" s="1"/>
  <c r="FW170" i="4" a="1"/>
  <c r="FW170" i="4" s="1"/>
  <c r="FU170" i="4" a="1"/>
  <c r="FU170" i="4" s="1"/>
  <c r="FS170" i="4" a="1"/>
  <c r="FS170" i="4" s="1"/>
  <c r="FX170" i="4" a="1"/>
  <c r="FX170" i="4" s="1"/>
  <c r="FV170" i="4" a="1"/>
  <c r="FV170" i="4" s="1"/>
  <c r="EP170" i="4" a="1"/>
  <c r="EP170" i="4" s="1"/>
  <c r="EV170" i="4" a="1"/>
  <c r="EV170" i="4" s="1"/>
  <c r="FT170" i="4" a="1"/>
  <c r="FT170" i="4" s="1"/>
  <c r="FK180" i="4" a="1"/>
  <c r="FK180" i="4" s="1"/>
  <c r="FI180" i="4" a="1"/>
  <c r="FI180" i="4" s="1"/>
  <c r="FG180" i="4" a="1"/>
  <c r="FG180" i="4" s="1"/>
  <c r="FE180" i="4" a="1"/>
  <c r="FE180" i="4" s="1"/>
  <c r="ES180" i="4" a="1"/>
  <c r="ES180" i="4" s="1"/>
  <c r="EM180" i="4" a="1"/>
  <c r="EM180" i="4" s="1"/>
  <c r="FF180" i="4" a="1"/>
  <c r="FF180" i="4" s="1"/>
  <c r="FJ180" i="4" a="1"/>
  <c r="FJ180" i="4" s="1"/>
  <c r="FH180" i="4" a="1"/>
  <c r="FH180" i="4" s="1"/>
  <c r="FC181" i="4" a="1"/>
  <c r="FC181" i="4" s="1"/>
  <c r="FA181" i="4" a="1"/>
  <c r="FA181" i="4" s="1"/>
  <c r="EY181" i="4" a="1"/>
  <c r="EY181" i="4" s="1"/>
  <c r="EX181" i="4" a="1"/>
  <c r="EX181" i="4" s="1"/>
  <c r="EZ181" i="4" a="1"/>
  <c r="EZ181" i="4" s="1"/>
  <c r="ER181" i="4" a="1"/>
  <c r="ER181" i="4" s="1"/>
  <c r="FD181" i="4" a="1"/>
  <c r="FD181" i="4" s="1"/>
  <c r="EL181" i="4" a="1"/>
  <c r="EL181" i="4" s="1"/>
  <c r="FB181" i="4" a="1"/>
  <c r="FB181" i="4" s="1"/>
  <c r="FQ182" i="4" a="1"/>
  <c r="FQ182" i="4" s="1"/>
  <c r="FO182" i="4" a="1"/>
  <c r="FO182" i="4" s="1"/>
  <c r="FM182" i="4" a="1"/>
  <c r="FM182" i="4" s="1"/>
  <c r="EU182" i="4" a="1"/>
  <c r="EU182" i="4" s="1"/>
  <c r="EO182" i="4" a="1"/>
  <c r="EO182" i="4" s="1"/>
  <c r="FR182" i="4" a="1"/>
  <c r="FR182" i="4" s="1"/>
  <c r="FL182" i="4" a="1"/>
  <c r="FL182" i="4" s="1"/>
  <c r="FP182" i="4" a="1"/>
  <c r="FP182" i="4" s="1"/>
  <c r="FN182" i="4" a="1"/>
  <c r="FN182" i="4" s="1"/>
  <c r="FY185" i="4" a="1"/>
  <c r="FY185" i="4" s="1"/>
  <c r="FW185" i="4" a="1"/>
  <c r="FW185" i="4" s="1"/>
  <c r="FU185" i="4" a="1"/>
  <c r="FU185" i="4" s="1"/>
  <c r="FS185" i="4" a="1"/>
  <c r="FS185" i="4" s="1"/>
  <c r="FX185" i="4" a="1"/>
  <c r="FX185" i="4" s="1"/>
  <c r="FV185" i="4" a="1"/>
  <c r="FV185" i="4" s="1"/>
  <c r="EP185" i="4" a="1"/>
  <c r="EP185" i="4" s="1"/>
  <c r="FT185" i="4" a="1"/>
  <c r="FT185" i="4" s="1"/>
  <c r="EV185" i="4" a="1"/>
  <c r="EV185" i="4" s="1"/>
  <c r="EQ49" i="4" a="1"/>
  <c r="EQ49" i="4" s="1"/>
  <c r="EK49" i="4" a="1"/>
  <c r="EK49" i="4" s="1"/>
  <c r="FY25" i="4" a="1"/>
  <c r="FY25" i="4" s="1"/>
  <c r="FT25" i="4" a="1"/>
  <c r="FT25" i="4" s="1"/>
  <c r="EV25" i="4" a="1"/>
  <c r="EV25" i="4" s="1"/>
  <c r="FV25" i="4" a="1"/>
  <c r="FV25" i="4" s="1"/>
  <c r="FS25" i="4" a="1"/>
  <c r="FS25" i="4" s="1"/>
  <c r="EP25" i="4" a="1"/>
  <c r="EP25" i="4" s="1"/>
  <c r="FW25" i="4" a="1"/>
  <c r="FW25" i="4" s="1"/>
  <c r="FX25" i="4" a="1"/>
  <c r="FX25" i="4" s="1"/>
  <c r="FU25" i="4" a="1"/>
  <c r="FU25" i="4" s="1"/>
  <c r="FH26" i="4" a="1"/>
  <c r="FH26" i="4" s="1"/>
  <c r="FE26" i="4" a="1"/>
  <c r="FE26" i="4" s="1"/>
  <c r="FJ26" i="4" a="1"/>
  <c r="FJ26" i="4" s="1"/>
  <c r="FG26" i="4" a="1"/>
  <c r="FG26" i="4" s="1"/>
  <c r="FK26" i="4" a="1"/>
  <c r="FK26" i="4" s="1"/>
  <c r="FF26" i="4" a="1"/>
  <c r="FF26" i="4" s="1"/>
  <c r="EM26" i="4" a="1"/>
  <c r="EM26" i="4" s="1"/>
  <c r="ES26" i="4" a="1"/>
  <c r="ES26" i="4" s="1"/>
  <c r="FI26" i="4" a="1"/>
  <c r="FI26" i="4" s="1"/>
  <c r="FQ30" i="4" a="1"/>
  <c r="FQ30" i="4" s="1"/>
  <c r="FN30" i="4" a="1"/>
  <c r="FN30" i="4" s="1"/>
  <c r="FP30" i="4" a="1"/>
  <c r="FP30" i="4" s="1"/>
  <c r="EU30" i="4" a="1"/>
  <c r="EU30" i="4" s="1"/>
  <c r="FO30" i="4" a="1"/>
  <c r="FO30" i="4" s="1"/>
  <c r="FL30" i="4" a="1"/>
  <c r="FL30" i="4" s="1"/>
  <c r="FM30" i="4" a="1"/>
  <c r="FM30" i="4" s="1"/>
  <c r="FR30" i="4" a="1"/>
  <c r="FR30" i="4" s="1"/>
  <c r="EO30" i="4" a="1"/>
  <c r="EO30" i="4" s="1"/>
  <c r="ET46" i="4" a="1"/>
  <c r="ET46" i="4" s="1"/>
  <c r="EN46" i="4" a="1"/>
  <c r="EN46" i="4" s="1"/>
  <c r="FY75" i="4" a="1"/>
  <c r="FY75" i="4" s="1"/>
  <c r="FW75" i="4" a="1"/>
  <c r="FW75" i="4" s="1"/>
  <c r="FU75" i="4" a="1"/>
  <c r="FU75" i="4" s="1"/>
  <c r="FS75" i="4" a="1"/>
  <c r="FS75" i="4" s="1"/>
  <c r="FT75" i="4" a="1"/>
  <c r="FT75" i="4" s="1"/>
  <c r="EV75" i="4" a="1"/>
  <c r="EV75" i="4" s="1"/>
  <c r="FV75" i="4" a="1"/>
  <c r="FV75" i="4" s="1"/>
  <c r="EP75" i="4" a="1"/>
  <c r="EP75" i="4" s="1"/>
  <c r="FX75" i="4" a="1"/>
  <c r="FX75" i="4" s="1"/>
  <c r="EW80" i="4" a="1"/>
  <c r="EW80" i="4" s="1"/>
  <c r="FY88" i="4" a="1"/>
  <c r="FY88" i="4" s="1"/>
  <c r="FW88" i="4" a="1"/>
  <c r="FW88" i="4" s="1"/>
  <c r="FU88" i="4" a="1"/>
  <c r="FU88" i="4" s="1"/>
  <c r="FS88" i="4" a="1"/>
  <c r="FS88" i="4" s="1"/>
  <c r="FT88" i="4" a="1"/>
  <c r="FT88" i="4" s="1"/>
  <c r="EV88" i="4" a="1"/>
  <c r="EV88" i="4" s="1"/>
  <c r="FV88" i="4" a="1"/>
  <c r="FV88" i="4" s="1"/>
  <c r="EP88" i="4" a="1"/>
  <c r="EP88" i="4" s="1"/>
  <c r="FX88" i="4" a="1"/>
  <c r="FX88" i="4" s="1"/>
  <c r="EQ97" i="4" a="1"/>
  <c r="EQ97" i="4" s="1"/>
  <c r="EK97" i="4" a="1"/>
  <c r="EK97" i="4" s="1"/>
  <c r="EW101" i="4" a="1"/>
  <c r="EW101" i="4" s="1"/>
  <c r="FQ113" i="4" a="1"/>
  <c r="FQ113" i="4" s="1"/>
  <c r="FO113" i="4" a="1"/>
  <c r="FO113" i="4" s="1"/>
  <c r="FM113" i="4" a="1"/>
  <c r="FM113" i="4" s="1"/>
  <c r="EU113" i="4" a="1"/>
  <c r="EU113" i="4" s="1"/>
  <c r="EO113" i="4" a="1"/>
  <c r="EO113" i="4" s="1"/>
  <c r="FN113" i="4" a="1"/>
  <c r="FN113" i="4" s="1"/>
  <c r="FP113" i="4" a="1"/>
  <c r="FP113" i="4" s="1"/>
  <c r="FL113" i="4" a="1"/>
  <c r="FL113" i="4" s="1"/>
  <c r="FR113" i="4" a="1"/>
  <c r="FR113" i="4" s="1"/>
  <c r="FY117" i="4" a="1"/>
  <c r="FY117" i="4" s="1"/>
  <c r="FW117" i="4" a="1"/>
  <c r="FW117" i="4" s="1"/>
  <c r="FU117" i="4" a="1"/>
  <c r="FU117" i="4" s="1"/>
  <c r="FS117" i="4" a="1"/>
  <c r="FS117" i="4" s="1"/>
  <c r="FT117" i="4" a="1"/>
  <c r="FT117" i="4" s="1"/>
  <c r="EV117" i="4" a="1"/>
  <c r="EV117" i="4" s="1"/>
  <c r="FV117" i="4" a="1"/>
  <c r="FV117" i="4" s="1"/>
  <c r="EP117" i="4" a="1"/>
  <c r="EP117" i="4" s="1"/>
  <c r="FX117" i="4" a="1"/>
  <c r="FX117" i="4" s="1"/>
  <c r="FC122" i="4" a="1"/>
  <c r="FC122" i="4" s="1"/>
  <c r="FA122" i="4" a="1"/>
  <c r="FA122" i="4" s="1"/>
  <c r="EY122" i="4" a="1"/>
  <c r="EY122" i="4" s="1"/>
  <c r="FB122" i="4" a="1"/>
  <c r="FB122" i="4" s="1"/>
  <c r="EL122" i="4" a="1"/>
  <c r="EL122" i="4" s="1"/>
  <c r="FD122" i="4" a="1"/>
  <c r="FD122" i="4" s="1"/>
  <c r="EZ122" i="4" a="1"/>
  <c r="EZ122" i="4" s="1"/>
  <c r="ER122" i="4" a="1"/>
  <c r="ER122" i="4" s="1"/>
  <c r="EX122" i="4" a="1"/>
  <c r="EX122" i="4" s="1"/>
  <c r="EW140" i="4" a="1"/>
  <c r="EW140" i="4" s="1"/>
  <c r="FQ144" i="4" a="1"/>
  <c r="FQ144" i="4" s="1"/>
  <c r="FO144" i="4" a="1"/>
  <c r="FO144" i="4" s="1"/>
  <c r="FM144" i="4" a="1"/>
  <c r="FM144" i="4" s="1"/>
  <c r="EU144" i="4" a="1"/>
  <c r="EU144" i="4" s="1"/>
  <c r="EO144" i="4" a="1"/>
  <c r="EO144" i="4" s="1"/>
  <c r="FN144" i="4" a="1"/>
  <c r="FN144" i="4" s="1"/>
  <c r="FP144" i="4" a="1"/>
  <c r="FP144" i="4" s="1"/>
  <c r="FL144" i="4" a="1"/>
  <c r="FL144" i="4" s="1"/>
  <c r="FR144" i="4" a="1"/>
  <c r="FR144" i="4" s="1"/>
  <c r="FY148" i="4" a="1"/>
  <c r="FY148" i="4" s="1"/>
  <c r="FW148" i="4" a="1"/>
  <c r="FW148" i="4" s="1"/>
  <c r="FU148" i="4" a="1"/>
  <c r="FU148" i="4" s="1"/>
  <c r="FS148" i="4" a="1"/>
  <c r="FS148" i="4" s="1"/>
  <c r="FT148" i="4" a="1"/>
  <c r="FT148" i="4" s="1"/>
  <c r="EV148" i="4" a="1"/>
  <c r="EV148" i="4" s="1"/>
  <c r="FV148" i="4" a="1"/>
  <c r="FV148" i="4" s="1"/>
  <c r="EP148" i="4" a="1"/>
  <c r="EP148" i="4" s="1"/>
  <c r="FX148" i="4" a="1"/>
  <c r="FX148" i="4" s="1"/>
  <c r="FQ153" i="4" a="1"/>
  <c r="FQ153" i="4" s="1"/>
  <c r="FO153" i="4" a="1"/>
  <c r="FO153" i="4" s="1"/>
  <c r="FM153" i="4" a="1"/>
  <c r="FM153" i="4" s="1"/>
  <c r="EU153" i="4" a="1"/>
  <c r="EU153" i="4" s="1"/>
  <c r="EO153" i="4" a="1"/>
  <c r="EO153" i="4" s="1"/>
  <c r="FN153" i="4" a="1"/>
  <c r="FN153" i="4" s="1"/>
  <c r="FP153" i="4" a="1"/>
  <c r="FP153" i="4" s="1"/>
  <c r="FL153" i="4" a="1"/>
  <c r="FL153" i="4" s="1"/>
  <c r="FR153" i="4" a="1"/>
  <c r="FR153" i="4" s="1"/>
  <c r="FY157" i="4" a="1"/>
  <c r="FY157" i="4" s="1"/>
  <c r="FW157" i="4" a="1"/>
  <c r="FW157" i="4" s="1"/>
  <c r="FU157" i="4" a="1"/>
  <c r="FU157" i="4" s="1"/>
  <c r="FS157" i="4" a="1"/>
  <c r="FS157" i="4" s="1"/>
  <c r="FT157" i="4" a="1"/>
  <c r="FT157" i="4" s="1"/>
  <c r="EV157" i="4" a="1"/>
  <c r="EV157" i="4" s="1"/>
  <c r="FV157" i="4" a="1"/>
  <c r="FV157" i="4" s="1"/>
  <c r="EP157" i="4" a="1"/>
  <c r="EP157" i="4" s="1"/>
  <c r="FX157" i="4" a="1"/>
  <c r="FX157" i="4" s="1"/>
  <c r="EQ162" i="4" a="1"/>
  <c r="EQ162" i="4" s="1"/>
  <c r="EK162" i="4" a="1"/>
  <c r="EK162" i="4" s="1"/>
  <c r="EW166" i="4" a="1"/>
  <c r="EW166" i="4" s="1"/>
  <c r="ET207" i="4" a="1"/>
  <c r="ET207" i="4" s="1"/>
  <c r="EN207" i="4" a="1"/>
  <c r="EN207" i="4" s="1"/>
  <c r="ET215" i="4" a="1"/>
  <c r="ET215" i="4" s="1"/>
  <c r="EN215" i="4" a="1"/>
  <c r="EN215" i="4" s="1"/>
  <c r="EQ239" i="4" a="1"/>
  <c r="EQ239" i="4" s="1"/>
  <c r="EK239" i="4" a="1"/>
  <c r="EK239" i="4" s="1"/>
  <c r="EW248" i="4" a="1"/>
  <c r="EW248" i="4" s="1"/>
  <c r="EJ3" i="4" a="1"/>
  <c r="EJ3" i="4" s="1"/>
  <c r="EJ7" i="4" a="1"/>
  <c r="EJ7" i="4" s="1"/>
  <c r="EJ11" i="4" a="1"/>
  <c r="EJ11" i="4" s="1"/>
  <c r="EJ15" i="4" a="1"/>
  <c r="EJ15" i="4" s="1"/>
  <c r="EJ19" i="4" a="1"/>
  <c r="EJ19" i="4" s="1"/>
  <c r="EJ23" i="4" a="1"/>
  <c r="EJ23" i="4" s="1"/>
  <c r="FQ36" i="4" a="1"/>
  <c r="FQ36" i="4" s="1"/>
  <c r="FN36" i="4" a="1"/>
  <c r="FN36" i="4" s="1"/>
  <c r="FP36" i="4" a="1"/>
  <c r="FP36" i="4" s="1"/>
  <c r="EU36" i="4" a="1"/>
  <c r="EU36" i="4" s="1"/>
  <c r="FO36" i="4" a="1"/>
  <c r="FO36" i="4" s="1"/>
  <c r="FL36" i="4" a="1"/>
  <c r="FL36" i="4" s="1"/>
  <c r="EO36" i="4" a="1"/>
  <c r="EO36" i="4" s="1"/>
  <c r="FR36" i="4" a="1"/>
  <c r="FR36" i="4" s="1"/>
  <c r="FM36" i="4" a="1"/>
  <c r="FM36" i="4" s="1"/>
  <c r="FQ40" i="4" a="1"/>
  <c r="FQ40" i="4" s="1"/>
  <c r="FN40" i="4" a="1"/>
  <c r="FN40" i="4" s="1"/>
  <c r="FP40" i="4" a="1"/>
  <c r="FP40" i="4" s="1"/>
  <c r="EU40" i="4" a="1"/>
  <c r="EU40" i="4" s="1"/>
  <c r="FO40" i="4" a="1"/>
  <c r="FO40" i="4" s="1"/>
  <c r="FL40" i="4" a="1"/>
  <c r="FL40" i="4" s="1"/>
  <c r="EO40" i="4" a="1"/>
  <c r="EO40" i="4" s="1"/>
  <c r="FR40" i="4" a="1"/>
  <c r="FR40" i="4" s="1"/>
  <c r="FM40" i="4" a="1"/>
  <c r="FM40" i="4" s="1"/>
  <c r="FP44" i="4" a="1"/>
  <c r="FP44" i="4" s="1"/>
  <c r="EU44" i="4" a="1"/>
  <c r="EU44" i="4" s="1"/>
  <c r="FR44" i="4" a="1"/>
  <c r="FR44" i="4" s="1"/>
  <c r="FM44" i="4" a="1"/>
  <c r="FM44" i="4" s="1"/>
  <c r="EO44" i="4" a="1"/>
  <c r="EO44" i="4" s="1"/>
  <c r="FQ44" i="4" a="1"/>
  <c r="FQ44" i="4" s="1"/>
  <c r="FN44" i="4" a="1"/>
  <c r="FN44" i="4" s="1"/>
  <c r="FO44" i="4" a="1"/>
  <c r="FO44" i="4" s="1"/>
  <c r="FL44" i="4" a="1"/>
  <c r="FL44" i="4" s="1"/>
  <c r="EJ59" i="4" a="1"/>
  <c r="EJ59" i="4" s="1"/>
  <c r="FY81" i="4" a="1"/>
  <c r="FY81" i="4" s="1"/>
  <c r="FW81" i="4" a="1"/>
  <c r="FW81" i="4" s="1"/>
  <c r="FU81" i="4" a="1"/>
  <c r="FU81" i="4" s="1"/>
  <c r="FS81" i="4" a="1"/>
  <c r="FS81" i="4" s="1"/>
  <c r="FT81" i="4" a="1"/>
  <c r="FT81" i="4" s="1"/>
  <c r="EV81" i="4" a="1"/>
  <c r="EV81" i="4" s="1"/>
  <c r="FV81" i="4" a="1"/>
  <c r="FV81" i="4" s="1"/>
  <c r="EP81" i="4" a="1"/>
  <c r="EP81" i="4" s="1"/>
  <c r="FX81" i="4" a="1"/>
  <c r="FX81" i="4" s="1"/>
  <c r="FK90" i="4" a="1"/>
  <c r="FK90" i="4" s="1"/>
  <c r="FI90" i="4" a="1"/>
  <c r="FI90" i="4" s="1"/>
  <c r="FG90" i="4" a="1"/>
  <c r="FG90" i="4" s="1"/>
  <c r="FE90" i="4" a="1"/>
  <c r="FE90" i="4" s="1"/>
  <c r="ES90" i="4" a="1"/>
  <c r="ES90" i="4" s="1"/>
  <c r="EM90" i="4" a="1"/>
  <c r="EM90" i="4" s="1"/>
  <c r="FH90" i="4" a="1"/>
  <c r="FH90" i="4" s="1"/>
  <c r="FJ90" i="4" a="1"/>
  <c r="FJ90" i="4" s="1"/>
  <c r="FF90" i="4" a="1"/>
  <c r="FF90" i="4" s="1"/>
  <c r="FQ108" i="4" a="1"/>
  <c r="FQ108" i="4" s="1"/>
  <c r="FO108" i="4" a="1"/>
  <c r="FO108" i="4" s="1"/>
  <c r="FM108" i="4" a="1"/>
  <c r="FM108" i="4" s="1"/>
  <c r="EU108" i="4" a="1"/>
  <c r="EU108" i="4" s="1"/>
  <c r="EO108" i="4" a="1"/>
  <c r="EO108" i="4" s="1"/>
  <c r="FN108" i="4" a="1"/>
  <c r="FN108" i="4" s="1"/>
  <c r="FP108" i="4" a="1"/>
  <c r="FP108" i="4" s="1"/>
  <c r="FL108" i="4" a="1"/>
  <c r="FL108" i="4" s="1"/>
  <c r="FR108" i="4" a="1"/>
  <c r="FR108" i="4" s="1"/>
  <c r="FC161" i="4" a="1"/>
  <c r="FC161" i="4" s="1"/>
  <c r="FA161" i="4" a="1"/>
  <c r="FA161" i="4" s="1"/>
  <c r="EY161" i="4" a="1"/>
  <c r="EY161" i="4" s="1"/>
  <c r="FB161" i="4" a="1"/>
  <c r="FB161" i="4" s="1"/>
  <c r="EL161" i="4" a="1"/>
  <c r="EL161" i="4" s="1"/>
  <c r="FD161" i="4" a="1"/>
  <c r="FD161" i="4" s="1"/>
  <c r="EZ161" i="4" a="1"/>
  <c r="EZ161" i="4" s="1"/>
  <c r="ER161" i="4" a="1"/>
  <c r="ER161" i="4" s="1"/>
  <c r="EX161" i="4" a="1"/>
  <c r="EX161" i="4" s="1"/>
  <c r="FQ169" i="4" a="1"/>
  <c r="FQ169" i="4" s="1"/>
  <c r="FO169" i="4" a="1"/>
  <c r="FO169" i="4" s="1"/>
  <c r="FM169" i="4" a="1"/>
  <c r="FM169" i="4" s="1"/>
  <c r="EU169" i="4" a="1"/>
  <c r="EU169" i="4" s="1"/>
  <c r="EO169" i="4" a="1"/>
  <c r="EO169" i="4" s="1"/>
  <c r="FN169" i="4" a="1"/>
  <c r="FN169" i="4" s="1"/>
  <c r="FP169" i="4" a="1"/>
  <c r="FP169" i="4" s="1"/>
  <c r="FL169" i="4" a="1"/>
  <c r="FL169" i="4" s="1"/>
  <c r="FR169" i="4" a="1"/>
  <c r="FR169" i="4" s="1"/>
  <c r="FR194" i="4" a="1"/>
  <c r="FR194" i="4" s="1"/>
  <c r="FP194" i="4" a="1"/>
  <c r="FP194" i="4" s="1"/>
  <c r="FN194" i="4" a="1"/>
  <c r="FN194" i="4" s="1"/>
  <c r="FL194" i="4" a="1"/>
  <c r="FL194" i="4" s="1"/>
  <c r="FQ194" i="4" a="1"/>
  <c r="FQ194" i="4" s="1"/>
  <c r="EU194" i="4" a="1"/>
  <c r="EU194" i="4" s="1"/>
  <c r="FO194" i="4" a="1"/>
  <c r="FO194" i="4" s="1"/>
  <c r="EO194" i="4" a="1"/>
  <c r="EO194" i="4" s="1"/>
  <c r="FM194" i="4" a="1"/>
  <c r="FM194" i="4" s="1"/>
  <c r="FR198" i="4" a="1"/>
  <c r="FR198" i="4" s="1"/>
  <c r="FP198" i="4" a="1"/>
  <c r="FP198" i="4" s="1"/>
  <c r="FN198" i="4" a="1"/>
  <c r="FN198" i="4" s="1"/>
  <c r="FL198" i="4" a="1"/>
  <c r="FL198" i="4" s="1"/>
  <c r="FQ198" i="4" a="1"/>
  <c r="FQ198" i="4" s="1"/>
  <c r="EU198" i="4" a="1"/>
  <c r="EU198" i="4" s="1"/>
  <c r="FO198" i="4" a="1"/>
  <c r="FO198" i="4" s="1"/>
  <c r="EO198" i="4" a="1"/>
  <c r="EO198" i="4" s="1"/>
  <c r="FM198" i="4" a="1"/>
  <c r="FM198" i="4" s="1"/>
  <c r="FR202" i="4" a="1"/>
  <c r="FR202" i="4" s="1"/>
  <c r="FP202" i="4" a="1"/>
  <c r="FP202" i="4" s="1"/>
  <c r="FN202" i="4" a="1"/>
  <c r="FN202" i="4" s="1"/>
  <c r="FL202" i="4" a="1"/>
  <c r="FL202" i="4" s="1"/>
  <c r="FQ202" i="4" a="1"/>
  <c r="FQ202" i="4" s="1"/>
  <c r="EU202" i="4" a="1"/>
  <c r="EU202" i="4" s="1"/>
  <c r="FO202" i="4" a="1"/>
  <c r="FO202" i="4" s="1"/>
  <c r="EO202" i="4" a="1"/>
  <c r="EO202" i="4" s="1"/>
  <c r="FM202" i="4" a="1"/>
  <c r="FM202" i="4" s="1"/>
  <c r="EQ206" i="4" a="1"/>
  <c r="EQ206" i="4" s="1"/>
  <c r="EK206" i="4" a="1"/>
  <c r="EK206" i="4" s="1"/>
  <c r="EQ214" i="4" a="1"/>
  <c r="EQ214" i="4" s="1"/>
  <c r="EK214" i="4" a="1"/>
  <c r="EK214" i="4" s="1"/>
  <c r="ET242" i="4" a="1"/>
  <c r="ET242" i="4" s="1"/>
  <c r="EN242" i="4" a="1"/>
  <c r="EN242" i="4" s="1"/>
  <c r="ET254" i="4" a="1"/>
  <c r="ET254" i="4" s="1"/>
  <c r="EN254" i="4" a="1"/>
  <c r="EN254" i="4" s="1"/>
  <c r="FR262" i="4" a="1"/>
  <c r="FR262" i="4" s="1"/>
  <c r="FP262" i="4" a="1"/>
  <c r="FP262" i="4" s="1"/>
  <c r="FN262" i="4" a="1"/>
  <c r="FN262" i="4" s="1"/>
  <c r="FL262" i="4" a="1"/>
  <c r="FL262" i="4" s="1"/>
  <c r="FQ262" i="4" a="1"/>
  <c r="FQ262" i="4" s="1"/>
  <c r="EU262" i="4" a="1"/>
  <c r="EU262" i="4" s="1"/>
  <c r="FO262" i="4" a="1"/>
  <c r="FO262" i="4" s="1"/>
  <c r="EO262" i="4" a="1"/>
  <c r="EO262" i="4" s="1"/>
  <c r="FM262" i="4" a="1"/>
  <c r="FM262" i="4" s="1"/>
  <c r="EJ30" i="4" a="1"/>
  <c r="EJ30" i="4" s="1"/>
  <c r="FQ42" i="4" a="1"/>
  <c r="FQ42" i="4" s="1"/>
  <c r="FN42" i="4" a="1"/>
  <c r="FN42" i="4" s="1"/>
  <c r="FP42" i="4" a="1"/>
  <c r="FP42" i="4" s="1"/>
  <c r="EU42" i="4" a="1"/>
  <c r="EU42" i="4" s="1"/>
  <c r="FO42" i="4" a="1"/>
  <c r="FO42" i="4" s="1"/>
  <c r="FL42" i="4" a="1"/>
  <c r="FL42" i="4" s="1"/>
  <c r="FR42" i="4" a="1"/>
  <c r="FR42" i="4" s="1"/>
  <c r="EO42" i="4" a="1"/>
  <c r="EO42" i="4" s="1"/>
  <c r="FM42" i="4" a="1"/>
  <c r="FM42" i="4" s="1"/>
  <c r="EJ55" i="4" a="1"/>
  <c r="EJ55" i="4" s="1"/>
  <c r="FR59" i="4" a="1"/>
  <c r="FR59" i="4" s="1"/>
  <c r="FP59" i="4" a="1"/>
  <c r="FP59" i="4" s="1"/>
  <c r="FN59" i="4" a="1"/>
  <c r="FN59" i="4" s="1"/>
  <c r="FL59" i="4" a="1"/>
  <c r="FL59" i="4" s="1"/>
  <c r="FQ59" i="4" a="1"/>
  <c r="FQ59" i="4" s="1"/>
  <c r="EU59" i="4" a="1"/>
  <c r="EU59" i="4" s="1"/>
  <c r="FO59" i="4" a="1"/>
  <c r="FO59" i="4" s="1"/>
  <c r="EO59" i="4" a="1"/>
  <c r="EO59" i="4" s="1"/>
  <c r="FM59" i="4" a="1"/>
  <c r="FM59" i="4" s="1"/>
  <c r="FQ63" i="4" a="1"/>
  <c r="FQ63" i="4" s="1"/>
  <c r="FO63" i="4" a="1"/>
  <c r="FO63" i="4" s="1"/>
  <c r="FM63" i="4" a="1"/>
  <c r="FM63" i="4" s="1"/>
  <c r="EU63" i="4" a="1"/>
  <c r="EU63" i="4" s="1"/>
  <c r="EO63" i="4" a="1"/>
  <c r="EO63" i="4" s="1"/>
  <c r="FN63" i="4" a="1"/>
  <c r="FN63" i="4" s="1"/>
  <c r="FP63" i="4" a="1"/>
  <c r="FP63" i="4" s="1"/>
  <c r="FL63" i="4" a="1"/>
  <c r="FL63" i="4" s="1"/>
  <c r="FR63" i="4" a="1"/>
  <c r="FR63" i="4" s="1"/>
  <c r="FY67" i="4" a="1"/>
  <c r="FY67" i="4" s="1"/>
  <c r="FW67" i="4" a="1"/>
  <c r="FW67" i="4" s="1"/>
  <c r="FU67" i="4" a="1"/>
  <c r="FU67" i="4" s="1"/>
  <c r="FS67" i="4" a="1"/>
  <c r="FS67" i="4" s="1"/>
  <c r="FT67" i="4" a="1"/>
  <c r="FT67" i="4" s="1"/>
  <c r="EV67" i="4" a="1"/>
  <c r="EV67" i="4" s="1"/>
  <c r="FV67" i="4" a="1"/>
  <c r="FV67" i="4" s="1"/>
  <c r="EP67" i="4" a="1"/>
  <c r="EP67" i="4" s="1"/>
  <c r="FX67" i="4" a="1"/>
  <c r="FX67" i="4" s="1"/>
  <c r="FC72" i="4" a="1"/>
  <c r="FC72" i="4" s="1"/>
  <c r="FA72" i="4" a="1"/>
  <c r="FA72" i="4" s="1"/>
  <c r="EY72" i="4" a="1"/>
  <c r="EY72" i="4" s="1"/>
  <c r="FB72" i="4" a="1"/>
  <c r="FB72" i="4" s="1"/>
  <c r="EL72" i="4" a="1"/>
  <c r="EL72" i="4" s="1"/>
  <c r="FD72" i="4" a="1"/>
  <c r="FD72" i="4" s="1"/>
  <c r="EZ72" i="4" a="1"/>
  <c r="EZ72" i="4" s="1"/>
  <c r="ER72" i="4" a="1"/>
  <c r="ER72" i="4" s="1"/>
  <c r="EX72" i="4" a="1"/>
  <c r="EX72" i="4" s="1"/>
  <c r="FC80" i="4" a="1"/>
  <c r="FC80" i="4" s="1"/>
  <c r="FA80" i="4" a="1"/>
  <c r="FA80" i="4" s="1"/>
  <c r="EY80" i="4" a="1"/>
  <c r="EY80" i="4" s="1"/>
  <c r="FB80" i="4" a="1"/>
  <c r="FB80" i="4" s="1"/>
  <c r="EL80" i="4" a="1"/>
  <c r="EL80" i="4" s="1"/>
  <c r="FD80" i="4" a="1"/>
  <c r="FD80" i="4" s="1"/>
  <c r="EZ80" i="4" a="1"/>
  <c r="EZ80" i="4" s="1"/>
  <c r="ER80" i="4" a="1"/>
  <c r="ER80" i="4" s="1"/>
  <c r="EX80" i="4" a="1"/>
  <c r="EX80" i="4" s="1"/>
  <c r="FQ84" i="4" a="1"/>
  <c r="FQ84" i="4" s="1"/>
  <c r="FO84" i="4" a="1"/>
  <c r="FO84" i="4" s="1"/>
  <c r="FM84" i="4" a="1"/>
  <c r="FM84" i="4" s="1"/>
  <c r="EU84" i="4" a="1"/>
  <c r="EU84" i="4" s="1"/>
  <c r="EO84" i="4" a="1"/>
  <c r="EO84" i="4" s="1"/>
  <c r="FN84" i="4" a="1"/>
  <c r="FN84" i="4" s="1"/>
  <c r="FP84" i="4" a="1"/>
  <c r="FP84" i="4" s="1"/>
  <c r="FL84" i="4" a="1"/>
  <c r="FL84" i="4" s="1"/>
  <c r="FR84" i="4" a="1"/>
  <c r="FR84" i="4" s="1"/>
  <c r="EQ88" i="4" a="1"/>
  <c r="EQ88" i="4" s="1"/>
  <c r="EK88" i="4" a="1"/>
  <c r="EK88" i="4" s="1"/>
  <c r="FC92" i="4" a="1"/>
  <c r="FC92" i="4" s="1"/>
  <c r="FA92" i="4" a="1"/>
  <c r="FA92" i="4" s="1"/>
  <c r="EY92" i="4" a="1"/>
  <c r="EY92" i="4" s="1"/>
  <c r="FB92" i="4" a="1"/>
  <c r="FB92" i="4" s="1"/>
  <c r="EL92" i="4" a="1"/>
  <c r="EL92" i="4" s="1"/>
  <c r="FD92" i="4" a="1"/>
  <c r="FD92" i="4" s="1"/>
  <c r="EZ92" i="4" a="1"/>
  <c r="EZ92" i="4" s="1"/>
  <c r="ER92" i="4" a="1"/>
  <c r="ER92" i="4" s="1"/>
  <c r="EX92" i="4" a="1"/>
  <c r="EX92" i="4" s="1"/>
  <c r="EW96" i="4" a="1"/>
  <c r="EW96" i="4" s="1"/>
  <c r="FC101" i="4" a="1"/>
  <c r="FC101" i="4" s="1"/>
  <c r="FA101" i="4" a="1"/>
  <c r="FA101" i="4" s="1"/>
  <c r="EY101" i="4" a="1"/>
  <c r="EY101" i="4" s="1"/>
  <c r="FB101" i="4" a="1"/>
  <c r="FB101" i="4" s="1"/>
  <c r="EL101" i="4" a="1"/>
  <c r="EL101" i="4" s="1"/>
  <c r="FD101" i="4" a="1"/>
  <c r="FD101" i="4" s="1"/>
  <c r="EZ101" i="4" a="1"/>
  <c r="EZ101" i="4" s="1"/>
  <c r="ER101" i="4" a="1"/>
  <c r="ER101" i="4" s="1"/>
  <c r="EX101" i="4" a="1"/>
  <c r="EX101" i="4" s="1"/>
  <c r="EW105" i="4" a="1"/>
  <c r="EW105" i="4" s="1"/>
  <c r="FK109" i="4" a="1"/>
  <c r="FK109" i="4" s="1"/>
  <c r="FI109" i="4" a="1"/>
  <c r="FI109" i="4" s="1"/>
  <c r="FG109" i="4" a="1"/>
  <c r="FG109" i="4" s="1"/>
  <c r="FE109" i="4" a="1"/>
  <c r="FE109" i="4" s="1"/>
  <c r="ES109" i="4" a="1"/>
  <c r="ES109" i="4" s="1"/>
  <c r="EM109" i="4" a="1"/>
  <c r="EM109" i="4" s="1"/>
  <c r="FH109" i="4" a="1"/>
  <c r="FH109" i="4" s="1"/>
  <c r="FJ109" i="4" a="1"/>
  <c r="FJ109" i="4" s="1"/>
  <c r="FF109" i="4" a="1"/>
  <c r="FF109" i="4" s="1"/>
  <c r="FQ126" i="4" a="1"/>
  <c r="FQ126" i="4" s="1"/>
  <c r="FO126" i="4" a="1"/>
  <c r="FO126" i="4" s="1"/>
  <c r="FM126" i="4" a="1"/>
  <c r="FM126" i="4" s="1"/>
  <c r="EU126" i="4" a="1"/>
  <c r="EU126" i="4" s="1"/>
  <c r="EO126" i="4" a="1"/>
  <c r="EO126" i="4" s="1"/>
  <c r="FN126" i="4" a="1"/>
  <c r="FN126" i="4" s="1"/>
  <c r="FP126" i="4" a="1"/>
  <c r="FP126" i="4" s="1"/>
  <c r="FL126" i="4" a="1"/>
  <c r="FL126" i="4" s="1"/>
  <c r="FR126" i="4" a="1"/>
  <c r="FR126" i="4" s="1"/>
  <c r="EW130" i="4" a="1"/>
  <c r="EW130" i="4" s="1"/>
  <c r="FY143" i="4" a="1"/>
  <c r="FY143" i="4" s="1"/>
  <c r="FW143" i="4" a="1"/>
  <c r="FW143" i="4" s="1"/>
  <c r="FU143" i="4" a="1"/>
  <c r="FU143" i="4" s="1"/>
  <c r="FS143" i="4" a="1"/>
  <c r="FS143" i="4" s="1"/>
  <c r="FT143" i="4" a="1"/>
  <c r="FT143" i="4" s="1"/>
  <c r="EV143" i="4" a="1"/>
  <c r="EV143" i="4" s="1"/>
  <c r="FV143" i="4" a="1"/>
  <c r="FV143" i="4" s="1"/>
  <c r="EP143" i="4" a="1"/>
  <c r="EP143" i="4" s="1"/>
  <c r="FX143" i="4" a="1"/>
  <c r="FX143" i="4" s="1"/>
  <c r="EQ148" i="4" a="1"/>
  <c r="EQ148" i="4" s="1"/>
  <c r="EK148" i="4" a="1"/>
  <c r="EK148" i="4" s="1"/>
  <c r="FY152" i="4" a="1"/>
  <c r="FY152" i="4" s="1"/>
  <c r="FW152" i="4" a="1"/>
  <c r="FW152" i="4" s="1"/>
  <c r="FU152" i="4" a="1"/>
  <c r="FU152" i="4" s="1"/>
  <c r="FS152" i="4" a="1"/>
  <c r="FS152" i="4" s="1"/>
  <c r="FT152" i="4" a="1"/>
  <c r="FT152" i="4" s="1"/>
  <c r="EV152" i="4" a="1"/>
  <c r="EV152" i="4" s="1"/>
  <c r="FV152" i="4" a="1"/>
  <c r="FV152" i="4" s="1"/>
  <c r="EP152" i="4" a="1"/>
  <c r="EP152" i="4" s="1"/>
  <c r="FX152" i="4" a="1"/>
  <c r="FX152" i="4" s="1"/>
  <c r="EQ157" i="4" a="1"/>
  <c r="EQ157" i="4" s="1"/>
  <c r="EK157" i="4" a="1"/>
  <c r="EK157" i="4" s="1"/>
  <c r="EW161" i="4" a="1"/>
  <c r="EW161" i="4" s="1"/>
  <c r="FC166" i="4" a="1"/>
  <c r="FC166" i="4" s="1"/>
  <c r="FA166" i="4" a="1"/>
  <c r="FA166" i="4" s="1"/>
  <c r="EY166" i="4" a="1"/>
  <c r="EY166" i="4" s="1"/>
  <c r="FB166" i="4" a="1"/>
  <c r="FB166" i="4" s="1"/>
  <c r="EL166" i="4" a="1"/>
  <c r="EL166" i="4" s="1"/>
  <c r="FD166" i="4" a="1"/>
  <c r="FD166" i="4" s="1"/>
  <c r="EZ166" i="4" a="1"/>
  <c r="EZ166" i="4" s="1"/>
  <c r="ER166" i="4" a="1"/>
  <c r="ER166" i="4" s="1"/>
  <c r="EX166" i="4" a="1"/>
  <c r="EX166" i="4" s="1"/>
  <c r="FK170" i="4" a="1"/>
  <c r="FK170" i="4" s="1"/>
  <c r="FI170" i="4" a="1"/>
  <c r="FI170" i="4" s="1"/>
  <c r="FG170" i="4" a="1"/>
  <c r="FG170" i="4" s="1"/>
  <c r="FE170" i="4" a="1"/>
  <c r="FE170" i="4" s="1"/>
  <c r="ES170" i="4" a="1"/>
  <c r="ES170" i="4" s="1"/>
  <c r="EM170" i="4" a="1"/>
  <c r="EM170" i="4" s="1"/>
  <c r="FH170" i="4" a="1"/>
  <c r="FH170" i="4" s="1"/>
  <c r="FJ170" i="4" a="1"/>
  <c r="FJ170" i="4" s="1"/>
  <c r="FF170" i="4" a="1"/>
  <c r="FF170" i="4" s="1"/>
  <c r="FQ174" i="4" a="1"/>
  <c r="FQ174" i="4" s="1"/>
  <c r="FO174" i="4" a="1"/>
  <c r="FO174" i="4" s="1"/>
  <c r="FM174" i="4" a="1"/>
  <c r="FM174" i="4" s="1"/>
  <c r="EU174" i="4" a="1"/>
  <c r="EU174" i="4" s="1"/>
  <c r="EO174" i="4" a="1"/>
  <c r="EO174" i="4" s="1"/>
  <c r="FN174" i="4" a="1"/>
  <c r="FN174" i="4" s="1"/>
  <c r="FP174" i="4" a="1"/>
  <c r="FP174" i="4" s="1"/>
  <c r="FL174" i="4" a="1"/>
  <c r="FL174" i="4" s="1"/>
  <c r="FR174" i="4" a="1"/>
  <c r="FR174" i="4" s="1"/>
  <c r="FC178" i="4" a="1"/>
  <c r="FC178" i="4" s="1"/>
  <c r="FA178" i="4" a="1"/>
  <c r="FA178" i="4" s="1"/>
  <c r="EY178" i="4" a="1"/>
  <c r="EY178" i="4" s="1"/>
  <c r="FB178" i="4" a="1"/>
  <c r="FB178" i="4" s="1"/>
  <c r="EL178" i="4" a="1"/>
  <c r="EL178" i="4" s="1"/>
  <c r="FD178" i="4" a="1"/>
  <c r="FD178" i="4" s="1"/>
  <c r="EZ178" i="4" a="1"/>
  <c r="EZ178" i="4" s="1"/>
  <c r="ER178" i="4" a="1"/>
  <c r="ER178" i="4" s="1"/>
  <c r="EX178" i="4" a="1"/>
  <c r="EX178" i="4" s="1"/>
  <c r="EQ183" i="4" a="1"/>
  <c r="EQ183" i="4" s="1"/>
  <c r="EK183" i="4" a="1"/>
  <c r="EK183" i="4" s="1"/>
  <c r="FY187" i="4" a="1"/>
  <c r="FY187" i="4" s="1"/>
  <c r="FW187" i="4" a="1"/>
  <c r="FW187" i="4" s="1"/>
  <c r="FU187" i="4" a="1"/>
  <c r="FU187" i="4" s="1"/>
  <c r="FS187" i="4" a="1"/>
  <c r="FS187" i="4" s="1"/>
  <c r="FT187" i="4" a="1"/>
  <c r="FT187" i="4" s="1"/>
  <c r="EV187" i="4" a="1"/>
  <c r="EV187" i="4" s="1"/>
  <c r="FV187" i="4" a="1"/>
  <c r="FV187" i="4" s="1"/>
  <c r="EP187" i="4" a="1"/>
  <c r="EP187" i="4" s="1"/>
  <c r="FX187" i="4" a="1"/>
  <c r="FX187" i="4" s="1"/>
  <c r="EQ212" i="4" a="1"/>
  <c r="EQ212" i="4" s="1"/>
  <c r="EK212" i="4" a="1"/>
  <c r="EK212" i="4" s="1"/>
  <c r="FJ220" i="4" a="1"/>
  <c r="FJ220" i="4" s="1"/>
  <c r="FH220" i="4" a="1"/>
  <c r="FH220" i="4" s="1"/>
  <c r="FF220" i="4" a="1"/>
  <c r="FF220" i="4" s="1"/>
  <c r="FE220" i="4" a="1"/>
  <c r="FE220" i="4" s="1"/>
  <c r="FG220" i="4" a="1"/>
  <c r="FG220" i="4" s="1"/>
  <c r="FK220" i="4" a="1"/>
  <c r="FK220" i="4" s="1"/>
  <c r="EM220" i="4" a="1"/>
  <c r="EM220" i="4" s="1"/>
  <c r="ES220" i="4" a="1"/>
  <c r="ES220" i="4" s="1"/>
  <c r="FI220" i="4" a="1"/>
  <c r="FI220" i="4" s="1"/>
  <c r="FJ224" i="4" a="1"/>
  <c r="FJ224" i="4" s="1"/>
  <c r="FH224" i="4" a="1"/>
  <c r="FH224" i="4" s="1"/>
  <c r="FF224" i="4" a="1"/>
  <c r="FF224" i="4" s="1"/>
  <c r="FE224" i="4" a="1"/>
  <c r="FE224" i="4" s="1"/>
  <c r="FG224" i="4" a="1"/>
  <c r="FG224" i="4" s="1"/>
  <c r="FK224" i="4" a="1"/>
  <c r="FK224" i="4" s="1"/>
  <c r="EM224" i="4" a="1"/>
  <c r="EM224" i="4" s="1"/>
  <c r="ES224" i="4" a="1"/>
  <c r="ES224" i="4" s="1"/>
  <c r="FI224" i="4" a="1"/>
  <c r="FI224" i="4" s="1"/>
  <c r="FJ228" i="4" a="1"/>
  <c r="FJ228" i="4" s="1"/>
  <c r="FH228" i="4" a="1"/>
  <c r="FH228" i="4" s="1"/>
  <c r="FF228" i="4" a="1"/>
  <c r="FF228" i="4" s="1"/>
  <c r="FE228" i="4" a="1"/>
  <c r="FE228" i="4" s="1"/>
  <c r="FG228" i="4" a="1"/>
  <c r="FG228" i="4" s="1"/>
  <c r="FK228" i="4" a="1"/>
  <c r="FK228" i="4" s="1"/>
  <c r="EM228" i="4" a="1"/>
  <c r="EM228" i="4" s="1"/>
  <c r="ES228" i="4" a="1"/>
  <c r="ES228" i="4" s="1"/>
  <c r="FI228" i="4" a="1"/>
  <c r="FI228" i="4" s="1"/>
  <c r="FJ232" i="4" a="1"/>
  <c r="FJ232" i="4" s="1"/>
  <c r="FH232" i="4" a="1"/>
  <c r="FH232" i="4" s="1"/>
  <c r="FF232" i="4" a="1"/>
  <c r="FF232" i="4" s="1"/>
  <c r="FE232" i="4" a="1"/>
  <c r="FE232" i="4" s="1"/>
  <c r="FG232" i="4" a="1"/>
  <c r="FG232" i="4" s="1"/>
  <c r="FK232" i="4" a="1"/>
  <c r="FK232" i="4" s="1"/>
  <c r="EM232" i="4" a="1"/>
  <c r="EM232" i="4" s="1"/>
  <c r="ES232" i="4" a="1"/>
  <c r="ES232" i="4" s="1"/>
  <c r="FI232" i="4" a="1"/>
  <c r="FI232" i="4" s="1"/>
  <c r="FJ236" i="4" a="1"/>
  <c r="FJ236" i="4" s="1"/>
  <c r="FH236" i="4" a="1"/>
  <c r="FH236" i="4" s="1"/>
  <c r="FF236" i="4" a="1"/>
  <c r="FF236" i="4" s="1"/>
  <c r="FE236" i="4" a="1"/>
  <c r="FE236" i="4" s="1"/>
  <c r="FG236" i="4" a="1"/>
  <c r="FG236" i="4" s="1"/>
  <c r="FK236" i="4" a="1"/>
  <c r="FK236" i="4" s="1"/>
  <c r="EM236" i="4" a="1"/>
  <c r="EM236" i="4" s="1"/>
  <c r="ES236" i="4" a="1"/>
  <c r="ES236" i="4" s="1"/>
  <c r="FI236" i="4" a="1"/>
  <c r="FI236" i="4" s="1"/>
  <c r="ET244" i="4" a="1"/>
  <c r="ET244" i="4" s="1"/>
  <c r="EN244" i="4" a="1"/>
  <c r="EN244" i="4" s="1"/>
  <c r="FB248" i="4" a="1"/>
  <c r="FB248" i="4" s="1"/>
  <c r="EY248" i="4" a="1"/>
  <c r="EY248" i="4" s="1"/>
  <c r="EL248" i="4" a="1"/>
  <c r="EL248" i="4" s="1"/>
  <c r="FD248" i="4" a="1"/>
  <c r="FD248" i="4" s="1"/>
  <c r="FA248" i="4" a="1"/>
  <c r="FA248" i="4" s="1"/>
  <c r="EZ248" i="4" a="1"/>
  <c r="EZ248" i="4" s="1"/>
  <c r="ER248" i="4" a="1"/>
  <c r="ER248" i="4" s="1"/>
  <c r="FC248" i="4" a="1"/>
  <c r="FC248" i="4" s="1"/>
  <c r="EX248" i="4" a="1"/>
  <c r="EX248" i="4" s="1"/>
  <c r="FJ252" i="4" a="1"/>
  <c r="FJ252" i="4" s="1"/>
  <c r="FH252" i="4" a="1"/>
  <c r="FH252" i="4" s="1"/>
  <c r="FF252" i="4" a="1"/>
  <c r="FF252" i="4" s="1"/>
  <c r="FE252" i="4" a="1"/>
  <c r="FE252" i="4" s="1"/>
  <c r="FG252" i="4" a="1"/>
  <c r="FG252" i="4" s="1"/>
  <c r="FK252" i="4" a="1"/>
  <c r="FK252" i="4" s="1"/>
  <c r="EM252" i="4" a="1"/>
  <c r="EM252" i="4" s="1"/>
  <c r="ES252" i="4" a="1"/>
  <c r="ES252" i="4" s="1"/>
  <c r="FI252" i="4" a="1"/>
  <c r="FI252" i="4" s="1"/>
  <c r="CT262" i="4" a="1"/>
  <c r="CT262" i="4" s="1"/>
  <c r="EJ231" i="4" a="1"/>
  <c r="EJ231" i="4" s="1"/>
  <c r="CT192" i="4" a="1"/>
  <c r="CT192" i="4" s="1"/>
  <c r="CY94" i="4" a="1"/>
  <c r="CY94" i="4" s="1"/>
  <c r="EJ251" i="4" a="1"/>
  <c r="EJ251" i="4" s="1"/>
  <c r="ET205" i="4" a="1"/>
  <c r="ET205" i="4" s="1"/>
  <c r="EN205" i="4" a="1"/>
  <c r="EN205" i="4" s="1"/>
  <c r="FK177" i="4" a="1"/>
  <c r="FK177" i="4" s="1"/>
  <c r="FI177" i="4" a="1"/>
  <c r="FI177" i="4" s="1"/>
  <c r="FG177" i="4" a="1"/>
  <c r="FG177" i="4" s="1"/>
  <c r="FE177" i="4" a="1"/>
  <c r="FE177" i="4" s="1"/>
  <c r="ES177" i="4" a="1"/>
  <c r="ES177" i="4" s="1"/>
  <c r="EM177" i="4" a="1"/>
  <c r="EM177" i="4" s="1"/>
  <c r="FH177" i="4" a="1"/>
  <c r="FH177" i="4" s="1"/>
  <c r="FJ177" i="4" a="1"/>
  <c r="FJ177" i="4" s="1"/>
  <c r="FF177" i="4" a="1"/>
  <c r="FF177" i="4" s="1"/>
  <c r="FK100" i="4" a="1"/>
  <c r="FK100" i="4" s="1"/>
  <c r="FI100" i="4" a="1"/>
  <c r="FI100" i="4" s="1"/>
  <c r="FG100" i="4" a="1"/>
  <c r="FG100" i="4" s="1"/>
  <c r="FE100" i="4" a="1"/>
  <c r="FE100" i="4" s="1"/>
  <c r="ES100" i="4" a="1"/>
  <c r="ES100" i="4" s="1"/>
  <c r="EM100" i="4" a="1"/>
  <c r="EM100" i="4" s="1"/>
  <c r="FH100" i="4" a="1"/>
  <c r="FH100" i="4" s="1"/>
  <c r="FJ100" i="4" a="1"/>
  <c r="FJ100" i="4" s="1"/>
  <c r="FF100" i="4" a="1"/>
  <c r="FF100" i="4" s="1"/>
  <c r="EQ83" i="4" a="1"/>
  <c r="EQ83" i="4" s="1"/>
  <c r="EK83" i="4" a="1"/>
  <c r="EK83" i="4" s="1"/>
  <c r="EQ74" i="4" a="1"/>
  <c r="EQ74" i="4" s="1"/>
  <c r="EK74" i="4" a="1"/>
  <c r="EK74" i="4" s="1"/>
  <c r="EJ44" i="4" a="1"/>
  <c r="EJ44" i="4" s="1"/>
  <c r="FY29" i="4" a="1"/>
  <c r="FY29" i="4" s="1"/>
  <c r="FT29" i="4" a="1"/>
  <c r="FT29" i="4" s="1"/>
  <c r="EV29" i="4" a="1"/>
  <c r="EV29" i="4" s="1"/>
  <c r="FV29" i="4" a="1"/>
  <c r="FV29" i="4" s="1"/>
  <c r="FS29" i="4" a="1"/>
  <c r="FS29" i="4" s="1"/>
  <c r="EP29" i="4" a="1"/>
  <c r="EP29" i="4" s="1"/>
  <c r="FW29" i="4" a="1"/>
  <c r="FW29" i="4" s="1"/>
  <c r="FX29" i="4" a="1"/>
  <c r="FX29" i="4" s="1"/>
  <c r="FU29" i="4" a="1"/>
  <c r="FU29" i="4" s="1"/>
  <c r="CW23" i="4" a="1"/>
  <c r="CW23" i="4" s="1"/>
  <c r="CW7" i="4" a="1"/>
  <c r="CW7" i="4" s="1"/>
  <c r="EJ264" i="4" a="1"/>
  <c r="EJ264" i="4" s="1"/>
  <c r="CV207" i="4" a="1"/>
  <c r="CV207" i="4" s="1"/>
  <c r="EW151" i="4" a="1"/>
  <c r="EW151" i="4" s="1"/>
  <c r="EW91" i="4" a="1"/>
  <c r="EW91" i="4" s="1"/>
  <c r="CT251" i="4" a="1"/>
  <c r="CT251" i="4" s="1"/>
  <c r="FY162" i="4" a="1"/>
  <c r="FY162" i="4" s="1"/>
  <c r="FW162" i="4" a="1"/>
  <c r="FW162" i="4" s="1"/>
  <c r="FU162" i="4" a="1"/>
  <c r="FU162" i="4" s="1"/>
  <c r="FS162" i="4" a="1"/>
  <c r="FS162" i="4" s="1"/>
  <c r="FT162" i="4" a="1"/>
  <c r="FT162" i="4" s="1"/>
  <c r="EV162" i="4" a="1"/>
  <c r="EV162" i="4" s="1"/>
  <c r="FV162" i="4" a="1"/>
  <c r="FV162" i="4" s="1"/>
  <c r="EP162" i="4" a="1"/>
  <c r="EP162" i="4" s="1"/>
  <c r="FX162" i="4" a="1"/>
  <c r="FX162" i="4" s="1"/>
  <c r="EW142" i="4" a="1"/>
  <c r="EW142" i="4" s="1"/>
  <c r="EQ81" i="4" a="1"/>
  <c r="EQ81" i="4" s="1"/>
  <c r="EK81" i="4" a="1"/>
  <c r="EK81" i="4" s="1"/>
  <c r="FB41" i="4" a="1"/>
  <c r="FB41" i="4" s="1"/>
  <c r="EL41" i="4" a="1"/>
  <c r="EL41" i="4" s="1"/>
  <c r="FD41" i="4" a="1"/>
  <c r="FD41" i="4" s="1"/>
  <c r="EY41" i="4" a="1"/>
  <c r="EY41" i="4" s="1"/>
  <c r="FC41" i="4" a="1"/>
  <c r="FC41" i="4" s="1"/>
  <c r="EZ41" i="4" a="1"/>
  <c r="EZ41" i="4" s="1"/>
  <c r="ER41" i="4" a="1"/>
  <c r="ER41" i="4" s="1"/>
  <c r="FA41" i="4" a="1"/>
  <c r="FA41" i="4" s="1"/>
  <c r="EX41" i="4" a="1"/>
  <c r="EX41" i="4" s="1"/>
  <c r="CT5" i="4" a="1"/>
  <c r="CT5" i="4" s="1"/>
  <c r="CT13" i="4" a="1"/>
  <c r="CT13" i="4" s="1"/>
  <c r="CV43" i="4" a="1"/>
  <c r="CV43" i="4" s="1"/>
  <c r="CY98" i="4" a="1"/>
  <c r="CY98" i="4" s="1"/>
  <c r="CX193" i="4" a="1"/>
  <c r="CX193" i="4" s="1"/>
  <c r="CX201" i="4" a="1"/>
  <c r="CX201" i="4" s="1"/>
  <c r="CV209" i="4" a="1"/>
  <c r="CV209" i="4" s="1"/>
  <c r="CX220" i="4" a="1"/>
  <c r="CX220" i="4" s="1"/>
  <c r="CX228" i="4" a="1"/>
  <c r="CX228" i="4" s="1"/>
  <c r="CX236" i="4" a="1"/>
  <c r="CX236" i="4" s="1"/>
  <c r="CT244" i="4" a="1"/>
  <c r="CT244" i="4" s="1"/>
  <c r="CX263" i="4" a="1"/>
  <c r="CX263" i="4" s="1"/>
  <c r="CT29" i="4" a="1"/>
  <c r="CT29" i="4" s="1"/>
  <c r="CX54" i="4" a="1"/>
  <c r="CX54" i="4" s="1"/>
  <c r="CY68" i="4" a="1"/>
  <c r="CY68" i="4" s="1"/>
  <c r="CW81" i="4" a="1"/>
  <c r="CW81" i="4" s="1"/>
  <c r="CW102" i="4" a="1"/>
  <c r="CW102" i="4" s="1"/>
  <c r="CY132" i="4" a="1"/>
  <c r="CY132" i="4" s="1"/>
  <c r="CY144" i="4" a="1"/>
  <c r="CY144" i="4" s="1"/>
  <c r="CU178" i="4" a="1"/>
  <c r="CU178" i="4" s="1"/>
  <c r="CV249" i="4" a="1"/>
  <c r="CV249" i="4" s="1"/>
  <c r="CT55" i="4" a="1"/>
  <c r="CT55" i="4" s="1"/>
  <c r="CW67" i="4" a="1"/>
  <c r="CW67" i="4" s="1"/>
  <c r="CW123" i="4" a="1"/>
  <c r="CW123" i="4" s="1"/>
  <c r="CY149" i="4" a="1"/>
  <c r="CY149" i="4" s="1"/>
  <c r="CU160" i="4" a="1"/>
  <c r="CU160" i="4" s="1"/>
  <c r="CU186" i="4" a="1"/>
  <c r="CU186" i="4" s="1"/>
  <c r="CZ216" i="4" a="1"/>
  <c r="CZ216" i="4" s="1"/>
  <c r="CU243" i="4" a="1"/>
  <c r="CU243" i="4" s="1"/>
  <c r="CZ259" i="4" a="1"/>
  <c r="CZ259" i="4" s="1"/>
  <c r="CY2" i="4" a="1"/>
  <c r="CY2" i="4" s="1"/>
  <c r="CZ4" i="4" a="1"/>
  <c r="CZ4" i="4" s="1"/>
  <c r="CZ6" i="4" a="1"/>
  <c r="CZ6" i="4" s="1"/>
  <c r="CZ8" i="4" a="1"/>
  <c r="CZ8" i="4" s="1"/>
  <c r="CZ10" i="4" a="1"/>
  <c r="CZ10" i="4" s="1"/>
  <c r="CZ14" i="4" a="1"/>
  <c r="CZ14" i="4" s="1"/>
  <c r="CZ16" i="4" a="1"/>
  <c r="CZ16" i="4" s="1"/>
  <c r="CZ18" i="4" a="1"/>
  <c r="CZ18" i="4" s="1"/>
  <c r="CZ20" i="4" a="1"/>
  <c r="CZ20" i="4" s="1"/>
  <c r="CZ22" i="4" a="1"/>
  <c r="CZ22" i="4" s="1"/>
  <c r="CZ26" i="4" a="1"/>
  <c r="CZ26" i="4" s="1"/>
  <c r="CY30" i="4" a="1"/>
  <c r="CY30" i="4" s="1"/>
  <c r="CY34" i="4" a="1"/>
  <c r="CY34" i="4" s="1"/>
  <c r="CY38" i="4" a="1"/>
  <c r="CY38" i="4" s="1"/>
  <c r="CY40" i="4" a="1"/>
  <c r="CY40" i="4" s="1"/>
  <c r="CY42" i="4" a="1"/>
  <c r="CY42" i="4" s="1"/>
  <c r="CW47" i="4" a="1"/>
  <c r="CW47" i="4" s="1"/>
  <c r="CV53" i="4" a="1"/>
  <c r="CV53" i="4" s="1"/>
  <c r="CV57" i="4" a="1"/>
  <c r="CV57" i="4" s="1"/>
  <c r="CV61" i="4" a="1"/>
  <c r="CV61" i="4" s="1"/>
  <c r="CW66" i="4" a="1"/>
  <c r="CW66" i="4" s="1"/>
  <c r="CY81" i="4" a="1"/>
  <c r="CY81" i="4" s="1"/>
  <c r="CY88" i="4" a="1"/>
  <c r="CY88" i="4" s="1"/>
  <c r="CY93" i="4" a="1"/>
  <c r="CY93" i="4" s="1"/>
  <c r="CU100" i="4" a="1"/>
  <c r="CU100" i="4" s="1"/>
  <c r="CW105" i="4" a="1"/>
  <c r="CW105" i="4" s="1"/>
  <c r="CY116" i="4" a="1"/>
  <c r="CY116" i="4" s="1"/>
  <c r="CW122" i="4" a="1"/>
  <c r="CW122" i="4" s="1"/>
  <c r="CU128" i="4" a="1"/>
  <c r="CU128" i="4" s="1"/>
  <c r="CU134" i="4" a="1"/>
  <c r="CU134" i="4" s="1"/>
  <c r="CU139" i="4" a="1"/>
  <c r="CU139" i="4" s="1"/>
  <c r="CY143" i="4" a="1"/>
  <c r="CY143" i="4" s="1"/>
  <c r="CY148" i="4" a="1"/>
  <c r="CY148" i="4" s="1"/>
  <c r="CU154" i="4" a="1"/>
  <c r="CU154" i="4" s="1"/>
  <c r="CU159" i="4" a="1"/>
  <c r="CU159" i="4" s="1"/>
  <c r="CU170" i="4" a="1"/>
  <c r="CU170" i="4" s="1"/>
  <c r="CU175" i="4" a="1"/>
  <c r="CU175" i="4" s="1"/>
  <c r="CY179" i="4" a="1"/>
  <c r="CY179" i="4" s="1"/>
  <c r="CU189" i="4" a="1"/>
  <c r="CU189" i="4" s="1"/>
  <c r="CZ193" i="4" a="1"/>
  <c r="CZ193" i="4" s="1"/>
  <c r="CZ201" i="4" a="1"/>
  <c r="CZ201" i="4" s="1"/>
  <c r="CZ205" i="4" a="1"/>
  <c r="CZ205" i="4" s="1"/>
  <c r="CX209" i="4" a="1"/>
  <c r="CX209" i="4" s="1"/>
  <c r="CX213" i="4" a="1"/>
  <c r="CX213" i="4" s="1"/>
  <c r="CX217" i="4" a="1"/>
  <c r="CX217" i="4" s="1"/>
  <c r="CV221" i="4" a="1"/>
  <c r="CV221" i="4" s="1"/>
  <c r="CV225" i="4" a="1"/>
  <c r="CV225" i="4" s="1"/>
  <c r="CV233" i="4" a="1"/>
  <c r="CV233" i="4" s="1"/>
  <c r="CW237" i="4" a="1"/>
  <c r="CW237" i="4" s="1"/>
  <c r="CZ247" i="4" a="1"/>
  <c r="CZ247" i="4" s="1"/>
  <c r="CZ250" i="4" a="1"/>
  <c r="CZ250" i="4" s="1"/>
  <c r="CX254" i="4" a="1"/>
  <c r="CX254" i="4" s="1"/>
  <c r="CX258" i="4" a="1"/>
  <c r="CX258" i="4" s="1"/>
  <c r="CV262" i="4" a="1"/>
  <c r="CV262" i="4" s="1"/>
  <c r="CU3" i="4" a="1"/>
  <c r="CU3" i="4" s="1"/>
  <c r="CU5" i="4" a="1"/>
  <c r="CU5" i="4" s="1"/>
  <c r="CU7" i="4" a="1"/>
  <c r="CU7" i="4" s="1"/>
  <c r="CU9" i="4" a="1"/>
  <c r="CU9" i="4" s="1"/>
  <c r="CU11" i="4" a="1"/>
  <c r="CU11" i="4" s="1"/>
  <c r="CU13" i="4" a="1"/>
  <c r="CU13" i="4" s="1"/>
  <c r="CU17" i="4" a="1"/>
  <c r="CU17" i="4" s="1"/>
  <c r="CU19" i="4" a="1"/>
  <c r="CU19" i="4" s="1"/>
  <c r="CU23" i="4" a="1"/>
  <c r="CU23" i="4" s="1"/>
  <c r="CU25" i="4" a="1"/>
  <c r="CU25" i="4" s="1"/>
  <c r="CU27" i="4" a="1"/>
  <c r="CU27" i="4" s="1"/>
  <c r="CU29" i="4" a="1"/>
  <c r="CU29" i="4" s="1"/>
  <c r="CT31" i="4" a="1"/>
  <c r="CT31" i="4" s="1"/>
  <c r="CT33" i="4" a="1"/>
  <c r="CT33" i="4" s="1"/>
  <c r="CT37" i="4" a="1"/>
  <c r="CT37" i="4" s="1"/>
  <c r="CT41" i="4" a="1"/>
  <c r="CT41" i="4" s="1"/>
  <c r="CT43" i="4" a="1"/>
  <c r="CT43" i="4" s="1"/>
  <c r="EW44" i="4" a="1"/>
  <c r="EW44" i="4" s="1"/>
  <c r="CV47" i="4" a="1"/>
  <c r="CV47" i="4" s="1"/>
  <c r="CW50" i="4" a="1"/>
  <c r="CW50" i="4" s="1"/>
  <c r="CZ53" i="4" a="1"/>
  <c r="CZ53" i="4" s="1"/>
  <c r="CZ57" i="4" a="1"/>
  <c r="CZ57" i="4" s="1"/>
  <c r="CZ61" i="4" a="1"/>
  <c r="CZ61" i="4" s="1"/>
  <c r="CY65" i="4" a="1"/>
  <c r="CY65" i="4" s="1"/>
  <c r="CY70" i="4" a="1"/>
  <c r="CY70" i="4" s="1"/>
  <c r="CW82" i="4" a="1"/>
  <c r="CW82" i="4" s="1"/>
  <c r="CU97" i="4" a="1"/>
  <c r="CU97" i="4" s="1"/>
  <c r="CU102" i="4" a="1"/>
  <c r="CU102" i="4" s="1"/>
  <c r="CW107" i="4" a="1"/>
  <c r="CW107" i="4" s="1"/>
  <c r="CU117" i="4" a="1"/>
  <c r="CU117" i="4" s="1"/>
  <c r="CY121" i="4" a="1"/>
  <c r="CY121" i="4" s="1"/>
  <c r="CW126" i="4" a="1"/>
  <c r="CW126" i="4" s="1"/>
  <c r="CU131" i="4" a="1"/>
  <c r="CU131" i="4" s="1"/>
  <c r="CY135" i="4" a="1"/>
  <c r="CY135" i="4" s="1"/>
  <c r="CU141" i="4" a="1"/>
  <c r="CU141" i="4" s="1"/>
  <c r="CY145" i="4" a="1"/>
  <c r="CY145" i="4" s="1"/>
  <c r="CY150" i="4" a="1"/>
  <c r="CY150" i="4" s="1"/>
  <c r="CU162" i="4" a="1"/>
  <c r="CU162" i="4" s="1"/>
  <c r="CU172" i="4" a="1"/>
  <c r="CU172" i="4" s="1"/>
  <c r="CY176" i="4" a="1"/>
  <c r="CY176" i="4" s="1"/>
  <c r="CU187" i="4" a="1"/>
  <c r="CU187" i="4" s="1"/>
  <c r="CZ192" i="4" a="1"/>
  <c r="CZ192" i="4" s="1"/>
  <c r="CZ196" i="4" a="1"/>
  <c r="CZ196" i="4" s="1"/>
  <c r="CZ200" i="4" a="1"/>
  <c r="CZ200" i="4" s="1"/>
  <c r="CZ204" i="4" a="1"/>
  <c r="CZ204" i="4" s="1"/>
  <c r="CX208" i="4" a="1"/>
  <c r="CX208" i="4" s="1"/>
  <c r="CX212" i="4" a="1"/>
  <c r="CX212" i="4" s="1"/>
  <c r="CX216" i="4" a="1"/>
  <c r="CX216" i="4" s="1"/>
  <c r="CV220" i="4" a="1"/>
  <c r="CV220" i="4" s="1"/>
  <c r="CV224" i="4" a="1"/>
  <c r="CV224" i="4" s="1"/>
  <c r="CV228" i="4" a="1"/>
  <c r="CV228" i="4" s="1"/>
  <c r="CV232" i="4" a="1"/>
  <c r="CV232" i="4" s="1"/>
  <c r="CV236" i="4" a="1"/>
  <c r="CV236" i="4" s="1"/>
  <c r="CZ244" i="4" a="1"/>
  <c r="CZ244" i="4" s="1"/>
  <c r="CV247" i="4" a="1"/>
  <c r="CV247" i="4" s="1"/>
  <c r="CV250" i="4" a="1"/>
  <c r="CV250" i="4" s="1"/>
  <c r="CT254" i="4" a="1"/>
  <c r="CT254" i="4" s="1"/>
  <c r="CT258" i="4" a="1"/>
  <c r="CT258" i="4" s="1"/>
  <c r="CZ262" i="4" a="1"/>
  <c r="CZ262" i="4" s="1"/>
  <c r="CW4" i="4" a="1"/>
  <c r="CW4" i="4" s="1"/>
  <c r="CX7" i="4" a="1"/>
  <c r="CX7" i="4" s="1"/>
  <c r="CT10" i="4" a="1"/>
  <c r="CT10" i="4" s="1"/>
  <c r="CT18" i="4" a="1"/>
  <c r="CT18" i="4" s="1"/>
  <c r="CW20" i="4" a="1"/>
  <c r="CW20" i="4" s="1"/>
  <c r="CX23" i="4" a="1"/>
  <c r="CX23" i="4" s="1"/>
  <c r="CT26" i="4" a="1"/>
  <c r="CT26" i="4" s="1"/>
  <c r="CZ31" i="4" a="1"/>
  <c r="CZ31" i="4" s="1"/>
  <c r="CV34" i="4" a="1"/>
  <c r="CV34" i="4" s="1"/>
  <c r="CW37" i="4" a="1"/>
  <c r="CW37" i="4" s="1"/>
  <c r="CV42" i="4" a="1"/>
  <c r="CV42" i="4" s="1"/>
  <c r="CT45" i="4" a="1"/>
  <c r="CT45" i="4" s="1"/>
  <c r="CT47" i="4" a="1"/>
  <c r="CT47" i="4" s="1"/>
  <c r="CX51" i="4" a="1"/>
  <c r="CX51" i="4" s="1"/>
  <c r="CX55" i="4" a="1"/>
  <c r="CX55" i="4" s="1"/>
  <c r="CX59" i="4" a="1"/>
  <c r="CX59" i="4" s="1"/>
  <c r="CW64" i="4" a="1"/>
  <c r="CW64" i="4" s="1"/>
  <c r="CW69" i="4" a="1"/>
  <c r="CW69" i="4" s="1"/>
  <c r="CU84" i="4" a="1"/>
  <c r="CU84" i="4" s="1"/>
  <c r="CU89" i="4" a="1"/>
  <c r="CU89" i="4" s="1"/>
  <c r="CW95" i="4" a="1"/>
  <c r="CW95" i="4" s="1"/>
  <c r="CW100" i="4" a="1"/>
  <c r="CW100" i="4" s="1"/>
  <c r="CY105" i="4" a="1"/>
  <c r="CY105" i="4" s="1"/>
  <c r="CU118" i="4" a="1"/>
  <c r="CU118" i="4" s="1"/>
  <c r="CY122" i="4" a="1"/>
  <c r="CY122" i="4" s="1"/>
  <c r="CW128" i="4" a="1"/>
  <c r="CW128" i="4" s="1"/>
  <c r="CU133" i="4" a="1"/>
  <c r="CU133" i="4" s="1"/>
  <c r="CU138" i="4" a="1"/>
  <c r="CU138" i="4" s="1"/>
  <c r="CW145" i="4" a="1"/>
  <c r="CW145" i="4" s="1"/>
  <c r="CY151" i="4" a="1"/>
  <c r="CY151" i="4" s="1"/>
  <c r="CY156" i="4" a="1"/>
  <c r="CY156" i="4" s="1"/>
  <c r="CU169" i="4" a="1"/>
  <c r="CU169" i="4" s="1"/>
  <c r="CW174" i="4" a="1"/>
  <c r="CW174" i="4" s="1"/>
  <c r="CY178" i="4" a="1"/>
  <c r="CY178" i="4" s="1"/>
  <c r="CW185" i="4" a="1"/>
  <c r="CW185" i="4" s="1"/>
  <c r="CY190" i="4" a="1"/>
  <c r="CY190" i="4" s="1"/>
  <c r="CX198" i="4" a="1"/>
  <c r="CX198" i="4" s="1"/>
  <c r="CX202" i="4" a="1"/>
  <c r="CX202" i="4" s="1"/>
  <c r="CV206" i="4" a="1"/>
  <c r="CV206" i="4" s="1"/>
  <c r="CV214" i="4" a="1"/>
  <c r="CV214" i="4" s="1"/>
  <c r="CT218" i="4" a="1"/>
  <c r="CT218" i="4" s="1"/>
  <c r="CT222" i="4" a="1"/>
  <c r="CT222" i="4" s="1"/>
  <c r="CT230" i="4" a="1"/>
  <c r="CT230" i="4" s="1"/>
  <c r="CT234" i="4" a="1"/>
  <c r="CT234" i="4" s="1"/>
  <c r="CY237" i="4" a="1"/>
  <c r="CY237" i="4" s="1"/>
  <c r="CY243" i="4" a="1"/>
  <c r="CY243" i="4" s="1"/>
  <c r="CY247" i="4" a="1"/>
  <c r="CY247" i="4" s="1"/>
  <c r="CZ249" i="4" a="1"/>
  <c r="CZ249" i="4" s="1"/>
  <c r="CV257" i="4" a="1"/>
  <c r="CV257" i="4" s="1"/>
  <c r="CW51" i="4" a="1"/>
  <c r="CW51" i="4" s="1"/>
  <c r="CU54" i="4" a="1"/>
  <c r="CU54" i="4" s="1"/>
  <c r="CW55" i="4" a="1"/>
  <c r="CW55" i="4" s="1"/>
  <c r="CY56" i="4" a="1"/>
  <c r="CY56" i="4" s="1"/>
  <c r="CU58" i="4" a="1"/>
  <c r="CU58" i="4" s="1"/>
  <c r="CW59" i="4" a="1"/>
  <c r="CW59" i="4" s="1"/>
  <c r="CY60" i="4" a="1"/>
  <c r="CY60" i="4" s="1"/>
  <c r="CT62" i="4" a="1"/>
  <c r="CT62" i="4" s="1"/>
  <c r="CT64" i="4" a="1"/>
  <c r="CT64" i="4" s="1"/>
  <c r="CT65" i="4" a="1"/>
  <c r="CT65" i="4" s="1"/>
  <c r="CT66" i="4" a="1"/>
  <c r="CT66" i="4" s="1"/>
  <c r="CT67" i="4" a="1"/>
  <c r="CT67" i="4" s="1"/>
  <c r="CT68" i="4" a="1"/>
  <c r="CT68" i="4" s="1"/>
  <c r="CT69" i="4" a="1"/>
  <c r="CT69" i="4" s="1"/>
  <c r="CT70" i="4" a="1"/>
  <c r="CT70" i="4" s="1"/>
  <c r="CT72" i="4" a="1"/>
  <c r="CT72" i="4" s="1"/>
  <c r="CT78" i="4" a="1"/>
  <c r="CT78" i="4" s="1"/>
  <c r="CT80" i="4" a="1"/>
  <c r="CT80" i="4" s="1"/>
  <c r="CT81" i="4" a="1"/>
  <c r="CT81" i="4" s="1"/>
  <c r="CT82" i="4" a="1"/>
  <c r="CT82" i="4" s="1"/>
  <c r="CT84" i="4" a="1"/>
  <c r="CT84" i="4" s="1"/>
  <c r="CT85" i="4" a="1"/>
  <c r="CT85" i="4" s="1"/>
  <c r="CT87" i="4" a="1"/>
  <c r="CT87" i="4" s="1"/>
  <c r="CT88" i="4" a="1"/>
  <c r="CT88" i="4" s="1"/>
  <c r="CT89" i="4" a="1"/>
  <c r="CT89" i="4" s="1"/>
  <c r="CT90" i="4" a="1"/>
  <c r="CT90" i="4" s="1"/>
  <c r="CT91" i="4" a="1"/>
  <c r="CT91" i="4" s="1"/>
  <c r="CT93" i="4" a="1"/>
  <c r="CT93" i="4" s="1"/>
  <c r="CT94" i="4" a="1"/>
  <c r="CT94" i="4" s="1"/>
  <c r="CT95" i="4" a="1"/>
  <c r="CT95" i="4" s="1"/>
  <c r="CT96" i="4" a="1"/>
  <c r="CT96" i="4" s="1"/>
  <c r="CT97" i="4" a="1"/>
  <c r="CT97" i="4" s="1"/>
  <c r="CT98" i="4" a="1"/>
  <c r="CT98" i="4" s="1"/>
  <c r="CT100" i="4" a="1"/>
  <c r="CT100" i="4" s="1"/>
  <c r="CT102" i="4" a="1"/>
  <c r="CT102" i="4" s="1"/>
  <c r="CT103" i="4" a="1"/>
  <c r="CT103" i="4" s="1"/>
  <c r="CT104" i="4" a="1"/>
  <c r="CT104" i="4" s="1"/>
  <c r="CT105" i="4" a="1"/>
  <c r="CT105" i="4" s="1"/>
  <c r="CT106" i="4" a="1"/>
  <c r="CT106" i="4" s="1"/>
  <c r="CT107" i="4" a="1"/>
  <c r="CT107" i="4" s="1"/>
  <c r="CT108" i="4" a="1"/>
  <c r="CT108" i="4" s="1"/>
  <c r="CT109" i="4" a="1"/>
  <c r="CT109" i="4" s="1"/>
  <c r="CT113" i="4" a="1"/>
  <c r="CT113" i="4" s="1"/>
  <c r="CT114" i="4" a="1"/>
  <c r="CT114" i="4" s="1"/>
  <c r="CT115" i="4" a="1"/>
  <c r="CT115" i="4" s="1"/>
  <c r="CT116" i="4" a="1"/>
  <c r="CT116" i="4" s="1"/>
  <c r="CT117" i="4" a="1"/>
  <c r="CT117" i="4" s="1"/>
  <c r="CT118" i="4" a="1"/>
  <c r="CT118" i="4" s="1"/>
  <c r="CT119" i="4" a="1"/>
  <c r="CT119" i="4" s="1"/>
  <c r="CT120" i="4" a="1"/>
  <c r="CT120" i="4" s="1"/>
  <c r="CT121" i="4" a="1"/>
  <c r="CT121" i="4" s="1"/>
  <c r="CT122" i="4" a="1"/>
  <c r="CT122" i="4" s="1"/>
  <c r="CT123" i="4" a="1"/>
  <c r="CT123" i="4" s="1"/>
  <c r="CT124" i="4" a="1"/>
  <c r="CT124" i="4" s="1"/>
  <c r="CT126" i="4" a="1"/>
  <c r="CT126" i="4" s="1"/>
  <c r="CT127" i="4" a="1"/>
  <c r="CT127" i="4" s="1"/>
  <c r="CT128" i="4" a="1"/>
  <c r="CT128" i="4" s="1"/>
  <c r="CT129" i="4" a="1"/>
  <c r="CT129" i="4" s="1"/>
  <c r="CT131" i="4" a="1"/>
  <c r="CT131" i="4" s="1"/>
  <c r="CT132" i="4" a="1"/>
  <c r="CT132" i="4" s="1"/>
  <c r="CT133" i="4" a="1"/>
  <c r="CT133" i="4" s="1"/>
  <c r="CT134" i="4" a="1"/>
  <c r="CT134" i="4" s="1"/>
  <c r="CT135" i="4" a="1"/>
  <c r="CT135" i="4" s="1"/>
  <c r="CT136" i="4" a="1"/>
  <c r="CT136" i="4" s="1"/>
  <c r="CT138" i="4" a="1"/>
  <c r="CT138" i="4" s="1"/>
  <c r="CT139" i="4" a="1"/>
  <c r="CT139" i="4" s="1"/>
  <c r="CT140" i="4" a="1"/>
  <c r="CT140" i="4" s="1"/>
  <c r="CT141" i="4" a="1"/>
  <c r="CT141" i="4" s="1"/>
  <c r="CT143" i="4" a="1"/>
  <c r="CT143" i="4" s="1"/>
  <c r="CT144" i="4" a="1"/>
  <c r="CT144" i="4" s="1"/>
  <c r="CT145" i="4" a="1"/>
  <c r="CT145" i="4" s="1"/>
  <c r="CT148" i="4" a="1"/>
  <c r="CT148" i="4" s="1"/>
  <c r="CT149" i="4" a="1"/>
  <c r="CT149" i="4" s="1"/>
  <c r="CT150" i="4" a="1"/>
  <c r="CT150" i="4" s="1"/>
  <c r="CT151" i="4" a="1"/>
  <c r="CT151" i="4" s="1"/>
  <c r="CT152" i="4" a="1"/>
  <c r="CT152" i="4" s="1"/>
  <c r="CT153" i="4" a="1"/>
  <c r="CT153" i="4" s="1"/>
  <c r="CT154" i="4" a="1"/>
  <c r="CT154" i="4" s="1"/>
  <c r="CT156" i="4" a="1"/>
  <c r="CT156" i="4" s="1"/>
  <c r="CT158" i="4" a="1"/>
  <c r="CT158" i="4" s="1"/>
  <c r="CT159" i="4" a="1"/>
  <c r="CT159" i="4" s="1"/>
  <c r="CT160" i="4" a="1"/>
  <c r="CT160" i="4" s="1"/>
  <c r="CT162" i="4" a="1"/>
  <c r="CT162" i="4" s="1"/>
  <c r="CT168" i="4" a="1"/>
  <c r="CT168" i="4" s="1"/>
  <c r="CT169" i="4" a="1"/>
  <c r="CT169" i="4" s="1"/>
  <c r="CT170" i="4" a="1"/>
  <c r="CT170" i="4" s="1"/>
  <c r="CT171" i="4" a="1"/>
  <c r="CT171" i="4" s="1"/>
  <c r="CT172" i="4" a="1"/>
  <c r="CT172" i="4" s="1"/>
  <c r="CT174" i="4" a="1"/>
  <c r="CT174" i="4" s="1"/>
  <c r="CT175" i="4" a="1"/>
  <c r="CT175" i="4" s="1"/>
  <c r="CT176" i="4" a="1"/>
  <c r="CT176" i="4" s="1"/>
  <c r="CT178" i="4" a="1"/>
  <c r="CT178" i="4" s="1"/>
  <c r="CT179" i="4" a="1"/>
  <c r="CT179" i="4" s="1"/>
  <c r="CT181" i="4" a="1"/>
  <c r="CT181" i="4" s="1"/>
  <c r="CT184" i="4" a="1"/>
  <c r="CT184" i="4" s="1"/>
  <c r="CT185" i="4" a="1"/>
  <c r="CT185" i="4" s="1"/>
  <c r="CT186" i="4" a="1"/>
  <c r="CT186" i="4" s="1"/>
  <c r="CT187" i="4" a="1"/>
  <c r="CT187" i="4" s="1"/>
  <c r="CT188" i="4" a="1"/>
  <c r="CT188" i="4" s="1"/>
  <c r="CT189" i="4" a="1"/>
  <c r="CT189" i="4" s="1"/>
  <c r="CT190" i="4" a="1"/>
  <c r="CT190" i="4" s="1"/>
  <c r="CW192" i="4" a="1"/>
  <c r="CW192" i="4" s="1"/>
  <c r="CY193" i="4" a="1"/>
  <c r="CY193" i="4" s="1"/>
  <c r="CW196" i="4" a="1"/>
  <c r="CW196" i="4" s="1"/>
  <c r="CU199" i="4" a="1"/>
  <c r="CU199" i="4" s="1"/>
  <c r="CW200" i="4" a="1"/>
  <c r="CW200" i="4" s="1"/>
  <c r="CY201" i="4" a="1"/>
  <c r="CY201" i="4" s="1"/>
  <c r="CW204" i="4" a="1"/>
  <c r="CW204" i="4" s="1"/>
  <c r="CY205" i="4" a="1"/>
  <c r="CY205" i="4" s="1"/>
  <c r="CU207" i="4" a="1"/>
  <c r="CU207" i="4" s="1"/>
  <c r="CW208" i="4" a="1"/>
  <c r="CW208" i="4" s="1"/>
  <c r="CY209" i="4" a="1"/>
  <c r="CY209" i="4" s="1"/>
  <c r="CU211" i="4" a="1"/>
  <c r="CU211" i="4" s="1"/>
  <c r="CW212" i="4" a="1"/>
  <c r="CW212" i="4" s="1"/>
  <c r="CY213" i="4" a="1"/>
  <c r="CY213" i="4" s="1"/>
  <c r="CU215" i="4" a="1"/>
  <c r="CU215" i="4" s="1"/>
  <c r="CW216" i="4" a="1"/>
  <c r="CW216" i="4" s="1"/>
  <c r="CY217" i="4" a="1"/>
  <c r="CY217" i="4" s="1"/>
  <c r="CU219" i="4" a="1"/>
  <c r="CU219" i="4" s="1"/>
  <c r="CW220" i="4" a="1"/>
  <c r="CW220" i="4" s="1"/>
  <c r="CY221" i="4" a="1"/>
  <c r="CY221" i="4" s="1"/>
  <c r="CU223" i="4" a="1"/>
  <c r="CU223" i="4" s="1"/>
  <c r="CW224" i="4" a="1"/>
  <c r="CW224" i="4" s="1"/>
  <c r="CY225" i="4" a="1"/>
  <c r="CY225" i="4" s="1"/>
  <c r="CU227" i="4" a="1"/>
  <c r="CU227" i="4" s="1"/>
  <c r="CW228" i="4" a="1"/>
  <c r="CW228" i="4" s="1"/>
  <c r="CU231" i="4" a="1"/>
  <c r="CU231" i="4" s="1"/>
  <c r="CW232" i="4" a="1"/>
  <c r="CW232" i="4" s="1"/>
  <c r="CY233" i="4" a="1"/>
  <c r="CY233" i="4" s="1"/>
  <c r="CU235" i="4" a="1"/>
  <c r="CU235" i="4" s="1"/>
  <c r="CW236" i="4" a="1"/>
  <c r="CW236" i="4" s="1"/>
  <c r="CY250" i="4" a="1"/>
  <c r="CY250" i="4" s="1"/>
  <c r="CY254" i="4" a="1"/>
  <c r="CY254" i="4" s="1"/>
  <c r="CU256" i="4" a="1"/>
  <c r="CU256" i="4" s="1"/>
  <c r="CW257" i="4" a="1"/>
  <c r="CW257" i="4" s="1"/>
  <c r="CY258" i="4" a="1"/>
  <c r="CY258" i="4" s="1"/>
  <c r="CU260" i="4" a="1"/>
  <c r="CU260" i="4" s="1"/>
  <c r="CY262" i="4" a="1"/>
  <c r="CY262" i="4" s="1"/>
  <c r="FP4" i="4" a="1"/>
  <c r="FP4" i="4" s="1"/>
  <c r="FM4" i="4" a="1"/>
  <c r="FM4" i="4" s="1"/>
  <c r="EO4" i="4" a="1"/>
  <c r="EO4" i="4" s="1"/>
  <c r="FR4" i="4" a="1"/>
  <c r="FR4" i="4" s="1"/>
  <c r="FO4" i="4" a="1"/>
  <c r="FO4" i="4" s="1"/>
  <c r="FN4" i="4" a="1"/>
  <c r="FN4" i="4" s="1"/>
  <c r="EU4" i="4" a="1"/>
  <c r="EU4" i="4" s="1"/>
  <c r="FQ4" i="4" a="1"/>
  <c r="FQ4" i="4" s="1"/>
  <c r="FL4" i="4" a="1"/>
  <c r="FL4" i="4" s="1"/>
  <c r="EK5" i="4" a="1"/>
  <c r="EK5" i="4" s="1"/>
  <c r="EQ5" i="4" a="1"/>
  <c r="EQ5" i="4" s="1"/>
  <c r="FP8" i="4" a="1"/>
  <c r="FP8" i="4" s="1"/>
  <c r="FM8" i="4" a="1"/>
  <c r="FM8" i="4" s="1"/>
  <c r="EO8" i="4" a="1"/>
  <c r="EO8" i="4" s="1"/>
  <c r="FR8" i="4" a="1"/>
  <c r="FR8" i="4" s="1"/>
  <c r="FO8" i="4" a="1"/>
  <c r="FO8" i="4" s="1"/>
  <c r="FN8" i="4" a="1"/>
  <c r="FN8" i="4" s="1"/>
  <c r="EU8" i="4" a="1"/>
  <c r="EU8" i="4" s="1"/>
  <c r="FQ8" i="4" a="1"/>
  <c r="FQ8" i="4" s="1"/>
  <c r="FL8" i="4" a="1"/>
  <c r="FL8" i="4" s="1"/>
  <c r="EK9" i="4" a="1"/>
  <c r="EK9" i="4" s="1"/>
  <c r="EQ9" i="4" a="1"/>
  <c r="EQ9" i="4" s="1"/>
  <c r="FP12" i="4" a="1"/>
  <c r="FP12" i="4" s="1"/>
  <c r="FM12" i="4" a="1"/>
  <c r="FM12" i="4" s="1"/>
  <c r="EO12" i="4" a="1"/>
  <c r="EO12" i="4" s="1"/>
  <c r="FR12" i="4" a="1"/>
  <c r="FR12" i="4" s="1"/>
  <c r="FO12" i="4" a="1"/>
  <c r="FO12" i="4" s="1"/>
  <c r="FN12" i="4" a="1"/>
  <c r="FN12" i="4" s="1"/>
  <c r="EU12" i="4" a="1"/>
  <c r="EU12" i="4" s="1"/>
  <c r="FQ12" i="4" a="1"/>
  <c r="FQ12" i="4" s="1"/>
  <c r="FL12" i="4" a="1"/>
  <c r="FL12" i="4" s="1"/>
  <c r="EK13" i="4" a="1"/>
  <c r="EK13" i="4" s="1"/>
  <c r="EQ13" i="4" a="1"/>
  <c r="EQ13" i="4" s="1"/>
  <c r="FP16" i="4" a="1"/>
  <c r="FP16" i="4" s="1"/>
  <c r="FM16" i="4" a="1"/>
  <c r="FM16" i="4" s="1"/>
  <c r="EO16" i="4" a="1"/>
  <c r="EO16" i="4" s="1"/>
  <c r="FR16" i="4" a="1"/>
  <c r="FR16" i="4" s="1"/>
  <c r="FO16" i="4" a="1"/>
  <c r="FO16" i="4" s="1"/>
  <c r="FN16" i="4" a="1"/>
  <c r="FN16" i="4" s="1"/>
  <c r="EU16" i="4" a="1"/>
  <c r="EU16" i="4" s="1"/>
  <c r="FQ16" i="4" a="1"/>
  <c r="FQ16" i="4" s="1"/>
  <c r="FL16" i="4" a="1"/>
  <c r="FL16" i="4" s="1"/>
  <c r="EK17" i="4" a="1"/>
  <c r="EK17" i="4" s="1"/>
  <c r="EQ17" i="4" a="1"/>
  <c r="EQ17" i="4" s="1"/>
  <c r="FP20" i="4" a="1"/>
  <c r="FP20" i="4" s="1"/>
  <c r="FM20" i="4" a="1"/>
  <c r="FM20" i="4" s="1"/>
  <c r="EO20" i="4" a="1"/>
  <c r="EO20" i="4" s="1"/>
  <c r="FR20" i="4" a="1"/>
  <c r="FR20" i="4" s="1"/>
  <c r="FO20" i="4" a="1"/>
  <c r="FO20" i="4" s="1"/>
  <c r="FN20" i="4" a="1"/>
  <c r="FN20" i="4" s="1"/>
  <c r="EU20" i="4" a="1"/>
  <c r="EU20" i="4" s="1"/>
  <c r="FQ20" i="4" a="1"/>
  <c r="FQ20" i="4" s="1"/>
  <c r="FL20" i="4" a="1"/>
  <c r="FL20" i="4" s="1"/>
  <c r="EK21" i="4" a="1"/>
  <c r="EK21" i="4" s="1"/>
  <c r="EQ21" i="4" a="1"/>
  <c r="EQ21" i="4" s="1"/>
  <c r="FP24" i="4" a="1"/>
  <c r="FP24" i="4" s="1"/>
  <c r="FM24" i="4" a="1"/>
  <c r="FM24" i="4" s="1"/>
  <c r="EO24" i="4" a="1"/>
  <c r="EO24" i="4" s="1"/>
  <c r="FR24" i="4" a="1"/>
  <c r="FR24" i="4" s="1"/>
  <c r="FO24" i="4" a="1"/>
  <c r="FO24" i="4" s="1"/>
  <c r="FN24" i="4" a="1"/>
  <c r="FN24" i="4" s="1"/>
  <c r="EU24" i="4" a="1"/>
  <c r="EU24" i="4" s="1"/>
  <c r="FQ24" i="4" a="1"/>
  <c r="FQ24" i="4" s="1"/>
  <c r="FL24" i="4" a="1"/>
  <c r="FL24" i="4" s="1"/>
  <c r="EK25" i="4" a="1"/>
  <c r="EK25" i="4" s="1"/>
  <c r="EQ25" i="4" a="1"/>
  <c r="EQ25" i="4" s="1"/>
  <c r="FP28" i="4" a="1"/>
  <c r="FP28" i="4" s="1"/>
  <c r="FM28" i="4" a="1"/>
  <c r="FM28" i="4" s="1"/>
  <c r="EO28" i="4" a="1"/>
  <c r="EO28" i="4" s="1"/>
  <c r="FR28" i="4" a="1"/>
  <c r="FR28" i="4" s="1"/>
  <c r="FO28" i="4" a="1"/>
  <c r="FO28" i="4" s="1"/>
  <c r="FN28" i="4" a="1"/>
  <c r="FN28" i="4" s="1"/>
  <c r="EU28" i="4" a="1"/>
  <c r="EU28" i="4" s="1"/>
  <c r="FL28" i="4" a="1"/>
  <c r="FL28" i="4" s="1"/>
  <c r="FQ28" i="4" a="1"/>
  <c r="FQ28" i="4" s="1"/>
  <c r="EK29" i="4" a="1"/>
  <c r="EK29" i="4" s="1"/>
  <c r="EQ29" i="4" a="1"/>
  <c r="EQ29" i="4" s="1"/>
  <c r="FJ33" i="4" a="1"/>
  <c r="FJ33" i="4" s="1"/>
  <c r="FE33" i="4" a="1"/>
  <c r="FE33" i="4" s="1"/>
  <c r="FG33" i="4" a="1"/>
  <c r="FG33" i="4" s="1"/>
  <c r="FK33" i="4" a="1"/>
  <c r="FK33" i="4" s="1"/>
  <c r="FH33" i="4" a="1"/>
  <c r="FH33" i="4" s="1"/>
  <c r="EM33" i="4" a="1"/>
  <c r="EM33" i="4" s="1"/>
  <c r="ES33" i="4" a="1"/>
  <c r="ES33" i="4" s="1"/>
  <c r="FF33" i="4" a="1"/>
  <c r="FF33" i="4" s="1"/>
  <c r="FI33" i="4" a="1"/>
  <c r="FI33" i="4" s="1"/>
  <c r="FJ37" i="4" a="1"/>
  <c r="FJ37" i="4" s="1"/>
  <c r="FE37" i="4" a="1"/>
  <c r="FE37" i="4" s="1"/>
  <c r="FG37" i="4" a="1"/>
  <c r="FG37" i="4" s="1"/>
  <c r="FK37" i="4" a="1"/>
  <c r="FK37" i="4" s="1"/>
  <c r="FH37" i="4" a="1"/>
  <c r="FH37" i="4" s="1"/>
  <c r="EM37" i="4" a="1"/>
  <c r="EM37" i="4" s="1"/>
  <c r="ES37" i="4" a="1"/>
  <c r="ES37" i="4" s="1"/>
  <c r="FF37" i="4" a="1"/>
  <c r="FF37" i="4" s="1"/>
  <c r="FI37" i="4" a="1"/>
  <c r="FI37" i="4" s="1"/>
  <c r="FJ41" i="4" a="1"/>
  <c r="FJ41" i="4" s="1"/>
  <c r="FE41" i="4" a="1"/>
  <c r="FE41" i="4" s="1"/>
  <c r="FG41" i="4" a="1"/>
  <c r="FG41" i="4" s="1"/>
  <c r="FK41" i="4" a="1"/>
  <c r="FK41" i="4" s="1"/>
  <c r="FH41" i="4" a="1"/>
  <c r="FH41" i="4" s="1"/>
  <c r="EM41" i="4" a="1"/>
  <c r="EM41" i="4" s="1"/>
  <c r="FI41" i="4" a="1"/>
  <c r="FI41" i="4" s="1"/>
  <c r="ES41" i="4" a="1"/>
  <c r="ES41" i="4" s="1"/>
  <c r="FF41" i="4" a="1"/>
  <c r="FF41" i="4" s="1"/>
  <c r="FK46" i="4" a="1"/>
  <c r="FK46" i="4" s="1"/>
  <c r="FH46" i="4" a="1"/>
  <c r="FH46" i="4" s="1"/>
  <c r="EM46" i="4" a="1"/>
  <c r="EM46" i="4" s="1"/>
  <c r="FJ46" i="4" a="1"/>
  <c r="FJ46" i="4" s="1"/>
  <c r="FE46" i="4" a="1"/>
  <c r="FE46" i="4" s="1"/>
  <c r="FI46" i="4" a="1"/>
  <c r="FI46" i="4" s="1"/>
  <c r="FF46" i="4" a="1"/>
  <c r="FF46" i="4" s="1"/>
  <c r="ES46" i="4" a="1"/>
  <c r="ES46" i="4" s="1"/>
  <c r="FG46" i="4" a="1"/>
  <c r="FG46" i="4" s="1"/>
  <c r="FK50" i="4" a="1"/>
  <c r="FK50" i="4" s="1"/>
  <c r="FH50" i="4" a="1"/>
  <c r="FH50" i="4" s="1"/>
  <c r="EM50" i="4" a="1"/>
  <c r="EM50" i="4" s="1"/>
  <c r="FJ50" i="4" a="1"/>
  <c r="FJ50" i="4" s="1"/>
  <c r="FE50" i="4" a="1"/>
  <c r="FE50" i="4" s="1"/>
  <c r="FI50" i="4" a="1"/>
  <c r="FI50" i="4" s="1"/>
  <c r="FF50" i="4" a="1"/>
  <c r="FF50" i="4" s="1"/>
  <c r="ES50" i="4" a="1"/>
  <c r="ES50" i="4" s="1"/>
  <c r="FG50" i="4" a="1"/>
  <c r="FG50" i="4" s="1"/>
  <c r="FX53" i="4" a="1"/>
  <c r="FX53" i="4" s="1"/>
  <c r="FV53" i="4" a="1"/>
  <c r="FV53" i="4" s="1"/>
  <c r="FT53" i="4" a="1"/>
  <c r="FT53" i="4" s="1"/>
  <c r="EV53" i="4" a="1"/>
  <c r="EV53" i="4" s="1"/>
  <c r="EP53" i="4" a="1"/>
  <c r="EP53" i="4" s="1"/>
  <c r="FY53" i="4" a="1"/>
  <c r="FY53" i="4" s="1"/>
  <c r="FS53" i="4" a="1"/>
  <c r="FS53" i="4" s="1"/>
  <c r="FW53" i="4" a="1"/>
  <c r="FW53" i="4" s="1"/>
  <c r="FU53" i="4" a="1"/>
  <c r="FU53" i="4" s="1"/>
  <c r="FD54" i="4" a="1"/>
  <c r="FD54" i="4" s="1"/>
  <c r="FB54" i="4" a="1"/>
  <c r="FB54" i="4" s="1"/>
  <c r="EZ54" i="4" a="1"/>
  <c r="EZ54" i="4" s="1"/>
  <c r="EX54" i="4" a="1"/>
  <c r="EX54" i="4" s="1"/>
  <c r="ER54" i="4" a="1"/>
  <c r="ER54" i="4" s="1"/>
  <c r="EL54" i="4" a="1"/>
  <c r="EL54" i="4" s="1"/>
  <c r="EY54" i="4" a="1"/>
  <c r="EY54" i="4" s="1"/>
  <c r="FC54" i="4" a="1"/>
  <c r="FC54" i="4" s="1"/>
  <c r="FA54" i="4" a="1"/>
  <c r="FA54" i="4" s="1"/>
  <c r="FX57" i="4" a="1"/>
  <c r="FX57" i="4" s="1"/>
  <c r="FV57" i="4" a="1"/>
  <c r="FV57" i="4" s="1"/>
  <c r="FT57" i="4" a="1"/>
  <c r="FT57" i="4" s="1"/>
  <c r="EV57" i="4" a="1"/>
  <c r="EV57" i="4" s="1"/>
  <c r="EP57" i="4" a="1"/>
  <c r="EP57" i="4" s="1"/>
  <c r="FY57" i="4" a="1"/>
  <c r="FY57" i="4" s="1"/>
  <c r="FS57" i="4" a="1"/>
  <c r="FS57" i="4" s="1"/>
  <c r="FW57" i="4" a="1"/>
  <c r="FW57" i="4" s="1"/>
  <c r="FU57" i="4" a="1"/>
  <c r="FU57" i="4" s="1"/>
  <c r="FD58" i="4" a="1"/>
  <c r="FD58" i="4" s="1"/>
  <c r="FB58" i="4" a="1"/>
  <c r="FB58" i="4" s="1"/>
  <c r="EZ58" i="4" a="1"/>
  <c r="EZ58" i="4" s="1"/>
  <c r="EX58" i="4" a="1"/>
  <c r="EX58" i="4" s="1"/>
  <c r="ER58" i="4" a="1"/>
  <c r="ER58" i="4" s="1"/>
  <c r="EL58" i="4" a="1"/>
  <c r="EL58" i="4" s="1"/>
  <c r="EY58" i="4" a="1"/>
  <c r="EY58" i="4" s="1"/>
  <c r="FC58" i="4" a="1"/>
  <c r="FC58" i="4" s="1"/>
  <c r="FA58" i="4" a="1"/>
  <c r="FA58" i="4" s="1"/>
  <c r="FX61" i="4" a="1"/>
  <c r="FX61" i="4" s="1"/>
  <c r="FV61" i="4" a="1"/>
  <c r="FV61" i="4" s="1"/>
  <c r="FT61" i="4" a="1"/>
  <c r="FT61" i="4" s="1"/>
  <c r="EV61" i="4" a="1"/>
  <c r="EV61" i="4" s="1"/>
  <c r="EP61" i="4" a="1"/>
  <c r="EP61" i="4" s="1"/>
  <c r="FY61" i="4" a="1"/>
  <c r="FY61" i="4" s="1"/>
  <c r="FS61" i="4" a="1"/>
  <c r="FS61" i="4" s="1"/>
  <c r="FW61" i="4" a="1"/>
  <c r="FW61" i="4" s="1"/>
  <c r="FU61" i="4" a="1"/>
  <c r="FU61" i="4" s="1"/>
  <c r="ET182" i="4" a="1"/>
  <c r="ET182" i="4" s="1"/>
  <c r="EN182" i="4" a="1"/>
  <c r="EN182" i="4" s="1"/>
  <c r="EN184" i="4" a="1"/>
  <c r="EN184" i="4" s="1"/>
  <c r="ET184" i="4" a="1"/>
  <c r="ET184" i="4" s="1"/>
  <c r="ET186" i="4" a="1"/>
  <c r="ET186" i="4" s="1"/>
  <c r="EN186" i="4" a="1"/>
  <c r="EN186" i="4" s="1"/>
  <c r="EN188" i="4" a="1"/>
  <c r="EN188" i="4" s="1"/>
  <c r="ET188" i="4" a="1"/>
  <c r="ET188" i="4" s="1"/>
  <c r="ET190" i="4" a="1"/>
  <c r="ET190" i="4" s="1"/>
  <c r="EN190" i="4" a="1"/>
  <c r="EN190" i="4" s="1"/>
  <c r="FX193" i="4" a="1"/>
  <c r="FX193" i="4" s="1"/>
  <c r="FV193" i="4" a="1"/>
  <c r="FV193" i="4" s="1"/>
  <c r="FT193" i="4" a="1"/>
  <c r="FT193" i="4" s="1"/>
  <c r="EV193" i="4" a="1"/>
  <c r="EV193" i="4" s="1"/>
  <c r="EP193" i="4" a="1"/>
  <c r="EP193" i="4" s="1"/>
  <c r="FU193" i="4" a="1"/>
  <c r="FU193" i="4" s="1"/>
  <c r="FW193" i="4" a="1"/>
  <c r="FW193" i="4" s="1"/>
  <c r="FS193" i="4" a="1"/>
  <c r="FS193" i="4" s="1"/>
  <c r="FY193" i="4" a="1"/>
  <c r="FY193" i="4" s="1"/>
  <c r="FD194" i="4" a="1"/>
  <c r="FD194" i="4" s="1"/>
  <c r="FB194" i="4" a="1"/>
  <c r="FB194" i="4" s="1"/>
  <c r="EZ194" i="4" a="1"/>
  <c r="EZ194" i="4" s="1"/>
  <c r="EX194" i="4" a="1"/>
  <c r="EX194" i="4" s="1"/>
  <c r="ER194" i="4" a="1"/>
  <c r="ER194" i="4" s="1"/>
  <c r="EL194" i="4" a="1"/>
  <c r="EL194" i="4" s="1"/>
  <c r="FA194" i="4" a="1"/>
  <c r="FA194" i="4" s="1"/>
  <c r="FC194" i="4" a="1"/>
  <c r="FC194" i="4" s="1"/>
  <c r="EY194" i="4" a="1"/>
  <c r="EY194" i="4" s="1"/>
  <c r="FX197" i="4" a="1"/>
  <c r="FX197" i="4" s="1"/>
  <c r="FV197" i="4" a="1"/>
  <c r="FV197" i="4" s="1"/>
  <c r="FT197" i="4" a="1"/>
  <c r="FT197" i="4" s="1"/>
  <c r="EV197" i="4" a="1"/>
  <c r="EV197" i="4" s="1"/>
  <c r="EP197" i="4" a="1"/>
  <c r="EP197" i="4" s="1"/>
  <c r="FU197" i="4" a="1"/>
  <c r="FU197" i="4" s="1"/>
  <c r="FW197" i="4" a="1"/>
  <c r="FW197" i="4" s="1"/>
  <c r="FS197" i="4" a="1"/>
  <c r="FS197" i="4" s="1"/>
  <c r="FY197" i="4" a="1"/>
  <c r="FY197" i="4" s="1"/>
  <c r="FD198" i="4" a="1"/>
  <c r="FD198" i="4" s="1"/>
  <c r="FB198" i="4" a="1"/>
  <c r="FB198" i="4" s="1"/>
  <c r="EZ198" i="4" a="1"/>
  <c r="EZ198" i="4" s="1"/>
  <c r="EX198" i="4" a="1"/>
  <c r="EX198" i="4" s="1"/>
  <c r="ER198" i="4" a="1"/>
  <c r="ER198" i="4" s="1"/>
  <c r="EL198" i="4" a="1"/>
  <c r="EL198" i="4" s="1"/>
  <c r="FA198" i="4" a="1"/>
  <c r="FA198" i="4" s="1"/>
  <c r="FC198" i="4" a="1"/>
  <c r="FC198" i="4" s="1"/>
  <c r="EY198" i="4" a="1"/>
  <c r="EY198" i="4" s="1"/>
  <c r="FX201" i="4" a="1"/>
  <c r="FX201" i="4" s="1"/>
  <c r="FV201" i="4" a="1"/>
  <c r="FV201" i="4" s="1"/>
  <c r="FT201" i="4" a="1"/>
  <c r="FT201" i="4" s="1"/>
  <c r="EV201" i="4" a="1"/>
  <c r="EV201" i="4" s="1"/>
  <c r="EP201" i="4" a="1"/>
  <c r="EP201" i="4" s="1"/>
  <c r="FU201" i="4" a="1"/>
  <c r="FU201" i="4" s="1"/>
  <c r="FW201" i="4" a="1"/>
  <c r="FW201" i="4" s="1"/>
  <c r="FS201" i="4" a="1"/>
  <c r="FS201" i="4" s="1"/>
  <c r="FY201" i="4" a="1"/>
  <c r="FY201" i="4" s="1"/>
  <c r="FD202" i="4" a="1"/>
  <c r="FD202" i="4" s="1"/>
  <c r="FB202" i="4" a="1"/>
  <c r="FB202" i="4" s="1"/>
  <c r="EZ202" i="4" a="1"/>
  <c r="EZ202" i="4" s="1"/>
  <c r="EX202" i="4" a="1"/>
  <c r="EX202" i="4" s="1"/>
  <c r="ER202" i="4" a="1"/>
  <c r="ER202" i="4" s="1"/>
  <c r="EL202" i="4" a="1"/>
  <c r="EL202" i="4" s="1"/>
  <c r="FA202" i="4" a="1"/>
  <c r="FA202" i="4" s="1"/>
  <c r="FC202" i="4" a="1"/>
  <c r="FC202" i="4" s="1"/>
  <c r="EY202" i="4" a="1"/>
  <c r="EY202" i="4" s="1"/>
  <c r="FX205" i="4" a="1"/>
  <c r="FX205" i="4" s="1"/>
  <c r="FV205" i="4" a="1"/>
  <c r="FV205" i="4" s="1"/>
  <c r="FT205" i="4" a="1"/>
  <c r="FT205" i="4" s="1"/>
  <c r="EV205" i="4" a="1"/>
  <c r="EV205" i="4" s="1"/>
  <c r="EP205" i="4" a="1"/>
  <c r="EP205" i="4" s="1"/>
  <c r="FS205" i="4" a="1"/>
  <c r="FS205" i="4" s="1"/>
  <c r="FU205" i="4" a="1"/>
  <c r="FU205" i="4" s="1"/>
  <c r="FY205" i="4" a="1"/>
  <c r="FY205" i="4" s="1"/>
  <c r="FW205" i="4" a="1"/>
  <c r="FW205" i="4" s="1"/>
  <c r="FD206" i="4" a="1"/>
  <c r="FD206" i="4" s="1"/>
  <c r="FB206" i="4" a="1"/>
  <c r="FB206" i="4" s="1"/>
  <c r="EZ206" i="4" a="1"/>
  <c r="EZ206" i="4" s="1"/>
  <c r="EX206" i="4" a="1"/>
  <c r="EX206" i="4" s="1"/>
  <c r="ER206" i="4" a="1"/>
  <c r="ER206" i="4" s="1"/>
  <c r="EL206" i="4" a="1"/>
  <c r="EL206" i="4" s="1"/>
  <c r="EY206" i="4" a="1"/>
  <c r="EY206" i="4" s="1"/>
  <c r="FA206" i="4" a="1"/>
  <c r="FA206" i="4" s="1"/>
  <c r="FC206" i="4" a="1"/>
  <c r="FC206" i="4" s="1"/>
  <c r="FX209" i="4" a="1"/>
  <c r="FX209" i="4" s="1"/>
  <c r="FV209" i="4" a="1"/>
  <c r="FV209" i="4" s="1"/>
  <c r="FT209" i="4" a="1"/>
  <c r="FT209" i="4" s="1"/>
  <c r="EV209" i="4" a="1"/>
  <c r="EV209" i="4" s="1"/>
  <c r="EP209" i="4" a="1"/>
  <c r="EP209" i="4" s="1"/>
  <c r="FS209" i="4" a="1"/>
  <c r="FS209" i="4" s="1"/>
  <c r="FU209" i="4" a="1"/>
  <c r="FU209" i="4" s="1"/>
  <c r="FY209" i="4" a="1"/>
  <c r="FY209" i="4" s="1"/>
  <c r="FW209" i="4" a="1"/>
  <c r="FW209" i="4" s="1"/>
  <c r="FD210" i="4" a="1"/>
  <c r="FD210" i="4" s="1"/>
  <c r="FB210" i="4" a="1"/>
  <c r="FB210" i="4" s="1"/>
  <c r="EZ210" i="4" a="1"/>
  <c r="EZ210" i="4" s="1"/>
  <c r="EX210" i="4" a="1"/>
  <c r="EX210" i="4" s="1"/>
  <c r="ER210" i="4" a="1"/>
  <c r="ER210" i="4" s="1"/>
  <c r="EL210" i="4" a="1"/>
  <c r="EL210" i="4" s="1"/>
  <c r="EY210" i="4" a="1"/>
  <c r="EY210" i="4" s="1"/>
  <c r="FA210" i="4" a="1"/>
  <c r="FA210" i="4" s="1"/>
  <c r="FC210" i="4" a="1"/>
  <c r="FC210" i="4" s="1"/>
  <c r="FX213" i="4" a="1"/>
  <c r="FX213" i="4" s="1"/>
  <c r="FV213" i="4" a="1"/>
  <c r="FV213" i="4" s="1"/>
  <c r="FT213" i="4" a="1"/>
  <c r="FT213" i="4" s="1"/>
  <c r="EV213" i="4" a="1"/>
  <c r="EV213" i="4" s="1"/>
  <c r="EP213" i="4" a="1"/>
  <c r="EP213" i="4" s="1"/>
  <c r="FS213" i="4" a="1"/>
  <c r="FS213" i="4" s="1"/>
  <c r="FU213" i="4" a="1"/>
  <c r="FU213" i="4" s="1"/>
  <c r="FY213" i="4" a="1"/>
  <c r="FY213" i="4" s="1"/>
  <c r="FW213" i="4" a="1"/>
  <c r="FW213" i="4" s="1"/>
  <c r="FD214" i="4" a="1"/>
  <c r="FD214" i="4" s="1"/>
  <c r="FB214" i="4" a="1"/>
  <c r="FB214" i="4" s="1"/>
  <c r="EZ214" i="4" a="1"/>
  <c r="EZ214" i="4" s="1"/>
  <c r="EX214" i="4" a="1"/>
  <c r="EX214" i="4" s="1"/>
  <c r="ER214" i="4" a="1"/>
  <c r="ER214" i="4" s="1"/>
  <c r="EL214" i="4" a="1"/>
  <c r="EL214" i="4" s="1"/>
  <c r="EY214" i="4" a="1"/>
  <c r="EY214" i="4" s="1"/>
  <c r="FA214" i="4" a="1"/>
  <c r="FA214" i="4" s="1"/>
  <c r="FC214" i="4" a="1"/>
  <c r="FC214" i="4" s="1"/>
  <c r="FX217" i="4" a="1"/>
  <c r="FX217" i="4" s="1"/>
  <c r="FV217" i="4" a="1"/>
  <c r="FV217" i="4" s="1"/>
  <c r="FT217" i="4" a="1"/>
  <c r="FT217" i="4" s="1"/>
  <c r="EV217" i="4" a="1"/>
  <c r="EV217" i="4" s="1"/>
  <c r="EP217" i="4" a="1"/>
  <c r="EP217" i="4" s="1"/>
  <c r="FY217" i="4" a="1"/>
  <c r="FY217" i="4" s="1"/>
  <c r="FS217" i="4" a="1"/>
  <c r="FS217" i="4" s="1"/>
  <c r="FW217" i="4" a="1"/>
  <c r="FW217" i="4" s="1"/>
  <c r="FU217" i="4" a="1"/>
  <c r="FU217" i="4" s="1"/>
  <c r="FD218" i="4" a="1"/>
  <c r="FD218" i="4" s="1"/>
  <c r="FB218" i="4" a="1"/>
  <c r="FB218" i="4" s="1"/>
  <c r="EZ218" i="4" a="1"/>
  <c r="EZ218" i="4" s="1"/>
  <c r="EX218" i="4" a="1"/>
  <c r="EX218" i="4" s="1"/>
  <c r="ER218" i="4" a="1"/>
  <c r="ER218" i="4" s="1"/>
  <c r="EL218" i="4" a="1"/>
  <c r="EL218" i="4" s="1"/>
  <c r="EY218" i="4" a="1"/>
  <c r="EY218" i="4" s="1"/>
  <c r="FC218" i="4" a="1"/>
  <c r="FC218" i="4" s="1"/>
  <c r="FA218" i="4" a="1"/>
  <c r="FA218" i="4" s="1"/>
  <c r="FX221" i="4" a="1"/>
  <c r="FX221" i="4" s="1"/>
  <c r="FV221" i="4" a="1"/>
  <c r="FV221" i="4" s="1"/>
  <c r="FT221" i="4" a="1"/>
  <c r="FT221" i="4" s="1"/>
  <c r="EV221" i="4" a="1"/>
  <c r="EV221" i="4" s="1"/>
  <c r="EP221" i="4" a="1"/>
  <c r="EP221" i="4" s="1"/>
  <c r="FY221" i="4" a="1"/>
  <c r="FY221" i="4" s="1"/>
  <c r="FS221" i="4" a="1"/>
  <c r="FS221" i="4" s="1"/>
  <c r="FW221" i="4" a="1"/>
  <c r="FW221" i="4" s="1"/>
  <c r="FU221" i="4" a="1"/>
  <c r="FU221" i="4" s="1"/>
  <c r="FD222" i="4" a="1"/>
  <c r="FD222" i="4" s="1"/>
  <c r="FB222" i="4" a="1"/>
  <c r="FB222" i="4" s="1"/>
  <c r="EZ222" i="4" a="1"/>
  <c r="EZ222" i="4" s="1"/>
  <c r="EX222" i="4" a="1"/>
  <c r="EX222" i="4" s="1"/>
  <c r="ER222" i="4" a="1"/>
  <c r="ER222" i="4" s="1"/>
  <c r="EL222" i="4" a="1"/>
  <c r="EL222" i="4" s="1"/>
  <c r="EY222" i="4" a="1"/>
  <c r="EY222" i="4" s="1"/>
  <c r="FC222" i="4" a="1"/>
  <c r="FC222" i="4" s="1"/>
  <c r="FA222" i="4" a="1"/>
  <c r="FA222" i="4" s="1"/>
  <c r="FX225" i="4" a="1"/>
  <c r="FX225" i="4" s="1"/>
  <c r="FV225" i="4" a="1"/>
  <c r="FV225" i="4" s="1"/>
  <c r="FT225" i="4" a="1"/>
  <c r="FT225" i="4" s="1"/>
  <c r="EV225" i="4" a="1"/>
  <c r="EV225" i="4" s="1"/>
  <c r="EP225" i="4" a="1"/>
  <c r="EP225" i="4" s="1"/>
  <c r="FY225" i="4" a="1"/>
  <c r="FY225" i="4" s="1"/>
  <c r="FS225" i="4" a="1"/>
  <c r="FS225" i="4" s="1"/>
  <c r="FW225" i="4" a="1"/>
  <c r="FW225" i="4" s="1"/>
  <c r="FU225" i="4" a="1"/>
  <c r="FU225" i="4" s="1"/>
  <c r="FD226" i="4" a="1"/>
  <c r="FD226" i="4" s="1"/>
  <c r="FB226" i="4" a="1"/>
  <c r="FB226" i="4" s="1"/>
  <c r="EZ226" i="4" a="1"/>
  <c r="EZ226" i="4" s="1"/>
  <c r="EX226" i="4" a="1"/>
  <c r="EX226" i="4" s="1"/>
  <c r="ER226" i="4" a="1"/>
  <c r="ER226" i="4" s="1"/>
  <c r="EL226" i="4" a="1"/>
  <c r="EL226" i="4" s="1"/>
  <c r="EY226" i="4" a="1"/>
  <c r="EY226" i="4" s="1"/>
  <c r="FC226" i="4" a="1"/>
  <c r="FC226" i="4" s="1"/>
  <c r="FA226" i="4" a="1"/>
  <c r="FA226" i="4" s="1"/>
  <c r="FX229" i="4" a="1"/>
  <c r="FX229" i="4" s="1"/>
  <c r="FV229" i="4" a="1"/>
  <c r="FV229" i="4" s="1"/>
  <c r="FT229" i="4" a="1"/>
  <c r="FT229" i="4" s="1"/>
  <c r="EV229" i="4" a="1"/>
  <c r="EV229" i="4" s="1"/>
  <c r="EP229" i="4" a="1"/>
  <c r="EP229" i="4" s="1"/>
  <c r="FY229" i="4" a="1"/>
  <c r="FY229" i="4" s="1"/>
  <c r="FS229" i="4" a="1"/>
  <c r="FS229" i="4" s="1"/>
  <c r="FW229" i="4" a="1"/>
  <c r="FW229" i="4" s="1"/>
  <c r="FU229" i="4" a="1"/>
  <c r="FU229" i="4" s="1"/>
  <c r="FD230" i="4" a="1"/>
  <c r="FD230" i="4" s="1"/>
  <c r="FB230" i="4" a="1"/>
  <c r="FB230" i="4" s="1"/>
  <c r="EZ230" i="4" a="1"/>
  <c r="EZ230" i="4" s="1"/>
  <c r="EX230" i="4" a="1"/>
  <c r="EX230" i="4" s="1"/>
  <c r="ER230" i="4" a="1"/>
  <c r="ER230" i="4" s="1"/>
  <c r="EL230" i="4" a="1"/>
  <c r="EL230" i="4" s="1"/>
  <c r="EY230" i="4" a="1"/>
  <c r="EY230" i="4" s="1"/>
  <c r="FC230" i="4" a="1"/>
  <c r="FC230" i="4" s="1"/>
  <c r="FA230" i="4" a="1"/>
  <c r="FA230" i="4" s="1"/>
  <c r="FX233" i="4" a="1"/>
  <c r="FX233" i="4" s="1"/>
  <c r="FV233" i="4" a="1"/>
  <c r="FV233" i="4" s="1"/>
  <c r="FT233" i="4" a="1"/>
  <c r="FT233" i="4" s="1"/>
  <c r="EV233" i="4" a="1"/>
  <c r="EV233" i="4" s="1"/>
  <c r="EP233" i="4" a="1"/>
  <c r="EP233" i="4" s="1"/>
  <c r="FY233" i="4" a="1"/>
  <c r="FY233" i="4" s="1"/>
  <c r="FS233" i="4" a="1"/>
  <c r="FS233" i="4" s="1"/>
  <c r="FW233" i="4" a="1"/>
  <c r="FW233" i="4" s="1"/>
  <c r="FU233" i="4" a="1"/>
  <c r="FU233" i="4" s="1"/>
  <c r="FD234" i="4" a="1"/>
  <c r="FD234" i="4" s="1"/>
  <c r="FB234" i="4" a="1"/>
  <c r="FB234" i="4" s="1"/>
  <c r="EZ234" i="4" a="1"/>
  <c r="EZ234" i="4" s="1"/>
  <c r="EX234" i="4" a="1"/>
  <c r="EX234" i="4" s="1"/>
  <c r="ER234" i="4" a="1"/>
  <c r="ER234" i="4" s="1"/>
  <c r="EL234" i="4" a="1"/>
  <c r="EL234" i="4" s="1"/>
  <c r="EY234" i="4" a="1"/>
  <c r="EY234" i="4" s="1"/>
  <c r="FC234" i="4" a="1"/>
  <c r="FC234" i="4" s="1"/>
  <c r="FA234" i="4" a="1"/>
  <c r="FA234" i="4" s="1"/>
  <c r="FK238" i="4" a="1"/>
  <c r="FK238" i="4" s="1"/>
  <c r="FH238" i="4" a="1"/>
  <c r="FH238" i="4" s="1"/>
  <c r="EM238" i="4" a="1"/>
  <c r="EM238" i="4" s="1"/>
  <c r="FJ238" i="4" a="1"/>
  <c r="FJ238" i="4" s="1"/>
  <c r="FE238" i="4" a="1"/>
  <c r="FE238" i="4" s="1"/>
  <c r="FI238" i="4" a="1"/>
  <c r="FI238" i="4" s="1"/>
  <c r="FF238" i="4" a="1"/>
  <c r="FF238" i="4" s="1"/>
  <c r="ES238" i="4" a="1"/>
  <c r="ES238" i="4" s="1"/>
  <c r="FG238" i="4" a="1"/>
  <c r="FG238" i="4" s="1"/>
  <c r="FK242" i="4" a="1"/>
  <c r="FK242" i="4" s="1"/>
  <c r="FH242" i="4" a="1"/>
  <c r="FH242" i="4" s="1"/>
  <c r="EM242" i="4" a="1"/>
  <c r="EM242" i="4" s="1"/>
  <c r="FJ242" i="4" a="1"/>
  <c r="FJ242" i="4" s="1"/>
  <c r="FE242" i="4" a="1"/>
  <c r="FE242" i="4" s="1"/>
  <c r="FI242" i="4" a="1"/>
  <c r="FI242" i="4" s="1"/>
  <c r="FF242" i="4" a="1"/>
  <c r="FF242" i="4" s="1"/>
  <c r="ES242" i="4" a="1"/>
  <c r="ES242" i="4" s="1"/>
  <c r="FG242" i="4" a="1"/>
  <c r="FG242" i="4" s="1"/>
  <c r="FK246" i="4" a="1"/>
  <c r="FK246" i="4" s="1"/>
  <c r="FH246" i="4" a="1"/>
  <c r="FH246" i="4" s="1"/>
  <c r="EM246" i="4" a="1"/>
  <c r="EM246" i="4" s="1"/>
  <c r="FJ246" i="4" a="1"/>
  <c r="FJ246" i="4" s="1"/>
  <c r="FE246" i="4" a="1"/>
  <c r="FE246" i="4" s="1"/>
  <c r="FI246" i="4" a="1"/>
  <c r="FI246" i="4" s="1"/>
  <c r="FF246" i="4" a="1"/>
  <c r="FF246" i="4" s="1"/>
  <c r="ES246" i="4" a="1"/>
  <c r="ES246" i="4" s="1"/>
  <c r="FG246" i="4" a="1"/>
  <c r="FG246" i="4" s="1"/>
  <c r="FN249" i="4" a="1"/>
  <c r="FN249" i="4" s="1"/>
  <c r="EU249" i="4" a="1"/>
  <c r="EU249" i="4" s="1"/>
  <c r="FP249" i="4" a="1"/>
  <c r="FP249" i="4" s="1"/>
  <c r="FM249" i="4" a="1"/>
  <c r="FM249" i="4" s="1"/>
  <c r="EO249" i="4" a="1"/>
  <c r="EO249" i="4" s="1"/>
  <c r="FQ249" i="4" a="1"/>
  <c r="FQ249" i="4" s="1"/>
  <c r="FL249" i="4" a="1"/>
  <c r="FL249" i="4" s="1"/>
  <c r="FR249" i="4" a="1"/>
  <c r="FR249" i="4" s="1"/>
  <c r="FO249" i="4" a="1"/>
  <c r="FO249" i="4" s="1"/>
  <c r="FD250" i="4" a="1"/>
  <c r="FD250" i="4" s="1"/>
  <c r="FB250" i="4" a="1"/>
  <c r="FB250" i="4" s="1"/>
  <c r="EZ250" i="4" a="1"/>
  <c r="EZ250" i="4" s="1"/>
  <c r="EX250" i="4" a="1"/>
  <c r="EX250" i="4" s="1"/>
  <c r="ER250" i="4" a="1"/>
  <c r="ER250" i="4" s="1"/>
  <c r="EL250" i="4" a="1"/>
  <c r="EL250" i="4" s="1"/>
  <c r="EY250" i="4" a="1"/>
  <c r="EY250" i="4" s="1"/>
  <c r="FC250" i="4" a="1"/>
  <c r="FC250" i="4" s="1"/>
  <c r="FA250" i="4" a="1"/>
  <c r="FA250" i="4" s="1"/>
  <c r="FX253" i="4" a="1"/>
  <c r="FX253" i="4" s="1"/>
  <c r="FV253" i="4" a="1"/>
  <c r="FV253" i="4" s="1"/>
  <c r="FT253" i="4" a="1"/>
  <c r="FT253" i="4" s="1"/>
  <c r="EV253" i="4" a="1"/>
  <c r="EV253" i="4" s="1"/>
  <c r="EP253" i="4" a="1"/>
  <c r="EP253" i="4" s="1"/>
  <c r="FW253" i="4" a="1"/>
  <c r="FW253" i="4" s="1"/>
  <c r="FY253" i="4" a="1"/>
  <c r="FY253" i="4" s="1"/>
  <c r="FU253" i="4" a="1"/>
  <c r="FU253" i="4" s="1"/>
  <c r="FS253" i="4" a="1"/>
  <c r="FS253" i="4" s="1"/>
  <c r="FD254" i="4" a="1"/>
  <c r="FD254" i="4" s="1"/>
  <c r="FB254" i="4" a="1"/>
  <c r="FB254" i="4" s="1"/>
  <c r="EZ254" i="4" a="1"/>
  <c r="EZ254" i="4" s="1"/>
  <c r="EX254" i="4" a="1"/>
  <c r="EX254" i="4" s="1"/>
  <c r="ER254" i="4" a="1"/>
  <c r="ER254" i="4" s="1"/>
  <c r="EL254" i="4" a="1"/>
  <c r="EL254" i="4" s="1"/>
  <c r="FC254" i="4" a="1"/>
  <c r="FC254" i="4" s="1"/>
  <c r="FA254" i="4" a="1"/>
  <c r="FA254" i="4" s="1"/>
  <c r="EY254" i="4" a="1"/>
  <c r="EY254" i="4" s="1"/>
  <c r="FX257" i="4" a="1"/>
  <c r="FX257" i="4" s="1"/>
  <c r="FV257" i="4" a="1"/>
  <c r="FV257" i="4" s="1"/>
  <c r="FT257" i="4" a="1"/>
  <c r="FT257" i="4" s="1"/>
  <c r="EV257" i="4" a="1"/>
  <c r="EV257" i="4" s="1"/>
  <c r="EP257" i="4" a="1"/>
  <c r="EP257" i="4" s="1"/>
  <c r="FW257" i="4" a="1"/>
  <c r="FW257" i="4" s="1"/>
  <c r="FY257" i="4" a="1"/>
  <c r="FY257" i="4" s="1"/>
  <c r="FU257" i="4" a="1"/>
  <c r="FU257" i="4" s="1"/>
  <c r="FS257" i="4" a="1"/>
  <c r="FS257" i="4" s="1"/>
  <c r="FD258" i="4" a="1"/>
  <c r="FD258" i="4" s="1"/>
  <c r="FB258" i="4" a="1"/>
  <c r="FB258" i="4" s="1"/>
  <c r="EZ258" i="4" a="1"/>
  <c r="EZ258" i="4" s="1"/>
  <c r="EX258" i="4" a="1"/>
  <c r="EX258" i="4" s="1"/>
  <c r="ER258" i="4" a="1"/>
  <c r="ER258" i="4" s="1"/>
  <c r="EL258" i="4" a="1"/>
  <c r="EL258" i="4" s="1"/>
  <c r="FC258" i="4" a="1"/>
  <c r="FC258" i="4" s="1"/>
  <c r="FA258" i="4" a="1"/>
  <c r="FA258" i="4" s="1"/>
  <c r="EY258" i="4" a="1"/>
  <c r="EY258" i="4" s="1"/>
  <c r="FX261" i="4" a="1"/>
  <c r="FX261" i="4" s="1"/>
  <c r="FV261" i="4" a="1"/>
  <c r="FV261" i="4" s="1"/>
  <c r="FT261" i="4" a="1"/>
  <c r="FT261" i="4" s="1"/>
  <c r="EV261" i="4" a="1"/>
  <c r="EV261" i="4" s="1"/>
  <c r="EP261" i="4" a="1"/>
  <c r="EP261" i="4" s="1"/>
  <c r="FU261" i="4" a="1"/>
  <c r="FU261" i="4" s="1"/>
  <c r="FW261" i="4" a="1"/>
  <c r="FW261" i="4" s="1"/>
  <c r="FS261" i="4" a="1"/>
  <c r="FS261" i="4" s="1"/>
  <c r="FY261" i="4" a="1"/>
  <c r="FY261" i="4" s="1"/>
  <c r="FD262" i="4" a="1"/>
  <c r="FD262" i="4" s="1"/>
  <c r="FB262" i="4" a="1"/>
  <c r="FB262" i="4" s="1"/>
  <c r="EZ262" i="4" a="1"/>
  <c r="EZ262" i="4" s="1"/>
  <c r="EX262" i="4" a="1"/>
  <c r="EX262" i="4" s="1"/>
  <c r="ER262" i="4" a="1"/>
  <c r="ER262" i="4" s="1"/>
  <c r="EL262" i="4" a="1"/>
  <c r="EL262" i="4" s="1"/>
  <c r="FA262" i="4" a="1"/>
  <c r="FA262" i="4" s="1"/>
  <c r="FC262" i="4" a="1"/>
  <c r="FC262" i="4" s="1"/>
  <c r="EY262" i="4" a="1"/>
  <c r="EY262" i="4" s="1"/>
  <c r="FK63" i="4" a="1"/>
  <c r="FK63" i="4" s="1"/>
  <c r="FI63" i="4" a="1"/>
  <c r="FI63" i="4" s="1"/>
  <c r="FG63" i="4" a="1"/>
  <c r="FG63" i="4" s="1"/>
  <c r="FE63" i="4" a="1"/>
  <c r="FE63" i="4" s="1"/>
  <c r="ES63" i="4" a="1"/>
  <c r="ES63" i="4" s="1"/>
  <c r="EM63" i="4" a="1"/>
  <c r="EM63" i="4" s="1"/>
  <c r="FF63" i="4" a="1"/>
  <c r="FF63" i="4" s="1"/>
  <c r="FH63" i="4" a="1"/>
  <c r="FH63" i="4" s="1"/>
  <c r="FJ63" i="4" a="1"/>
  <c r="FJ63" i="4" s="1"/>
  <c r="FK64" i="4" a="1"/>
  <c r="FK64" i="4" s="1"/>
  <c r="FI64" i="4" a="1"/>
  <c r="FI64" i="4" s="1"/>
  <c r="FG64" i="4" a="1"/>
  <c r="FG64" i="4" s="1"/>
  <c r="FE64" i="4" a="1"/>
  <c r="FE64" i="4" s="1"/>
  <c r="ES64" i="4" a="1"/>
  <c r="ES64" i="4" s="1"/>
  <c r="EM64" i="4" a="1"/>
  <c r="EM64" i="4" s="1"/>
  <c r="FF64" i="4" a="1"/>
  <c r="FF64" i="4" s="1"/>
  <c r="FH64" i="4" a="1"/>
  <c r="FH64" i="4" s="1"/>
  <c r="FJ64" i="4" a="1"/>
  <c r="FJ64" i="4" s="1"/>
  <c r="FC65" i="4" a="1"/>
  <c r="FC65" i="4" s="1"/>
  <c r="FA65" i="4" a="1"/>
  <c r="FA65" i="4" s="1"/>
  <c r="EY65" i="4" a="1"/>
  <c r="EY65" i="4" s="1"/>
  <c r="EZ65" i="4" a="1"/>
  <c r="EZ65" i="4" s="1"/>
  <c r="ER65" i="4" a="1"/>
  <c r="ER65" i="4" s="1"/>
  <c r="FB65" i="4" a="1"/>
  <c r="FB65" i="4" s="1"/>
  <c r="EL65" i="4" a="1"/>
  <c r="EL65" i="4" s="1"/>
  <c r="EX65" i="4" a="1"/>
  <c r="EX65" i="4" s="1"/>
  <c r="FD65" i="4" a="1"/>
  <c r="FD65" i="4" s="1"/>
  <c r="EQ66" i="4" a="1"/>
  <c r="EQ66" i="4" s="1"/>
  <c r="EK66" i="4" a="1"/>
  <c r="EK66" i="4" s="1"/>
  <c r="FQ67" i="4" a="1"/>
  <c r="FQ67" i="4" s="1"/>
  <c r="FO67" i="4" a="1"/>
  <c r="FO67" i="4" s="1"/>
  <c r="FM67" i="4" a="1"/>
  <c r="FM67" i="4" s="1"/>
  <c r="EU67" i="4" a="1"/>
  <c r="EU67" i="4" s="1"/>
  <c r="EO67" i="4" a="1"/>
  <c r="EO67" i="4" s="1"/>
  <c r="FL67" i="4" a="1"/>
  <c r="FL67" i="4" s="1"/>
  <c r="FN67" i="4" a="1"/>
  <c r="FN67" i="4" s="1"/>
  <c r="FR67" i="4" a="1"/>
  <c r="FR67" i="4" s="1"/>
  <c r="FP67" i="4" a="1"/>
  <c r="FP67" i="4" s="1"/>
  <c r="FY72" i="4" a="1"/>
  <c r="FY72" i="4" s="1"/>
  <c r="FW72" i="4" a="1"/>
  <c r="FW72" i="4" s="1"/>
  <c r="FU72" i="4" a="1"/>
  <c r="FU72" i="4" s="1"/>
  <c r="FS72" i="4" a="1"/>
  <c r="FS72" i="4" s="1"/>
  <c r="FT72" i="4" a="1"/>
  <c r="FT72" i="4" s="1"/>
  <c r="EV72" i="4" a="1"/>
  <c r="EV72" i="4" s="1"/>
  <c r="FX72" i="4" a="1"/>
  <c r="FX72" i="4" s="1"/>
  <c r="FV72" i="4" a="1"/>
  <c r="FV72" i="4" s="1"/>
  <c r="EP72" i="4" a="1"/>
  <c r="EP72" i="4" s="1"/>
  <c r="FY73" i="4" a="1"/>
  <c r="FY73" i="4" s="1"/>
  <c r="FW73" i="4" a="1"/>
  <c r="FW73" i="4" s="1"/>
  <c r="FU73" i="4" a="1"/>
  <c r="FU73" i="4" s="1"/>
  <c r="FS73" i="4" a="1"/>
  <c r="FS73" i="4" s="1"/>
  <c r="FT73" i="4" a="1"/>
  <c r="FT73" i="4" s="1"/>
  <c r="EV73" i="4" a="1"/>
  <c r="EV73" i="4" s="1"/>
  <c r="FX73" i="4" a="1"/>
  <c r="FX73" i="4" s="1"/>
  <c r="FV73" i="4" a="1"/>
  <c r="FV73" i="4" s="1"/>
  <c r="EP73" i="4" a="1"/>
  <c r="EP73" i="4" s="1"/>
  <c r="FQ82" i="4" a="1"/>
  <c r="FQ82" i="4" s="1"/>
  <c r="FO82" i="4" a="1"/>
  <c r="FO82" i="4" s="1"/>
  <c r="FM82" i="4" a="1"/>
  <c r="FM82" i="4" s="1"/>
  <c r="EU82" i="4" a="1"/>
  <c r="EU82" i="4" s="1"/>
  <c r="EO82" i="4" a="1"/>
  <c r="EO82" i="4" s="1"/>
  <c r="FL82" i="4" a="1"/>
  <c r="FL82" i="4" s="1"/>
  <c r="FN82" i="4" a="1"/>
  <c r="FN82" i="4" s="1"/>
  <c r="FR82" i="4" a="1"/>
  <c r="FR82" i="4" s="1"/>
  <c r="FP82" i="4" a="1"/>
  <c r="FP82" i="4" s="1"/>
  <c r="FK94" i="4" a="1"/>
  <c r="FK94" i="4" s="1"/>
  <c r="FI94" i="4" a="1"/>
  <c r="FI94" i="4" s="1"/>
  <c r="FG94" i="4" a="1"/>
  <c r="FG94" i="4" s="1"/>
  <c r="FE94" i="4" a="1"/>
  <c r="FE94" i="4" s="1"/>
  <c r="ES94" i="4" a="1"/>
  <c r="ES94" i="4" s="1"/>
  <c r="EM94" i="4" a="1"/>
  <c r="EM94" i="4" s="1"/>
  <c r="FF94" i="4" a="1"/>
  <c r="FF94" i="4" s="1"/>
  <c r="FH94" i="4" a="1"/>
  <c r="FH94" i="4" s="1"/>
  <c r="FJ94" i="4" a="1"/>
  <c r="FJ94" i="4" s="1"/>
  <c r="FC95" i="4" a="1"/>
  <c r="FC95" i="4" s="1"/>
  <c r="FA95" i="4" a="1"/>
  <c r="FA95" i="4" s="1"/>
  <c r="EY95" i="4" a="1"/>
  <c r="EY95" i="4" s="1"/>
  <c r="EZ95" i="4" a="1"/>
  <c r="EZ95" i="4" s="1"/>
  <c r="ER95" i="4" a="1"/>
  <c r="ER95" i="4" s="1"/>
  <c r="FB95" i="4" a="1"/>
  <c r="FB95" i="4" s="1"/>
  <c r="EL95" i="4" a="1"/>
  <c r="EL95" i="4" s="1"/>
  <c r="EX95" i="4" a="1"/>
  <c r="EX95" i="4" s="1"/>
  <c r="FD95" i="4" a="1"/>
  <c r="FD95" i="4" s="1"/>
  <c r="EQ96" i="4" a="1"/>
  <c r="EQ96" i="4" s="1"/>
  <c r="EK96" i="4" a="1"/>
  <c r="EK96" i="4" s="1"/>
  <c r="FQ97" i="4" a="1"/>
  <c r="FQ97" i="4" s="1"/>
  <c r="FO97" i="4" a="1"/>
  <c r="FO97" i="4" s="1"/>
  <c r="FM97" i="4" a="1"/>
  <c r="FM97" i="4" s="1"/>
  <c r="EU97" i="4" a="1"/>
  <c r="EU97" i="4" s="1"/>
  <c r="EO97" i="4" a="1"/>
  <c r="EO97" i="4" s="1"/>
  <c r="FL97" i="4" a="1"/>
  <c r="FL97" i="4" s="1"/>
  <c r="FN97" i="4" a="1"/>
  <c r="FN97" i="4" s="1"/>
  <c r="FR97" i="4" a="1"/>
  <c r="FR97" i="4" s="1"/>
  <c r="FP97" i="4" a="1"/>
  <c r="FP97" i="4" s="1"/>
  <c r="FQ107" i="4" a="1"/>
  <c r="FQ107" i="4" s="1"/>
  <c r="FO107" i="4" a="1"/>
  <c r="FO107" i="4" s="1"/>
  <c r="FM107" i="4" a="1"/>
  <c r="FM107" i="4" s="1"/>
  <c r="EU107" i="4" a="1"/>
  <c r="EU107" i="4" s="1"/>
  <c r="EO107" i="4" a="1"/>
  <c r="EO107" i="4" s="1"/>
  <c r="FL107" i="4" a="1"/>
  <c r="FL107" i="4" s="1"/>
  <c r="FN107" i="4" a="1"/>
  <c r="FN107" i="4" s="1"/>
  <c r="FR107" i="4" a="1"/>
  <c r="FR107" i="4" s="1"/>
  <c r="FP107" i="4" a="1"/>
  <c r="FP107" i="4" s="1"/>
  <c r="FY110" i="4" a="1"/>
  <c r="FY110" i="4" s="1"/>
  <c r="FW110" i="4" a="1"/>
  <c r="FW110" i="4" s="1"/>
  <c r="FU110" i="4" a="1"/>
  <c r="FU110" i="4" s="1"/>
  <c r="FS110" i="4" a="1"/>
  <c r="FS110" i="4" s="1"/>
  <c r="FT110" i="4" a="1"/>
  <c r="FT110" i="4" s="1"/>
  <c r="EV110" i="4" a="1"/>
  <c r="EV110" i="4" s="1"/>
  <c r="FX110" i="4" a="1"/>
  <c r="FX110" i="4" s="1"/>
  <c r="FV110" i="4" a="1"/>
  <c r="FV110" i="4" s="1"/>
  <c r="EP110" i="4" a="1"/>
  <c r="EP110" i="4" s="1"/>
  <c r="FY111" i="4" a="1"/>
  <c r="FY111" i="4" s="1"/>
  <c r="FW111" i="4" a="1"/>
  <c r="FW111" i="4" s="1"/>
  <c r="FU111" i="4" a="1"/>
  <c r="FU111" i="4" s="1"/>
  <c r="FS111" i="4" a="1"/>
  <c r="FS111" i="4" s="1"/>
  <c r="FT111" i="4" a="1"/>
  <c r="FT111" i="4" s="1"/>
  <c r="EV111" i="4" a="1"/>
  <c r="EV111" i="4" s="1"/>
  <c r="FX111" i="4" a="1"/>
  <c r="FX111" i="4" s="1"/>
  <c r="FV111" i="4" a="1"/>
  <c r="FV111" i="4" s="1"/>
  <c r="EP111" i="4" a="1"/>
  <c r="EP111" i="4" s="1"/>
  <c r="FK119" i="4" a="1"/>
  <c r="FK119" i="4" s="1"/>
  <c r="FI119" i="4" a="1"/>
  <c r="FI119" i="4" s="1"/>
  <c r="FG119" i="4" a="1"/>
  <c r="FG119" i="4" s="1"/>
  <c r="FE119" i="4" a="1"/>
  <c r="FE119" i="4" s="1"/>
  <c r="ES119" i="4" a="1"/>
  <c r="ES119" i="4" s="1"/>
  <c r="EM119" i="4" a="1"/>
  <c r="EM119" i="4" s="1"/>
  <c r="FF119" i="4" a="1"/>
  <c r="FF119" i="4" s="1"/>
  <c r="FH119" i="4" a="1"/>
  <c r="FH119" i="4" s="1"/>
  <c r="FJ119" i="4" a="1"/>
  <c r="FJ119" i="4" s="1"/>
  <c r="FK120" i="4" a="1"/>
  <c r="FK120" i="4" s="1"/>
  <c r="FI120" i="4" a="1"/>
  <c r="FI120" i="4" s="1"/>
  <c r="FG120" i="4" a="1"/>
  <c r="FG120" i="4" s="1"/>
  <c r="FE120" i="4" a="1"/>
  <c r="FE120" i="4" s="1"/>
  <c r="ES120" i="4" a="1"/>
  <c r="ES120" i="4" s="1"/>
  <c r="EM120" i="4" a="1"/>
  <c r="EM120" i="4" s="1"/>
  <c r="FF120" i="4" a="1"/>
  <c r="FF120" i="4" s="1"/>
  <c r="FH120" i="4" a="1"/>
  <c r="FH120" i="4" s="1"/>
  <c r="FJ120" i="4" a="1"/>
  <c r="FJ120" i="4" s="1"/>
  <c r="FC121" i="4" a="1"/>
  <c r="FC121" i="4" s="1"/>
  <c r="FA121" i="4" a="1"/>
  <c r="FA121" i="4" s="1"/>
  <c r="EY121" i="4" a="1"/>
  <c r="EY121" i="4" s="1"/>
  <c r="EZ121" i="4" a="1"/>
  <c r="EZ121" i="4" s="1"/>
  <c r="ER121" i="4" a="1"/>
  <c r="ER121" i="4" s="1"/>
  <c r="FB121" i="4" a="1"/>
  <c r="FB121" i="4" s="1"/>
  <c r="EL121" i="4" a="1"/>
  <c r="EL121" i="4" s="1"/>
  <c r="EX121" i="4" a="1"/>
  <c r="EX121" i="4" s="1"/>
  <c r="FD121" i="4" a="1"/>
  <c r="FD121" i="4" s="1"/>
  <c r="EQ122" i="4" a="1"/>
  <c r="EQ122" i="4" s="1"/>
  <c r="EK122" i="4" a="1"/>
  <c r="EK122" i="4" s="1"/>
  <c r="EQ123" i="4" a="1"/>
  <c r="EQ123" i="4" s="1"/>
  <c r="EK123" i="4" a="1"/>
  <c r="EK123" i="4" s="1"/>
  <c r="FQ124" i="4" a="1"/>
  <c r="FQ124" i="4" s="1"/>
  <c r="FO124" i="4" a="1"/>
  <c r="FO124" i="4" s="1"/>
  <c r="FM124" i="4" a="1"/>
  <c r="FM124" i="4" s="1"/>
  <c r="EU124" i="4" a="1"/>
  <c r="EU124" i="4" s="1"/>
  <c r="EO124" i="4" a="1"/>
  <c r="EO124" i="4" s="1"/>
  <c r="FL124" i="4" a="1"/>
  <c r="FL124" i="4" s="1"/>
  <c r="FN124" i="4" a="1"/>
  <c r="FN124" i="4" s="1"/>
  <c r="FR124" i="4" a="1"/>
  <c r="FR124" i="4" s="1"/>
  <c r="FP124" i="4" a="1"/>
  <c r="FP124" i="4" s="1"/>
  <c r="FK133" i="4" a="1"/>
  <c r="FK133" i="4" s="1"/>
  <c r="FI133" i="4" a="1"/>
  <c r="FI133" i="4" s="1"/>
  <c r="FG133" i="4" a="1"/>
  <c r="FG133" i="4" s="1"/>
  <c r="FE133" i="4" a="1"/>
  <c r="FE133" i="4" s="1"/>
  <c r="ES133" i="4" a="1"/>
  <c r="ES133" i="4" s="1"/>
  <c r="EM133" i="4" a="1"/>
  <c r="EM133" i="4" s="1"/>
  <c r="FF133" i="4" a="1"/>
  <c r="FF133" i="4" s="1"/>
  <c r="FH133" i="4" a="1"/>
  <c r="FH133" i="4" s="1"/>
  <c r="FJ133" i="4" a="1"/>
  <c r="FJ133" i="4" s="1"/>
  <c r="FK134" i="4" a="1"/>
  <c r="FK134" i="4" s="1"/>
  <c r="FI134" i="4" a="1"/>
  <c r="FI134" i="4" s="1"/>
  <c r="FG134" i="4" a="1"/>
  <c r="FG134" i="4" s="1"/>
  <c r="FE134" i="4" a="1"/>
  <c r="FE134" i="4" s="1"/>
  <c r="ES134" i="4" a="1"/>
  <c r="ES134" i="4" s="1"/>
  <c r="EM134" i="4" a="1"/>
  <c r="EM134" i="4" s="1"/>
  <c r="FF134" i="4" a="1"/>
  <c r="FF134" i="4" s="1"/>
  <c r="FH134" i="4" a="1"/>
  <c r="FH134" i="4" s="1"/>
  <c r="FJ134" i="4" a="1"/>
  <c r="FJ134" i="4" s="1"/>
  <c r="FC135" i="4" a="1"/>
  <c r="FC135" i="4" s="1"/>
  <c r="FA135" i="4" a="1"/>
  <c r="FA135" i="4" s="1"/>
  <c r="EY135" i="4" a="1"/>
  <c r="EY135" i="4" s="1"/>
  <c r="EZ135" i="4" a="1"/>
  <c r="EZ135" i="4" s="1"/>
  <c r="ER135" i="4" a="1"/>
  <c r="ER135" i="4" s="1"/>
  <c r="FB135" i="4" a="1"/>
  <c r="FB135" i="4" s="1"/>
  <c r="EL135" i="4" a="1"/>
  <c r="EL135" i="4" s="1"/>
  <c r="EX135" i="4" a="1"/>
  <c r="EX135" i="4" s="1"/>
  <c r="FD135" i="4" a="1"/>
  <c r="FD135" i="4" s="1"/>
  <c r="EQ136" i="4" a="1"/>
  <c r="EQ136" i="4" s="1"/>
  <c r="EK136" i="4" a="1"/>
  <c r="EK136" i="4" s="1"/>
  <c r="FQ137" i="4" a="1"/>
  <c r="FQ137" i="4" s="1"/>
  <c r="FO137" i="4" a="1"/>
  <c r="FO137" i="4" s="1"/>
  <c r="FM137" i="4" a="1"/>
  <c r="FM137" i="4" s="1"/>
  <c r="EU137" i="4" a="1"/>
  <c r="EU137" i="4" s="1"/>
  <c r="EO137" i="4" a="1"/>
  <c r="EO137" i="4" s="1"/>
  <c r="FL137" i="4" a="1"/>
  <c r="FL137" i="4" s="1"/>
  <c r="FN137" i="4" a="1"/>
  <c r="FN137" i="4" s="1"/>
  <c r="FR137" i="4" a="1"/>
  <c r="FR137" i="4" s="1"/>
  <c r="FP137" i="4" a="1"/>
  <c r="FP137" i="4" s="1"/>
  <c r="FY140" i="4" a="1"/>
  <c r="FY140" i="4" s="1"/>
  <c r="FW140" i="4" a="1"/>
  <c r="FW140" i="4" s="1"/>
  <c r="FU140" i="4" a="1"/>
  <c r="FU140" i="4" s="1"/>
  <c r="FS140" i="4" a="1"/>
  <c r="FS140" i="4" s="1"/>
  <c r="FT140" i="4" a="1"/>
  <c r="FT140" i="4" s="1"/>
  <c r="EV140" i="4" a="1"/>
  <c r="EV140" i="4" s="1"/>
  <c r="FX140" i="4" a="1"/>
  <c r="FX140" i="4" s="1"/>
  <c r="EP140" i="4" a="1"/>
  <c r="EP140" i="4" s="1"/>
  <c r="FV140" i="4" a="1"/>
  <c r="FV140" i="4" s="1"/>
  <c r="FY141" i="4" a="1"/>
  <c r="FY141" i="4" s="1"/>
  <c r="FW141" i="4" a="1"/>
  <c r="FW141" i="4" s="1"/>
  <c r="FU141" i="4" a="1"/>
  <c r="FU141" i="4" s="1"/>
  <c r="FS141" i="4" a="1"/>
  <c r="FS141" i="4" s="1"/>
  <c r="FT141" i="4" a="1"/>
  <c r="FT141" i="4" s="1"/>
  <c r="EV141" i="4" a="1"/>
  <c r="EV141" i="4" s="1"/>
  <c r="FX141" i="4" a="1"/>
  <c r="FX141" i="4" s="1"/>
  <c r="FV141" i="4" a="1"/>
  <c r="FV141" i="4" s="1"/>
  <c r="EP141" i="4" a="1"/>
  <c r="EP141" i="4" s="1"/>
  <c r="FY142" i="4" a="1"/>
  <c r="FY142" i="4" s="1"/>
  <c r="FW142" i="4" a="1"/>
  <c r="FW142" i="4" s="1"/>
  <c r="FU142" i="4" a="1"/>
  <c r="FU142" i="4" s="1"/>
  <c r="FS142" i="4" a="1"/>
  <c r="FS142" i="4" s="1"/>
  <c r="FT142" i="4" a="1"/>
  <c r="FT142" i="4" s="1"/>
  <c r="EV142" i="4" a="1"/>
  <c r="EV142" i="4" s="1"/>
  <c r="FX142" i="4" a="1"/>
  <c r="FX142" i="4" s="1"/>
  <c r="FV142" i="4" a="1"/>
  <c r="FV142" i="4" s="1"/>
  <c r="EP142" i="4" a="1"/>
  <c r="EP142" i="4" s="1"/>
  <c r="FK153" i="4" a="1"/>
  <c r="FK153" i="4" s="1"/>
  <c r="FI153" i="4" a="1"/>
  <c r="FI153" i="4" s="1"/>
  <c r="FG153" i="4" a="1"/>
  <c r="FG153" i="4" s="1"/>
  <c r="FE153" i="4" a="1"/>
  <c r="FE153" i="4" s="1"/>
  <c r="ES153" i="4" a="1"/>
  <c r="ES153" i="4" s="1"/>
  <c r="EM153" i="4" a="1"/>
  <c r="EM153" i="4" s="1"/>
  <c r="FF153" i="4" a="1"/>
  <c r="FF153" i="4" s="1"/>
  <c r="FH153" i="4" a="1"/>
  <c r="FH153" i="4" s="1"/>
  <c r="FJ153" i="4" a="1"/>
  <c r="FJ153" i="4" s="1"/>
  <c r="FC154" i="4" a="1"/>
  <c r="FC154" i="4" s="1"/>
  <c r="FA154" i="4" a="1"/>
  <c r="FA154" i="4" s="1"/>
  <c r="EY154" i="4" a="1"/>
  <c r="EY154" i="4" s="1"/>
  <c r="EZ154" i="4" a="1"/>
  <c r="EZ154" i="4" s="1"/>
  <c r="ER154" i="4" a="1"/>
  <c r="ER154" i="4" s="1"/>
  <c r="FB154" i="4" a="1"/>
  <c r="FB154" i="4" s="1"/>
  <c r="EL154" i="4" a="1"/>
  <c r="EL154" i="4" s="1"/>
  <c r="EX154" i="4" a="1"/>
  <c r="EX154" i="4" s="1"/>
  <c r="FD154" i="4" a="1"/>
  <c r="FD154" i="4" s="1"/>
  <c r="FC155" i="4" a="1"/>
  <c r="FC155" i="4" s="1"/>
  <c r="FA155" i="4" a="1"/>
  <c r="FA155" i="4" s="1"/>
  <c r="EY155" i="4" a="1"/>
  <c r="EY155" i="4" s="1"/>
  <c r="EZ155" i="4" a="1"/>
  <c r="EZ155" i="4" s="1"/>
  <c r="ER155" i="4" a="1"/>
  <c r="ER155" i="4" s="1"/>
  <c r="FB155" i="4" a="1"/>
  <c r="FB155" i="4" s="1"/>
  <c r="EL155" i="4" a="1"/>
  <c r="EL155" i="4" s="1"/>
  <c r="EX155" i="4" a="1"/>
  <c r="EX155" i="4" s="1"/>
  <c r="FD155" i="4" a="1"/>
  <c r="FD155" i="4" s="1"/>
  <c r="EQ156" i="4" a="1"/>
  <c r="EQ156" i="4" s="1"/>
  <c r="EK156" i="4" a="1"/>
  <c r="EK156" i="4" s="1"/>
  <c r="FQ157" i="4" a="1"/>
  <c r="FQ157" i="4" s="1"/>
  <c r="FO157" i="4" a="1"/>
  <c r="FO157" i="4" s="1"/>
  <c r="FM157" i="4" a="1"/>
  <c r="FM157" i="4" s="1"/>
  <c r="EU157" i="4" a="1"/>
  <c r="EU157" i="4" s="1"/>
  <c r="EO157" i="4" a="1"/>
  <c r="EO157" i="4" s="1"/>
  <c r="FL157" i="4" a="1"/>
  <c r="FL157" i="4" s="1"/>
  <c r="FN157" i="4" a="1"/>
  <c r="FN157" i="4" s="1"/>
  <c r="FR157" i="4" a="1"/>
  <c r="FR157" i="4" s="1"/>
  <c r="FP157" i="4" a="1"/>
  <c r="FP157" i="4" s="1"/>
  <c r="FY160" i="4" a="1"/>
  <c r="FY160" i="4" s="1"/>
  <c r="FW160" i="4" a="1"/>
  <c r="FW160" i="4" s="1"/>
  <c r="FU160" i="4" a="1"/>
  <c r="FU160" i="4" s="1"/>
  <c r="FS160" i="4" a="1"/>
  <c r="FS160" i="4" s="1"/>
  <c r="FT160" i="4" a="1"/>
  <c r="FT160" i="4" s="1"/>
  <c r="EV160" i="4" a="1"/>
  <c r="EV160" i="4" s="1"/>
  <c r="FX160" i="4" a="1"/>
  <c r="FX160" i="4" s="1"/>
  <c r="FV160" i="4" a="1"/>
  <c r="FV160" i="4" s="1"/>
  <c r="EP160" i="4" a="1"/>
  <c r="EP160" i="4" s="1"/>
  <c r="FY161" i="4" a="1"/>
  <c r="FY161" i="4" s="1"/>
  <c r="FW161" i="4" a="1"/>
  <c r="FW161" i="4" s="1"/>
  <c r="FU161" i="4" a="1"/>
  <c r="FU161" i="4" s="1"/>
  <c r="FS161" i="4" a="1"/>
  <c r="FS161" i="4" s="1"/>
  <c r="FT161" i="4" a="1"/>
  <c r="FT161" i="4" s="1"/>
  <c r="EV161" i="4" a="1"/>
  <c r="EV161" i="4" s="1"/>
  <c r="FX161" i="4" a="1"/>
  <c r="FX161" i="4" s="1"/>
  <c r="FV161" i="4" a="1"/>
  <c r="FV161" i="4" s="1"/>
  <c r="EP161" i="4" a="1"/>
  <c r="EP161" i="4" s="1"/>
  <c r="FK169" i="4" a="1"/>
  <c r="FK169" i="4" s="1"/>
  <c r="FI169" i="4" a="1"/>
  <c r="FI169" i="4" s="1"/>
  <c r="FG169" i="4" a="1"/>
  <c r="FG169" i="4" s="1"/>
  <c r="FE169" i="4" a="1"/>
  <c r="FE169" i="4" s="1"/>
  <c r="ES169" i="4" a="1"/>
  <c r="ES169" i="4" s="1"/>
  <c r="EM169" i="4" a="1"/>
  <c r="EM169" i="4" s="1"/>
  <c r="FF169" i="4" a="1"/>
  <c r="FF169" i="4" s="1"/>
  <c r="FH169" i="4" a="1"/>
  <c r="FH169" i="4" s="1"/>
  <c r="FJ169" i="4" a="1"/>
  <c r="FJ169" i="4" s="1"/>
  <c r="FC170" i="4" a="1"/>
  <c r="FC170" i="4" s="1"/>
  <c r="FA170" i="4" a="1"/>
  <c r="FA170" i="4" s="1"/>
  <c r="EY170" i="4" a="1"/>
  <c r="EY170" i="4" s="1"/>
  <c r="EZ170" i="4" a="1"/>
  <c r="EZ170" i="4" s="1"/>
  <c r="ER170" i="4" a="1"/>
  <c r="ER170" i="4" s="1"/>
  <c r="FB170" i="4" a="1"/>
  <c r="FB170" i="4" s="1"/>
  <c r="EL170" i="4" a="1"/>
  <c r="EL170" i="4" s="1"/>
  <c r="EX170" i="4" a="1"/>
  <c r="EX170" i="4" s="1"/>
  <c r="FD170" i="4" a="1"/>
  <c r="FD170" i="4" s="1"/>
  <c r="EQ171" i="4" a="1"/>
  <c r="EQ171" i="4" s="1"/>
  <c r="EK171" i="4" a="1"/>
  <c r="EK171" i="4" s="1"/>
  <c r="FQ172" i="4" a="1"/>
  <c r="FQ172" i="4" s="1"/>
  <c r="FO172" i="4" a="1"/>
  <c r="FO172" i="4" s="1"/>
  <c r="FM172" i="4" a="1"/>
  <c r="FM172" i="4" s="1"/>
  <c r="EU172" i="4" a="1"/>
  <c r="EU172" i="4" s="1"/>
  <c r="EO172" i="4" a="1"/>
  <c r="EO172" i="4" s="1"/>
  <c r="FL172" i="4" a="1"/>
  <c r="FL172" i="4" s="1"/>
  <c r="FN172" i="4" a="1"/>
  <c r="FN172" i="4" s="1"/>
  <c r="FR172" i="4" a="1"/>
  <c r="FR172" i="4" s="1"/>
  <c r="FP172" i="4" a="1"/>
  <c r="FP172" i="4" s="1"/>
  <c r="FY178" i="4" a="1"/>
  <c r="FY178" i="4" s="1"/>
  <c r="FW178" i="4" a="1"/>
  <c r="FW178" i="4" s="1"/>
  <c r="FU178" i="4" a="1"/>
  <c r="FU178" i="4" s="1"/>
  <c r="FS178" i="4" a="1"/>
  <c r="FS178" i="4" s="1"/>
  <c r="FT178" i="4" a="1"/>
  <c r="FT178" i="4" s="1"/>
  <c r="EV178" i="4" a="1"/>
  <c r="EV178" i="4" s="1"/>
  <c r="FX178" i="4" a="1"/>
  <c r="FX178" i="4" s="1"/>
  <c r="FV178" i="4" a="1"/>
  <c r="FV178" i="4" s="1"/>
  <c r="EP178" i="4" a="1"/>
  <c r="EP178" i="4" s="1"/>
  <c r="FY179" i="4" a="1"/>
  <c r="FY179" i="4" s="1"/>
  <c r="FW179" i="4" a="1"/>
  <c r="FW179" i="4" s="1"/>
  <c r="FU179" i="4" a="1"/>
  <c r="FU179" i="4" s="1"/>
  <c r="FS179" i="4" a="1"/>
  <c r="FS179" i="4" s="1"/>
  <c r="FT179" i="4" a="1"/>
  <c r="FT179" i="4" s="1"/>
  <c r="EV179" i="4" a="1"/>
  <c r="EV179" i="4" s="1"/>
  <c r="FX179" i="4" a="1"/>
  <c r="FX179" i="4" s="1"/>
  <c r="FV179" i="4" a="1"/>
  <c r="FV179" i="4" s="1"/>
  <c r="EP179" i="4" a="1"/>
  <c r="EP179" i="4" s="1"/>
  <c r="FK188" i="4" a="1"/>
  <c r="FK188" i="4" s="1"/>
  <c r="FI188" i="4" a="1"/>
  <c r="FI188" i="4" s="1"/>
  <c r="FG188" i="4" a="1"/>
  <c r="FG188" i="4" s="1"/>
  <c r="FE188" i="4" a="1"/>
  <c r="FE188" i="4" s="1"/>
  <c r="ES188" i="4" a="1"/>
  <c r="ES188" i="4" s="1"/>
  <c r="EM188" i="4" a="1"/>
  <c r="EM188" i="4" s="1"/>
  <c r="FF188" i="4" a="1"/>
  <c r="FF188" i="4" s="1"/>
  <c r="FH188" i="4" a="1"/>
  <c r="FH188" i="4" s="1"/>
  <c r="FJ188" i="4" a="1"/>
  <c r="FJ188" i="4" s="1"/>
  <c r="FC189" i="4" a="1"/>
  <c r="FC189" i="4" s="1"/>
  <c r="FA189" i="4" a="1"/>
  <c r="FA189" i="4" s="1"/>
  <c r="EY189" i="4" a="1"/>
  <c r="EY189" i="4" s="1"/>
  <c r="EZ189" i="4" a="1"/>
  <c r="EZ189" i="4" s="1"/>
  <c r="ER189" i="4" a="1"/>
  <c r="ER189" i="4" s="1"/>
  <c r="FB189" i="4" a="1"/>
  <c r="FB189" i="4" s="1"/>
  <c r="EL189" i="4" a="1"/>
  <c r="EL189" i="4" s="1"/>
  <c r="EX189" i="4" a="1"/>
  <c r="EX189" i="4" s="1"/>
  <c r="FD189" i="4" a="1"/>
  <c r="FD189" i="4" s="1"/>
  <c r="EQ190" i="4" a="1"/>
  <c r="EQ190" i="4" s="1"/>
  <c r="EK190" i="4" a="1"/>
  <c r="EK190" i="4" s="1"/>
  <c r="EQ191" i="4" a="1"/>
  <c r="EQ191" i="4" s="1"/>
  <c r="EK191" i="4" a="1"/>
  <c r="EK191" i="4" s="1"/>
  <c r="ET192" i="4" a="1"/>
  <c r="ET192" i="4" s="1"/>
  <c r="EN192" i="4" a="1"/>
  <c r="EN192" i="4" s="1"/>
  <c r="EQ193" i="4" a="1"/>
  <c r="EQ193" i="4" s="1"/>
  <c r="EK193" i="4" a="1"/>
  <c r="EK193" i="4" s="1"/>
  <c r="ET194" i="4" a="1"/>
  <c r="ET194" i="4" s="1"/>
  <c r="EN194" i="4" a="1"/>
  <c r="EN194" i="4" s="1"/>
  <c r="EQ195" i="4" a="1"/>
  <c r="EQ195" i="4" s="1"/>
  <c r="EK195" i="4" a="1"/>
  <c r="EK195" i="4" s="1"/>
  <c r="ET196" i="4" a="1"/>
  <c r="ET196" i="4" s="1"/>
  <c r="EN196" i="4" a="1"/>
  <c r="EN196" i="4" s="1"/>
  <c r="EQ197" i="4" a="1"/>
  <c r="EQ197" i="4" s="1"/>
  <c r="EK197" i="4" a="1"/>
  <c r="EK197" i="4" s="1"/>
  <c r="ET198" i="4" a="1"/>
  <c r="ET198" i="4" s="1"/>
  <c r="EN198" i="4" a="1"/>
  <c r="EN198" i="4" s="1"/>
  <c r="EQ199" i="4" a="1"/>
  <c r="EQ199" i="4" s="1"/>
  <c r="EK199" i="4" a="1"/>
  <c r="EK199" i="4" s="1"/>
  <c r="ET200" i="4" a="1"/>
  <c r="ET200" i="4" s="1"/>
  <c r="EN200" i="4" a="1"/>
  <c r="EN200" i="4" s="1"/>
  <c r="EQ201" i="4" a="1"/>
  <c r="EQ201" i="4" s="1"/>
  <c r="EK201" i="4" a="1"/>
  <c r="EK201" i="4" s="1"/>
  <c r="ET202" i="4" a="1"/>
  <c r="ET202" i="4" s="1"/>
  <c r="EN202" i="4" a="1"/>
  <c r="EN202" i="4" s="1"/>
  <c r="EQ203" i="4" a="1"/>
  <c r="EQ203" i="4" s="1"/>
  <c r="EK203" i="4" a="1"/>
  <c r="EK203" i="4" s="1"/>
  <c r="ET204" i="4" a="1"/>
  <c r="ET204" i="4" s="1"/>
  <c r="EN204" i="4" a="1"/>
  <c r="EN204" i="4" s="1"/>
  <c r="FJ205" i="4" a="1"/>
  <c r="FJ205" i="4" s="1"/>
  <c r="FH205" i="4" a="1"/>
  <c r="FH205" i="4" s="1"/>
  <c r="FF205" i="4" a="1"/>
  <c r="FF205" i="4" s="1"/>
  <c r="FK205" i="4" a="1"/>
  <c r="FK205" i="4" s="1"/>
  <c r="EM205" i="4" a="1"/>
  <c r="EM205" i="4" s="1"/>
  <c r="FE205" i="4" a="1"/>
  <c r="FE205" i="4" s="1"/>
  <c r="FI205" i="4" a="1"/>
  <c r="FI205" i="4" s="1"/>
  <c r="ES205" i="4" a="1"/>
  <c r="ES205" i="4" s="1"/>
  <c r="FG205" i="4" a="1"/>
  <c r="FG205" i="4" s="1"/>
  <c r="FJ207" i="4" a="1"/>
  <c r="FJ207" i="4" s="1"/>
  <c r="FH207" i="4" a="1"/>
  <c r="FH207" i="4" s="1"/>
  <c r="FF207" i="4" a="1"/>
  <c r="FF207" i="4" s="1"/>
  <c r="FK207" i="4" a="1"/>
  <c r="FK207" i="4" s="1"/>
  <c r="EM207" i="4" a="1"/>
  <c r="EM207" i="4" s="1"/>
  <c r="FE207" i="4" a="1"/>
  <c r="FE207" i="4" s="1"/>
  <c r="FI207" i="4" a="1"/>
  <c r="FI207" i="4" s="1"/>
  <c r="ES207" i="4" a="1"/>
  <c r="ES207" i="4" s="1"/>
  <c r="FG207" i="4" a="1"/>
  <c r="FG207" i="4" s="1"/>
  <c r="FJ209" i="4" a="1"/>
  <c r="FJ209" i="4" s="1"/>
  <c r="FH209" i="4" a="1"/>
  <c r="FH209" i="4" s="1"/>
  <c r="FF209" i="4" a="1"/>
  <c r="FF209" i="4" s="1"/>
  <c r="FK209" i="4" a="1"/>
  <c r="FK209" i="4" s="1"/>
  <c r="EM209" i="4" a="1"/>
  <c r="EM209" i="4" s="1"/>
  <c r="FE209" i="4" a="1"/>
  <c r="FE209" i="4" s="1"/>
  <c r="FI209" i="4" a="1"/>
  <c r="FI209" i="4" s="1"/>
  <c r="ES209" i="4" a="1"/>
  <c r="ES209" i="4" s="1"/>
  <c r="FG209" i="4" a="1"/>
  <c r="FG209" i="4" s="1"/>
  <c r="FJ211" i="4" a="1"/>
  <c r="FJ211" i="4" s="1"/>
  <c r="FH211" i="4" a="1"/>
  <c r="FH211" i="4" s="1"/>
  <c r="FF211" i="4" a="1"/>
  <c r="FF211" i="4" s="1"/>
  <c r="FK211" i="4" a="1"/>
  <c r="FK211" i="4" s="1"/>
  <c r="EM211" i="4" a="1"/>
  <c r="EM211" i="4" s="1"/>
  <c r="FE211" i="4" a="1"/>
  <c r="FE211" i="4" s="1"/>
  <c r="FI211" i="4" a="1"/>
  <c r="FI211" i="4" s="1"/>
  <c r="ES211" i="4" a="1"/>
  <c r="ES211" i="4" s="1"/>
  <c r="FG211" i="4" a="1"/>
  <c r="FG211" i="4" s="1"/>
  <c r="FJ213" i="4" a="1"/>
  <c r="FJ213" i="4" s="1"/>
  <c r="FH213" i="4" a="1"/>
  <c r="FH213" i="4" s="1"/>
  <c r="FF213" i="4" a="1"/>
  <c r="FF213" i="4" s="1"/>
  <c r="FK213" i="4" a="1"/>
  <c r="FK213" i="4" s="1"/>
  <c r="EM213" i="4" a="1"/>
  <c r="EM213" i="4" s="1"/>
  <c r="FE213" i="4" a="1"/>
  <c r="FE213" i="4" s="1"/>
  <c r="FI213" i="4" a="1"/>
  <c r="FI213" i="4" s="1"/>
  <c r="ES213" i="4" a="1"/>
  <c r="ES213" i="4" s="1"/>
  <c r="FG213" i="4" a="1"/>
  <c r="FG213" i="4" s="1"/>
  <c r="FJ215" i="4" a="1"/>
  <c r="FJ215" i="4" s="1"/>
  <c r="FH215" i="4" a="1"/>
  <c r="FH215" i="4" s="1"/>
  <c r="FF215" i="4" a="1"/>
  <c r="FF215" i="4" s="1"/>
  <c r="FK215" i="4" a="1"/>
  <c r="FK215" i="4" s="1"/>
  <c r="EM215" i="4" a="1"/>
  <c r="EM215" i="4" s="1"/>
  <c r="FE215" i="4" a="1"/>
  <c r="FE215" i="4" s="1"/>
  <c r="FI215" i="4" a="1"/>
  <c r="FI215" i="4" s="1"/>
  <c r="ES215" i="4" a="1"/>
  <c r="ES215" i="4" s="1"/>
  <c r="FG215" i="4" a="1"/>
  <c r="FG215" i="4" s="1"/>
  <c r="ET217" i="4" a="1"/>
  <c r="ET217" i="4" s="1"/>
  <c r="EN217" i="4" a="1"/>
  <c r="EN217" i="4" s="1"/>
  <c r="EQ218" i="4" a="1"/>
  <c r="EQ218" i="4" s="1"/>
  <c r="EK218" i="4" a="1"/>
  <c r="EK218" i="4" s="1"/>
  <c r="ET219" i="4" a="1"/>
  <c r="ET219" i="4" s="1"/>
  <c r="EN219" i="4" a="1"/>
  <c r="EN219" i="4" s="1"/>
  <c r="EQ220" i="4" a="1"/>
  <c r="EQ220" i="4" s="1"/>
  <c r="EK220" i="4" a="1"/>
  <c r="EK220" i="4" s="1"/>
  <c r="ET221" i="4" a="1"/>
  <c r="ET221" i="4" s="1"/>
  <c r="EN221" i="4" a="1"/>
  <c r="EN221" i="4" s="1"/>
  <c r="EQ222" i="4" a="1"/>
  <c r="EQ222" i="4" s="1"/>
  <c r="EK222" i="4" a="1"/>
  <c r="EK222" i="4" s="1"/>
  <c r="ET223" i="4" a="1"/>
  <c r="ET223" i="4" s="1"/>
  <c r="EN223" i="4" a="1"/>
  <c r="EN223" i="4" s="1"/>
  <c r="EQ224" i="4" a="1"/>
  <c r="EQ224" i="4" s="1"/>
  <c r="EK224" i="4" a="1"/>
  <c r="EK224" i="4" s="1"/>
  <c r="ET225" i="4" a="1"/>
  <c r="ET225" i="4" s="1"/>
  <c r="EN225" i="4" a="1"/>
  <c r="EN225" i="4" s="1"/>
  <c r="EQ226" i="4" a="1"/>
  <c r="EQ226" i="4" s="1"/>
  <c r="EK226" i="4" a="1"/>
  <c r="EK226" i="4" s="1"/>
  <c r="ET227" i="4" a="1"/>
  <c r="ET227" i="4" s="1"/>
  <c r="EN227" i="4" a="1"/>
  <c r="EN227" i="4" s="1"/>
  <c r="EQ228" i="4" a="1"/>
  <c r="EQ228" i="4" s="1"/>
  <c r="EK228" i="4" a="1"/>
  <c r="EK228" i="4" s="1"/>
  <c r="ET229" i="4" a="1"/>
  <c r="ET229" i="4" s="1"/>
  <c r="EN229" i="4" a="1"/>
  <c r="EN229" i="4" s="1"/>
  <c r="EQ230" i="4" a="1"/>
  <c r="EQ230" i="4" s="1"/>
  <c r="EK230" i="4" a="1"/>
  <c r="EK230" i="4" s="1"/>
  <c r="ET231" i="4" a="1"/>
  <c r="ET231" i="4" s="1"/>
  <c r="EN231" i="4" a="1"/>
  <c r="EN231" i="4" s="1"/>
  <c r="EQ232" i="4" a="1"/>
  <c r="EQ232" i="4" s="1"/>
  <c r="EK232" i="4" a="1"/>
  <c r="EK232" i="4" s="1"/>
  <c r="ET233" i="4" a="1"/>
  <c r="ET233" i="4" s="1"/>
  <c r="EN233" i="4" a="1"/>
  <c r="EN233" i="4" s="1"/>
  <c r="EQ234" i="4" a="1"/>
  <c r="EQ234" i="4" s="1"/>
  <c r="EK234" i="4" a="1"/>
  <c r="EK234" i="4" s="1"/>
  <c r="ET235" i="4" a="1"/>
  <c r="ET235" i="4" s="1"/>
  <c r="EN235" i="4" a="1"/>
  <c r="EN235" i="4" s="1"/>
  <c r="EQ236" i="4" a="1"/>
  <c r="EQ236" i="4" s="1"/>
  <c r="EK236" i="4" a="1"/>
  <c r="EK236" i="4" s="1"/>
  <c r="FC238" i="4" a="1"/>
  <c r="FC238" i="4" s="1"/>
  <c r="EZ238" i="4" a="1"/>
  <c r="EZ238" i="4" s="1"/>
  <c r="ER238" i="4" a="1"/>
  <c r="ER238" i="4" s="1"/>
  <c r="FB238" i="4" a="1"/>
  <c r="FB238" i="4" s="1"/>
  <c r="EL238" i="4" a="1"/>
  <c r="EL238" i="4" s="1"/>
  <c r="FA238" i="4" a="1"/>
  <c r="FA238" i="4" s="1"/>
  <c r="EX238" i="4" a="1"/>
  <c r="EX238" i="4" s="1"/>
  <c r="FD238" i="4" a="1"/>
  <c r="FD238" i="4" s="1"/>
  <c r="EY238" i="4" a="1"/>
  <c r="EY238" i="4" s="1"/>
  <c r="FC240" i="4" a="1"/>
  <c r="FC240" i="4" s="1"/>
  <c r="EZ240" i="4" a="1"/>
  <c r="EZ240" i="4" s="1"/>
  <c r="ER240" i="4" a="1"/>
  <c r="ER240" i="4" s="1"/>
  <c r="FB240" i="4" a="1"/>
  <c r="FB240" i="4" s="1"/>
  <c r="EL240" i="4" a="1"/>
  <c r="EL240" i="4" s="1"/>
  <c r="FA240" i="4" a="1"/>
  <c r="FA240" i="4" s="1"/>
  <c r="EX240" i="4" a="1"/>
  <c r="EX240" i="4" s="1"/>
  <c r="EY240" i="4" a="1"/>
  <c r="EY240" i="4" s="1"/>
  <c r="FD240" i="4" a="1"/>
  <c r="FD240" i="4" s="1"/>
  <c r="FC242" i="4" a="1"/>
  <c r="FC242" i="4" s="1"/>
  <c r="EZ242" i="4" a="1"/>
  <c r="EZ242" i="4" s="1"/>
  <c r="ER242" i="4" a="1"/>
  <c r="ER242" i="4" s="1"/>
  <c r="FB242" i="4" a="1"/>
  <c r="FB242" i="4" s="1"/>
  <c r="EL242" i="4" a="1"/>
  <c r="EL242" i="4" s="1"/>
  <c r="FA242" i="4" a="1"/>
  <c r="FA242" i="4" s="1"/>
  <c r="EX242" i="4" a="1"/>
  <c r="EX242" i="4" s="1"/>
  <c r="EY242" i="4" a="1"/>
  <c r="EY242" i="4" s="1"/>
  <c r="FD242" i="4" a="1"/>
  <c r="FD242" i="4" s="1"/>
  <c r="FC244" i="4" a="1"/>
  <c r="FC244" i="4" s="1"/>
  <c r="EZ244" i="4" a="1"/>
  <c r="EZ244" i="4" s="1"/>
  <c r="ER244" i="4" a="1"/>
  <c r="ER244" i="4" s="1"/>
  <c r="FB244" i="4" a="1"/>
  <c r="FB244" i="4" s="1"/>
  <c r="EL244" i="4" a="1"/>
  <c r="EL244" i="4" s="1"/>
  <c r="FA244" i="4" a="1"/>
  <c r="FA244" i="4" s="1"/>
  <c r="EX244" i="4" a="1"/>
  <c r="EX244" i="4" s="1"/>
  <c r="FD244" i="4" a="1"/>
  <c r="FD244" i="4" s="1"/>
  <c r="EY244" i="4" a="1"/>
  <c r="EY244" i="4" s="1"/>
  <c r="FC246" i="4" a="1"/>
  <c r="FC246" i="4" s="1"/>
  <c r="EZ246" i="4" a="1"/>
  <c r="EZ246" i="4" s="1"/>
  <c r="ER246" i="4" a="1"/>
  <c r="ER246" i="4" s="1"/>
  <c r="FB246" i="4" a="1"/>
  <c r="FB246" i="4" s="1"/>
  <c r="EL246" i="4" a="1"/>
  <c r="EL246" i="4" s="1"/>
  <c r="FA246" i="4" a="1"/>
  <c r="FA246" i="4" s="1"/>
  <c r="EX246" i="4" a="1"/>
  <c r="EX246" i="4" s="1"/>
  <c r="FD246" i="4" a="1"/>
  <c r="FD246" i="4" s="1"/>
  <c r="EY246" i="4" a="1"/>
  <c r="EY246" i="4" s="1"/>
  <c r="FK249" i="4" a="1"/>
  <c r="FK249" i="4" s="1"/>
  <c r="FF249" i="4" a="1"/>
  <c r="FF249" i="4" s="1"/>
  <c r="EM249" i="4" a="1"/>
  <c r="EM249" i="4" s="1"/>
  <c r="FH249" i="4" a="1"/>
  <c r="FH249" i="4" s="1"/>
  <c r="FE249" i="4" a="1"/>
  <c r="FE249" i="4" s="1"/>
  <c r="FI249" i="4" a="1"/>
  <c r="FI249" i="4" s="1"/>
  <c r="ES249" i="4" a="1"/>
  <c r="ES249" i="4" s="1"/>
  <c r="FG249" i="4" a="1"/>
  <c r="FG249" i="4" s="1"/>
  <c r="FJ249" i="4" a="1"/>
  <c r="FJ249" i="4" s="1"/>
  <c r="EQ250" i="4" a="1"/>
  <c r="EQ250" i="4" s="1"/>
  <c r="EK250" i="4" a="1"/>
  <c r="EK250" i="4" s="1"/>
  <c r="ET251" i="4" a="1"/>
  <c r="ET251" i="4" s="1"/>
  <c r="EN251" i="4" a="1"/>
  <c r="EN251" i="4" s="1"/>
  <c r="EQ252" i="4" a="1"/>
  <c r="EQ252" i="4" s="1"/>
  <c r="EK252" i="4" a="1"/>
  <c r="EK252" i="4" s="1"/>
  <c r="FJ254" i="4" a="1"/>
  <c r="FJ254" i="4" s="1"/>
  <c r="FH254" i="4" a="1"/>
  <c r="FH254" i="4" s="1"/>
  <c r="FF254" i="4" a="1"/>
  <c r="FF254" i="4" s="1"/>
  <c r="FK254" i="4" a="1"/>
  <c r="FK254" i="4" s="1"/>
  <c r="EM254" i="4" a="1"/>
  <c r="EM254" i="4" s="1"/>
  <c r="FE254" i="4" a="1"/>
  <c r="FE254" i="4" s="1"/>
  <c r="FI254" i="4" a="1"/>
  <c r="FI254" i="4" s="1"/>
  <c r="ES254" i="4" a="1"/>
  <c r="ES254" i="4" s="1"/>
  <c r="FG254" i="4" a="1"/>
  <c r="FG254" i="4" s="1"/>
  <c r="FJ256" i="4" a="1"/>
  <c r="FJ256" i="4" s="1"/>
  <c r="FH256" i="4" a="1"/>
  <c r="FH256" i="4" s="1"/>
  <c r="FF256" i="4" a="1"/>
  <c r="FF256" i="4" s="1"/>
  <c r="FK256" i="4" a="1"/>
  <c r="FK256" i="4" s="1"/>
  <c r="EM256" i="4" a="1"/>
  <c r="EM256" i="4" s="1"/>
  <c r="FE256" i="4" a="1"/>
  <c r="FE256" i="4" s="1"/>
  <c r="FI256" i="4" a="1"/>
  <c r="FI256" i="4" s="1"/>
  <c r="ES256" i="4" a="1"/>
  <c r="ES256" i="4" s="1"/>
  <c r="FG256" i="4" a="1"/>
  <c r="FG256" i="4" s="1"/>
  <c r="FJ258" i="4" a="1"/>
  <c r="FJ258" i="4" s="1"/>
  <c r="FH258" i="4" a="1"/>
  <c r="FH258" i="4" s="1"/>
  <c r="FF258" i="4" a="1"/>
  <c r="FF258" i="4" s="1"/>
  <c r="FK258" i="4" a="1"/>
  <c r="FK258" i="4" s="1"/>
  <c r="EM258" i="4" a="1"/>
  <c r="EM258" i="4" s="1"/>
  <c r="FE258" i="4" a="1"/>
  <c r="FE258" i="4" s="1"/>
  <c r="FI258" i="4" a="1"/>
  <c r="FI258" i="4" s="1"/>
  <c r="ES258" i="4" a="1"/>
  <c r="ES258" i="4" s="1"/>
  <c r="FG258" i="4" a="1"/>
  <c r="FG258" i="4" s="1"/>
  <c r="ET260" i="4" a="1"/>
  <c r="ET260" i="4" s="1"/>
  <c r="EN260" i="4" a="1"/>
  <c r="EN260" i="4" s="1"/>
  <c r="EQ261" i="4" a="1"/>
  <c r="EQ261" i="4" s="1"/>
  <c r="EK261" i="4" a="1"/>
  <c r="EK261" i="4" s="1"/>
  <c r="ET262" i="4" a="1"/>
  <c r="ET262" i="4" s="1"/>
  <c r="EN262" i="4" a="1"/>
  <c r="EN262" i="4" s="1"/>
  <c r="EQ263" i="4" a="1"/>
  <c r="EQ263" i="4" s="1"/>
  <c r="EK263" i="4" a="1"/>
  <c r="EK263" i="4" s="1"/>
  <c r="ET264" i="4" a="1"/>
  <c r="ET264" i="4" s="1"/>
  <c r="EN264" i="4" a="1"/>
  <c r="EN264" i="4" s="1"/>
  <c r="FY2" i="4" a="1"/>
  <c r="FY2" i="4" s="1"/>
  <c r="FV2" i="4" a="1"/>
  <c r="FV2" i="4" s="1"/>
  <c r="EP2" i="4" a="1"/>
  <c r="EP2" i="4" s="1"/>
  <c r="FX2" i="4" a="1"/>
  <c r="FX2" i="4" s="1"/>
  <c r="FS2" i="4" a="1"/>
  <c r="FS2" i="4" s="1"/>
  <c r="FW2" i="4" a="1"/>
  <c r="FW2" i="4" s="1"/>
  <c r="FT2" i="4" a="1"/>
  <c r="FT2" i="4" s="1"/>
  <c r="EV2" i="4" a="1"/>
  <c r="EV2" i="4" s="1"/>
  <c r="FU2" i="4" a="1"/>
  <c r="FU2" i="4" s="1"/>
  <c r="FY30" i="4" a="1"/>
  <c r="FY30" i="4" s="1"/>
  <c r="FV30" i="4" a="1"/>
  <c r="FV30" i="4" s="1"/>
  <c r="EP30" i="4" a="1"/>
  <c r="EP30" i="4" s="1"/>
  <c r="FX30" i="4" a="1"/>
  <c r="FX30" i="4" s="1"/>
  <c r="FS30" i="4" a="1"/>
  <c r="FS30" i="4" s="1"/>
  <c r="FW30" i="4" a="1"/>
  <c r="FW30" i="4" s="1"/>
  <c r="FT30" i="4" a="1"/>
  <c r="FT30" i="4" s="1"/>
  <c r="EV30" i="4" a="1"/>
  <c r="EV30" i="4" s="1"/>
  <c r="FU30" i="4" a="1"/>
  <c r="FU30" i="4" s="1"/>
  <c r="FY32" i="4" a="1"/>
  <c r="FY32" i="4" s="1"/>
  <c r="FV32" i="4" a="1"/>
  <c r="FV32" i="4" s="1"/>
  <c r="EP32" i="4" a="1"/>
  <c r="EP32" i="4" s="1"/>
  <c r="FX32" i="4" a="1"/>
  <c r="FX32" i="4" s="1"/>
  <c r="FS32" i="4" a="1"/>
  <c r="FS32" i="4" s="1"/>
  <c r="FW32" i="4" a="1"/>
  <c r="FW32" i="4" s="1"/>
  <c r="FT32" i="4" a="1"/>
  <c r="FT32" i="4" s="1"/>
  <c r="EV32" i="4" a="1"/>
  <c r="EV32" i="4" s="1"/>
  <c r="FU32" i="4" a="1"/>
  <c r="FU32" i="4" s="1"/>
  <c r="FY34" i="4" a="1"/>
  <c r="FY34" i="4" s="1"/>
  <c r="FV34" i="4" a="1"/>
  <c r="FV34" i="4" s="1"/>
  <c r="EP34" i="4" a="1"/>
  <c r="EP34" i="4" s="1"/>
  <c r="FX34" i="4" a="1"/>
  <c r="FX34" i="4" s="1"/>
  <c r="FS34" i="4" a="1"/>
  <c r="FS34" i="4" s="1"/>
  <c r="FW34" i="4" a="1"/>
  <c r="FW34" i="4" s="1"/>
  <c r="FT34" i="4" a="1"/>
  <c r="FT34" i="4" s="1"/>
  <c r="EV34" i="4" a="1"/>
  <c r="EV34" i="4" s="1"/>
  <c r="FU34" i="4" a="1"/>
  <c r="FU34" i="4" s="1"/>
  <c r="FY36" i="4" a="1"/>
  <c r="FY36" i="4" s="1"/>
  <c r="FV36" i="4" a="1"/>
  <c r="FV36" i="4" s="1"/>
  <c r="EP36" i="4" a="1"/>
  <c r="EP36" i="4" s="1"/>
  <c r="FX36" i="4" a="1"/>
  <c r="FX36" i="4" s="1"/>
  <c r="FS36" i="4" a="1"/>
  <c r="FS36" i="4" s="1"/>
  <c r="FW36" i="4" a="1"/>
  <c r="FW36" i="4" s="1"/>
  <c r="FT36" i="4" a="1"/>
  <c r="FT36" i="4" s="1"/>
  <c r="EV36" i="4" a="1"/>
  <c r="EV36" i="4" s="1"/>
  <c r="FU36" i="4" a="1"/>
  <c r="FU36" i="4" s="1"/>
  <c r="FY38" i="4" a="1"/>
  <c r="FY38" i="4" s="1"/>
  <c r="FV38" i="4" a="1"/>
  <c r="FV38" i="4" s="1"/>
  <c r="EP38" i="4" a="1"/>
  <c r="EP38" i="4" s="1"/>
  <c r="FX38" i="4" a="1"/>
  <c r="FX38" i="4" s="1"/>
  <c r="FS38" i="4" a="1"/>
  <c r="FS38" i="4" s="1"/>
  <c r="FW38" i="4" a="1"/>
  <c r="FW38" i="4" s="1"/>
  <c r="FT38" i="4" a="1"/>
  <c r="FT38" i="4" s="1"/>
  <c r="EV38" i="4" a="1"/>
  <c r="EV38" i="4" s="1"/>
  <c r="FU38" i="4" a="1"/>
  <c r="FU38" i="4" s="1"/>
  <c r="FY40" i="4" a="1"/>
  <c r="FY40" i="4" s="1"/>
  <c r="FV40" i="4" a="1"/>
  <c r="FV40" i="4" s="1"/>
  <c r="EP40" i="4" a="1"/>
  <c r="EP40" i="4" s="1"/>
  <c r="FX40" i="4" a="1"/>
  <c r="FX40" i="4" s="1"/>
  <c r="FS40" i="4" a="1"/>
  <c r="FS40" i="4" s="1"/>
  <c r="FW40" i="4" a="1"/>
  <c r="FW40" i="4" s="1"/>
  <c r="FT40" i="4" a="1"/>
  <c r="FT40" i="4" s="1"/>
  <c r="EV40" i="4" a="1"/>
  <c r="EV40" i="4" s="1"/>
  <c r="FU40" i="4" a="1"/>
  <c r="FU40" i="4" s="1"/>
  <c r="FY42" i="4" a="1"/>
  <c r="FY42" i="4" s="1"/>
  <c r="FV42" i="4" a="1"/>
  <c r="FV42" i="4" s="1"/>
  <c r="EP42" i="4" a="1"/>
  <c r="EP42" i="4" s="1"/>
  <c r="FX42" i="4" a="1"/>
  <c r="FX42" i="4" s="1"/>
  <c r="FS42" i="4" a="1"/>
  <c r="FS42" i="4" s="1"/>
  <c r="FW42" i="4" a="1"/>
  <c r="FW42" i="4" s="1"/>
  <c r="FT42" i="4" a="1"/>
  <c r="FT42" i="4" s="1"/>
  <c r="EV42" i="4" a="1"/>
  <c r="EV42" i="4" s="1"/>
  <c r="FU42" i="4" a="1"/>
  <c r="FU42" i="4" s="1"/>
  <c r="FX44" i="4" a="1"/>
  <c r="FX44" i="4" s="1"/>
  <c r="FS44" i="4" a="1"/>
  <c r="FS44" i="4" s="1"/>
  <c r="FU44" i="4" a="1"/>
  <c r="FU44" i="4" s="1"/>
  <c r="FY44" i="4" a="1"/>
  <c r="FY44" i="4" s="1"/>
  <c r="FV44" i="4" a="1"/>
  <c r="FV44" i="4" s="1"/>
  <c r="EP44" i="4" a="1"/>
  <c r="EP44" i="4" s="1"/>
  <c r="EV44" i="4" a="1"/>
  <c r="EV44" i="4" s="1"/>
  <c r="FT44" i="4" a="1"/>
  <c r="FT44" i="4" s="1"/>
  <c r="FW44" i="4" a="1"/>
  <c r="FW44" i="4" s="1"/>
  <c r="FP46" i="4" a="1"/>
  <c r="FP46" i="4" s="1"/>
  <c r="EU46" i="4" a="1"/>
  <c r="EU46" i="4" s="1"/>
  <c r="FR46" i="4" a="1"/>
  <c r="FR46" i="4" s="1"/>
  <c r="FM46" i="4" a="1"/>
  <c r="FM46" i="4" s="1"/>
  <c r="EO46" i="4" a="1"/>
  <c r="EO46" i="4" s="1"/>
  <c r="FQ46" i="4" a="1"/>
  <c r="FQ46" i="4" s="1"/>
  <c r="FN46" i="4" a="1"/>
  <c r="FN46" i="4" s="1"/>
  <c r="FO46" i="4" a="1"/>
  <c r="FO46" i="4" s="1"/>
  <c r="FL46" i="4" a="1"/>
  <c r="FL46" i="4" s="1"/>
  <c r="FP48" i="4" a="1"/>
  <c r="FP48" i="4" s="1"/>
  <c r="EU48" i="4" a="1"/>
  <c r="EU48" i="4" s="1"/>
  <c r="FR48" i="4" a="1"/>
  <c r="FR48" i="4" s="1"/>
  <c r="FM48" i="4" a="1"/>
  <c r="FM48" i="4" s="1"/>
  <c r="EO48" i="4" a="1"/>
  <c r="EO48" i="4" s="1"/>
  <c r="FQ48" i="4" a="1"/>
  <c r="FQ48" i="4" s="1"/>
  <c r="FN48" i="4" a="1"/>
  <c r="FN48" i="4" s="1"/>
  <c r="FL48" i="4" a="1"/>
  <c r="FL48" i="4" s="1"/>
  <c r="FO48" i="4" a="1"/>
  <c r="FO48" i="4" s="1"/>
  <c r="FP50" i="4" a="1"/>
  <c r="FP50" i="4" s="1"/>
  <c r="EU50" i="4" a="1"/>
  <c r="EU50" i="4" s="1"/>
  <c r="FR50" i="4" a="1"/>
  <c r="FR50" i="4" s="1"/>
  <c r="FM50" i="4" a="1"/>
  <c r="FM50" i="4" s="1"/>
  <c r="EO50" i="4" a="1"/>
  <c r="EO50" i="4" s="1"/>
  <c r="FQ50" i="4" a="1"/>
  <c r="FQ50" i="4" s="1"/>
  <c r="FN50" i="4" a="1"/>
  <c r="FN50" i="4" s="1"/>
  <c r="FL50" i="4" a="1"/>
  <c r="FL50" i="4" s="1"/>
  <c r="FO50" i="4" a="1"/>
  <c r="FO50" i="4" s="1"/>
  <c r="FY63" i="4" a="1"/>
  <c r="FY63" i="4" s="1"/>
  <c r="FW63" i="4" a="1"/>
  <c r="FW63" i="4" s="1"/>
  <c r="FU63" i="4" a="1"/>
  <c r="FU63" i="4" s="1"/>
  <c r="FS63" i="4" a="1"/>
  <c r="FS63" i="4" s="1"/>
  <c r="FV63" i="4" a="1"/>
  <c r="FV63" i="4" s="1"/>
  <c r="EP63" i="4" a="1"/>
  <c r="EP63" i="4" s="1"/>
  <c r="FX63" i="4" a="1"/>
  <c r="FX63" i="4" s="1"/>
  <c r="FT63" i="4" a="1"/>
  <c r="FT63" i="4" s="1"/>
  <c r="EV63" i="4" a="1"/>
  <c r="EV63" i="4" s="1"/>
  <c r="FY64" i="4" a="1"/>
  <c r="FY64" i="4" s="1"/>
  <c r="FW64" i="4" a="1"/>
  <c r="FW64" i="4" s="1"/>
  <c r="FU64" i="4" a="1"/>
  <c r="FU64" i="4" s="1"/>
  <c r="FS64" i="4" a="1"/>
  <c r="FS64" i="4" s="1"/>
  <c r="FV64" i="4" a="1"/>
  <c r="FV64" i="4" s="1"/>
  <c r="EP64" i="4" a="1"/>
  <c r="EP64" i="4" s="1"/>
  <c r="FX64" i="4" a="1"/>
  <c r="FX64" i="4" s="1"/>
  <c r="FT64" i="4" a="1"/>
  <c r="FT64" i="4" s="1"/>
  <c r="EV64" i="4" a="1"/>
  <c r="EV64" i="4" s="1"/>
  <c r="FK72" i="4" a="1"/>
  <c r="FK72" i="4" s="1"/>
  <c r="FI72" i="4" a="1"/>
  <c r="FI72" i="4" s="1"/>
  <c r="FG72" i="4" a="1"/>
  <c r="FG72" i="4" s="1"/>
  <c r="FE72" i="4" a="1"/>
  <c r="FE72" i="4" s="1"/>
  <c r="ES72" i="4" a="1"/>
  <c r="ES72" i="4" s="1"/>
  <c r="EM72" i="4" a="1"/>
  <c r="EM72" i="4" s="1"/>
  <c r="FJ72" i="4" a="1"/>
  <c r="FJ72" i="4" s="1"/>
  <c r="FH72" i="4" a="1"/>
  <c r="FH72" i="4" s="1"/>
  <c r="FF72" i="4" a="1"/>
  <c r="FF72" i="4" s="1"/>
  <c r="FK73" i="4" a="1"/>
  <c r="FK73" i="4" s="1"/>
  <c r="FI73" i="4" a="1"/>
  <c r="FI73" i="4" s="1"/>
  <c r="FG73" i="4" a="1"/>
  <c r="FG73" i="4" s="1"/>
  <c r="FE73" i="4" a="1"/>
  <c r="FE73" i="4" s="1"/>
  <c r="ES73" i="4" a="1"/>
  <c r="ES73" i="4" s="1"/>
  <c r="EM73" i="4" a="1"/>
  <c r="EM73" i="4" s="1"/>
  <c r="FJ73" i="4" a="1"/>
  <c r="FJ73" i="4" s="1"/>
  <c r="FH73" i="4" a="1"/>
  <c r="FH73" i="4" s="1"/>
  <c r="FF73" i="4" a="1"/>
  <c r="FF73" i="4" s="1"/>
  <c r="FC74" i="4" a="1"/>
  <c r="FC74" i="4" s="1"/>
  <c r="FA74" i="4" a="1"/>
  <c r="FA74" i="4" s="1"/>
  <c r="EY74" i="4" a="1"/>
  <c r="EY74" i="4" s="1"/>
  <c r="FD74" i="4" a="1"/>
  <c r="FD74" i="4" s="1"/>
  <c r="EX74" i="4" a="1"/>
  <c r="EX74" i="4" s="1"/>
  <c r="FB74" i="4" a="1"/>
  <c r="FB74" i="4" s="1"/>
  <c r="EL74" i="4" a="1"/>
  <c r="EL74" i="4" s="1"/>
  <c r="EZ74" i="4" a="1"/>
  <c r="EZ74" i="4" s="1"/>
  <c r="ER74" i="4" a="1"/>
  <c r="ER74" i="4" s="1"/>
  <c r="FC75" i="4" a="1"/>
  <c r="FC75" i="4" s="1"/>
  <c r="FA75" i="4" a="1"/>
  <c r="FA75" i="4" s="1"/>
  <c r="EY75" i="4" a="1"/>
  <c r="EY75" i="4" s="1"/>
  <c r="FD75" i="4" a="1"/>
  <c r="FD75" i="4" s="1"/>
  <c r="EX75" i="4" a="1"/>
  <c r="EX75" i="4" s="1"/>
  <c r="FB75" i="4" a="1"/>
  <c r="FB75" i="4" s="1"/>
  <c r="EL75" i="4" a="1"/>
  <c r="EL75" i="4" s="1"/>
  <c r="ER75" i="4" a="1"/>
  <c r="ER75" i="4" s="1"/>
  <c r="EZ75" i="4" a="1"/>
  <c r="EZ75" i="4" s="1"/>
  <c r="EQ76" i="4" a="1"/>
  <c r="EQ76" i="4" s="1"/>
  <c r="EK76" i="4" a="1"/>
  <c r="EK76" i="4" s="1"/>
  <c r="EQ77" i="4" a="1"/>
  <c r="EQ77" i="4" s="1"/>
  <c r="EK77" i="4" a="1"/>
  <c r="EK77" i="4" s="1"/>
  <c r="FQ78" i="4" a="1"/>
  <c r="FQ78" i="4" s="1"/>
  <c r="FO78" i="4" a="1"/>
  <c r="FO78" i="4" s="1"/>
  <c r="FM78" i="4" a="1"/>
  <c r="FM78" i="4" s="1"/>
  <c r="EU78" i="4" a="1"/>
  <c r="EU78" i="4" s="1"/>
  <c r="EO78" i="4" a="1"/>
  <c r="EO78" i="4" s="1"/>
  <c r="FP78" i="4" a="1"/>
  <c r="FP78" i="4" s="1"/>
  <c r="FR78" i="4" a="1"/>
  <c r="FR78" i="4" s="1"/>
  <c r="FN78" i="4" a="1"/>
  <c r="FN78" i="4" s="1"/>
  <c r="FL78" i="4" a="1"/>
  <c r="FL78" i="4" s="1"/>
  <c r="FK91" i="4" a="1"/>
  <c r="FK91" i="4" s="1"/>
  <c r="FI91" i="4" a="1"/>
  <c r="FI91" i="4" s="1"/>
  <c r="FG91" i="4" a="1"/>
  <c r="FG91" i="4" s="1"/>
  <c r="FE91" i="4" a="1"/>
  <c r="FE91" i="4" s="1"/>
  <c r="ES91" i="4" a="1"/>
  <c r="ES91" i="4" s="1"/>
  <c r="EM91" i="4" a="1"/>
  <c r="EM91" i="4" s="1"/>
  <c r="FJ91" i="4" a="1"/>
  <c r="FJ91" i="4" s="1"/>
  <c r="FH91" i="4" a="1"/>
  <c r="FH91" i="4" s="1"/>
  <c r="FF91" i="4" a="1"/>
  <c r="FF91" i="4" s="1"/>
  <c r="FK92" i="4" a="1"/>
  <c r="FK92" i="4" s="1"/>
  <c r="FI92" i="4" a="1"/>
  <c r="FI92" i="4" s="1"/>
  <c r="FG92" i="4" a="1"/>
  <c r="FG92" i="4" s="1"/>
  <c r="FE92" i="4" a="1"/>
  <c r="FE92" i="4" s="1"/>
  <c r="ES92" i="4" a="1"/>
  <c r="ES92" i="4" s="1"/>
  <c r="EM92" i="4" a="1"/>
  <c r="EM92" i="4" s="1"/>
  <c r="FJ92" i="4" a="1"/>
  <c r="FJ92" i="4" s="1"/>
  <c r="FH92" i="4" a="1"/>
  <c r="FH92" i="4" s="1"/>
  <c r="FF92" i="4" a="1"/>
  <c r="FF92" i="4" s="1"/>
  <c r="FC93" i="4" a="1"/>
  <c r="FC93" i="4" s="1"/>
  <c r="FA93" i="4" a="1"/>
  <c r="FA93" i="4" s="1"/>
  <c r="EY93" i="4" a="1"/>
  <c r="EY93" i="4" s="1"/>
  <c r="FD93" i="4" a="1"/>
  <c r="FD93" i="4" s="1"/>
  <c r="EX93" i="4" a="1"/>
  <c r="EX93" i="4" s="1"/>
  <c r="FB93" i="4" a="1"/>
  <c r="FB93" i="4" s="1"/>
  <c r="EL93" i="4" a="1"/>
  <c r="EL93" i="4" s="1"/>
  <c r="EZ93" i="4" a="1"/>
  <c r="EZ93" i="4" s="1"/>
  <c r="ER93" i="4" a="1"/>
  <c r="ER93" i="4" s="1"/>
  <c r="EQ94" i="4" a="1"/>
  <c r="EQ94" i="4" s="1"/>
  <c r="EK94" i="4" a="1"/>
  <c r="EK94" i="4" s="1"/>
  <c r="FQ95" i="4" a="1"/>
  <c r="FQ95" i="4" s="1"/>
  <c r="FO95" i="4" a="1"/>
  <c r="FO95" i="4" s="1"/>
  <c r="FM95" i="4" a="1"/>
  <c r="FM95" i="4" s="1"/>
  <c r="EU95" i="4" a="1"/>
  <c r="EU95" i="4" s="1"/>
  <c r="EO95" i="4" a="1"/>
  <c r="EO95" i="4" s="1"/>
  <c r="FP95" i="4" a="1"/>
  <c r="FP95" i="4" s="1"/>
  <c r="FR95" i="4" a="1"/>
  <c r="FR95" i="4" s="1"/>
  <c r="FN95" i="4" a="1"/>
  <c r="FN95" i="4" s="1"/>
  <c r="FL95" i="4" a="1"/>
  <c r="FL95" i="4" s="1"/>
  <c r="FY99" i="4" a="1"/>
  <c r="FY99" i="4" s="1"/>
  <c r="FW99" i="4" a="1"/>
  <c r="FW99" i="4" s="1"/>
  <c r="FU99" i="4" a="1"/>
  <c r="FU99" i="4" s="1"/>
  <c r="FS99" i="4" a="1"/>
  <c r="FS99" i="4" s="1"/>
  <c r="FV99" i="4" a="1"/>
  <c r="FV99" i="4" s="1"/>
  <c r="EP99" i="4" a="1"/>
  <c r="EP99" i="4" s="1"/>
  <c r="FX99" i="4" a="1"/>
  <c r="FX99" i="4" s="1"/>
  <c r="FT99" i="4" a="1"/>
  <c r="FT99" i="4" s="1"/>
  <c r="EV99" i="4" a="1"/>
  <c r="EV99" i="4" s="1"/>
  <c r="FK110" i="4" a="1"/>
  <c r="FK110" i="4" s="1"/>
  <c r="FI110" i="4" a="1"/>
  <c r="FI110" i="4" s="1"/>
  <c r="FG110" i="4" a="1"/>
  <c r="FG110" i="4" s="1"/>
  <c r="FE110" i="4" a="1"/>
  <c r="FE110" i="4" s="1"/>
  <c r="ES110" i="4" a="1"/>
  <c r="ES110" i="4" s="1"/>
  <c r="EM110" i="4" a="1"/>
  <c r="EM110" i="4" s="1"/>
  <c r="FJ110" i="4" a="1"/>
  <c r="FJ110" i="4" s="1"/>
  <c r="FH110" i="4" a="1"/>
  <c r="FH110" i="4" s="1"/>
  <c r="FF110" i="4" a="1"/>
  <c r="FF110" i="4" s="1"/>
  <c r="FK111" i="4" a="1"/>
  <c r="FK111" i="4" s="1"/>
  <c r="FI111" i="4" a="1"/>
  <c r="FI111" i="4" s="1"/>
  <c r="FG111" i="4" a="1"/>
  <c r="FG111" i="4" s="1"/>
  <c r="FE111" i="4" a="1"/>
  <c r="FE111" i="4" s="1"/>
  <c r="ES111" i="4" a="1"/>
  <c r="ES111" i="4" s="1"/>
  <c r="EM111" i="4" a="1"/>
  <c r="EM111" i="4" s="1"/>
  <c r="FJ111" i="4" a="1"/>
  <c r="FJ111" i="4" s="1"/>
  <c r="FH111" i="4" a="1"/>
  <c r="FH111" i="4" s="1"/>
  <c r="FF111" i="4" a="1"/>
  <c r="FF111" i="4" s="1"/>
  <c r="FC112" i="4" a="1"/>
  <c r="FC112" i="4" s="1"/>
  <c r="FA112" i="4" a="1"/>
  <c r="FA112" i="4" s="1"/>
  <c r="EY112" i="4" a="1"/>
  <c r="EY112" i="4" s="1"/>
  <c r="FD112" i="4" a="1"/>
  <c r="FD112" i="4" s="1"/>
  <c r="EX112" i="4" a="1"/>
  <c r="EX112" i="4" s="1"/>
  <c r="FB112" i="4" a="1"/>
  <c r="FB112" i="4" s="1"/>
  <c r="EL112" i="4" a="1"/>
  <c r="EL112" i="4" s="1"/>
  <c r="EZ112" i="4" a="1"/>
  <c r="EZ112" i="4" s="1"/>
  <c r="ER112" i="4" a="1"/>
  <c r="ER112" i="4" s="1"/>
  <c r="EQ113" i="4" a="1"/>
  <c r="EQ113" i="4" s="1"/>
  <c r="EK113" i="4" a="1"/>
  <c r="EK113" i="4" s="1"/>
  <c r="FQ114" i="4" a="1"/>
  <c r="FQ114" i="4" s="1"/>
  <c r="FO114" i="4" a="1"/>
  <c r="FO114" i="4" s="1"/>
  <c r="FM114" i="4" a="1"/>
  <c r="FM114" i="4" s="1"/>
  <c r="EU114" i="4" a="1"/>
  <c r="EU114" i="4" s="1"/>
  <c r="EO114" i="4" a="1"/>
  <c r="EO114" i="4" s="1"/>
  <c r="FP114" i="4" a="1"/>
  <c r="FP114" i="4" s="1"/>
  <c r="FR114" i="4" a="1"/>
  <c r="FR114" i="4" s="1"/>
  <c r="FN114" i="4" a="1"/>
  <c r="FN114" i="4" s="1"/>
  <c r="FL114" i="4" a="1"/>
  <c r="FL114" i="4" s="1"/>
  <c r="FY119" i="4" a="1"/>
  <c r="FY119" i="4" s="1"/>
  <c r="FW119" i="4" a="1"/>
  <c r="FW119" i="4" s="1"/>
  <c r="FU119" i="4" a="1"/>
  <c r="FU119" i="4" s="1"/>
  <c r="FS119" i="4" a="1"/>
  <c r="FS119" i="4" s="1"/>
  <c r="FV119" i="4" a="1"/>
  <c r="FV119" i="4" s="1"/>
  <c r="EP119" i="4" a="1"/>
  <c r="EP119" i="4" s="1"/>
  <c r="FX119" i="4" a="1"/>
  <c r="FX119" i="4" s="1"/>
  <c r="FT119" i="4" a="1"/>
  <c r="FT119" i="4" s="1"/>
  <c r="EV119" i="4" a="1"/>
  <c r="EV119" i="4" s="1"/>
  <c r="FY120" i="4" a="1"/>
  <c r="FY120" i="4" s="1"/>
  <c r="FW120" i="4" a="1"/>
  <c r="FW120" i="4" s="1"/>
  <c r="FU120" i="4" a="1"/>
  <c r="FU120" i="4" s="1"/>
  <c r="FS120" i="4" a="1"/>
  <c r="FS120" i="4" s="1"/>
  <c r="FV120" i="4" a="1"/>
  <c r="FV120" i="4" s="1"/>
  <c r="EP120" i="4" a="1"/>
  <c r="EP120" i="4" s="1"/>
  <c r="FX120" i="4" a="1"/>
  <c r="FX120" i="4" s="1"/>
  <c r="FT120" i="4" a="1"/>
  <c r="FT120" i="4" s="1"/>
  <c r="EV120" i="4" a="1"/>
  <c r="EV120" i="4" s="1"/>
  <c r="FK136" i="4" a="1"/>
  <c r="FK136" i="4" s="1"/>
  <c r="FI136" i="4" a="1"/>
  <c r="FI136" i="4" s="1"/>
  <c r="FG136" i="4" a="1"/>
  <c r="FG136" i="4" s="1"/>
  <c r="FE136" i="4" a="1"/>
  <c r="FE136" i="4" s="1"/>
  <c r="ES136" i="4" a="1"/>
  <c r="ES136" i="4" s="1"/>
  <c r="EM136" i="4" a="1"/>
  <c r="EM136" i="4" s="1"/>
  <c r="FJ136" i="4" a="1"/>
  <c r="FJ136" i="4" s="1"/>
  <c r="FH136" i="4" a="1"/>
  <c r="FH136" i="4" s="1"/>
  <c r="FF136" i="4" a="1"/>
  <c r="FF136" i="4" s="1"/>
  <c r="FC137" i="4" a="1"/>
  <c r="FC137" i="4" s="1"/>
  <c r="FA137" i="4" a="1"/>
  <c r="FA137" i="4" s="1"/>
  <c r="EY137" i="4" a="1"/>
  <c r="EY137" i="4" s="1"/>
  <c r="FD137" i="4" a="1"/>
  <c r="FD137" i="4" s="1"/>
  <c r="EX137" i="4" a="1"/>
  <c r="EX137" i="4" s="1"/>
  <c r="FB137" i="4" a="1"/>
  <c r="FB137" i="4" s="1"/>
  <c r="EL137" i="4" a="1"/>
  <c r="EL137" i="4" s="1"/>
  <c r="ER137" i="4" a="1"/>
  <c r="ER137" i="4" s="1"/>
  <c r="EZ137" i="4" a="1"/>
  <c r="EZ137" i="4" s="1"/>
  <c r="EQ138" i="4" a="1"/>
  <c r="EQ138" i="4" s="1"/>
  <c r="EK138" i="4" a="1"/>
  <c r="EK138" i="4" s="1"/>
  <c r="FQ139" i="4" a="1"/>
  <c r="FQ139" i="4" s="1"/>
  <c r="FO139" i="4" a="1"/>
  <c r="FO139" i="4" s="1"/>
  <c r="FM139" i="4" a="1"/>
  <c r="FM139" i="4" s="1"/>
  <c r="EU139" i="4" a="1"/>
  <c r="EU139" i="4" s="1"/>
  <c r="EO139" i="4" a="1"/>
  <c r="EO139" i="4" s="1"/>
  <c r="FP139" i="4" a="1"/>
  <c r="FP139" i="4" s="1"/>
  <c r="FR139" i="4" a="1"/>
  <c r="FR139" i="4" s="1"/>
  <c r="FN139" i="4" a="1"/>
  <c r="FN139" i="4" s="1"/>
  <c r="FL139" i="4" a="1"/>
  <c r="FL139" i="4" s="1"/>
  <c r="FY144" i="4" a="1"/>
  <c r="FY144" i="4" s="1"/>
  <c r="FW144" i="4" a="1"/>
  <c r="FW144" i="4" s="1"/>
  <c r="FU144" i="4" a="1"/>
  <c r="FU144" i="4" s="1"/>
  <c r="FS144" i="4" a="1"/>
  <c r="FS144" i="4" s="1"/>
  <c r="FV144" i="4" a="1"/>
  <c r="FV144" i="4" s="1"/>
  <c r="EP144" i="4" a="1"/>
  <c r="EP144" i="4" s="1"/>
  <c r="FX144" i="4" a="1"/>
  <c r="FX144" i="4" s="1"/>
  <c r="FT144" i="4" a="1"/>
  <c r="FT144" i="4" s="1"/>
  <c r="EV144" i="4" a="1"/>
  <c r="EV144" i="4" s="1"/>
  <c r="FQ155" i="4" a="1"/>
  <c r="FQ155" i="4" s="1"/>
  <c r="FO155" i="4" a="1"/>
  <c r="FO155" i="4" s="1"/>
  <c r="FM155" i="4" a="1"/>
  <c r="FM155" i="4" s="1"/>
  <c r="EU155" i="4" a="1"/>
  <c r="EU155" i="4" s="1"/>
  <c r="EO155" i="4" a="1"/>
  <c r="EO155" i="4" s="1"/>
  <c r="FP155" i="4" a="1"/>
  <c r="FP155" i="4" s="1"/>
  <c r="FR155" i="4" a="1"/>
  <c r="FR155" i="4" s="1"/>
  <c r="FN155" i="4" a="1"/>
  <c r="FN155" i="4" s="1"/>
  <c r="FL155" i="4" a="1"/>
  <c r="FL155" i="4" s="1"/>
  <c r="FY158" i="4" a="1"/>
  <c r="FY158" i="4" s="1"/>
  <c r="FW158" i="4" a="1"/>
  <c r="FW158" i="4" s="1"/>
  <c r="FU158" i="4" a="1"/>
  <c r="FU158" i="4" s="1"/>
  <c r="FS158" i="4" a="1"/>
  <c r="FS158" i="4" s="1"/>
  <c r="FV158" i="4" a="1"/>
  <c r="FV158" i="4" s="1"/>
  <c r="EP158" i="4" a="1"/>
  <c r="EP158" i="4" s="1"/>
  <c r="FX158" i="4" a="1"/>
  <c r="FX158" i="4" s="1"/>
  <c r="FT158" i="4" a="1"/>
  <c r="FT158" i="4" s="1"/>
  <c r="EV158" i="4" a="1"/>
  <c r="EV158" i="4" s="1"/>
  <c r="FK171" i="4" a="1"/>
  <c r="FK171" i="4" s="1"/>
  <c r="FI171" i="4" a="1"/>
  <c r="FI171" i="4" s="1"/>
  <c r="FG171" i="4" a="1"/>
  <c r="FG171" i="4" s="1"/>
  <c r="FE171" i="4" a="1"/>
  <c r="FE171" i="4" s="1"/>
  <c r="ES171" i="4" a="1"/>
  <c r="ES171" i="4" s="1"/>
  <c r="EM171" i="4" a="1"/>
  <c r="EM171" i="4" s="1"/>
  <c r="FJ171" i="4" a="1"/>
  <c r="FJ171" i="4" s="1"/>
  <c r="FH171" i="4" a="1"/>
  <c r="FH171" i="4" s="1"/>
  <c r="FF171" i="4" a="1"/>
  <c r="FF171" i="4" s="1"/>
  <c r="FC172" i="4" a="1"/>
  <c r="FC172" i="4" s="1"/>
  <c r="FA172" i="4" a="1"/>
  <c r="FA172" i="4" s="1"/>
  <c r="EY172" i="4" a="1"/>
  <c r="EY172" i="4" s="1"/>
  <c r="FD172" i="4" a="1"/>
  <c r="FD172" i="4" s="1"/>
  <c r="EX172" i="4" a="1"/>
  <c r="EX172" i="4" s="1"/>
  <c r="FB172" i="4" a="1"/>
  <c r="FB172" i="4" s="1"/>
  <c r="EL172" i="4" a="1"/>
  <c r="EL172" i="4" s="1"/>
  <c r="ER172" i="4" a="1"/>
  <c r="ER172" i="4" s="1"/>
  <c r="EZ172" i="4" a="1"/>
  <c r="EZ172" i="4" s="1"/>
  <c r="EQ173" i="4" a="1"/>
  <c r="EQ173" i="4" s="1"/>
  <c r="EK173" i="4" a="1"/>
  <c r="EK173" i="4" s="1"/>
  <c r="EQ174" i="4" a="1"/>
  <c r="EQ174" i="4" s="1"/>
  <c r="EK174" i="4" a="1"/>
  <c r="EK174" i="4" s="1"/>
  <c r="EQ175" i="4" a="1"/>
  <c r="EQ175" i="4" s="1"/>
  <c r="EK175" i="4" a="1"/>
  <c r="EK175" i="4" s="1"/>
  <c r="FQ176" i="4" a="1"/>
  <c r="FQ176" i="4" s="1"/>
  <c r="FO176" i="4" a="1"/>
  <c r="FO176" i="4" s="1"/>
  <c r="FM176" i="4" a="1"/>
  <c r="FM176" i="4" s="1"/>
  <c r="EU176" i="4" a="1"/>
  <c r="EU176" i="4" s="1"/>
  <c r="EO176" i="4" a="1"/>
  <c r="EO176" i="4" s="1"/>
  <c r="FP176" i="4" a="1"/>
  <c r="FP176" i="4" s="1"/>
  <c r="FR176" i="4" a="1"/>
  <c r="FR176" i="4" s="1"/>
  <c r="FN176" i="4" a="1"/>
  <c r="FN176" i="4" s="1"/>
  <c r="FL176" i="4" a="1"/>
  <c r="FL176" i="4" s="1"/>
  <c r="FK186" i="4" a="1"/>
  <c r="FK186" i="4" s="1"/>
  <c r="FI186" i="4" a="1"/>
  <c r="FI186" i="4" s="1"/>
  <c r="FG186" i="4" a="1"/>
  <c r="FG186" i="4" s="1"/>
  <c r="FE186" i="4" a="1"/>
  <c r="FE186" i="4" s="1"/>
  <c r="ES186" i="4" a="1"/>
  <c r="ES186" i="4" s="1"/>
  <c r="EM186" i="4" a="1"/>
  <c r="EM186" i="4" s="1"/>
  <c r="FJ186" i="4" a="1"/>
  <c r="FJ186" i="4" s="1"/>
  <c r="FH186" i="4" a="1"/>
  <c r="FH186" i="4" s="1"/>
  <c r="FF186" i="4" a="1"/>
  <c r="FF186" i="4" s="1"/>
  <c r="FC187" i="4" a="1"/>
  <c r="FC187" i="4" s="1"/>
  <c r="FA187" i="4" a="1"/>
  <c r="FA187" i="4" s="1"/>
  <c r="EY187" i="4" a="1"/>
  <c r="EY187" i="4" s="1"/>
  <c r="FD187" i="4" a="1"/>
  <c r="FD187" i="4" s="1"/>
  <c r="EX187" i="4" a="1"/>
  <c r="EX187" i="4" s="1"/>
  <c r="FB187" i="4" a="1"/>
  <c r="FB187" i="4" s="1"/>
  <c r="EL187" i="4" a="1"/>
  <c r="EL187" i="4" s="1"/>
  <c r="EZ187" i="4" a="1"/>
  <c r="EZ187" i="4" s="1"/>
  <c r="ER187" i="4" a="1"/>
  <c r="ER187" i="4" s="1"/>
  <c r="EQ188" i="4" a="1"/>
  <c r="EQ188" i="4" s="1"/>
  <c r="EK188" i="4" a="1"/>
  <c r="EK188" i="4" s="1"/>
  <c r="FQ189" i="4" a="1"/>
  <c r="FQ189" i="4" s="1"/>
  <c r="FO189" i="4" a="1"/>
  <c r="FO189" i="4" s="1"/>
  <c r="FM189" i="4" a="1"/>
  <c r="FM189" i="4" s="1"/>
  <c r="EU189" i="4" a="1"/>
  <c r="EU189" i="4" s="1"/>
  <c r="EO189" i="4" a="1"/>
  <c r="EO189" i="4" s="1"/>
  <c r="FP189" i="4" a="1"/>
  <c r="FP189" i="4" s="1"/>
  <c r="FR189" i="4" a="1"/>
  <c r="FR189" i="4" s="1"/>
  <c r="FN189" i="4" a="1"/>
  <c r="FN189" i="4" s="1"/>
  <c r="FL189" i="4" a="1"/>
  <c r="FL189" i="4" s="1"/>
  <c r="FR205" i="4" a="1"/>
  <c r="FR205" i="4" s="1"/>
  <c r="FP205" i="4" a="1"/>
  <c r="FP205" i="4" s="1"/>
  <c r="FN205" i="4" a="1"/>
  <c r="FN205" i="4" s="1"/>
  <c r="FL205" i="4" a="1"/>
  <c r="FL205" i="4" s="1"/>
  <c r="EU205" i="4" a="1"/>
  <c r="EU205" i="4" s="1"/>
  <c r="FM205" i="4" a="1"/>
  <c r="FM205" i="4" s="1"/>
  <c r="EO205" i="4" a="1"/>
  <c r="EO205" i="4" s="1"/>
  <c r="FQ205" i="4" a="1"/>
  <c r="FQ205" i="4" s="1"/>
  <c r="FO205" i="4" a="1"/>
  <c r="FO205" i="4" s="1"/>
  <c r="FR207" i="4" a="1"/>
  <c r="FR207" i="4" s="1"/>
  <c r="FP207" i="4" a="1"/>
  <c r="FP207" i="4" s="1"/>
  <c r="FN207" i="4" a="1"/>
  <c r="FN207" i="4" s="1"/>
  <c r="FL207" i="4" a="1"/>
  <c r="FL207" i="4" s="1"/>
  <c r="EU207" i="4" a="1"/>
  <c r="EU207" i="4" s="1"/>
  <c r="FM207" i="4" a="1"/>
  <c r="FM207" i="4" s="1"/>
  <c r="EO207" i="4" a="1"/>
  <c r="EO207" i="4" s="1"/>
  <c r="FQ207" i="4" a="1"/>
  <c r="FQ207" i="4" s="1"/>
  <c r="FO207" i="4" a="1"/>
  <c r="FO207" i="4" s="1"/>
  <c r="FR209" i="4" a="1"/>
  <c r="FR209" i="4" s="1"/>
  <c r="FP209" i="4" a="1"/>
  <c r="FP209" i="4" s="1"/>
  <c r="FN209" i="4" a="1"/>
  <c r="FN209" i="4" s="1"/>
  <c r="FL209" i="4" a="1"/>
  <c r="FL209" i="4" s="1"/>
  <c r="EU209" i="4" a="1"/>
  <c r="EU209" i="4" s="1"/>
  <c r="FM209" i="4" a="1"/>
  <c r="FM209" i="4" s="1"/>
  <c r="EO209" i="4" a="1"/>
  <c r="EO209" i="4" s="1"/>
  <c r="FQ209" i="4" a="1"/>
  <c r="FQ209" i="4" s="1"/>
  <c r="FO209" i="4" a="1"/>
  <c r="FO209" i="4" s="1"/>
  <c r="FR211" i="4" a="1"/>
  <c r="FR211" i="4" s="1"/>
  <c r="FP211" i="4" a="1"/>
  <c r="FP211" i="4" s="1"/>
  <c r="FN211" i="4" a="1"/>
  <c r="FN211" i="4" s="1"/>
  <c r="FL211" i="4" a="1"/>
  <c r="FL211" i="4" s="1"/>
  <c r="EU211" i="4" a="1"/>
  <c r="EU211" i="4" s="1"/>
  <c r="FM211" i="4" a="1"/>
  <c r="FM211" i="4" s="1"/>
  <c r="EO211" i="4" a="1"/>
  <c r="EO211" i="4" s="1"/>
  <c r="FQ211" i="4" a="1"/>
  <c r="FQ211" i="4" s="1"/>
  <c r="FO211" i="4" a="1"/>
  <c r="FO211" i="4" s="1"/>
  <c r="FR213" i="4" a="1"/>
  <c r="FR213" i="4" s="1"/>
  <c r="FP213" i="4" a="1"/>
  <c r="FP213" i="4" s="1"/>
  <c r="FN213" i="4" a="1"/>
  <c r="FN213" i="4" s="1"/>
  <c r="FL213" i="4" a="1"/>
  <c r="FL213" i="4" s="1"/>
  <c r="EU213" i="4" a="1"/>
  <c r="EU213" i="4" s="1"/>
  <c r="FM213" i="4" a="1"/>
  <c r="FM213" i="4" s="1"/>
  <c r="EO213" i="4" a="1"/>
  <c r="EO213" i="4" s="1"/>
  <c r="FQ213" i="4" a="1"/>
  <c r="FQ213" i="4" s="1"/>
  <c r="FO213" i="4" a="1"/>
  <c r="FO213" i="4" s="1"/>
  <c r="FR215" i="4" a="1"/>
  <c r="FR215" i="4" s="1"/>
  <c r="FP215" i="4" a="1"/>
  <c r="FP215" i="4" s="1"/>
  <c r="FN215" i="4" a="1"/>
  <c r="FN215" i="4" s="1"/>
  <c r="FL215" i="4" a="1"/>
  <c r="FL215" i="4" s="1"/>
  <c r="EU215" i="4" a="1"/>
  <c r="EU215" i="4" s="1"/>
  <c r="FM215" i="4" a="1"/>
  <c r="FM215" i="4" s="1"/>
  <c r="EO215" i="4" a="1"/>
  <c r="EO215" i="4" s="1"/>
  <c r="FQ215" i="4" a="1"/>
  <c r="FQ215" i="4" s="1"/>
  <c r="FO215" i="4" a="1"/>
  <c r="FO215" i="4" s="1"/>
  <c r="FP238" i="4" a="1"/>
  <c r="FP238" i="4" s="1"/>
  <c r="EU238" i="4" a="1"/>
  <c r="EU238" i="4" s="1"/>
  <c r="FR238" i="4" a="1"/>
  <c r="FR238" i="4" s="1"/>
  <c r="FM238" i="4" a="1"/>
  <c r="FM238" i="4" s="1"/>
  <c r="EO238" i="4" a="1"/>
  <c r="EO238" i="4" s="1"/>
  <c r="FQ238" i="4" a="1"/>
  <c r="FQ238" i="4" s="1"/>
  <c r="FN238" i="4" a="1"/>
  <c r="FN238" i="4" s="1"/>
  <c r="FO238" i="4" a="1"/>
  <c r="FO238" i="4" s="1"/>
  <c r="FL238" i="4" a="1"/>
  <c r="FL238" i="4" s="1"/>
  <c r="FP240" i="4" a="1"/>
  <c r="FP240" i="4" s="1"/>
  <c r="EU240" i="4" a="1"/>
  <c r="EU240" i="4" s="1"/>
  <c r="FR240" i="4" a="1"/>
  <c r="FR240" i="4" s="1"/>
  <c r="FM240" i="4" a="1"/>
  <c r="FM240" i="4" s="1"/>
  <c r="EO240" i="4" a="1"/>
  <c r="EO240" i="4" s="1"/>
  <c r="FQ240" i="4" a="1"/>
  <c r="FQ240" i="4" s="1"/>
  <c r="FN240" i="4" a="1"/>
  <c r="FN240" i="4" s="1"/>
  <c r="FL240" i="4" a="1"/>
  <c r="FL240" i="4" s="1"/>
  <c r="FO240" i="4" a="1"/>
  <c r="FO240" i="4" s="1"/>
  <c r="FP242" i="4" a="1"/>
  <c r="FP242" i="4" s="1"/>
  <c r="EU242" i="4" a="1"/>
  <c r="EU242" i="4" s="1"/>
  <c r="FR242" i="4" a="1"/>
  <c r="FR242" i="4" s="1"/>
  <c r="FM242" i="4" a="1"/>
  <c r="FM242" i="4" s="1"/>
  <c r="EO242" i="4" a="1"/>
  <c r="EO242" i="4" s="1"/>
  <c r="FQ242" i="4" a="1"/>
  <c r="FQ242" i="4" s="1"/>
  <c r="FN242" i="4" a="1"/>
  <c r="FN242" i="4" s="1"/>
  <c r="FL242" i="4" a="1"/>
  <c r="FL242" i="4" s="1"/>
  <c r="FO242" i="4" a="1"/>
  <c r="FO242" i="4" s="1"/>
  <c r="FP244" i="4" a="1"/>
  <c r="FP244" i="4" s="1"/>
  <c r="EU244" i="4" a="1"/>
  <c r="EU244" i="4" s="1"/>
  <c r="FR244" i="4" a="1"/>
  <c r="FR244" i="4" s="1"/>
  <c r="FM244" i="4" a="1"/>
  <c r="FM244" i="4" s="1"/>
  <c r="EO244" i="4" a="1"/>
  <c r="EO244" i="4" s="1"/>
  <c r="FQ244" i="4" a="1"/>
  <c r="FQ244" i="4" s="1"/>
  <c r="FN244" i="4" a="1"/>
  <c r="FN244" i="4" s="1"/>
  <c r="FO244" i="4" a="1"/>
  <c r="FO244" i="4" s="1"/>
  <c r="FL244" i="4" a="1"/>
  <c r="FL244" i="4" s="1"/>
  <c r="FP246" i="4" a="1"/>
  <c r="FP246" i="4" s="1"/>
  <c r="EU246" i="4" a="1"/>
  <c r="EU246" i="4" s="1"/>
  <c r="FR246" i="4" a="1"/>
  <c r="FR246" i="4" s="1"/>
  <c r="FM246" i="4" a="1"/>
  <c r="FM246" i="4" s="1"/>
  <c r="EO246" i="4" a="1"/>
  <c r="EO246" i="4" s="1"/>
  <c r="FQ246" i="4" a="1"/>
  <c r="FQ246" i="4" s="1"/>
  <c r="FN246" i="4" a="1"/>
  <c r="FN246" i="4" s="1"/>
  <c r="FO246" i="4" a="1"/>
  <c r="FO246" i="4" s="1"/>
  <c r="FL246" i="4" a="1"/>
  <c r="FL246" i="4" s="1"/>
  <c r="FV249" i="4" a="1"/>
  <c r="FV249" i="4" s="1"/>
  <c r="FS249" i="4" a="1"/>
  <c r="FS249" i="4" s="1"/>
  <c r="EP249" i="4" a="1"/>
  <c r="EP249" i="4" s="1"/>
  <c r="FX249" i="4" a="1"/>
  <c r="FX249" i="4" s="1"/>
  <c r="FU249" i="4" a="1"/>
  <c r="FU249" i="4" s="1"/>
  <c r="FY249" i="4" a="1"/>
  <c r="FY249" i="4" s="1"/>
  <c r="FT249" i="4" a="1"/>
  <c r="FT249" i="4" s="1"/>
  <c r="EV249" i="4" a="1"/>
  <c r="EV249" i="4" s="1"/>
  <c r="FW249" i="4" a="1"/>
  <c r="FW249" i="4" s="1"/>
  <c r="FR254" i="4" a="1"/>
  <c r="FR254" i="4" s="1"/>
  <c r="FP254" i="4" a="1"/>
  <c r="FP254" i="4" s="1"/>
  <c r="FN254" i="4" a="1"/>
  <c r="FN254" i="4" s="1"/>
  <c r="FL254" i="4" a="1"/>
  <c r="FL254" i="4" s="1"/>
  <c r="EU254" i="4" a="1"/>
  <c r="EU254" i="4" s="1"/>
  <c r="FM254" i="4" a="1"/>
  <c r="FM254" i="4" s="1"/>
  <c r="EO254" i="4" a="1"/>
  <c r="EO254" i="4" s="1"/>
  <c r="FQ254" i="4" a="1"/>
  <c r="FQ254" i="4" s="1"/>
  <c r="FO254" i="4" a="1"/>
  <c r="FO254" i="4" s="1"/>
  <c r="FR256" i="4" a="1"/>
  <c r="FR256" i="4" s="1"/>
  <c r="FP256" i="4" a="1"/>
  <c r="FP256" i="4" s="1"/>
  <c r="FN256" i="4" a="1"/>
  <c r="FN256" i="4" s="1"/>
  <c r="FL256" i="4" a="1"/>
  <c r="FL256" i="4" s="1"/>
  <c r="EU256" i="4" a="1"/>
  <c r="EU256" i="4" s="1"/>
  <c r="FM256" i="4" a="1"/>
  <c r="FM256" i="4" s="1"/>
  <c r="EO256" i="4" a="1"/>
  <c r="EO256" i="4" s="1"/>
  <c r="FQ256" i="4" a="1"/>
  <c r="FQ256" i="4" s="1"/>
  <c r="FO256" i="4" a="1"/>
  <c r="FO256" i="4" s="1"/>
  <c r="FR258" i="4" a="1"/>
  <c r="FR258" i="4" s="1"/>
  <c r="FP258" i="4" a="1"/>
  <c r="FP258" i="4" s="1"/>
  <c r="FN258" i="4" a="1"/>
  <c r="FN258" i="4" s="1"/>
  <c r="FL258" i="4" a="1"/>
  <c r="FL258" i="4" s="1"/>
  <c r="EU258" i="4" a="1"/>
  <c r="EU258" i="4" s="1"/>
  <c r="FM258" i="4" a="1"/>
  <c r="FM258" i="4" s="1"/>
  <c r="EO258" i="4" a="1"/>
  <c r="EO258" i="4" s="1"/>
  <c r="FQ258" i="4" a="1"/>
  <c r="FQ258" i="4" s="1"/>
  <c r="FO258" i="4" a="1"/>
  <c r="FO258" i="4" s="1"/>
  <c r="FA2" i="4" a="1"/>
  <c r="FA2" i="4" s="1"/>
  <c r="EX2" i="4" a="1"/>
  <c r="EX2" i="4" s="1"/>
  <c r="FC2" i="4" a="1"/>
  <c r="FC2" i="4" s="1"/>
  <c r="EZ2" i="4" a="1"/>
  <c r="EZ2" i="4" s="1"/>
  <c r="ER2" i="4" a="1"/>
  <c r="ER2" i="4" s="1"/>
  <c r="FD2" i="4" a="1"/>
  <c r="FD2" i="4" s="1"/>
  <c r="EY2" i="4" a="1"/>
  <c r="EY2" i="4" s="1"/>
  <c r="FB2" i="4" a="1"/>
  <c r="FB2" i="4" s="1"/>
  <c r="EL2" i="4" a="1"/>
  <c r="EL2" i="4" s="1"/>
  <c r="FI3" i="4" a="1"/>
  <c r="FI3" i="4" s="1"/>
  <c r="ES3" i="4" a="1"/>
  <c r="ES3" i="4" s="1"/>
  <c r="FK3" i="4" a="1"/>
  <c r="FK3" i="4" s="1"/>
  <c r="FF3" i="4" a="1"/>
  <c r="FF3" i="4" s="1"/>
  <c r="EM3" i="4" a="1"/>
  <c r="EM3" i="4" s="1"/>
  <c r="FJ3" i="4" a="1"/>
  <c r="FJ3" i="4" s="1"/>
  <c r="FG3" i="4" a="1"/>
  <c r="FG3" i="4" s="1"/>
  <c r="FH3" i="4" a="1"/>
  <c r="FH3" i="4" s="1"/>
  <c r="FE3" i="4" a="1"/>
  <c r="FE3" i="4" s="1"/>
  <c r="FI5" i="4" a="1"/>
  <c r="FI5" i="4" s="1"/>
  <c r="ES5" i="4" a="1"/>
  <c r="ES5" i="4" s="1"/>
  <c r="FK5" i="4" a="1"/>
  <c r="FK5" i="4" s="1"/>
  <c r="FF5" i="4" a="1"/>
  <c r="FF5" i="4" s="1"/>
  <c r="EM5" i="4" a="1"/>
  <c r="EM5" i="4" s="1"/>
  <c r="FJ5" i="4" a="1"/>
  <c r="FJ5" i="4" s="1"/>
  <c r="FG5" i="4" a="1"/>
  <c r="FG5" i="4" s="1"/>
  <c r="FH5" i="4" a="1"/>
  <c r="FH5" i="4" s="1"/>
  <c r="FE5" i="4" a="1"/>
  <c r="FE5" i="4" s="1"/>
  <c r="FI7" i="4" a="1"/>
  <c r="FI7" i="4" s="1"/>
  <c r="ES7" i="4" a="1"/>
  <c r="ES7" i="4" s="1"/>
  <c r="FK7" i="4" a="1"/>
  <c r="FK7" i="4" s="1"/>
  <c r="FF7" i="4" a="1"/>
  <c r="FF7" i="4" s="1"/>
  <c r="EM7" i="4" a="1"/>
  <c r="EM7" i="4" s="1"/>
  <c r="FJ7" i="4" a="1"/>
  <c r="FJ7" i="4" s="1"/>
  <c r="FG7" i="4" a="1"/>
  <c r="FG7" i="4" s="1"/>
  <c r="FH7" i="4" a="1"/>
  <c r="FH7" i="4" s="1"/>
  <c r="FE7" i="4" a="1"/>
  <c r="FE7" i="4" s="1"/>
  <c r="FI9" i="4" a="1"/>
  <c r="FI9" i="4" s="1"/>
  <c r="ES9" i="4" a="1"/>
  <c r="ES9" i="4" s="1"/>
  <c r="FK9" i="4" a="1"/>
  <c r="FK9" i="4" s="1"/>
  <c r="FF9" i="4" a="1"/>
  <c r="FF9" i="4" s="1"/>
  <c r="EM9" i="4" a="1"/>
  <c r="EM9" i="4" s="1"/>
  <c r="FJ9" i="4" a="1"/>
  <c r="FJ9" i="4" s="1"/>
  <c r="FG9" i="4" a="1"/>
  <c r="FG9" i="4" s="1"/>
  <c r="FH9" i="4" a="1"/>
  <c r="FH9" i="4" s="1"/>
  <c r="FE9" i="4" a="1"/>
  <c r="FE9" i="4" s="1"/>
  <c r="FI11" i="4" a="1"/>
  <c r="FI11" i="4" s="1"/>
  <c r="ES11" i="4" a="1"/>
  <c r="ES11" i="4" s="1"/>
  <c r="FK11" i="4" a="1"/>
  <c r="FK11" i="4" s="1"/>
  <c r="FF11" i="4" a="1"/>
  <c r="FF11" i="4" s="1"/>
  <c r="EM11" i="4" a="1"/>
  <c r="EM11" i="4" s="1"/>
  <c r="FJ11" i="4" a="1"/>
  <c r="FJ11" i="4" s="1"/>
  <c r="FG11" i="4" a="1"/>
  <c r="FG11" i="4" s="1"/>
  <c r="FH11" i="4" a="1"/>
  <c r="FH11" i="4" s="1"/>
  <c r="FE11" i="4" a="1"/>
  <c r="FE11" i="4" s="1"/>
  <c r="FI13" i="4" a="1"/>
  <c r="FI13" i="4" s="1"/>
  <c r="ES13" i="4" a="1"/>
  <c r="ES13" i="4" s="1"/>
  <c r="FK13" i="4" a="1"/>
  <c r="FK13" i="4" s="1"/>
  <c r="FF13" i="4" a="1"/>
  <c r="FF13" i="4" s="1"/>
  <c r="EM13" i="4" a="1"/>
  <c r="EM13" i="4" s="1"/>
  <c r="FJ13" i="4" a="1"/>
  <c r="FJ13" i="4" s="1"/>
  <c r="FG13" i="4" a="1"/>
  <c r="FG13" i="4" s="1"/>
  <c r="FH13" i="4" a="1"/>
  <c r="FH13" i="4" s="1"/>
  <c r="FE13" i="4" a="1"/>
  <c r="FE13" i="4" s="1"/>
  <c r="FI15" i="4" a="1"/>
  <c r="FI15" i="4" s="1"/>
  <c r="ES15" i="4" a="1"/>
  <c r="ES15" i="4" s="1"/>
  <c r="FK15" i="4" a="1"/>
  <c r="FK15" i="4" s="1"/>
  <c r="FF15" i="4" a="1"/>
  <c r="FF15" i="4" s="1"/>
  <c r="EM15" i="4" a="1"/>
  <c r="EM15" i="4" s="1"/>
  <c r="FJ15" i="4" a="1"/>
  <c r="FJ15" i="4" s="1"/>
  <c r="FG15" i="4" a="1"/>
  <c r="FG15" i="4" s="1"/>
  <c r="FH15" i="4" a="1"/>
  <c r="FH15" i="4" s="1"/>
  <c r="FE15" i="4" a="1"/>
  <c r="FE15" i="4" s="1"/>
  <c r="FI17" i="4" a="1"/>
  <c r="FI17" i="4" s="1"/>
  <c r="ES17" i="4" a="1"/>
  <c r="ES17" i="4" s="1"/>
  <c r="FK17" i="4" a="1"/>
  <c r="FK17" i="4" s="1"/>
  <c r="FF17" i="4" a="1"/>
  <c r="FF17" i="4" s="1"/>
  <c r="EM17" i="4" a="1"/>
  <c r="EM17" i="4" s="1"/>
  <c r="FJ17" i="4" a="1"/>
  <c r="FJ17" i="4" s="1"/>
  <c r="FG17" i="4" a="1"/>
  <c r="FG17" i="4" s="1"/>
  <c r="FH17" i="4" a="1"/>
  <c r="FH17" i="4" s="1"/>
  <c r="FE17" i="4" a="1"/>
  <c r="FE17" i="4" s="1"/>
  <c r="FI19" i="4" a="1"/>
  <c r="FI19" i="4" s="1"/>
  <c r="ES19" i="4" a="1"/>
  <c r="ES19" i="4" s="1"/>
  <c r="FK19" i="4" a="1"/>
  <c r="FK19" i="4" s="1"/>
  <c r="FF19" i="4" a="1"/>
  <c r="FF19" i="4" s="1"/>
  <c r="EM19" i="4" a="1"/>
  <c r="EM19" i="4" s="1"/>
  <c r="FJ19" i="4" a="1"/>
  <c r="FJ19" i="4" s="1"/>
  <c r="FG19" i="4" a="1"/>
  <c r="FG19" i="4" s="1"/>
  <c r="FH19" i="4" a="1"/>
  <c r="FH19" i="4" s="1"/>
  <c r="FE19" i="4" a="1"/>
  <c r="FE19" i="4" s="1"/>
  <c r="FI21" i="4" a="1"/>
  <c r="FI21" i="4" s="1"/>
  <c r="ES21" i="4" a="1"/>
  <c r="ES21" i="4" s="1"/>
  <c r="FK21" i="4" a="1"/>
  <c r="FK21" i="4" s="1"/>
  <c r="FF21" i="4" a="1"/>
  <c r="FF21" i="4" s="1"/>
  <c r="EM21" i="4" a="1"/>
  <c r="EM21" i="4" s="1"/>
  <c r="FJ21" i="4" a="1"/>
  <c r="FJ21" i="4" s="1"/>
  <c r="FG21" i="4" a="1"/>
  <c r="FG21" i="4" s="1"/>
  <c r="FH21" i="4" a="1"/>
  <c r="FH21" i="4" s="1"/>
  <c r="FE21" i="4" a="1"/>
  <c r="FE21" i="4" s="1"/>
  <c r="FI23" i="4" a="1"/>
  <c r="FI23" i="4" s="1"/>
  <c r="ES23" i="4" a="1"/>
  <c r="ES23" i="4" s="1"/>
  <c r="FK23" i="4" a="1"/>
  <c r="FK23" i="4" s="1"/>
  <c r="FF23" i="4" a="1"/>
  <c r="FF23" i="4" s="1"/>
  <c r="EM23" i="4" a="1"/>
  <c r="EM23" i="4" s="1"/>
  <c r="FJ23" i="4" a="1"/>
  <c r="FJ23" i="4" s="1"/>
  <c r="FG23" i="4" a="1"/>
  <c r="FG23" i="4" s="1"/>
  <c r="FH23" i="4" a="1"/>
  <c r="FH23" i="4" s="1"/>
  <c r="FE23" i="4" a="1"/>
  <c r="FE23" i="4" s="1"/>
  <c r="FI25" i="4" a="1"/>
  <c r="FI25" i="4" s="1"/>
  <c r="ES25" i="4" a="1"/>
  <c r="ES25" i="4" s="1"/>
  <c r="FK25" i="4" a="1"/>
  <c r="FK25" i="4" s="1"/>
  <c r="FF25" i="4" a="1"/>
  <c r="FF25" i="4" s="1"/>
  <c r="EM25" i="4" a="1"/>
  <c r="EM25" i="4" s="1"/>
  <c r="FJ25" i="4" a="1"/>
  <c r="FJ25" i="4" s="1"/>
  <c r="FG25" i="4" a="1"/>
  <c r="FG25" i="4" s="1"/>
  <c r="FE25" i="4" a="1"/>
  <c r="FE25" i="4" s="1"/>
  <c r="FH25" i="4" a="1"/>
  <c r="FH25" i="4" s="1"/>
  <c r="FI27" i="4" a="1"/>
  <c r="FI27" i="4" s="1"/>
  <c r="ES27" i="4" a="1"/>
  <c r="ES27" i="4" s="1"/>
  <c r="FK27" i="4" a="1"/>
  <c r="FK27" i="4" s="1"/>
  <c r="FF27" i="4" a="1"/>
  <c r="FF27" i="4" s="1"/>
  <c r="EM27" i="4" a="1"/>
  <c r="EM27" i="4" s="1"/>
  <c r="FJ27" i="4" a="1"/>
  <c r="FJ27" i="4" s="1"/>
  <c r="FG27" i="4" a="1"/>
  <c r="FG27" i="4" s="1"/>
  <c r="FE27" i="4" a="1"/>
  <c r="FE27" i="4" s="1"/>
  <c r="FH27" i="4" a="1"/>
  <c r="FH27" i="4" s="1"/>
  <c r="FI29" i="4" a="1"/>
  <c r="FI29" i="4" s="1"/>
  <c r="ES29" i="4" a="1"/>
  <c r="ES29" i="4" s="1"/>
  <c r="FK29" i="4" a="1"/>
  <c r="FK29" i="4" s="1"/>
  <c r="FF29" i="4" a="1"/>
  <c r="FF29" i="4" s="1"/>
  <c r="EM29" i="4" a="1"/>
  <c r="EM29" i="4" s="1"/>
  <c r="FJ29" i="4" a="1"/>
  <c r="FJ29" i="4" s="1"/>
  <c r="FG29" i="4" a="1"/>
  <c r="FG29" i="4" s="1"/>
  <c r="FE29" i="4" a="1"/>
  <c r="FE29" i="4" s="1"/>
  <c r="FH29" i="4" a="1"/>
  <c r="FH29" i="4" s="1"/>
  <c r="FA30" i="4" a="1"/>
  <c r="FA30" i="4" s="1"/>
  <c r="EX30" i="4" a="1"/>
  <c r="EX30" i="4" s="1"/>
  <c r="FC30" i="4" a="1"/>
  <c r="FC30" i="4" s="1"/>
  <c r="EZ30" i="4" a="1"/>
  <c r="EZ30" i="4" s="1"/>
  <c r="ER30" i="4" a="1"/>
  <c r="ER30" i="4" s="1"/>
  <c r="FD30" i="4" a="1"/>
  <c r="FD30" i="4" s="1"/>
  <c r="EY30" i="4" a="1"/>
  <c r="EY30" i="4" s="1"/>
  <c r="FB30" i="4" a="1"/>
  <c r="FB30" i="4" s="1"/>
  <c r="EL30" i="4" a="1"/>
  <c r="EL30" i="4" s="1"/>
  <c r="FA32" i="4" a="1"/>
  <c r="FA32" i="4" s="1"/>
  <c r="EX32" i="4" a="1"/>
  <c r="EX32" i="4" s="1"/>
  <c r="FC32" i="4" a="1"/>
  <c r="FC32" i="4" s="1"/>
  <c r="EZ32" i="4" a="1"/>
  <c r="EZ32" i="4" s="1"/>
  <c r="ER32" i="4" a="1"/>
  <c r="ER32" i="4" s="1"/>
  <c r="FD32" i="4" a="1"/>
  <c r="FD32" i="4" s="1"/>
  <c r="EY32" i="4" a="1"/>
  <c r="EY32" i="4" s="1"/>
  <c r="FB32" i="4" a="1"/>
  <c r="FB32" i="4" s="1"/>
  <c r="EL32" i="4" a="1"/>
  <c r="EL32" i="4" s="1"/>
  <c r="FA34" i="4" a="1"/>
  <c r="FA34" i="4" s="1"/>
  <c r="EX34" i="4" a="1"/>
  <c r="EX34" i="4" s="1"/>
  <c r="FC34" i="4" a="1"/>
  <c r="FC34" i="4" s="1"/>
  <c r="EZ34" i="4" a="1"/>
  <c r="EZ34" i="4" s="1"/>
  <c r="ER34" i="4" a="1"/>
  <c r="ER34" i="4" s="1"/>
  <c r="FD34" i="4" a="1"/>
  <c r="FD34" i="4" s="1"/>
  <c r="EY34" i="4" a="1"/>
  <c r="EY34" i="4" s="1"/>
  <c r="EL34" i="4" a="1"/>
  <c r="EL34" i="4" s="1"/>
  <c r="FB34" i="4" a="1"/>
  <c r="FB34" i="4" s="1"/>
  <c r="FA36" i="4" a="1"/>
  <c r="FA36" i="4" s="1"/>
  <c r="EX36" i="4" a="1"/>
  <c r="EX36" i="4" s="1"/>
  <c r="FC36" i="4" a="1"/>
  <c r="FC36" i="4" s="1"/>
  <c r="EZ36" i="4" a="1"/>
  <c r="EZ36" i="4" s="1"/>
  <c r="ER36" i="4" a="1"/>
  <c r="ER36" i="4" s="1"/>
  <c r="FD36" i="4" a="1"/>
  <c r="FD36" i="4" s="1"/>
  <c r="EY36" i="4" a="1"/>
  <c r="EY36" i="4" s="1"/>
  <c r="EL36" i="4" a="1"/>
  <c r="EL36" i="4" s="1"/>
  <c r="FB36" i="4" a="1"/>
  <c r="FB36" i="4" s="1"/>
  <c r="FA38" i="4" a="1"/>
  <c r="FA38" i="4" s="1"/>
  <c r="EX38" i="4" a="1"/>
  <c r="EX38" i="4" s="1"/>
  <c r="FC38" i="4" a="1"/>
  <c r="FC38" i="4" s="1"/>
  <c r="EZ38" i="4" a="1"/>
  <c r="EZ38" i="4" s="1"/>
  <c r="ER38" i="4" a="1"/>
  <c r="ER38" i="4" s="1"/>
  <c r="FD38" i="4" a="1"/>
  <c r="FD38" i="4" s="1"/>
  <c r="EY38" i="4" a="1"/>
  <c r="EY38" i="4" s="1"/>
  <c r="EL38" i="4" a="1"/>
  <c r="EL38" i="4" s="1"/>
  <c r="FB38" i="4" a="1"/>
  <c r="FB38" i="4" s="1"/>
  <c r="FA40" i="4" a="1"/>
  <c r="FA40" i="4" s="1"/>
  <c r="EX40" i="4" a="1"/>
  <c r="EX40" i="4" s="1"/>
  <c r="FC40" i="4" a="1"/>
  <c r="FC40" i="4" s="1"/>
  <c r="EZ40" i="4" a="1"/>
  <c r="EZ40" i="4" s="1"/>
  <c r="ER40" i="4" a="1"/>
  <c r="ER40" i="4" s="1"/>
  <c r="FD40" i="4" a="1"/>
  <c r="FD40" i="4" s="1"/>
  <c r="EY40" i="4" a="1"/>
  <c r="EY40" i="4" s="1"/>
  <c r="EL40" i="4" a="1"/>
  <c r="EL40" i="4" s="1"/>
  <c r="FB40" i="4" a="1"/>
  <c r="FB40" i="4" s="1"/>
  <c r="FA42" i="4" a="1"/>
  <c r="FA42" i="4" s="1"/>
  <c r="EX42" i="4" a="1"/>
  <c r="EX42" i="4" s="1"/>
  <c r="FC42" i="4" a="1"/>
  <c r="FC42" i="4" s="1"/>
  <c r="EZ42" i="4" a="1"/>
  <c r="EZ42" i="4" s="1"/>
  <c r="ER42" i="4" a="1"/>
  <c r="ER42" i="4" s="1"/>
  <c r="FD42" i="4" a="1"/>
  <c r="FD42" i="4" s="1"/>
  <c r="EY42" i="4" a="1"/>
  <c r="EY42" i="4" s="1"/>
  <c r="EL42" i="4" a="1"/>
  <c r="EL42" i="4" s="1"/>
  <c r="FB42" i="4" a="1"/>
  <c r="FB42" i="4" s="1"/>
  <c r="FC44" i="4" a="1"/>
  <c r="FC44" i="4" s="1"/>
  <c r="EZ44" i="4" a="1"/>
  <c r="EZ44" i="4" s="1"/>
  <c r="ER44" i="4" a="1"/>
  <c r="ER44" i="4" s="1"/>
  <c r="FB44" i="4" a="1"/>
  <c r="FB44" i="4" s="1"/>
  <c r="EL44" i="4" a="1"/>
  <c r="EL44" i="4" s="1"/>
  <c r="FA44" i="4" a="1"/>
  <c r="FA44" i="4" s="1"/>
  <c r="EX44" i="4" a="1"/>
  <c r="EX44" i="4" s="1"/>
  <c r="FD44" i="4" a="1"/>
  <c r="FD44" i="4" s="1"/>
  <c r="EY44" i="4" a="1"/>
  <c r="EY44" i="4" s="1"/>
  <c r="FX46" i="4" a="1"/>
  <c r="FX46" i="4" s="1"/>
  <c r="FS46" i="4" a="1"/>
  <c r="FS46" i="4" s="1"/>
  <c r="FU46" i="4" a="1"/>
  <c r="FU46" i="4" s="1"/>
  <c r="FY46" i="4" a="1"/>
  <c r="FY46" i="4" s="1"/>
  <c r="FV46" i="4" a="1"/>
  <c r="FV46" i="4" s="1"/>
  <c r="EP46" i="4" a="1"/>
  <c r="EP46" i="4" s="1"/>
  <c r="FW46" i="4" a="1"/>
  <c r="FW46" i="4" s="1"/>
  <c r="EV46" i="4" a="1"/>
  <c r="EV46" i="4" s="1"/>
  <c r="FT46" i="4" a="1"/>
  <c r="FT46" i="4" s="1"/>
  <c r="FX48" i="4" a="1"/>
  <c r="FX48" i="4" s="1"/>
  <c r="FS48" i="4" a="1"/>
  <c r="FS48" i="4" s="1"/>
  <c r="FU48" i="4" a="1"/>
  <c r="FU48" i="4" s="1"/>
  <c r="FY48" i="4" a="1"/>
  <c r="FY48" i="4" s="1"/>
  <c r="FV48" i="4" a="1"/>
  <c r="FV48" i="4" s="1"/>
  <c r="EP48" i="4" a="1"/>
  <c r="EP48" i="4" s="1"/>
  <c r="FW48" i="4" a="1"/>
  <c r="FW48" i="4" s="1"/>
  <c r="FT48" i="4" a="1"/>
  <c r="FT48" i="4" s="1"/>
  <c r="EV48" i="4" a="1"/>
  <c r="EV48" i="4" s="1"/>
  <c r="FX50" i="4" a="1"/>
  <c r="FX50" i="4" s="1"/>
  <c r="FS50" i="4" a="1"/>
  <c r="FS50" i="4" s="1"/>
  <c r="FU50" i="4" a="1"/>
  <c r="FU50" i="4" s="1"/>
  <c r="FY50" i="4" a="1"/>
  <c r="FY50" i="4" s="1"/>
  <c r="FV50" i="4" a="1"/>
  <c r="FV50" i="4" s="1"/>
  <c r="EP50" i="4" a="1"/>
  <c r="EP50" i="4" s="1"/>
  <c r="FT50" i="4" a="1"/>
  <c r="FT50" i="4" s="1"/>
  <c r="EV50" i="4" a="1"/>
  <c r="EV50" i="4" s="1"/>
  <c r="FW50" i="4" a="1"/>
  <c r="FW50" i="4" s="1"/>
  <c r="FR52" i="4" a="1"/>
  <c r="FR52" i="4" s="1"/>
  <c r="FP52" i="4" a="1"/>
  <c r="FP52" i="4" s="1"/>
  <c r="FN52" i="4" a="1"/>
  <c r="FN52" i="4" s="1"/>
  <c r="FL52" i="4" a="1"/>
  <c r="FL52" i="4" s="1"/>
  <c r="FM52" i="4" a="1"/>
  <c r="FM52" i="4" s="1"/>
  <c r="EO52" i="4" a="1"/>
  <c r="EO52" i="4" s="1"/>
  <c r="FO52" i="4" a="1"/>
  <c r="FO52" i="4" s="1"/>
  <c r="EU52" i="4" a="1"/>
  <c r="EU52" i="4" s="1"/>
  <c r="FQ52" i="4" a="1"/>
  <c r="FQ52" i="4" s="1"/>
  <c r="FR54" i="4" a="1"/>
  <c r="FR54" i="4" s="1"/>
  <c r="FP54" i="4" a="1"/>
  <c r="FP54" i="4" s="1"/>
  <c r="FN54" i="4" a="1"/>
  <c r="FN54" i="4" s="1"/>
  <c r="FL54" i="4" a="1"/>
  <c r="FL54" i="4" s="1"/>
  <c r="FM54" i="4" a="1"/>
  <c r="FM54" i="4" s="1"/>
  <c r="EO54" i="4" a="1"/>
  <c r="EO54" i="4" s="1"/>
  <c r="FO54" i="4" a="1"/>
  <c r="FO54" i="4" s="1"/>
  <c r="EU54" i="4" a="1"/>
  <c r="EU54" i="4" s="1"/>
  <c r="FQ54" i="4" a="1"/>
  <c r="FQ54" i="4" s="1"/>
  <c r="FR56" i="4" a="1"/>
  <c r="FR56" i="4" s="1"/>
  <c r="FP56" i="4" a="1"/>
  <c r="FP56" i="4" s="1"/>
  <c r="FN56" i="4" a="1"/>
  <c r="FN56" i="4" s="1"/>
  <c r="FL56" i="4" a="1"/>
  <c r="FL56" i="4" s="1"/>
  <c r="FM56" i="4" a="1"/>
  <c r="FM56" i="4" s="1"/>
  <c r="EO56" i="4" a="1"/>
  <c r="EO56" i="4" s="1"/>
  <c r="FO56" i="4" a="1"/>
  <c r="FO56" i="4" s="1"/>
  <c r="EU56" i="4" a="1"/>
  <c r="EU56" i="4" s="1"/>
  <c r="FQ56" i="4" a="1"/>
  <c r="FQ56" i="4" s="1"/>
  <c r="FR58" i="4" a="1"/>
  <c r="FR58" i="4" s="1"/>
  <c r="FP58" i="4" a="1"/>
  <c r="FP58" i="4" s="1"/>
  <c r="FN58" i="4" a="1"/>
  <c r="FN58" i="4" s="1"/>
  <c r="FL58" i="4" a="1"/>
  <c r="FL58" i="4" s="1"/>
  <c r="FM58" i="4" a="1"/>
  <c r="FM58" i="4" s="1"/>
  <c r="EO58" i="4" a="1"/>
  <c r="EO58" i="4" s="1"/>
  <c r="FO58" i="4" a="1"/>
  <c r="FO58" i="4" s="1"/>
  <c r="EU58" i="4" a="1"/>
  <c r="EU58" i="4" s="1"/>
  <c r="FQ58" i="4" a="1"/>
  <c r="FQ58" i="4" s="1"/>
  <c r="FR60" i="4" a="1"/>
  <c r="FR60" i="4" s="1"/>
  <c r="FP60" i="4" a="1"/>
  <c r="FP60" i="4" s="1"/>
  <c r="FN60" i="4" a="1"/>
  <c r="FN60" i="4" s="1"/>
  <c r="FL60" i="4" a="1"/>
  <c r="FL60" i="4" s="1"/>
  <c r="FM60" i="4" a="1"/>
  <c r="FM60" i="4" s="1"/>
  <c r="EO60" i="4" a="1"/>
  <c r="EO60" i="4" s="1"/>
  <c r="FO60" i="4" a="1"/>
  <c r="FO60" i="4" s="1"/>
  <c r="EU60" i="4" a="1"/>
  <c r="EU60" i="4" s="1"/>
  <c r="FQ60" i="4" a="1"/>
  <c r="FQ60" i="4" s="1"/>
  <c r="FY65" i="4" a="1"/>
  <c r="FY65" i="4" s="1"/>
  <c r="FW65" i="4" a="1"/>
  <c r="FW65" i="4" s="1"/>
  <c r="FU65" i="4" a="1"/>
  <c r="FU65" i="4" s="1"/>
  <c r="FS65" i="4" a="1"/>
  <c r="FS65" i="4" s="1"/>
  <c r="FX65" i="4" a="1"/>
  <c r="FX65" i="4" s="1"/>
  <c r="FV65" i="4" a="1"/>
  <c r="FV65" i="4" s="1"/>
  <c r="EP65" i="4" a="1"/>
  <c r="EP65" i="4" s="1"/>
  <c r="FT65" i="4" a="1"/>
  <c r="FT65" i="4" s="1"/>
  <c r="EV65" i="4" a="1"/>
  <c r="EV65" i="4" s="1"/>
  <c r="FK74" i="4" a="1"/>
  <c r="FK74" i="4" s="1"/>
  <c r="FI74" i="4" a="1"/>
  <c r="FI74" i="4" s="1"/>
  <c r="FG74" i="4" a="1"/>
  <c r="FG74" i="4" s="1"/>
  <c r="FE74" i="4" a="1"/>
  <c r="FE74" i="4" s="1"/>
  <c r="ES74" i="4" a="1"/>
  <c r="ES74" i="4" s="1"/>
  <c r="EM74" i="4" a="1"/>
  <c r="EM74" i="4" s="1"/>
  <c r="FF74" i="4" a="1"/>
  <c r="FF74" i="4" s="1"/>
  <c r="FJ74" i="4" a="1"/>
  <c r="FJ74" i="4" s="1"/>
  <c r="FH74" i="4" a="1"/>
  <c r="FH74" i="4" s="1"/>
  <c r="FK75" i="4" a="1"/>
  <c r="FK75" i="4" s="1"/>
  <c r="FI75" i="4" a="1"/>
  <c r="FI75" i="4" s="1"/>
  <c r="FG75" i="4" a="1"/>
  <c r="FG75" i="4" s="1"/>
  <c r="FE75" i="4" a="1"/>
  <c r="FE75" i="4" s="1"/>
  <c r="ES75" i="4" a="1"/>
  <c r="ES75" i="4" s="1"/>
  <c r="EM75" i="4" a="1"/>
  <c r="EM75" i="4" s="1"/>
  <c r="FF75" i="4" a="1"/>
  <c r="FF75" i="4" s="1"/>
  <c r="FJ75" i="4" a="1"/>
  <c r="FJ75" i="4" s="1"/>
  <c r="FH75" i="4" a="1"/>
  <c r="FH75" i="4" s="1"/>
  <c r="FC76" i="4" a="1"/>
  <c r="FC76" i="4" s="1"/>
  <c r="FA76" i="4" a="1"/>
  <c r="FA76" i="4" s="1"/>
  <c r="EY76" i="4" a="1"/>
  <c r="EY76" i="4" s="1"/>
  <c r="EX76" i="4" a="1"/>
  <c r="EX76" i="4" s="1"/>
  <c r="EZ76" i="4" a="1"/>
  <c r="EZ76" i="4" s="1"/>
  <c r="ER76" i="4" a="1"/>
  <c r="ER76" i="4" s="1"/>
  <c r="FD76" i="4" a="1"/>
  <c r="FD76" i="4" s="1"/>
  <c r="FB76" i="4" a="1"/>
  <c r="FB76" i="4" s="1"/>
  <c r="EL76" i="4" a="1"/>
  <c r="EL76" i="4" s="1"/>
  <c r="FC77" i="4" a="1"/>
  <c r="FC77" i="4" s="1"/>
  <c r="FA77" i="4" a="1"/>
  <c r="FA77" i="4" s="1"/>
  <c r="EY77" i="4" a="1"/>
  <c r="EY77" i="4" s="1"/>
  <c r="EX77" i="4" a="1"/>
  <c r="EX77" i="4" s="1"/>
  <c r="EZ77" i="4" a="1"/>
  <c r="EZ77" i="4" s="1"/>
  <c r="ER77" i="4" a="1"/>
  <c r="ER77" i="4" s="1"/>
  <c r="FD77" i="4" a="1"/>
  <c r="FD77" i="4" s="1"/>
  <c r="EL77" i="4" a="1"/>
  <c r="EL77" i="4" s="1"/>
  <c r="FB77" i="4" a="1"/>
  <c r="FB77" i="4" s="1"/>
  <c r="EQ78" i="4" a="1"/>
  <c r="EQ78" i="4" s="1"/>
  <c r="EK78" i="4" a="1"/>
  <c r="EK78" i="4" s="1"/>
  <c r="EQ79" i="4" a="1"/>
  <c r="EQ79" i="4" s="1"/>
  <c r="EK79" i="4" a="1"/>
  <c r="EK79" i="4" s="1"/>
  <c r="FQ80" i="4" a="1"/>
  <c r="FQ80" i="4" s="1"/>
  <c r="FO80" i="4" a="1"/>
  <c r="FO80" i="4" s="1"/>
  <c r="FM80" i="4" a="1"/>
  <c r="FM80" i="4" s="1"/>
  <c r="EU80" i="4" a="1"/>
  <c r="EU80" i="4" s="1"/>
  <c r="EO80" i="4" a="1"/>
  <c r="EO80" i="4" s="1"/>
  <c r="FR80" i="4" a="1"/>
  <c r="FR80" i="4" s="1"/>
  <c r="FL80" i="4" a="1"/>
  <c r="FL80" i="4" s="1"/>
  <c r="FP80" i="4" a="1"/>
  <c r="FP80" i="4" s="1"/>
  <c r="FN80" i="4" a="1"/>
  <c r="FN80" i="4" s="1"/>
  <c r="FY86" i="4" a="1"/>
  <c r="FY86" i="4" s="1"/>
  <c r="FW86" i="4" a="1"/>
  <c r="FW86" i="4" s="1"/>
  <c r="FU86" i="4" a="1"/>
  <c r="FU86" i="4" s="1"/>
  <c r="FS86" i="4" a="1"/>
  <c r="FS86" i="4" s="1"/>
  <c r="FX86" i="4" a="1"/>
  <c r="FX86" i="4" s="1"/>
  <c r="FV86" i="4" a="1"/>
  <c r="FV86" i="4" s="1"/>
  <c r="EP86" i="4" a="1"/>
  <c r="EP86" i="4" s="1"/>
  <c r="EV86" i="4" a="1"/>
  <c r="EV86" i="4" s="1"/>
  <c r="FT86" i="4" a="1"/>
  <c r="FT86" i="4" s="1"/>
  <c r="FK93" i="4" a="1"/>
  <c r="FK93" i="4" s="1"/>
  <c r="FI93" i="4" a="1"/>
  <c r="FI93" i="4" s="1"/>
  <c r="FG93" i="4" a="1"/>
  <c r="FG93" i="4" s="1"/>
  <c r="FE93" i="4" a="1"/>
  <c r="FE93" i="4" s="1"/>
  <c r="ES93" i="4" a="1"/>
  <c r="ES93" i="4" s="1"/>
  <c r="EM93" i="4" a="1"/>
  <c r="EM93" i="4" s="1"/>
  <c r="FF93" i="4" a="1"/>
  <c r="FF93" i="4" s="1"/>
  <c r="FJ93" i="4" a="1"/>
  <c r="FJ93" i="4" s="1"/>
  <c r="FH93" i="4" a="1"/>
  <c r="FH93" i="4" s="1"/>
  <c r="FC94" i="4" a="1"/>
  <c r="FC94" i="4" s="1"/>
  <c r="FA94" i="4" a="1"/>
  <c r="FA94" i="4" s="1"/>
  <c r="EY94" i="4" a="1"/>
  <c r="EY94" i="4" s="1"/>
  <c r="EX94" i="4" a="1"/>
  <c r="EX94" i="4" s="1"/>
  <c r="EZ94" i="4" a="1"/>
  <c r="EZ94" i="4" s="1"/>
  <c r="ER94" i="4" a="1"/>
  <c r="ER94" i="4" s="1"/>
  <c r="FD94" i="4" a="1"/>
  <c r="FD94" i="4" s="1"/>
  <c r="EL94" i="4" a="1"/>
  <c r="EL94" i="4" s="1"/>
  <c r="FB94" i="4" a="1"/>
  <c r="FB94" i="4" s="1"/>
  <c r="EQ95" i="4" a="1"/>
  <c r="EQ95" i="4" s="1"/>
  <c r="EK95" i="4" a="1"/>
  <c r="EK95" i="4" s="1"/>
  <c r="FQ96" i="4" a="1"/>
  <c r="FQ96" i="4" s="1"/>
  <c r="FO96" i="4" a="1"/>
  <c r="FO96" i="4" s="1"/>
  <c r="FM96" i="4" a="1"/>
  <c r="FM96" i="4" s="1"/>
  <c r="EU96" i="4" a="1"/>
  <c r="EU96" i="4" s="1"/>
  <c r="EO96" i="4" a="1"/>
  <c r="EO96" i="4" s="1"/>
  <c r="FR96" i="4" a="1"/>
  <c r="FR96" i="4" s="1"/>
  <c r="FL96" i="4" a="1"/>
  <c r="FL96" i="4" s="1"/>
  <c r="FP96" i="4" a="1"/>
  <c r="FP96" i="4" s="1"/>
  <c r="FN96" i="4" a="1"/>
  <c r="FN96" i="4" s="1"/>
  <c r="FY100" i="4" a="1"/>
  <c r="FY100" i="4" s="1"/>
  <c r="FW100" i="4" a="1"/>
  <c r="FW100" i="4" s="1"/>
  <c r="FU100" i="4" a="1"/>
  <c r="FU100" i="4" s="1"/>
  <c r="FS100" i="4" a="1"/>
  <c r="FS100" i="4" s="1"/>
  <c r="FX100" i="4" a="1"/>
  <c r="FX100" i="4" s="1"/>
  <c r="FV100" i="4" a="1"/>
  <c r="FV100" i="4" s="1"/>
  <c r="EP100" i="4" a="1"/>
  <c r="EP100" i="4" s="1"/>
  <c r="FT100" i="4" a="1"/>
  <c r="FT100" i="4" s="1"/>
  <c r="EV100" i="4" a="1"/>
  <c r="EV100" i="4" s="1"/>
  <c r="FQ111" i="4" a="1"/>
  <c r="FQ111" i="4" s="1"/>
  <c r="FO111" i="4" a="1"/>
  <c r="FO111" i="4" s="1"/>
  <c r="FM111" i="4" a="1"/>
  <c r="FM111" i="4" s="1"/>
  <c r="EU111" i="4" a="1"/>
  <c r="EU111" i="4" s="1"/>
  <c r="EO111" i="4" a="1"/>
  <c r="EO111" i="4" s="1"/>
  <c r="FR111" i="4" a="1"/>
  <c r="FR111" i="4" s="1"/>
  <c r="FL111" i="4" a="1"/>
  <c r="FL111" i="4" s="1"/>
  <c r="FP111" i="4" a="1"/>
  <c r="FP111" i="4" s="1"/>
  <c r="FN111" i="4" a="1"/>
  <c r="FN111" i="4" s="1"/>
  <c r="FY114" i="4" a="1"/>
  <c r="FY114" i="4" s="1"/>
  <c r="FW114" i="4" a="1"/>
  <c r="FW114" i="4" s="1"/>
  <c r="FU114" i="4" a="1"/>
  <c r="FU114" i="4" s="1"/>
  <c r="FS114" i="4" a="1"/>
  <c r="FS114" i="4" s="1"/>
  <c r="FX114" i="4" a="1"/>
  <c r="FX114" i="4" s="1"/>
  <c r="FV114" i="4" a="1"/>
  <c r="FV114" i="4" s="1"/>
  <c r="EP114" i="4" a="1"/>
  <c r="EP114" i="4" s="1"/>
  <c r="FT114" i="4" a="1"/>
  <c r="FT114" i="4" s="1"/>
  <c r="EV114" i="4" a="1"/>
  <c r="EV114" i="4" s="1"/>
  <c r="FQ123" i="4" a="1"/>
  <c r="FQ123" i="4" s="1"/>
  <c r="FO123" i="4" a="1"/>
  <c r="FO123" i="4" s="1"/>
  <c r="FM123" i="4" a="1"/>
  <c r="FM123" i="4" s="1"/>
  <c r="EU123" i="4" a="1"/>
  <c r="EU123" i="4" s="1"/>
  <c r="EO123" i="4" a="1"/>
  <c r="EO123" i="4" s="1"/>
  <c r="FR123" i="4" a="1"/>
  <c r="FR123" i="4" s="1"/>
  <c r="FL123" i="4" a="1"/>
  <c r="FL123" i="4" s="1"/>
  <c r="FP123" i="4" a="1"/>
  <c r="FP123" i="4" s="1"/>
  <c r="FN123" i="4" a="1"/>
  <c r="FN123" i="4" s="1"/>
  <c r="FY129" i="4" a="1"/>
  <c r="FY129" i="4" s="1"/>
  <c r="FW129" i="4" a="1"/>
  <c r="FW129" i="4" s="1"/>
  <c r="FU129" i="4" a="1"/>
  <c r="FU129" i="4" s="1"/>
  <c r="FS129" i="4" a="1"/>
  <c r="FS129" i="4" s="1"/>
  <c r="FX129" i="4" a="1"/>
  <c r="FX129" i="4" s="1"/>
  <c r="FV129" i="4" a="1"/>
  <c r="FV129" i="4" s="1"/>
  <c r="EP129" i="4" a="1"/>
  <c r="EP129" i="4" s="1"/>
  <c r="EV129" i="4" a="1"/>
  <c r="EV129" i="4" s="1"/>
  <c r="FT129" i="4" a="1"/>
  <c r="FT129" i="4" s="1"/>
  <c r="FQ141" i="4" a="1"/>
  <c r="FQ141" i="4" s="1"/>
  <c r="FO141" i="4" a="1"/>
  <c r="FO141" i="4" s="1"/>
  <c r="FM141" i="4" a="1"/>
  <c r="FM141" i="4" s="1"/>
  <c r="EU141" i="4" a="1"/>
  <c r="EU141" i="4" s="1"/>
  <c r="EO141" i="4" a="1"/>
  <c r="EO141" i="4" s="1"/>
  <c r="FR141" i="4" a="1"/>
  <c r="FR141" i="4" s="1"/>
  <c r="FL141" i="4" a="1"/>
  <c r="FL141" i="4" s="1"/>
  <c r="FP141" i="4" a="1"/>
  <c r="FP141" i="4" s="1"/>
  <c r="FN141" i="4" a="1"/>
  <c r="FN141" i="4" s="1"/>
  <c r="FK148" i="4" a="1"/>
  <c r="FK148" i="4" s="1"/>
  <c r="FI148" i="4" a="1"/>
  <c r="FI148" i="4" s="1"/>
  <c r="FG148" i="4" a="1"/>
  <c r="FG148" i="4" s="1"/>
  <c r="FE148" i="4" a="1"/>
  <c r="FE148" i="4" s="1"/>
  <c r="ES148" i="4" a="1"/>
  <c r="ES148" i="4" s="1"/>
  <c r="EM148" i="4" a="1"/>
  <c r="EM148" i="4" s="1"/>
  <c r="FF148" i="4" a="1"/>
  <c r="FF148" i="4" s="1"/>
  <c r="FJ148" i="4" a="1"/>
  <c r="FJ148" i="4" s="1"/>
  <c r="FH148" i="4" a="1"/>
  <c r="FH148" i="4" s="1"/>
  <c r="FC149" i="4" a="1"/>
  <c r="FC149" i="4" s="1"/>
  <c r="FA149" i="4" a="1"/>
  <c r="FA149" i="4" s="1"/>
  <c r="EY149" i="4" a="1"/>
  <c r="EY149" i="4" s="1"/>
  <c r="EX149" i="4" a="1"/>
  <c r="EX149" i="4" s="1"/>
  <c r="EZ149" i="4" a="1"/>
  <c r="EZ149" i="4" s="1"/>
  <c r="ER149" i="4" a="1"/>
  <c r="ER149" i="4" s="1"/>
  <c r="FD149" i="4" a="1"/>
  <c r="FD149" i="4" s="1"/>
  <c r="FB149" i="4" a="1"/>
  <c r="FB149" i="4" s="1"/>
  <c r="EL149" i="4" a="1"/>
  <c r="EL149" i="4" s="1"/>
  <c r="EQ150" i="4" a="1"/>
  <c r="EQ150" i="4" s="1"/>
  <c r="EK150" i="4" a="1"/>
  <c r="EK150" i="4" s="1"/>
  <c r="FQ151" i="4" a="1"/>
  <c r="FQ151" i="4" s="1"/>
  <c r="FO151" i="4" a="1"/>
  <c r="FO151" i="4" s="1"/>
  <c r="FM151" i="4" a="1"/>
  <c r="FM151" i="4" s="1"/>
  <c r="EU151" i="4" a="1"/>
  <c r="EU151" i="4" s="1"/>
  <c r="EO151" i="4" a="1"/>
  <c r="EO151" i="4" s="1"/>
  <c r="FR151" i="4" a="1"/>
  <c r="FR151" i="4" s="1"/>
  <c r="FL151" i="4" a="1"/>
  <c r="FL151" i="4" s="1"/>
  <c r="FP151" i="4" a="1"/>
  <c r="FP151" i="4" s="1"/>
  <c r="FN151" i="4" a="1"/>
  <c r="FN151" i="4" s="1"/>
  <c r="FY154" i="4" a="1"/>
  <c r="FY154" i="4" s="1"/>
  <c r="FW154" i="4" a="1"/>
  <c r="FW154" i="4" s="1"/>
  <c r="FU154" i="4" a="1"/>
  <c r="FU154" i="4" s="1"/>
  <c r="FS154" i="4" a="1"/>
  <c r="FS154" i="4" s="1"/>
  <c r="FX154" i="4" a="1"/>
  <c r="FX154" i="4" s="1"/>
  <c r="FV154" i="4" a="1"/>
  <c r="FV154" i="4" s="1"/>
  <c r="EP154" i="4" a="1"/>
  <c r="EP154" i="4" s="1"/>
  <c r="FT154" i="4" a="1"/>
  <c r="FT154" i="4" s="1"/>
  <c r="EV154" i="4" a="1"/>
  <c r="EV154" i="4" s="1"/>
  <c r="FY155" i="4" a="1"/>
  <c r="FY155" i="4" s="1"/>
  <c r="FW155" i="4" a="1"/>
  <c r="FW155" i="4" s="1"/>
  <c r="FU155" i="4" a="1"/>
  <c r="FU155" i="4" s="1"/>
  <c r="FS155" i="4" a="1"/>
  <c r="FS155" i="4" s="1"/>
  <c r="FX155" i="4" a="1"/>
  <c r="FX155" i="4" s="1"/>
  <c r="FV155" i="4" a="1"/>
  <c r="FV155" i="4" s="1"/>
  <c r="EP155" i="4" a="1"/>
  <c r="EP155" i="4" s="1"/>
  <c r="EV155" i="4" a="1"/>
  <c r="EV155" i="4" s="1"/>
  <c r="FT155" i="4" a="1"/>
  <c r="FT155" i="4" s="1"/>
  <c r="FK162" i="4" a="1"/>
  <c r="FK162" i="4" s="1"/>
  <c r="FI162" i="4" a="1"/>
  <c r="FI162" i="4" s="1"/>
  <c r="FG162" i="4" a="1"/>
  <c r="FG162" i="4" s="1"/>
  <c r="FE162" i="4" a="1"/>
  <c r="FE162" i="4" s="1"/>
  <c r="ES162" i="4" a="1"/>
  <c r="ES162" i="4" s="1"/>
  <c r="EM162" i="4" a="1"/>
  <c r="EM162" i="4" s="1"/>
  <c r="FF162" i="4" a="1"/>
  <c r="FF162" i="4" s="1"/>
  <c r="FJ162" i="4" a="1"/>
  <c r="FJ162" i="4" s="1"/>
  <c r="FH162" i="4" a="1"/>
  <c r="FH162" i="4" s="1"/>
  <c r="FK163" i="4" a="1"/>
  <c r="FK163" i="4" s="1"/>
  <c r="FI163" i="4" a="1"/>
  <c r="FI163" i="4" s="1"/>
  <c r="FG163" i="4" a="1"/>
  <c r="FG163" i="4" s="1"/>
  <c r="FE163" i="4" a="1"/>
  <c r="FE163" i="4" s="1"/>
  <c r="ES163" i="4" a="1"/>
  <c r="ES163" i="4" s="1"/>
  <c r="EM163" i="4" a="1"/>
  <c r="EM163" i="4" s="1"/>
  <c r="FF163" i="4" a="1"/>
  <c r="FF163" i="4" s="1"/>
  <c r="FJ163" i="4" a="1"/>
  <c r="FJ163" i="4" s="1"/>
  <c r="FH163" i="4" a="1"/>
  <c r="FH163" i="4" s="1"/>
  <c r="FC164" i="4" a="1"/>
  <c r="FC164" i="4" s="1"/>
  <c r="FA164" i="4" a="1"/>
  <c r="FA164" i="4" s="1"/>
  <c r="EY164" i="4" a="1"/>
  <c r="EY164" i="4" s="1"/>
  <c r="EX164" i="4" a="1"/>
  <c r="EX164" i="4" s="1"/>
  <c r="EZ164" i="4" a="1"/>
  <c r="EZ164" i="4" s="1"/>
  <c r="ER164" i="4" a="1"/>
  <c r="ER164" i="4" s="1"/>
  <c r="FD164" i="4" a="1"/>
  <c r="FD164" i="4" s="1"/>
  <c r="FB164" i="4" a="1"/>
  <c r="FB164" i="4" s="1"/>
  <c r="EL164" i="4" a="1"/>
  <c r="EL164" i="4" s="1"/>
  <c r="EQ165" i="4" a="1"/>
  <c r="EQ165" i="4" s="1"/>
  <c r="EK165" i="4" a="1"/>
  <c r="EK165" i="4" s="1"/>
  <c r="FQ166" i="4" a="1"/>
  <c r="FQ166" i="4" s="1"/>
  <c r="FO166" i="4" a="1"/>
  <c r="FO166" i="4" s="1"/>
  <c r="FM166" i="4" a="1"/>
  <c r="FM166" i="4" s="1"/>
  <c r="EU166" i="4" a="1"/>
  <c r="EU166" i="4" s="1"/>
  <c r="EO166" i="4" a="1"/>
  <c r="EO166" i="4" s="1"/>
  <c r="FR166" i="4" a="1"/>
  <c r="FR166" i="4" s="1"/>
  <c r="FL166" i="4" a="1"/>
  <c r="FL166" i="4" s="1"/>
  <c r="FP166" i="4" a="1"/>
  <c r="FP166" i="4" s="1"/>
  <c r="FN166" i="4" a="1"/>
  <c r="FN166" i="4" s="1"/>
  <c r="FQ179" i="4" a="1"/>
  <c r="FQ179" i="4" s="1"/>
  <c r="FO179" i="4" a="1"/>
  <c r="FO179" i="4" s="1"/>
  <c r="FM179" i="4" a="1"/>
  <c r="FM179" i="4" s="1"/>
  <c r="EU179" i="4" a="1"/>
  <c r="EU179" i="4" s="1"/>
  <c r="EO179" i="4" a="1"/>
  <c r="EO179" i="4" s="1"/>
  <c r="FR179" i="4" a="1"/>
  <c r="FR179" i="4" s="1"/>
  <c r="FL179" i="4" a="1"/>
  <c r="FL179" i="4" s="1"/>
  <c r="FP179" i="4" a="1"/>
  <c r="FP179" i="4" s="1"/>
  <c r="FN179" i="4" a="1"/>
  <c r="FN179" i="4" s="1"/>
  <c r="FJ192" i="4" a="1"/>
  <c r="FJ192" i="4" s="1"/>
  <c r="FH192" i="4" a="1"/>
  <c r="FH192" i="4" s="1"/>
  <c r="FF192" i="4" a="1"/>
  <c r="FF192" i="4" s="1"/>
  <c r="FI192" i="4" a="1"/>
  <c r="FI192" i="4" s="1"/>
  <c r="ES192" i="4" a="1"/>
  <c r="ES192" i="4" s="1"/>
  <c r="FK192" i="4" a="1"/>
  <c r="FK192" i="4" s="1"/>
  <c r="EM192" i="4" a="1"/>
  <c r="EM192" i="4" s="1"/>
  <c r="FG192" i="4" a="1"/>
  <c r="FG192" i="4" s="1"/>
  <c r="FE192" i="4" a="1"/>
  <c r="FE192" i="4" s="1"/>
  <c r="FJ194" i="4" a="1"/>
  <c r="FJ194" i="4" s="1"/>
  <c r="FH194" i="4" a="1"/>
  <c r="FH194" i="4" s="1"/>
  <c r="FF194" i="4" a="1"/>
  <c r="FF194" i="4" s="1"/>
  <c r="FI194" i="4" a="1"/>
  <c r="FI194" i="4" s="1"/>
  <c r="ES194" i="4" a="1"/>
  <c r="ES194" i="4" s="1"/>
  <c r="FK194" i="4" a="1"/>
  <c r="FK194" i="4" s="1"/>
  <c r="EM194" i="4" a="1"/>
  <c r="EM194" i="4" s="1"/>
  <c r="FG194" i="4" a="1"/>
  <c r="FG194" i="4" s="1"/>
  <c r="FE194" i="4" a="1"/>
  <c r="FE194" i="4" s="1"/>
  <c r="FJ196" i="4" a="1"/>
  <c r="FJ196" i="4" s="1"/>
  <c r="FH196" i="4" a="1"/>
  <c r="FH196" i="4" s="1"/>
  <c r="FF196" i="4" a="1"/>
  <c r="FF196" i="4" s="1"/>
  <c r="FI196" i="4" a="1"/>
  <c r="FI196" i="4" s="1"/>
  <c r="ES196" i="4" a="1"/>
  <c r="ES196" i="4" s="1"/>
  <c r="FK196" i="4" a="1"/>
  <c r="FK196" i="4" s="1"/>
  <c r="EM196" i="4" a="1"/>
  <c r="EM196" i="4" s="1"/>
  <c r="FG196" i="4" a="1"/>
  <c r="FG196" i="4" s="1"/>
  <c r="FE196" i="4" a="1"/>
  <c r="FE196" i="4" s="1"/>
  <c r="FJ198" i="4" a="1"/>
  <c r="FJ198" i="4" s="1"/>
  <c r="FH198" i="4" a="1"/>
  <c r="FH198" i="4" s="1"/>
  <c r="FF198" i="4" a="1"/>
  <c r="FF198" i="4" s="1"/>
  <c r="FI198" i="4" a="1"/>
  <c r="FI198" i="4" s="1"/>
  <c r="ES198" i="4" a="1"/>
  <c r="ES198" i="4" s="1"/>
  <c r="FK198" i="4" a="1"/>
  <c r="FK198" i="4" s="1"/>
  <c r="EM198" i="4" a="1"/>
  <c r="EM198" i="4" s="1"/>
  <c r="FG198" i="4" a="1"/>
  <c r="FG198" i="4" s="1"/>
  <c r="FE198" i="4" a="1"/>
  <c r="FE198" i="4" s="1"/>
  <c r="FJ200" i="4" a="1"/>
  <c r="FJ200" i="4" s="1"/>
  <c r="FH200" i="4" a="1"/>
  <c r="FH200" i="4" s="1"/>
  <c r="FF200" i="4" a="1"/>
  <c r="FF200" i="4" s="1"/>
  <c r="FI200" i="4" a="1"/>
  <c r="FI200" i="4" s="1"/>
  <c r="ES200" i="4" a="1"/>
  <c r="ES200" i="4" s="1"/>
  <c r="FK200" i="4" a="1"/>
  <c r="FK200" i="4" s="1"/>
  <c r="EM200" i="4" a="1"/>
  <c r="EM200" i="4" s="1"/>
  <c r="FG200" i="4" a="1"/>
  <c r="FG200" i="4" s="1"/>
  <c r="FE200" i="4" a="1"/>
  <c r="FE200" i="4" s="1"/>
  <c r="FJ202" i="4" a="1"/>
  <c r="FJ202" i="4" s="1"/>
  <c r="FH202" i="4" a="1"/>
  <c r="FH202" i="4" s="1"/>
  <c r="FF202" i="4" a="1"/>
  <c r="FF202" i="4" s="1"/>
  <c r="FI202" i="4" a="1"/>
  <c r="FI202" i="4" s="1"/>
  <c r="ES202" i="4" a="1"/>
  <c r="ES202" i="4" s="1"/>
  <c r="FK202" i="4" a="1"/>
  <c r="FK202" i="4" s="1"/>
  <c r="EM202" i="4" a="1"/>
  <c r="EM202" i="4" s="1"/>
  <c r="FG202" i="4" a="1"/>
  <c r="FG202" i="4" s="1"/>
  <c r="FE202" i="4" a="1"/>
  <c r="FE202" i="4" s="1"/>
  <c r="FJ204" i="4" a="1"/>
  <c r="FJ204" i="4" s="1"/>
  <c r="FH204" i="4" a="1"/>
  <c r="FH204" i="4" s="1"/>
  <c r="FF204" i="4" a="1"/>
  <c r="FF204" i="4" s="1"/>
  <c r="FI204" i="4" a="1"/>
  <c r="FI204" i="4" s="1"/>
  <c r="ES204" i="4" a="1"/>
  <c r="ES204" i="4" s="1"/>
  <c r="FK204" i="4" a="1"/>
  <c r="FK204" i="4" s="1"/>
  <c r="EM204" i="4" a="1"/>
  <c r="EM204" i="4" s="1"/>
  <c r="FG204" i="4" a="1"/>
  <c r="FG204" i="4" s="1"/>
  <c r="FE204" i="4" a="1"/>
  <c r="FE204" i="4" s="1"/>
  <c r="EK205" i="4" a="1"/>
  <c r="EK205" i="4" s="1"/>
  <c r="EQ205" i="4" a="1"/>
  <c r="EQ205" i="4" s="1"/>
  <c r="ET206" i="4" a="1"/>
  <c r="ET206" i="4" s="1"/>
  <c r="EN206" i="4" a="1"/>
  <c r="EN206" i="4" s="1"/>
  <c r="EK207" i="4" a="1"/>
  <c r="EK207" i="4" s="1"/>
  <c r="EQ207" i="4" a="1"/>
  <c r="EQ207" i="4" s="1"/>
  <c r="ET208" i="4" a="1"/>
  <c r="ET208" i="4" s="1"/>
  <c r="EN208" i="4" a="1"/>
  <c r="EN208" i="4" s="1"/>
  <c r="EK209" i="4" a="1"/>
  <c r="EK209" i="4" s="1"/>
  <c r="EQ209" i="4" a="1"/>
  <c r="EQ209" i="4" s="1"/>
  <c r="ET210" i="4" a="1"/>
  <c r="ET210" i="4" s="1"/>
  <c r="EN210" i="4" a="1"/>
  <c r="EN210" i="4" s="1"/>
  <c r="EK211" i="4" a="1"/>
  <c r="EK211" i="4" s="1"/>
  <c r="EQ211" i="4" a="1"/>
  <c r="EQ211" i="4" s="1"/>
  <c r="ET212" i="4" a="1"/>
  <c r="ET212" i="4" s="1"/>
  <c r="EN212" i="4" a="1"/>
  <c r="EN212" i="4" s="1"/>
  <c r="EK213" i="4" a="1"/>
  <c r="EK213" i="4" s="1"/>
  <c r="EQ213" i="4" a="1"/>
  <c r="EQ213" i="4" s="1"/>
  <c r="ET214" i="4" a="1"/>
  <c r="ET214" i="4" s="1"/>
  <c r="EN214" i="4" a="1"/>
  <c r="EN214" i="4" s="1"/>
  <c r="EK215" i="4" a="1"/>
  <c r="EK215" i="4" s="1"/>
  <c r="EQ215" i="4" a="1"/>
  <c r="EQ215" i="4" s="1"/>
  <c r="ET216" i="4" a="1"/>
  <c r="ET216" i="4" s="1"/>
  <c r="EN216" i="4" a="1"/>
  <c r="EN216" i="4" s="1"/>
  <c r="FJ217" i="4" a="1"/>
  <c r="FJ217" i="4" s="1"/>
  <c r="FH217" i="4" a="1"/>
  <c r="FH217" i="4" s="1"/>
  <c r="FF217" i="4" a="1"/>
  <c r="FF217" i="4" s="1"/>
  <c r="FI217" i="4" a="1"/>
  <c r="FI217" i="4" s="1"/>
  <c r="ES217" i="4" a="1"/>
  <c r="ES217" i="4" s="1"/>
  <c r="FK217" i="4" a="1"/>
  <c r="FK217" i="4" s="1"/>
  <c r="EM217" i="4" a="1"/>
  <c r="EM217" i="4" s="1"/>
  <c r="FG217" i="4" a="1"/>
  <c r="FG217" i="4" s="1"/>
  <c r="FE217" i="4" a="1"/>
  <c r="FE217" i="4" s="1"/>
  <c r="FJ219" i="4" a="1"/>
  <c r="FJ219" i="4" s="1"/>
  <c r="FH219" i="4" a="1"/>
  <c r="FH219" i="4" s="1"/>
  <c r="FF219" i="4" a="1"/>
  <c r="FF219" i="4" s="1"/>
  <c r="FI219" i="4" a="1"/>
  <c r="FI219" i="4" s="1"/>
  <c r="ES219" i="4" a="1"/>
  <c r="ES219" i="4" s="1"/>
  <c r="FK219" i="4" a="1"/>
  <c r="FK219" i="4" s="1"/>
  <c r="EM219" i="4" a="1"/>
  <c r="EM219" i="4" s="1"/>
  <c r="FG219" i="4" a="1"/>
  <c r="FG219" i="4" s="1"/>
  <c r="FE219" i="4" a="1"/>
  <c r="FE219" i="4" s="1"/>
  <c r="FJ221" i="4" a="1"/>
  <c r="FJ221" i="4" s="1"/>
  <c r="FH221" i="4" a="1"/>
  <c r="FH221" i="4" s="1"/>
  <c r="FF221" i="4" a="1"/>
  <c r="FF221" i="4" s="1"/>
  <c r="FI221" i="4" a="1"/>
  <c r="FI221" i="4" s="1"/>
  <c r="ES221" i="4" a="1"/>
  <c r="ES221" i="4" s="1"/>
  <c r="FK221" i="4" a="1"/>
  <c r="FK221" i="4" s="1"/>
  <c r="EM221" i="4" a="1"/>
  <c r="EM221" i="4" s="1"/>
  <c r="FG221" i="4" a="1"/>
  <c r="FG221" i="4" s="1"/>
  <c r="FE221" i="4" a="1"/>
  <c r="FE221" i="4" s="1"/>
  <c r="FJ223" i="4" a="1"/>
  <c r="FJ223" i="4" s="1"/>
  <c r="FH223" i="4" a="1"/>
  <c r="FH223" i="4" s="1"/>
  <c r="FF223" i="4" a="1"/>
  <c r="FF223" i="4" s="1"/>
  <c r="FI223" i="4" a="1"/>
  <c r="FI223" i="4" s="1"/>
  <c r="ES223" i="4" a="1"/>
  <c r="ES223" i="4" s="1"/>
  <c r="FK223" i="4" a="1"/>
  <c r="FK223" i="4" s="1"/>
  <c r="EM223" i="4" a="1"/>
  <c r="EM223" i="4" s="1"/>
  <c r="FG223" i="4" a="1"/>
  <c r="FG223" i="4" s="1"/>
  <c r="FE223" i="4" a="1"/>
  <c r="FE223" i="4" s="1"/>
  <c r="FJ225" i="4" a="1"/>
  <c r="FJ225" i="4" s="1"/>
  <c r="FH225" i="4" a="1"/>
  <c r="FH225" i="4" s="1"/>
  <c r="FF225" i="4" a="1"/>
  <c r="FF225" i="4" s="1"/>
  <c r="FI225" i="4" a="1"/>
  <c r="FI225" i="4" s="1"/>
  <c r="ES225" i="4" a="1"/>
  <c r="ES225" i="4" s="1"/>
  <c r="FK225" i="4" a="1"/>
  <c r="FK225" i="4" s="1"/>
  <c r="EM225" i="4" a="1"/>
  <c r="EM225" i="4" s="1"/>
  <c r="FG225" i="4" a="1"/>
  <c r="FG225" i="4" s="1"/>
  <c r="FE225" i="4" a="1"/>
  <c r="FE225" i="4" s="1"/>
  <c r="FJ227" i="4" a="1"/>
  <c r="FJ227" i="4" s="1"/>
  <c r="FH227" i="4" a="1"/>
  <c r="FH227" i="4" s="1"/>
  <c r="FF227" i="4" a="1"/>
  <c r="FF227" i="4" s="1"/>
  <c r="FI227" i="4" a="1"/>
  <c r="FI227" i="4" s="1"/>
  <c r="ES227" i="4" a="1"/>
  <c r="ES227" i="4" s="1"/>
  <c r="FK227" i="4" a="1"/>
  <c r="FK227" i="4" s="1"/>
  <c r="EM227" i="4" a="1"/>
  <c r="EM227" i="4" s="1"/>
  <c r="FG227" i="4" a="1"/>
  <c r="FG227" i="4" s="1"/>
  <c r="FE227" i="4" a="1"/>
  <c r="FE227" i="4" s="1"/>
  <c r="FJ229" i="4" a="1"/>
  <c r="FJ229" i="4" s="1"/>
  <c r="FH229" i="4" a="1"/>
  <c r="FH229" i="4" s="1"/>
  <c r="FF229" i="4" a="1"/>
  <c r="FF229" i="4" s="1"/>
  <c r="FI229" i="4" a="1"/>
  <c r="FI229" i="4" s="1"/>
  <c r="ES229" i="4" a="1"/>
  <c r="ES229" i="4" s="1"/>
  <c r="FK229" i="4" a="1"/>
  <c r="FK229" i="4" s="1"/>
  <c r="EM229" i="4" a="1"/>
  <c r="EM229" i="4" s="1"/>
  <c r="FG229" i="4" a="1"/>
  <c r="FG229" i="4" s="1"/>
  <c r="FE229" i="4" a="1"/>
  <c r="FE229" i="4" s="1"/>
  <c r="FJ231" i="4" a="1"/>
  <c r="FJ231" i="4" s="1"/>
  <c r="FH231" i="4" a="1"/>
  <c r="FH231" i="4" s="1"/>
  <c r="FF231" i="4" a="1"/>
  <c r="FF231" i="4" s="1"/>
  <c r="FI231" i="4" a="1"/>
  <c r="FI231" i="4" s="1"/>
  <c r="ES231" i="4" a="1"/>
  <c r="ES231" i="4" s="1"/>
  <c r="FK231" i="4" a="1"/>
  <c r="FK231" i="4" s="1"/>
  <c r="EM231" i="4" a="1"/>
  <c r="EM231" i="4" s="1"/>
  <c r="FG231" i="4" a="1"/>
  <c r="FG231" i="4" s="1"/>
  <c r="FE231" i="4" a="1"/>
  <c r="FE231" i="4" s="1"/>
  <c r="FJ233" i="4" a="1"/>
  <c r="FJ233" i="4" s="1"/>
  <c r="FH233" i="4" a="1"/>
  <c r="FH233" i="4" s="1"/>
  <c r="FF233" i="4" a="1"/>
  <c r="FF233" i="4" s="1"/>
  <c r="FI233" i="4" a="1"/>
  <c r="FI233" i="4" s="1"/>
  <c r="ES233" i="4" a="1"/>
  <c r="ES233" i="4" s="1"/>
  <c r="FK233" i="4" a="1"/>
  <c r="FK233" i="4" s="1"/>
  <c r="EM233" i="4" a="1"/>
  <c r="EM233" i="4" s="1"/>
  <c r="FG233" i="4" a="1"/>
  <c r="FG233" i="4" s="1"/>
  <c r="FE233" i="4" a="1"/>
  <c r="FE233" i="4" s="1"/>
  <c r="FJ235" i="4" a="1"/>
  <c r="FJ235" i="4" s="1"/>
  <c r="FH235" i="4" a="1"/>
  <c r="FH235" i="4" s="1"/>
  <c r="FF235" i="4" a="1"/>
  <c r="FF235" i="4" s="1"/>
  <c r="FI235" i="4" a="1"/>
  <c r="FI235" i="4" s="1"/>
  <c r="ES235" i="4" a="1"/>
  <c r="ES235" i="4" s="1"/>
  <c r="FK235" i="4" a="1"/>
  <c r="FK235" i="4" s="1"/>
  <c r="EM235" i="4" a="1"/>
  <c r="EM235" i="4" s="1"/>
  <c r="FG235" i="4" a="1"/>
  <c r="FG235" i="4" s="1"/>
  <c r="FE235" i="4" a="1"/>
  <c r="FE235" i="4" s="1"/>
  <c r="EN237" i="4" a="1"/>
  <c r="EN237" i="4" s="1"/>
  <c r="ET237" i="4" a="1"/>
  <c r="ET237" i="4" s="1"/>
  <c r="EK238" i="4" a="1"/>
  <c r="EK238" i="4" s="1"/>
  <c r="EQ238" i="4" a="1"/>
  <c r="EQ238" i="4" s="1"/>
  <c r="EN239" i="4" a="1"/>
  <c r="EN239" i="4" s="1"/>
  <c r="ET239" i="4" a="1"/>
  <c r="ET239" i="4" s="1"/>
  <c r="EK240" i="4" a="1"/>
  <c r="EK240" i="4" s="1"/>
  <c r="EQ240" i="4" a="1"/>
  <c r="EQ240" i="4" s="1"/>
  <c r="EN241" i="4" a="1"/>
  <c r="EN241" i="4" s="1"/>
  <c r="ET241" i="4" a="1"/>
  <c r="ET241" i="4" s="1"/>
  <c r="EK242" i="4" a="1"/>
  <c r="EK242" i="4" s="1"/>
  <c r="EQ242" i="4" a="1"/>
  <c r="EQ242" i="4" s="1"/>
  <c r="EN243" i="4" a="1"/>
  <c r="EN243" i="4" s="1"/>
  <c r="ET243" i="4" a="1"/>
  <c r="ET243" i="4" s="1"/>
  <c r="EK244" i="4" a="1"/>
  <c r="EK244" i="4" s="1"/>
  <c r="EQ244" i="4" a="1"/>
  <c r="EQ244" i="4" s="1"/>
  <c r="EN245" i="4" a="1"/>
  <c r="EN245" i="4" s="1"/>
  <c r="ET245" i="4" a="1"/>
  <c r="ET245" i="4" s="1"/>
  <c r="EK246" i="4" a="1"/>
  <c r="EK246" i="4" s="1"/>
  <c r="EQ246" i="4" a="1"/>
  <c r="EQ246" i="4" s="1"/>
  <c r="EN247" i="4" a="1"/>
  <c r="EN247" i="4" s="1"/>
  <c r="ET247" i="4" a="1"/>
  <c r="ET247" i="4" s="1"/>
  <c r="ET248" i="4" a="1"/>
  <c r="ET248" i="4" s="1"/>
  <c r="EN248" i="4" a="1"/>
  <c r="EN248" i="4" s="1"/>
  <c r="FC249" i="4" a="1"/>
  <c r="FC249" i="4" s="1"/>
  <c r="EX249" i="4" a="1"/>
  <c r="EX249" i="4" s="1"/>
  <c r="EZ249" i="4" a="1"/>
  <c r="EZ249" i="4" s="1"/>
  <c r="ER249" i="4" a="1"/>
  <c r="ER249" i="4" s="1"/>
  <c r="FD249" i="4" a="1"/>
  <c r="FD249" i="4" s="1"/>
  <c r="FA249" i="4" a="1"/>
  <c r="FA249" i="4" s="1"/>
  <c r="EL249" i="4" a="1"/>
  <c r="EL249" i="4" s="1"/>
  <c r="EY249" i="4" a="1"/>
  <c r="EY249" i="4" s="1"/>
  <c r="FB249" i="4" a="1"/>
  <c r="FB249" i="4" s="1"/>
  <c r="FJ251" i="4" a="1"/>
  <c r="FJ251" i="4" s="1"/>
  <c r="FH251" i="4" a="1"/>
  <c r="FH251" i="4" s="1"/>
  <c r="FF251" i="4" a="1"/>
  <c r="FF251" i="4" s="1"/>
  <c r="FI251" i="4" a="1"/>
  <c r="FI251" i="4" s="1"/>
  <c r="ES251" i="4" a="1"/>
  <c r="ES251" i="4" s="1"/>
  <c r="FK251" i="4" a="1"/>
  <c r="FK251" i="4" s="1"/>
  <c r="EM251" i="4" a="1"/>
  <c r="EM251" i="4" s="1"/>
  <c r="FG251" i="4" a="1"/>
  <c r="FG251" i="4" s="1"/>
  <c r="FE251" i="4" a="1"/>
  <c r="FE251" i="4" s="1"/>
  <c r="ET253" i="4" a="1"/>
  <c r="ET253" i="4" s="1"/>
  <c r="EN253" i="4" a="1"/>
  <c r="EN253" i="4" s="1"/>
  <c r="EK254" i="4" a="1"/>
  <c r="EK254" i="4" s="1"/>
  <c r="EQ254" i="4" a="1"/>
  <c r="EQ254" i="4" s="1"/>
  <c r="ET255" i="4" a="1"/>
  <c r="ET255" i="4" s="1"/>
  <c r="EN255" i="4" a="1"/>
  <c r="EN255" i="4" s="1"/>
  <c r="EK256" i="4" a="1"/>
  <c r="EK256" i="4" s="1"/>
  <c r="EQ256" i="4" a="1"/>
  <c r="EQ256" i="4" s="1"/>
  <c r="ET257" i="4" a="1"/>
  <c r="ET257" i="4" s="1"/>
  <c r="EN257" i="4" a="1"/>
  <c r="EN257" i="4" s="1"/>
  <c r="EK258" i="4" a="1"/>
  <c r="EK258" i="4" s="1"/>
  <c r="EQ258" i="4" a="1"/>
  <c r="EQ258" i="4" s="1"/>
  <c r="ET259" i="4" a="1"/>
  <c r="ET259" i="4" s="1"/>
  <c r="EN259" i="4" a="1"/>
  <c r="EN259" i="4" s="1"/>
  <c r="FJ260" i="4" a="1"/>
  <c r="FJ260" i="4" s="1"/>
  <c r="FH260" i="4" a="1"/>
  <c r="FH260" i="4" s="1"/>
  <c r="FF260" i="4" a="1"/>
  <c r="FF260" i="4" s="1"/>
  <c r="FI260" i="4" a="1"/>
  <c r="FI260" i="4" s="1"/>
  <c r="ES260" i="4" a="1"/>
  <c r="ES260" i="4" s="1"/>
  <c r="FK260" i="4" a="1"/>
  <c r="FK260" i="4" s="1"/>
  <c r="EM260" i="4" a="1"/>
  <c r="EM260" i="4" s="1"/>
  <c r="FG260" i="4" a="1"/>
  <c r="FG260" i="4" s="1"/>
  <c r="FE260" i="4" a="1"/>
  <c r="FE260" i="4" s="1"/>
  <c r="FJ262" i="4" a="1"/>
  <c r="FJ262" i="4" s="1"/>
  <c r="FH262" i="4" a="1"/>
  <c r="FH262" i="4" s="1"/>
  <c r="FF262" i="4" a="1"/>
  <c r="FF262" i="4" s="1"/>
  <c r="FI262" i="4" a="1"/>
  <c r="FI262" i="4" s="1"/>
  <c r="ES262" i="4" a="1"/>
  <c r="ES262" i="4" s="1"/>
  <c r="FK262" i="4" a="1"/>
  <c r="FK262" i="4" s="1"/>
  <c r="EM262" i="4" a="1"/>
  <c r="EM262" i="4" s="1"/>
  <c r="FG262" i="4" a="1"/>
  <c r="FG262" i="4" s="1"/>
  <c r="FE262" i="4" a="1"/>
  <c r="FE262" i="4" s="1"/>
  <c r="FJ264" i="4" a="1"/>
  <c r="FJ264" i="4" s="1"/>
  <c r="FH264" i="4" a="1"/>
  <c r="FH264" i="4" s="1"/>
  <c r="FF264" i="4" a="1"/>
  <c r="FF264" i="4" s="1"/>
  <c r="FI264" i="4" a="1"/>
  <c r="FI264" i="4" s="1"/>
  <c r="ES264" i="4" a="1"/>
  <c r="ES264" i="4" s="1"/>
  <c r="FK264" i="4" a="1"/>
  <c r="FK264" i="4" s="1"/>
  <c r="EM264" i="4" a="1"/>
  <c r="EM264" i="4" s="1"/>
  <c r="FG264" i="4" a="1"/>
  <c r="FG264" i="4" s="1"/>
  <c r="FE264" i="4" a="1"/>
  <c r="FE264" i="4" s="1"/>
  <c r="CV258" i="4" a="1"/>
  <c r="CV258" i="4" s="1"/>
  <c r="EJ233" i="4" a="1"/>
  <c r="EJ233" i="4" s="1"/>
  <c r="EJ225" i="4" a="1"/>
  <c r="EJ225" i="4" s="1"/>
  <c r="EJ217" i="4" a="1"/>
  <c r="EJ217" i="4" s="1"/>
  <c r="EJ204" i="4" a="1"/>
  <c r="EJ204" i="4" s="1"/>
  <c r="EJ196" i="4" a="1"/>
  <c r="EJ196" i="4" s="1"/>
  <c r="FQ149" i="4" a="1"/>
  <c r="FQ149" i="4" s="1"/>
  <c r="FO149" i="4" a="1"/>
  <c r="FO149" i="4" s="1"/>
  <c r="FM149" i="4" a="1"/>
  <c r="FM149" i="4" s="1"/>
  <c r="EU149" i="4" a="1"/>
  <c r="EU149" i="4" s="1"/>
  <c r="EO149" i="4" a="1"/>
  <c r="EO149" i="4" s="1"/>
  <c r="FN149" i="4" a="1"/>
  <c r="FN149" i="4" s="1"/>
  <c r="FP149" i="4" a="1"/>
  <c r="FP149" i="4" s="1"/>
  <c r="FL149" i="4" a="1"/>
  <c r="FL149" i="4" s="1"/>
  <c r="FR149" i="4" a="1"/>
  <c r="FR149" i="4" s="1"/>
  <c r="FK114" i="4" a="1"/>
  <c r="FK114" i="4" s="1"/>
  <c r="FI114" i="4" a="1"/>
  <c r="FI114" i="4" s="1"/>
  <c r="FG114" i="4" a="1"/>
  <c r="FG114" i="4" s="1"/>
  <c r="FE114" i="4" a="1"/>
  <c r="FE114" i="4" s="1"/>
  <c r="ES114" i="4" a="1"/>
  <c r="ES114" i="4" s="1"/>
  <c r="EM114" i="4" a="1"/>
  <c r="EM114" i="4" s="1"/>
  <c r="FH114" i="4" a="1"/>
  <c r="FH114" i="4" s="1"/>
  <c r="FJ114" i="4" a="1"/>
  <c r="FJ114" i="4" s="1"/>
  <c r="FF114" i="4" a="1"/>
  <c r="FF114" i="4" s="1"/>
  <c r="FJ56" i="4" a="1"/>
  <c r="FJ56" i="4" s="1"/>
  <c r="FH56" i="4" a="1"/>
  <c r="FH56" i="4" s="1"/>
  <c r="FF56" i="4" a="1"/>
  <c r="FF56" i="4" s="1"/>
  <c r="FE56" i="4" a="1"/>
  <c r="FE56" i="4" s="1"/>
  <c r="FG56" i="4" a="1"/>
  <c r="FG56" i="4" s="1"/>
  <c r="FK56" i="4" a="1"/>
  <c r="FK56" i="4" s="1"/>
  <c r="EM56" i="4" a="1"/>
  <c r="EM56" i="4" s="1"/>
  <c r="FI56" i="4" a="1"/>
  <c r="FI56" i="4" s="1"/>
  <c r="ES56" i="4" a="1"/>
  <c r="ES56" i="4" s="1"/>
  <c r="CU47" i="4" a="1"/>
  <c r="CU47" i="4" s="1"/>
  <c r="FQ2" i="4" a="1"/>
  <c r="FQ2" i="4" s="1"/>
  <c r="FN2" i="4" a="1"/>
  <c r="FN2" i="4" s="1"/>
  <c r="FP2" i="4" a="1"/>
  <c r="FP2" i="4" s="1"/>
  <c r="EU2" i="4" a="1"/>
  <c r="EU2" i="4" s="1"/>
  <c r="FO2" i="4" a="1"/>
  <c r="FO2" i="4" s="1"/>
  <c r="FL2" i="4" a="1"/>
  <c r="FL2" i="4" s="1"/>
  <c r="FM2" i="4" a="1"/>
  <c r="FM2" i="4" s="1"/>
  <c r="EO2" i="4" a="1"/>
  <c r="EO2" i="4" s="1"/>
  <c r="FR2" i="4" a="1"/>
  <c r="FR2" i="4" s="1"/>
  <c r="EJ27" i="4" a="1"/>
  <c r="EJ27" i="4" s="1"/>
  <c r="FB35" i="4" a="1"/>
  <c r="FB35" i="4" s="1"/>
  <c r="EL35" i="4" a="1"/>
  <c r="EL35" i="4" s="1"/>
  <c r="FD35" i="4" a="1"/>
  <c r="FD35" i="4" s="1"/>
  <c r="EY35" i="4" a="1"/>
  <c r="EY35" i="4" s="1"/>
  <c r="FC35" i="4" a="1"/>
  <c r="FC35" i="4" s="1"/>
  <c r="EZ35" i="4" a="1"/>
  <c r="EZ35" i="4" s="1"/>
  <c r="ER35" i="4" a="1"/>
  <c r="ER35" i="4" s="1"/>
  <c r="FA35" i="4" a="1"/>
  <c r="FA35" i="4" s="1"/>
  <c r="EX35" i="4" a="1"/>
  <c r="EX35" i="4" s="1"/>
  <c r="FB39" i="4" a="1"/>
  <c r="FB39" i="4" s="1"/>
  <c r="EL39" i="4" a="1"/>
  <c r="EL39" i="4" s="1"/>
  <c r="FD39" i="4" a="1"/>
  <c r="FD39" i="4" s="1"/>
  <c r="EY39" i="4" a="1"/>
  <c r="EY39" i="4" s="1"/>
  <c r="FC39" i="4" a="1"/>
  <c r="FC39" i="4" s="1"/>
  <c r="EZ39" i="4" a="1"/>
  <c r="EZ39" i="4" s="1"/>
  <c r="ER39" i="4" a="1"/>
  <c r="ER39" i="4" s="1"/>
  <c r="FA39" i="4" a="1"/>
  <c r="FA39" i="4" s="1"/>
  <c r="EX39" i="4" a="1"/>
  <c r="EX39" i="4" s="1"/>
  <c r="EQ47" i="4" a="1"/>
  <c r="EQ47" i="4" s="1"/>
  <c r="EK47" i="4" a="1"/>
  <c r="EK47" i="4" s="1"/>
  <c r="EJ51" i="4" a="1"/>
  <c r="EJ51" i="4" s="1"/>
  <c r="FR55" i="4" a="1"/>
  <c r="FR55" i="4" s="1"/>
  <c r="FP55" i="4" a="1"/>
  <c r="FP55" i="4" s="1"/>
  <c r="FN55" i="4" a="1"/>
  <c r="FN55" i="4" s="1"/>
  <c r="FL55" i="4" a="1"/>
  <c r="FL55" i="4" s="1"/>
  <c r="FQ55" i="4" a="1"/>
  <c r="FQ55" i="4" s="1"/>
  <c r="EU55" i="4" a="1"/>
  <c r="EU55" i="4" s="1"/>
  <c r="FO55" i="4" a="1"/>
  <c r="FO55" i="4" s="1"/>
  <c r="FM55" i="4" a="1"/>
  <c r="FM55" i="4" s="1"/>
  <c r="EO55" i="4" a="1"/>
  <c r="EO55" i="4" s="1"/>
  <c r="FQ68" i="4" a="1"/>
  <c r="FQ68" i="4" s="1"/>
  <c r="FO68" i="4" a="1"/>
  <c r="FO68" i="4" s="1"/>
  <c r="FM68" i="4" a="1"/>
  <c r="FM68" i="4" s="1"/>
  <c r="EU68" i="4" a="1"/>
  <c r="EU68" i="4" s="1"/>
  <c r="EO68" i="4" a="1"/>
  <c r="EO68" i="4" s="1"/>
  <c r="FN68" i="4" a="1"/>
  <c r="FN68" i="4" s="1"/>
  <c r="FP68" i="4" a="1"/>
  <c r="FP68" i="4" s="1"/>
  <c r="FL68" i="4" a="1"/>
  <c r="FL68" i="4" s="1"/>
  <c r="FR68" i="4" a="1"/>
  <c r="FR68" i="4" s="1"/>
  <c r="EW72" i="4" a="1"/>
  <c r="EW72" i="4" s="1"/>
  <c r="EQ106" i="4" a="1"/>
  <c r="EQ106" i="4" s="1"/>
  <c r="EK106" i="4" a="1"/>
  <c r="EK106" i="4" s="1"/>
  <c r="EQ132" i="4" a="1"/>
  <c r="EQ132" i="4" s="1"/>
  <c r="EK132" i="4" a="1"/>
  <c r="EK132" i="4" s="1"/>
  <c r="EW136" i="4" a="1"/>
  <c r="EW136" i="4" s="1"/>
  <c r="EQ180" i="4" a="1"/>
  <c r="EQ180" i="4" s="1"/>
  <c r="EK180" i="4" a="1"/>
  <c r="EK180" i="4" s="1"/>
  <c r="FY183" i="4" a="1"/>
  <c r="FY183" i="4" s="1"/>
  <c r="FW183" i="4" a="1"/>
  <c r="FW183" i="4" s="1"/>
  <c r="FU183" i="4" a="1"/>
  <c r="FU183" i="4" s="1"/>
  <c r="FS183" i="4" a="1"/>
  <c r="FS183" i="4" s="1"/>
  <c r="FT183" i="4" a="1"/>
  <c r="FT183" i="4" s="1"/>
  <c r="EV183" i="4" a="1"/>
  <c r="EV183" i="4" s="1"/>
  <c r="FV183" i="4" a="1"/>
  <c r="FV183" i="4" s="1"/>
  <c r="EP183" i="4" a="1"/>
  <c r="EP183" i="4" s="1"/>
  <c r="FX183" i="4" a="1"/>
  <c r="FX183" i="4" s="1"/>
  <c r="FQ188" i="4" a="1"/>
  <c r="FQ188" i="4" s="1"/>
  <c r="FO188" i="4" a="1"/>
  <c r="FO188" i="4" s="1"/>
  <c r="FM188" i="4" a="1"/>
  <c r="FM188" i="4" s="1"/>
  <c r="EU188" i="4" a="1"/>
  <c r="EU188" i="4" s="1"/>
  <c r="EO188" i="4" a="1"/>
  <c r="EO188" i="4" s="1"/>
  <c r="FN188" i="4" a="1"/>
  <c r="FN188" i="4" s="1"/>
  <c r="FP188" i="4" a="1"/>
  <c r="FP188" i="4" s="1"/>
  <c r="FL188" i="4" a="1"/>
  <c r="FL188" i="4" s="1"/>
  <c r="FR188" i="4" a="1"/>
  <c r="FR188" i="4" s="1"/>
  <c r="EW212" i="4" a="1"/>
  <c r="EW212" i="4" s="1"/>
  <c r="FW245" i="4" a="1"/>
  <c r="FW245" i="4" s="1"/>
  <c r="FT245" i="4" a="1"/>
  <c r="FT245" i="4" s="1"/>
  <c r="EV245" i="4" a="1"/>
  <c r="EV245" i="4" s="1"/>
  <c r="FY245" i="4" a="1"/>
  <c r="FY245" i="4" s="1"/>
  <c r="FV245" i="4" a="1"/>
  <c r="FV245" i="4" s="1"/>
  <c r="EP245" i="4" a="1"/>
  <c r="EP245" i="4" s="1"/>
  <c r="FU245" i="4" a="1"/>
  <c r="FU245" i="4" s="1"/>
  <c r="FX245" i="4" a="1"/>
  <c r="FX245" i="4" s="1"/>
  <c r="FS245" i="4" a="1"/>
  <c r="FS245" i="4" s="1"/>
  <c r="EQ253" i="4" a="1"/>
  <c r="EQ253" i="4" s="1"/>
  <c r="EK253" i="4" a="1"/>
  <c r="EK253" i="4" s="1"/>
  <c r="FH4" i="4" a="1"/>
  <c r="FH4" i="4" s="1"/>
  <c r="FE4" i="4" a="1"/>
  <c r="FE4" i="4" s="1"/>
  <c r="FJ4" i="4" a="1"/>
  <c r="FJ4" i="4" s="1"/>
  <c r="FG4" i="4" a="1"/>
  <c r="FG4" i="4" s="1"/>
  <c r="FK4" i="4" a="1"/>
  <c r="FK4" i="4" s="1"/>
  <c r="FF4" i="4" a="1"/>
  <c r="FF4" i="4" s="1"/>
  <c r="EM4" i="4" a="1"/>
  <c r="EM4" i="4" s="1"/>
  <c r="FI4" i="4" a="1"/>
  <c r="FI4" i="4" s="1"/>
  <c r="ES4" i="4" a="1"/>
  <c r="ES4" i="4" s="1"/>
  <c r="FH8" i="4" a="1"/>
  <c r="FH8" i="4" s="1"/>
  <c r="FE8" i="4" a="1"/>
  <c r="FE8" i="4" s="1"/>
  <c r="FJ8" i="4" a="1"/>
  <c r="FJ8" i="4" s="1"/>
  <c r="FG8" i="4" a="1"/>
  <c r="FG8" i="4" s="1"/>
  <c r="FK8" i="4" a="1"/>
  <c r="FK8" i="4" s="1"/>
  <c r="FF8" i="4" a="1"/>
  <c r="FF8" i="4" s="1"/>
  <c r="EM8" i="4" a="1"/>
  <c r="EM8" i="4" s="1"/>
  <c r="FI8" i="4" a="1"/>
  <c r="FI8" i="4" s="1"/>
  <c r="ES8" i="4" a="1"/>
  <c r="ES8" i="4" s="1"/>
  <c r="FH12" i="4" a="1"/>
  <c r="FH12" i="4" s="1"/>
  <c r="FE12" i="4" a="1"/>
  <c r="FE12" i="4" s="1"/>
  <c r="FJ12" i="4" a="1"/>
  <c r="FJ12" i="4" s="1"/>
  <c r="FG12" i="4" a="1"/>
  <c r="FG12" i="4" s="1"/>
  <c r="FK12" i="4" a="1"/>
  <c r="FK12" i="4" s="1"/>
  <c r="FF12" i="4" a="1"/>
  <c r="FF12" i="4" s="1"/>
  <c r="EM12" i="4" a="1"/>
  <c r="EM12" i="4" s="1"/>
  <c r="FI12" i="4" a="1"/>
  <c r="FI12" i="4" s="1"/>
  <c r="ES12" i="4" a="1"/>
  <c r="ES12" i="4" s="1"/>
  <c r="FH16" i="4" a="1"/>
  <c r="FH16" i="4" s="1"/>
  <c r="FE16" i="4" a="1"/>
  <c r="FE16" i="4" s="1"/>
  <c r="FJ16" i="4" a="1"/>
  <c r="FJ16" i="4" s="1"/>
  <c r="FG16" i="4" a="1"/>
  <c r="FG16" i="4" s="1"/>
  <c r="FK16" i="4" a="1"/>
  <c r="FK16" i="4" s="1"/>
  <c r="FF16" i="4" a="1"/>
  <c r="FF16" i="4" s="1"/>
  <c r="EM16" i="4" a="1"/>
  <c r="EM16" i="4" s="1"/>
  <c r="FI16" i="4" a="1"/>
  <c r="FI16" i="4" s="1"/>
  <c r="ES16" i="4" a="1"/>
  <c r="ES16" i="4" s="1"/>
  <c r="FH20" i="4" a="1"/>
  <c r="FH20" i="4" s="1"/>
  <c r="FE20" i="4" a="1"/>
  <c r="FE20" i="4" s="1"/>
  <c r="FJ20" i="4" a="1"/>
  <c r="FJ20" i="4" s="1"/>
  <c r="FG20" i="4" a="1"/>
  <c r="FG20" i="4" s="1"/>
  <c r="FK20" i="4" a="1"/>
  <c r="FK20" i="4" s="1"/>
  <c r="FF20" i="4" a="1"/>
  <c r="FF20" i="4" s="1"/>
  <c r="EM20" i="4" a="1"/>
  <c r="EM20" i="4" s="1"/>
  <c r="FI20" i="4" a="1"/>
  <c r="FI20" i="4" s="1"/>
  <c r="ES20" i="4" a="1"/>
  <c r="ES20" i="4" s="1"/>
  <c r="FH24" i="4" a="1"/>
  <c r="FH24" i="4" s="1"/>
  <c r="FE24" i="4" a="1"/>
  <c r="FE24" i="4" s="1"/>
  <c r="FJ24" i="4" a="1"/>
  <c r="FJ24" i="4" s="1"/>
  <c r="FG24" i="4" a="1"/>
  <c r="FG24" i="4" s="1"/>
  <c r="FK24" i="4" a="1"/>
  <c r="FK24" i="4" s="1"/>
  <c r="FF24" i="4" a="1"/>
  <c r="FF24" i="4" s="1"/>
  <c r="EM24" i="4" a="1"/>
  <c r="EM24" i="4" s="1"/>
  <c r="FI24" i="4" a="1"/>
  <c r="FI24" i="4" s="1"/>
  <c r="ES24" i="4" a="1"/>
  <c r="ES24" i="4" s="1"/>
  <c r="FK65" i="4" a="1"/>
  <c r="FK65" i="4" s="1"/>
  <c r="FI65" i="4" a="1"/>
  <c r="FI65" i="4" s="1"/>
  <c r="FG65" i="4" a="1"/>
  <c r="FG65" i="4" s="1"/>
  <c r="FE65" i="4" a="1"/>
  <c r="FE65" i="4" s="1"/>
  <c r="ES65" i="4" a="1"/>
  <c r="ES65" i="4" s="1"/>
  <c r="EM65" i="4" a="1"/>
  <c r="EM65" i="4" s="1"/>
  <c r="FH65" i="4" a="1"/>
  <c r="FH65" i="4" s="1"/>
  <c r="FJ65" i="4" a="1"/>
  <c r="FJ65" i="4" s="1"/>
  <c r="FF65" i="4" a="1"/>
  <c r="FF65" i="4" s="1"/>
  <c r="FQ69" i="4" a="1"/>
  <c r="FQ69" i="4" s="1"/>
  <c r="FO69" i="4" a="1"/>
  <c r="FO69" i="4" s="1"/>
  <c r="FM69" i="4" a="1"/>
  <c r="FM69" i="4" s="1"/>
  <c r="EU69" i="4" a="1"/>
  <c r="EU69" i="4" s="1"/>
  <c r="EO69" i="4" a="1"/>
  <c r="EO69" i="4" s="1"/>
  <c r="FN69" i="4" a="1"/>
  <c r="FN69" i="4" s="1"/>
  <c r="FP69" i="4" a="1"/>
  <c r="FP69" i="4" s="1"/>
  <c r="FL69" i="4" a="1"/>
  <c r="FL69" i="4" s="1"/>
  <c r="FR69" i="4" a="1"/>
  <c r="FR69" i="4" s="1"/>
  <c r="EW73" i="4" a="1"/>
  <c r="EW73" i="4" s="1"/>
  <c r="FY82" i="4" a="1"/>
  <c r="FY82" i="4" s="1"/>
  <c r="FW82" i="4" a="1"/>
  <c r="FW82" i="4" s="1"/>
  <c r="FU82" i="4" a="1"/>
  <c r="FU82" i="4" s="1"/>
  <c r="FS82" i="4" a="1"/>
  <c r="FS82" i="4" s="1"/>
  <c r="FT82" i="4" a="1"/>
  <c r="FT82" i="4" s="1"/>
  <c r="EV82" i="4" a="1"/>
  <c r="EV82" i="4" s="1"/>
  <c r="FV82" i="4" a="1"/>
  <c r="FV82" i="4" s="1"/>
  <c r="EP82" i="4" a="1"/>
  <c r="EP82" i="4" s="1"/>
  <c r="FX82" i="4" a="1"/>
  <c r="FX82" i="4" s="1"/>
  <c r="EW87" i="4" a="1"/>
  <c r="EW87" i="4" s="1"/>
  <c r="FC96" i="4" a="1"/>
  <c r="FC96" i="4" s="1"/>
  <c r="FA96" i="4" a="1"/>
  <c r="FA96" i="4" s="1"/>
  <c r="EY96" i="4" a="1"/>
  <c r="EY96" i="4" s="1"/>
  <c r="FB96" i="4" a="1"/>
  <c r="FB96" i="4" s="1"/>
  <c r="EL96" i="4" a="1"/>
  <c r="EL96" i="4" s="1"/>
  <c r="FD96" i="4" a="1"/>
  <c r="FD96" i="4" s="1"/>
  <c r="EZ96" i="4" a="1"/>
  <c r="EZ96" i="4" s="1"/>
  <c r="ER96" i="4" a="1"/>
  <c r="ER96" i="4" s="1"/>
  <c r="EX96" i="4" a="1"/>
  <c r="EX96" i="4" s="1"/>
  <c r="FC105" i="4" a="1"/>
  <c r="FC105" i="4" s="1"/>
  <c r="FA105" i="4" a="1"/>
  <c r="FA105" i="4" s="1"/>
  <c r="EY105" i="4" a="1"/>
  <c r="EY105" i="4" s="1"/>
  <c r="FB105" i="4" a="1"/>
  <c r="FB105" i="4" s="1"/>
  <c r="EL105" i="4" a="1"/>
  <c r="EL105" i="4" s="1"/>
  <c r="FD105" i="4" a="1"/>
  <c r="FD105" i="4" s="1"/>
  <c r="EZ105" i="4" a="1"/>
  <c r="EZ105" i="4" s="1"/>
  <c r="ER105" i="4" a="1"/>
  <c r="ER105" i="4" s="1"/>
  <c r="EX105" i="4" a="1"/>
  <c r="EX105" i="4" s="1"/>
  <c r="FY118" i="4" a="1"/>
  <c r="FY118" i="4" s="1"/>
  <c r="FW118" i="4" a="1"/>
  <c r="FW118" i="4" s="1"/>
  <c r="FU118" i="4" a="1"/>
  <c r="FU118" i="4" s="1"/>
  <c r="FS118" i="4" a="1"/>
  <c r="FS118" i="4" s="1"/>
  <c r="FT118" i="4" a="1"/>
  <c r="FT118" i="4" s="1"/>
  <c r="EV118" i="4" a="1"/>
  <c r="EV118" i="4" s="1"/>
  <c r="FV118" i="4" a="1"/>
  <c r="FV118" i="4" s="1"/>
  <c r="EP118" i="4" a="1"/>
  <c r="EP118" i="4" s="1"/>
  <c r="FX118" i="4" a="1"/>
  <c r="FX118" i="4" s="1"/>
  <c r="FC123" i="4" a="1"/>
  <c r="FC123" i="4" s="1"/>
  <c r="FA123" i="4" a="1"/>
  <c r="FA123" i="4" s="1"/>
  <c r="EY123" i="4" a="1"/>
  <c r="EY123" i="4" s="1"/>
  <c r="FB123" i="4" a="1"/>
  <c r="FB123" i="4" s="1"/>
  <c r="EL123" i="4" a="1"/>
  <c r="EL123" i="4" s="1"/>
  <c r="FD123" i="4" a="1"/>
  <c r="FD123" i="4" s="1"/>
  <c r="EZ123" i="4" a="1"/>
  <c r="EZ123" i="4" s="1"/>
  <c r="ER123" i="4" a="1"/>
  <c r="ER123" i="4" s="1"/>
  <c r="EX123" i="4" a="1"/>
  <c r="EX123" i="4" s="1"/>
  <c r="FQ133" i="4" a="1"/>
  <c r="FQ133" i="4" s="1"/>
  <c r="FO133" i="4" a="1"/>
  <c r="FO133" i="4" s="1"/>
  <c r="FM133" i="4" a="1"/>
  <c r="FM133" i="4" s="1"/>
  <c r="EU133" i="4" a="1"/>
  <c r="EU133" i="4" s="1"/>
  <c r="EO133" i="4" a="1"/>
  <c r="EO133" i="4" s="1"/>
  <c r="FN133" i="4" a="1"/>
  <c r="FN133" i="4" s="1"/>
  <c r="FP133" i="4" a="1"/>
  <c r="FP133" i="4" s="1"/>
  <c r="FL133" i="4" a="1"/>
  <c r="FL133" i="4" s="1"/>
  <c r="FR133" i="4" a="1"/>
  <c r="FR133" i="4" s="1"/>
  <c r="EW141" i="4" a="1"/>
  <c r="EW141" i="4" s="1"/>
  <c r="FK150" i="4" a="1"/>
  <c r="FK150" i="4" s="1"/>
  <c r="FI150" i="4" a="1"/>
  <c r="FI150" i="4" s="1"/>
  <c r="FG150" i="4" a="1"/>
  <c r="FG150" i="4" s="1"/>
  <c r="FE150" i="4" a="1"/>
  <c r="FE150" i="4" s="1"/>
  <c r="ES150" i="4" a="1"/>
  <c r="ES150" i="4" s="1"/>
  <c r="EM150" i="4" a="1"/>
  <c r="EM150" i="4" s="1"/>
  <c r="FH150" i="4" a="1"/>
  <c r="FH150" i="4" s="1"/>
  <c r="FJ150" i="4" a="1"/>
  <c r="FJ150" i="4" s="1"/>
  <c r="FF150" i="4" a="1"/>
  <c r="FF150" i="4" s="1"/>
  <c r="FQ175" i="4" a="1"/>
  <c r="FQ175" i="4" s="1"/>
  <c r="FO175" i="4" a="1"/>
  <c r="FO175" i="4" s="1"/>
  <c r="FM175" i="4" a="1"/>
  <c r="FM175" i="4" s="1"/>
  <c r="EU175" i="4" a="1"/>
  <c r="EU175" i="4" s="1"/>
  <c r="EO175" i="4" a="1"/>
  <c r="EO175" i="4" s="1"/>
  <c r="FN175" i="4" a="1"/>
  <c r="FN175" i="4" s="1"/>
  <c r="FP175" i="4" a="1"/>
  <c r="FP175" i="4" s="1"/>
  <c r="FL175" i="4" a="1"/>
  <c r="FL175" i="4" s="1"/>
  <c r="FR175" i="4" a="1"/>
  <c r="FR175" i="4" s="1"/>
  <c r="FC179" i="4" a="1"/>
  <c r="FC179" i="4" s="1"/>
  <c r="FA179" i="4" a="1"/>
  <c r="FA179" i="4" s="1"/>
  <c r="EY179" i="4" a="1"/>
  <c r="EY179" i="4" s="1"/>
  <c r="FB179" i="4" a="1"/>
  <c r="FB179" i="4" s="1"/>
  <c r="EL179" i="4" a="1"/>
  <c r="EL179" i="4" s="1"/>
  <c r="FD179" i="4" a="1"/>
  <c r="FD179" i="4" s="1"/>
  <c r="EZ179" i="4" a="1"/>
  <c r="EZ179" i="4" s="1"/>
  <c r="ER179" i="4" a="1"/>
  <c r="ER179" i="4" s="1"/>
  <c r="EX179" i="4" a="1"/>
  <c r="EX179" i="4" s="1"/>
  <c r="EQ187" i="4" a="1"/>
  <c r="EQ187" i="4" s="1"/>
  <c r="EK187" i="4" a="1"/>
  <c r="EK187" i="4" s="1"/>
  <c r="ET211" i="4" a="1"/>
  <c r="ET211" i="4" s="1"/>
  <c r="EN211" i="4" a="1"/>
  <c r="EN211" i="4" s="1"/>
  <c r="FR219" i="4" a="1"/>
  <c r="FR219" i="4" s="1"/>
  <c r="FP219" i="4" a="1"/>
  <c r="FP219" i="4" s="1"/>
  <c r="FN219" i="4" a="1"/>
  <c r="FN219" i="4" s="1"/>
  <c r="FL219" i="4" a="1"/>
  <c r="FL219" i="4" s="1"/>
  <c r="FQ219" i="4" a="1"/>
  <c r="FQ219" i="4" s="1"/>
  <c r="EU219" i="4" a="1"/>
  <c r="EU219" i="4" s="1"/>
  <c r="FO219" i="4" a="1"/>
  <c r="FO219" i="4" s="1"/>
  <c r="EO219" i="4" a="1"/>
  <c r="EO219" i="4" s="1"/>
  <c r="FM219" i="4" a="1"/>
  <c r="FM219" i="4" s="1"/>
  <c r="FR223" i="4" a="1"/>
  <c r="FR223" i="4" s="1"/>
  <c r="FP223" i="4" a="1"/>
  <c r="FP223" i="4" s="1"/>
  <c r="FN223" i="4" a="1"/>
  <c r="FN223" i="4" s="1"/>
  <c r="FL223" i="4" a="1"/>
  <c r="FL223" i="4" s="1"/>
  <c r="FQ223" i="4" a="1"/>
  <c r="FQ223" i="4" s="1"/>
  <c r="EU223" i="4" a="1"/>
  <c r="EU223" i="4" s="1"/>
  <c r="FO223" i="4" a="1"/>
  <c r="FO223" i="4" s="1"/>
  <c r="EO223" i="4" a="1"/>
  <c r="EO223" i="4" s="1"/>
  <c r="FM223" i="4" a="1"/>
  <c r="FM223" i="4" s="1"/>
  <c r="FR227" i="4" a="1"/>
  <c r="FR227" i="4" s="1"/>
  <c r="FP227" i="4" a="1"/>
  <c r="FP227" i="4" s="1"/>
  <c r="FN227" i="4" a="1"/>
  <c r="FN227" i="4" s="1"/>
  <c r="FL227" i="4" a="1"/>
  <c r="FL227" i="4" s="1"/>
  <c r="FQ227" i="4" a="1"/>
  <c r="FQ227" i="4" s="1"/>
  <c r="EU227" i="4" a="1"/>
  <c r="EU227" i="4" s="1"/>
  <c r="FO227" i="4" a="1"/>
  <c r="FO227" i="4" s="1"/>
  <c r="EO227" i="4" a="1"/>
  <c r="EO227" i="4" s="1"/>
  <c r="FM227" i="4" a="1"/>
  <c r="FM227" i="4" s="1"/>
  <c r="FR231" i="4" a="1"/>
  <c r="FR231" i="4" s="1"/>
  <c r="FP231" i="4" a="1"/>
  <c r="FP231" i="4" s="1"/>
  <c r="FN231" i="4" a="1"/>
  <c r="FN231" i="4" s="1"/>
  <c r="FL231" i="4" a="1"/>
  <c r="FL231" i="4" s="1"/>
  <c r="FQ231" i="4" a="1"/>
  <c r="FQ231" i="4" s="1"/>
  <c r="EU231" i="4" a="1"/>
  <c r="EU231" i="4" s="1"/>
  <c r="FO231" i="4" a="1"/>
  <c r="FO231" i="4" s="1"/>
  <c r="EO231" i="4" a="1"/>
  <c r="EO231" i="4" s="1"/>
  <c r="FM231" i="4" a="1"/>
  <c r="FM231" i="4" s="1"/>
  <c r="FR235" i="4" a="1"/>
  <c r="FR235" i="4" s="1"/>
  <c r="FP235" i="4" a="1"/>
  <c r="FP235" i="4" s="1"/>
  <c r="FN235" i="4" a="1"/>
  <c r="FN235" i="4" s="1"/>
  <c r="FL235" i="4" a="1"/>
  <c r="FL235" i="4" s="1"/>
  <c r="FQ235" i="4" a="1"/>
  <c r="FQ235" i="4" s="1"/>
  <c r="EU235" i="4" a="1"/>
  <c r="EU235" i="4" s="1"/>
  <c r="FO235" i="4" a="1"/>
  <c r="FO235" i="4" s="1"/>
  <c r="EO235" i="4" a="1"/>
  <c r="EO235" i="4" s="1"/>
  <c r="FM235" i="4" a="1"/>
  <c r="FM235" i="4" s="1"/>
  <c r="EQ243" i="4" a="1"/>
  <c r="EQ243" i="4" s="1"/>
  <c r="EK243" i="4" a="1"/>
  <c r="EK243" i="4" s="1"/>
  <c r="FR251" i="4" a="1"/>
  <c r="FR251" i="4" s="1"/>
  <c r="FP251" i="4" a="1"/>
  <c r="FP251" i="4" s="1"/>
  <c r="FN251" i="4" a="1"/>
  <c r="FN251" i="4" s="1"/>
  <c r="FL251" i="4" a="1"/>
  <c r="FL251" i="4" s="1"/>
  <c r="FQ251" i="4" a="1"/>
  <c r="FQ251" i="4" s="1"/>
  <c r="EU251" i="4" a="1"/>
  <c r="EU251" i="4" s="1"/>
  <c r="FO251" i="4" a="1"/>
  <c r="FO251" i="4" s="1"/>
  <c r="EO251" i="4" a="1"/>
  <c r="EO251" i="4" s="1"/>
  <c r="FM251" i="4" a="1"/>
  <c r="FM251" i="4" s="1"/>
  <c r="EW259" i="4" a="1"/>
  <c r="EW259" i="4" s="1"/>
  <c r="FY3" i="4" a="1"/>
  <c r="FY3" i="4" s="1"/>
  <c r="FT3" i="4" a="1"/>
  <c r="FT3" i="4" s="1"/>
  <c r="EV3" i="4" a="1"/>
  <c r="EV3" i="4" s="1"/>
  <c r="FV3" i="4" a="1"/>
  <c r="FV3" i="4" s="1"/>
  <c r="FS3" i="4" a="1"/>
  <c r="FS3" i="4" s="1"/>
  <c r="EP3" i="4" a="1"/>
  <c r="EP3" i="4" s="1"/>
  <c r="FW3" i="4" a="1"/>
  <c r="FW3" i="4" s="1"/>
  <c r="FU3" i="4" a="1"/>
  <c r="FU3" i="4" s="1"/>
  <c r="FX3" i="4" a="1"/>
  <c r="FX3" i="4" s="1"/>
  <c r="FY7" i="4" a="1"/>
  <c r="FY7" i="4" s="1"/>
  <c r="FT7" i="4" a="1"/>
  <c r="FT7" i="4" s="1"/>
  <c r="EV7" i="4" a="1"/>
  <c r="EV7" i="4" s="1"/>
  <c r="FV7" i="4" a="1"/>
  <c r="FV7" i="4" s="1"/>
  <c r="FS7" i="4" a="1"/>
  <c r="FS7" i="4" s="1"/>
  <c r="EP7" i="4" a="1"/>
  <c r="EP7" i="4" s="1"/>
  <c r="FW7" i="4" a="1"/>
  <c r="FW7" i="4" s="1"/>
  <c r="FU7" i="4" a="1"/>
  <c r="FU7" i="4" s="1"/>
  <c r="FX7" i="4" a="1"/>
  <c r="FX7" i="4" s="1"/>
  <c r="FY11" i="4" a="1"/>
  <c r="FY11" i="4" s="1"/>
  <c r="FT11" i="4" a="1"/>
  <c r="FT11" i="4" s="1"/>
  <c r="EV11" i="4" a="1"/>
  <c r="EV11" i="4" s="1"/>
  <c r="FV11" i="4" a="1"/>
  <c r="FV11" i="4" s="1"/>
  <c r="FS11" i="4" a="1"/>
  <c r="FS11" i="4" s="1"/>
  <c r="EP11" i="4" a="1"/>
  <c r="EP11" i="4" s="1"/>
  <c r="FW11" i="4" a="1"/>
  <c r="FW11" i="4" s="1"/>
  <c r="FU11" i="4" a="1"/>
  <c r="FU11" i="4" s="1"/>
  <c r="FX11" i="4" a="1"/>
  <c r="FX11" i="4" s="1"/>
  <c r="FY15" i="4" a="1"/>
  <c r="FY15" i="4" s="1"/>
  <c r="FT15" i="4" a="1"/>
  <c r="FT15" i="4" s="1"/>
  <c r="EV15" i="4" a="1"/>
  <c r="EV15" i="4" s="1"/>
  <c r="FV15" i="4" a="1"/>
  <c r="FV15" i="4" s="1"/>
  <c r="FS15" i="4" a="1"/>
  <c r="FS15" i="4" s="1"/>
  <c r="EP15" i="4" a="1"/>
  <c r="EP15" i="4" s="1"/>
  <c r="FW15" i="4" a="1"/>
  <c r="FW15" i="4" s="1"/>
  <c r="FU15" i="4" a="1"/>
  <c r="FU15" i="4" s="1"/>
  <c r="FX15" i="4" a="1"/>
  <c r="FX15" i="4" s="1"/>
  <c r="FY19" i="4" a="1"/>
  <c r="FY19" i="4" s="1"/>
  <c r="FT19" i="4" a="1"/>
  <c r="FT19" i="4" s="1"/>
  <c r="EV19" i="4" a="1"/>
  <c r="EV19" i="4" s="1"/>
  <c r="FV19" i="4" a="1"/>
  <c r="FV19" i="4" s="1"/>
  <c r="FS19" i="4" a="1"/>
  <c r="FS19" i="4" s="1"/>
  <c r="EP19" i="4" a="1"/>
  <c r="EP19" i="4" s="1"/>
  <c r="FW19" i="4" a="1"/>
  <c r="FW19" i="4" s="1"/>
  <c r="FU19" i="4" a="1"/>
  <c r="FU19" i="4" s="1"/>
  <c r="FX19" i="4" a="1"/>
  <c r="FX19" i="4" s="1"/>
  <c r="FY23" i="4" a="1"/>
  <c r="FY23" i="4" s="1"/>
  <c r="FT23" i="4" a="1"/>
  <c r="FT23" i="4" s="1"/>
  <c r="EV23" i="4" a="1"/>
  <c r="EV23" i="4" s="1"/>
  <c r="FV23" i="4" a="1"/>
  <c r="FV23" i="4" s="1"/>
  <c r="FS23" i="4" a="1"/>
  <c r="FS23" i="4" s="1"/>
  <c r="EP23" i="4" a="1"/>
  <c r="EP23" i="4" s="1"/>
  <c r="FW23" i="4" a="1"/>
  <c r="FW23" i="4" s="1"/>
  <c r="FU23" i="4" a="1"/>
  <c r="FU23" i="4" s="1"/>
  <c r="FX23" i="4" a="1"/>
  <c r="FX23" i="4" s="1"/>
  <c r="FB31" i="4" a="1"/>
  <c r="FB31" i="4" s="1"/>
  <c r="EL31" i="4" a="1"/>
  <c r="EL31" i="4" s="1"/>
  <c r="FD31" i="4" a="1"/>
  <c r="FD31" i="4" s="1"/>
  <c r="EY31" i="4" a="1"/>
  <c r="EY31" i="4" s="1"/>
  <c r="FC31" i="4" a="1"/>
  <c r="FC31" i="4" s="1"/>
  <c r="EZ31" i="4" a="1"/>
  <c r="EZ31" i="4" s="1"/>
  <c r="ER31" i="4" a="1"/>
  <c r="ER31" i="4" s="1"/>
  <c r="EX31" i="4" a="1"/>
  <c r="EX31" i="4" s="1"/>
  <c r="FA31" i="4" a="1"/>
  <c r="FA31" i="4" s="1"/>
  <c r="FJ60" i="4" a="1"/>
  <c r="FJ60" i="4" s="1"/>
  <c r="FH60" i="4" a="1"/>
  <c r="FH60" i="4" s="1"/>
  <c r="FF60" i="4" a="1"/>
  <c r="FF60" i="4" s="1"/>
  <c r="FE60" i="4" a="1"/>
  <c r="FE60" i="4" s="1"/>
  <c r="FG60" i="4" a="1"/>
  <c r="FG60" i="4" s="1"/>
  <c r="FK60" i="4" a="1"/>
  <c r="FK60" i="4" s="1"/>
  <c r="EM60" i="4" a="1"/>
  <c r="EM60" i="4" s="1"/>
  <c r="ES60" i="4" a="1"/>
  <c r="ES60" i="4" s="1"/>
  <c r="FI60" i="4" a="1"/>
  <c r="FI60" i="4" s="1"/>
  <c r="FQ77" i="4" a="1"/>
  <c r="FQ77" i="4" s="1"/>
  <c r="FO77" i="4" a="1"/>
  <c r="FO77" i="4" s="1"/>
  <c r="FM77" i="4" a="1"/>
  <c r="FM77" i="4" s="1"/>
  <c r="EU77" i="4" a="1"/>
  <c r="EU77" i="4" s="1"/>
  <c r="EO77" i="4" a="1"/>
  <c r="EO77" i="4" s="1"/>
  <c r="FN77" i="4" a="1"/>
  <c r="FN77" i="4" s="1"/>
  <c r="FP77" i="4" a="1"/>
  <c r="FP77" i="4" s="1"/>
  <c r="FL77" i="4" a="1"/>
  <c r="FL77" i="4" s="1"/>
  <c r="FR77" i="4" a="1"/>
  <c r="FR77" i="4" s="1"/>
  <c r="FC115" i="4" a="1"/>
  <c r="FC115" i="4" s="1"/>
  <c r="FA115" i="4" a="1"/>
  <c r="FA115" i="4" s="1"/>
  <c r="EY115" i="4" a="1"/>
  <c r="EY115" i="4" s="1"/>
  <c r="FB115" i="4" a="1"/>
  <c r="FB115" i="4" s="1"/>
  <c r="EL115" i="4" a="1"/>
  <c r="EL115" i="4" s="1"/>
  <c r="FD115" i="4" a="1"/>
  <c r="FD115" i="4" s="1"/>
  <c r="EZ115" i="4" a="1"/>
  <c r="EZ115" i="4" s="1"/>
  <c r="ER115" i="4" a="1"/>
  <c r="ER115" i="4" s="1"/>
  <c r="EX115" i="4" a="1"/>
  <c r="EX115" i="4" s="1"/>
  <c r="FQ119" i="4" a="1"/>
  <c r="FQ119" i="4" s="1"/>
  <c r="FO119" i="4" a="1"/>
  <c r="FO119" i="4" s="1"/>
  <c r="FM119" i="4" a="1"/>
  <c r="FM119" i="4" s="1"/>
  <c r="EU119" i="4" a="1"/>
  <c r="EU119" i="4" s="1"/>
  <c r="EO119" i="4" a="1"/>
  <c r="EO119" i="4" s="1"/>
  <c r="FN119" i="4" a="1"/>
  <c r="FN119" i="4" s="1"/>
  <c r="FP119" i="4" a="1"/>
  <c r="FP119" i="4" s="1"/>
  <c r="FL119" i="4" a="1"/>
  <c r="FL119" i="4" s="1"/>
  <c r="FR119" i="4" a="1"/>
  <c r="FR119" i="4" s="1"/>
  <c r="EW123" i="4" a="1"/>
  <c r="EW123" i="4" s="1"/>
  <c r="FY131" i="4" a="1"/>
  <c r="FY131" i="4" s="1"/>
  <c r="FW131" i="4" a="1"/>
  <c r="FW131" i="4" s="1"/>
  <c r="FU131" i="4" a="1"/>
  <c r="FU131" i="4" s="1"/>
  <c r="FS131" i="4" a="1"/>
  <c r="FS131" i="4" s="1"/>
  <c r="FT131" i="4" a="1"/>
  <c r="FT131" i="4" s="1"/>
  <c r="EV131" i="4" a="1"/>
  <c r="EV131" i="4" s="1"/>
  <c r="FV131" i="4" a="1"/>
  <c r="FV131" i="4" s="1"/>
  <c r="EP131" i="4" a="1"/>
  <c r="EP131" i="4" s="1"/>
  <c r="FX131" i="4" a="1"/>
  <c r="FX131" i="4" s="1"/>
  <c r="FC136" i="4" a="1"/>
  <c r="FC136" i="4" s="1"/>
  <c r="FA136" i="4" a="1"/>
  <c r="FA136" i="4" s="1"/>
  <c r="EY136" i="4" a="1"/>
  <c r="EY136" i="4" s="1"/>
  <c r="FB136" i="4" a="1"/>
  <c r="FB136" i="4" s="1"/>
  <c r="EL136" i="4" a="1"/>
  <c r="EL136" i="4" s="1"/>
  <c r="FD136" i="4" a="1"/>
  <c r="FD136" i="4" s="1"/>
  <c r="EZ136" i="4" a="1"/>
  <c r="EZ136" i="4" s="1"/>
  <c r="ER136" i="4" a="1"/>
  <c r="ER136" i="4" s="1"/>
  <c r="EX136" i="4" a="1"/>
  <c r="EX136" i="4" s="1"/>
  <c r="FC140" i="4" a="1"/>
  <c r="FC140" i="4" s="1"/>
  <c r="FA140" i="4" a="1"/>
  <c r="FA140" i="4" s="1"/>
  <c r="EY140" i="4" a="1"/>
  <c r="EY140" i="4" s="1"/>
  <c r="FB140" i="4" a="1"/>
  <c r="FB140" i="4" s="1"/>
  <c r="EL140" i="4" a="1"/>
  <c r="EL140" i="4" s="1"/>
  <c r="FD140" i="4" a="1"/>
  <c r="FD140" i="4" s="1"/>
  <c r="EZ140" i="4" a="1"/>
  <c r="EZ140" i="4" s="1"/>
  <c r="ER140" i="4" a="1"/>
  <c r="ER140" i="4" s="1"/>
  <c r="EX140" i="4" a="1"/>
  <c r="EX140" i="4" s="1"/>
  <c r="EW167" i="4" a="1"/>
  <c r="EW167" i="4" s="1"/>
  <c r="EW179" i="4" a="1"/>
  <c r="EW179" i="4" s="1"/>
  <c r="FJ193" i="4" a="1"/>
  <c r="FJ193" i="4" s="1"/>
  <c r="FH193" i="4" a="1"/>
  <c r="FH193" i="4" s="1"/>
  <c r="FF193" i="4" a="1"/>
  <c r="FF193" i="4" s="1"/>
  <c r="FE193" i="4" a="1"/>
  <c r="FE193" i="4" s="1"/>
  <c r="FG193" i="4" a="1"/>
  <c r="FG193" i="4" s="1"/>
  <c r="FK193" i="4" a="1"/>
  <c r="FK193" i="4" s="1"/>
  <c r="EM193" i="4" a="1"/>
  <c r="EM193" i="4" s="1"/>
  <c r="ES193" i="4" a="1"/>
  <c r="ES193" i="4" s="1"/>
  <c r="FI193" i="4" a="1"/>
  <c r="FI193" i="4" s="1"/>
  <c r="FJ197" i="4" a="1"/>
  <c r="FJ197" i="4" s="1"/>
  <c r="FH197" i="4" a="1"/>
  <c r="FH197" i="4" s="1"/>
  <c r="FF197" i="4" a="1"/>
  <c r="FF197" i="4" s="1"/>
  <c r="FE197" i="4" a="1"/>
  <c r="FE197" i="4" s="1"/>
  <c r="FG197" i="4" a="1"/>
  <c r="FG197" i="4" s="1"/>
  <c r="FK197" i="4" a="1"/>
  <c r="FK197" i="4" s="1"/>
  <c r="EM197" i="4" a="1"/>
  <c r="EM197" i="4" s="1"/>
  <c r="ES197" i="4" a="1"/>
  <c r="ES197" i="4" s="1"/>
  <c r="FI197" i="4" a="1"/>
  <c r="FI197" i="4" s="1"/>
  <c r="FJ201" i="4" a="1"/>
  <c r="FJ201" i="4" s="1"/>
  <c r="FH201" i="4" a="1"/>
  <c r="FH201" i="4" s="1"/>
  <c r="FF201" i="4" a="1"/>
  <c r="FF201" i="4" s="1"/>
  <c r="FE201" i="4" a="1"/>
  <c r="FE201" i="4" s="1"/>
  <c r="FG201" i="4" a="1"/>
  <c r="FG201" i="4" s="1"/>
  <c r="FK201" i="4" a="1"/>
  <c r="FK201" i="4" s="1"/>
  <c r="EM201" i="4" a="1"/>
  <c r="EM201" i="4" s="1"/>
  <c r="ES201" i="4" a="1"/>
  <c r="ES201" i="4" s="1"/>
  <c r="FI201" i="4" a="1"/>
  <c r="FI201" i="4" s="1"/>
  <c r="ET209" i="4" a="1"/>
  <c r="ET209" i="4" s="1"/>
  <c r="EN209" i="4" a="1"/>
  <c r="EN209" i="4" s="1"/>
  <c r="EQ237" i="4" a="1"/>
  <c r="EQ237" i="4" s="1"/>
  <c r="EK237" i="4" a="1"/>
  <c r="EK237" i="4" s="1"/>
  <c r="EQ245" i="4" a="1"/>
  <c r="EQ245" i="4" s="1"/>
  <c r="EK245" i="4" a="1"/>
  <c r="EK245" i="4" s="1"/>
  <c r="EN249" i="4" a="1"/>
  <c r="EN249" i="4" s="1"/>
  <c r="ET249" i="4" a="1"/>
  <c r="ET249" i="4" s="1"/>
  <c r="EW257" i="4" a="1"/>
  <c r="EW257" i="4" s="1"/>
  <c r="FJ261" i="4" a="1"/>
  <c r="FJ261" i="4" s="1"/>
  <c r="FH261" i="4" a="1"/>
  <c r="FH261" i="4" s="1"/>
  <c r="FF261" i="4" a="1"/>
  <c r="FF261" i="4" s="1"/>
  <c r="FE261" i="4" a="1"/>
  <c r="FE261" i="4" s="1"/>
  <c r="FG261" i="4" a="1"/>
  <c r="FG261" i="4" s="1"/>
  <c r="FK261" i="4" a="1"/>
  <c r="FK261" i="4" s="1"/>
  <c r="EM261" i="4" a="1"/>
  <c r="EM261" i="4" s="1"/>
  <c r="ES261" i="4" a="1"/>
  <c r="ES261" i="4" s="1"/>
  <c r="FI261" i="4" a="1"/>
  <c r="FI261" i="4" s="1"/>
  <c r="EJ227" i="4" a="1"/>
  <c r="EJ227" i="4" s="1"/>
  <c r="CT204" i="4" a="1"/>
  <c r="CT204" i="4" s="1"/>
  <c r="CW124" i="4" a="1"/>
  <c r="CW124" i="4" s="1"/>
  <c r="CW25" i="4" a="1"/>
  <c r="CW25" i="4" s="1"/>
  <c r="FW239" i="4" a="1"/>
  <c r="FW239" i="4" s="1"/>
  <c r="FT239" i="4" a="1"/>
  <c r="FT239" i="4" s="1"/>
  <c r="EV239" i="4" a="1"/>
  <c r="EV239" i="4" s="1"/>
  <c r="FY239" i="4" a="1"/>
  <c r="FY239" i="4" s="1"/>
  <c r="FV239" i="4" a="1"/>
  <c r="FV239" i="4" s="1"/>
  <c r="EP239" i="4" a="1"/>
  <c r="EP239" i="4" s="1"/>
  <c r="FU239" i="4" a="1"/>
  <c r="FU239" i="4" s="1"/>
  <c r="FX239" i="4" a="1"/>
  <c r="FX239" i="4" s="1"/>
  <c r="FS239" i="4" a="1"/>
  <c r="FS239" i="4" s="1"/>
  <c r="FK189" i="4" a="1"/>
  <c r="FK189" i="4" s="1"/>
  <c r="FI189" i="4" a="1"/>
  <c r="FI189" i="4" s="1"/>
  <c r="FG189" i="4" a="1"/>
  <c r="FG189" i="4" s="1"/>
  <c r="FE189" i="4" a="1"/>
  <c r="FE189" i="4" s="1"/>
  <c r="ES189" i="4" a="1"/>
  <c r="ES189" i="4" s="1"/>
  <c r="EM189" i="4" a="1"/>
  <c r="EM189" i="4" s="1"/>
  <c r="FH189" i="4" a="1"/>
  <c r="FH189" i="4" s="1"/>
  <c r="FJ189" i="4" a="1"/>
  <c r="FJ189" i="4" s="1"/>
  <c r="FF189" i="4" a="1"/>
  <c r="FF189" i="4" s="1"/>
  <c r="FK165" i="4" a="1"/>
  <c r="FK165" i="4" s="1"/>
  <c r="FI165" i="4" a="1"/>
  <c r="FI165" i="4" s="1"/>
  <c r="FG165" i="4" a="1"/>
  <c r="FG165" i="4" s="1"/>
  <c r="FE165" i="4" a="1"/>
  <c r="FE165" i="4" s="1"/>
  <c r="ES165" i="4" a="1"/>
  <c r="ES165" i="4" s="1"/>
  <c r="EM165" i="4" a="1"/>
  <c r="EM165" i="4" s="1"/>
  <c r="FH165" i="4" a="1"/>
  <c r="FH165" i="4" s="1"/>
  <c r="FJ165" i="4" a="1"/>
  <c r="FJ165" i="4" s="1"/>
  <c r="FF165" i="4" a="1"/>
  <c r="FF165" i="4" s="1"/>
  <c r="FQ138" i="4" a="1"/>
  <c r="FQ138" i="4" s="1"/>
  <c r="FO138" i="4" a="1"/>
  <c r="FO138" i="4" s="1"/>
  <c r="FM138" i="4" a="1"/>
  <c r="FM138" i="4" s="1"/>
  <c r="EU138" i="4" a="1"/>
  <c r="EU138" i="4" s="1"/>
  <c r="EO138" i="4" a="1"/>
  <c r="EO138" i="4" s="1"/>
  <c r="FN138" i="4" a="1"/>
  <c r="FN138" i="4" s="1"/>
  <c r="FP138" i="4" a="1"/>
  <c r="FP138" i="4" s="1"/>
  <c r="FL138" i="4" a="1"/>
  <c r="FL138" i="4" s="1"/>
  <c r="FR138" i="4" a="1"/>
  <c r="FR138" i="4" s="1"/>
  <c r="CW131" i="4" a="1"/>
  <c r="CW131" i="4" s="1"/>
  <c r="CW97" i="4" a="1"/>
  <c r="CW97" i="4" s="1"/>
  <c r="FK71" i="4" a="1"/>
  <c r="FK71" i="4" s="1"/>
  <c r="FI71" i="4" a="1"/>
  <c r="FI71" i="4" s="1"/>
  <c r="FG71" i="4" a="1"/>
  <c r="FG71" i="4" s="1"/>
  <c r="FE71" i="4" a="1"/>
  <c r="FE71" i="4" s="1"/>
  <c r="ES71" i="4" a="1"/>
  <c r="ES71" i="4" s="1"/>
  <c r="EM71" i="4" a="1"/>
  <c r="EM71" i="4" s="1"/>
  <c r="FH71" i="4" a="1"/>
  <c r="FH71" i="4" s="1"/>
  <c r="FJ71" i="4" a="1"/>
  <c r="FJ71" i="4" s="1"/>
  <c r="FF71" i="4" a="1"/>
  <c r="FF71" i="4" s="1"/>
  <c r="CX22" i="4" a="1"/>
  <c r="CX22" i="4" s="1"/>
  <c r="CX14" i="4" a="1"/>
  <c r="CX14" i="4" s="1"/>
  <c r="CX6" i="4" a="1"/>
  <c r="CX6" i="4" s="1"/>
  <c r="EJ260" i="4" a="1"/>
  <c r="EJ260" i="4" s="1"/>
  <c r="CT225" i="4" a="1"/>
  <c r="CT225" i="4" s="1"/>
  <c r="CT200" i="4" a="1"/>
  <c r="CT200" i="4" s="1"/>
  <c r="CW17" i="4" a="1"/>
  <c r="CW17" i="4" s="1"/>
  <c r="CT238" i="4" a="1"/>
  <c r="CT238" i="4" s="1"/>
  <c r="CZ212" i="4" a="1"/>
  <c r="CZ212" i="4" s="1"/>
  <c r="EW160" i="4" a="1"/>
  <c r="EW160" i="4" s="1"/>
  <c r="FC147" i="4" a="1"/>
  <c r="FC147" i="4" s="1"/>
  <c r="FA147" i="4" a="1"/>
  <c r="FA147" i="4" s="1"/>
  <c r="EY147" i="4" a="1"/>
  <c r="EY147" i="4" s="1"/>
  <c r="FB147" i="4" a="1"/>
  <c r="FB147" i="4" s="1"/>
  <c r="EL147" i="4" a="1"/>
  <c r="EL147" i="4" s="1"/>
  <c r="FD147" i="4" a="1"/>
  <c r="FD147" i="4" s="1"/>
  <c r="EZ147" i="4" a="1"/>
  <c r="EZ147" i="4" s="1"/>
  <c r="ER147" i="4" a="1"/>
  <c r="ER147" i="4" s="1"/>
  <c r="EX147" i="4" a="1"/>
  <c r="EX147" i="4" s="1"/>
  <c r="CY119" i="4" a="1"/>
  <c r="CY119" i="4" s="1"/>
  <c r="EW111" i="4" a="1"/>
  <c r="EW111" i="4" s="1"/>
  <c r="FY97" i="4" a="1"/>
  <c r="FY97" i="4" s="1"/>
  <c r="FW97" i="4" a="1"/>
  <c r="FW97" i="4" s="1"/>
  <c r="FU97" i="4" a="1"/>
  <c r="FU97" i="4" s="1"/>
  <c r="FS97" i="4" a="1"/>
  <c r="FS97" i="4" s="1"/>
  <c r="FT97" i="4" a="1"/>
  <c r="FT97" i="4" s="1"/>
  <c r="EV97" i="4" a="1"/>
  <c r="EV97" i="4" s="1"/>
  <c r="FV97" i="4" a="1"/>
  <c r="FV97" i="4" s="1"/>
  <c r="EP97" i="4" a="1"/>
  <c r="EP97" i="4" s="1"/>
  <c r="FX97" i="4" a="1"/>
  <c r="FX97" i="4" s="1"/>
  <c r="EJ38" i="4" a="1"/>
  <c r="EJ38" i="4" s="1"/>
  <c r="CW19" i="4" a="1"/>
  <c r="CW19" i="4" s="1"/>
  <c r="CW11" i="4" a="1"/>
  <c r="CW11" i="4" s="1"/>
  <c r="CW3" i="4" a="1"/>
  <c r="CW3" i="4" s="1"/>
  <c r="CT7" i="4" a="1"/>
  <c r="CT7" i="4" s="1"/>
  <c r="CT23" i="4" a="1"/>
  <c r="CT23" i="4" s="1"/>
  <c r="CZ38" i="4" a="1"/>
  <c r="CZ38" i="4" s="1"/>
  <c r="CU45" i="4" a="1"/>
  <c r="CU45" i="4" s="1"/>
  <c r="CY107" i="4" a="1"/>
  <c r="CY107" i="4" s="1"/>
  <c r="CW117" i="4" a="1"/>
  <c r="CW117" i="4" s="1"/>
  <c r="CW148" i="4" a="1"/>
  <c r="CW148" i="4" s="1"/>
  <c r="CY169" i="4" a="1"/>
  <c r="CY169" i="4" s="1"/>
  <c r="CY181" i="4" a="1"/>
  <c r="CY181" i="4" s="1"/>
  <c r="CZ214" i="4" a="1"/>
  <c r="CZ214" i="4" s="1"/>
  <c r="CX222" i="4" a="1"/>
  <c r="CX222" i="4" s="1"/>
  <c r="CX230" i="4" a="1"/>
  <c r="CX230" i="4" s="1"/>
  <c r="CU237" i="4" a="1"/>
  <c r="CU237" i="4" s="1"/>
  <c r="CZ257" i="4" a="1"/>
  <c r="CZ257" i="4" s="1"/>
  <c r="CZ30" i="4" a="1"/>
  <c r="CZ30" i="4" s="1"/>
  <c r="CX47" i="4" a="1"/>
  <c r="CX47" i="4" s="1"/>
  <c r="CX56" i="4" a="1"/>
  <c r="CX56" i="4" s="1"/>
  <c r="CU72" i="4" a="1"/>
  <c r="CU72" i="4" s="1"/>
  <c r="CW93" i="4" a="1"/>
  <c r="CW93" i="4" s="1"/>
  <c r="CY113" i="4" a="1"/>
  <c r="CY113" i="4" s="1"/>
  <c r="CU136" i="4" a="1"/>
  <c r="CU136" i="4" s="1"/>
  <c r="CW179" i="4" a="1"/>
  <c r="CW179" i="4" s="1"/>
  <c r="CV213" i="4" a="1"/>
  <c r="CV213" i="4" s="1"/>
  <c r="CY244" i="4" a="1"/>
  <c r="CY244" i="4" s="1"/>
  <c r="CV256" i="4" a="1"/>
  <c r="CV256" i="4" s="1"/>
  <c r="CZ2" i="4" a="1"/>
  <c r="CZ2" i="4" s="1"/>
  <c r="CW29" i="4" a="1"/>
  <c r="CW29" i="4" s="1"/>
  <c r="CW40" i="4" a="1"/>
  <c r="CW40" i="4" s="1"/>
  <c r="CT50" i="4" a="1"/>
  <c r="CT50" i="4" s="1"/>
  <c r="CT57" i="4" a="1"/>
  <c r="CT57" i="4" s="1"/>
  <c r="CY138" i="4" a="1"/>
  <c r="CY138" i="4" s="1"/>
  <c r="CU151" i="4" a="1"/>
  <c r="CU151" i="4" s="1"/>
  <c r="CW187" i="4" a="1"/>
  <c r="CW187" i="4" s="1"/>
  <c r="CY238" i="4" a="1"/>
  <c r="CY238" i="4" s="1"/>
  <c r="CY246" i="4" a="1"/>
  <c r="CY246" i="4" s="1"/>
  <c r="CV3" i="4" a="1"/>
  <c r="CV3" i="4" s="1"/>
  <c r="CV5" i="4" a="1"/>
  <c r="CV5" i="4" s="1"/>
  <c r="CV7" i="4" a="1"/>
  <c r="CV7" i="4" s="1"/>
  <c r="CV9" i="4" a="1"/>
  <c r="CV9" i="4" s="1"/>
  <c r="CV11" i="4" a="1"/>
  <c r="CV11" i="4" s="1"/>
  <c r="CV13" i="4" a="1"/>
  <c r="CV13" i="4" s="1"/>
  <c r="CV17" i="4" a="1"/>
  <c r="CV17" i="4" s="1"/>
  <c r="CV19" i="4" a="1"/>
  <c r="CV19" i="4" s="1"/>
  <c r="CV23" i="4" a="1"/>
  <c r="CV23" i="4" s="1"/>
  <c r="CV25" i="4" a="1"/>
  <c r="CV25" i="4" s="1"/>
  <c r="CV27" i="4" a="1"/>
  <c r="CV27" i="4" s="1"/>
  <c r="CV29" i="4" a="1"/>
  <c r="CV29" i="4" s="1"/>
  <c r="CU31" i="4" a="1"/>
  <c r="CU31" i="4" s="1"/>
  <c r="CU33" i="4" a="1"/>
  <c r="CU33" i="4" s="1"/>
  <c r="CU37" i="4" a="1"/>
  <c r="CU37" i="4" s="1"/>
  <c r="CU41" i="4" a="1"/>
  <c r="CU41" i="4" s="1"/>
  <c r="CU43" i="4" a="1"/>
  <c r="CU43" i="4" s="1"/>
  <c r="CW45" i="4" a="1"/>
  <c r="CW45" i="4" s="1"/>
  <c r="CZ47" i="4" a="1"/>
  <c r="CZ47" i="4" s="1"/>
  <c r="CV50" i="4" a="1"/>
  <c r="CV50" i="4" s="1"/>
  <c r="CZ54" i="4" a="1"/>
  <c r="CZ54" i="4" s="1"/>
  <c r="CZ58" i="4" a="1"/>
  <c r="CZ58" i="4" s="1"/>
  <c r="CY62" i="4" a="1"/>
  <c r="CY62" i="4" s="1"/>
  <c r="CY67" i="4" a="1"/>
  <c r="CY67" i="4" s="1"/>
  <c r="CW72" i="4" a="1"/>
  <c r="CW72" i="4" s="1"/>
  <c r="CU78" i="4" a="1"/>
  <c r="CU78" i="4" s="1"/>
  <c r="CU85" i="4" a="1"/>
  <c r="CU85" i="4" s="1"/>
  <c r="CU90" i="4" a="1"/>
  <c r="CU90" i="4" s="1"/>
  <c r="CU95" i="4" a="1"/>
  <c r="CU95" i="4" s="1"/>
  <c r="CY106" i="4" a="1"/>
  <c r="CY106" i="4" s="1"/>
  <c r="CY117" i="4" a="1"/>
  <c r="CY117" i="4" s="1"/>
  <c r="CY123" i="4" a="1"/>
  <c r="CY123" i="4" s="1"/>
  <c r="CU129" i="4" a="1"/>
  <c r="CU129" i="4" s="1"/>
  <c r="CU135" i="4" a="1"/>
  <c r="CU135" i="4" s="1"/>
  <c r="CW140" i="4" a="1"/>
  <c r="CW140" i="4" s="1"/>
  <c r="CU145" i="4" a="1"/>
  <c r="CU145" i="4" s="1"/>
  <c r="CU150" i="4" a="1"/>
  <c r="CU150" i="4" s="1"/>
  <c r="CW160" i="4" a="1"/>
  <c r="CW160" i="4" s="1"/>
  <c r="CW171" i="4" a="1"/>
  <c r="CW171" i="4" s="1"/>
  <c r="CU176" i="4" a="1"/>
  <c r="CU176" i="4" s="1"/>
  <c r="CU185" i="4" a="1"/>
  <c r="CU185" i="4" s="1"/>
  <c r="CW190" i="4" a="1"/>
  <c r="CW190" i="4" s="1"/>
  <c r="CV198" i="4" a="1"/>
  <c r="CV198" i="4" s="1"/>
  <c r="CV202" i="4" a="1"/>
  <c r="CV202" i="4" s="1"/>
  <c r="CT206" i="4" a="1"/>
  <c r="CT206" i="4" s="1"/>
  <c r="CT214" i="4" a="1"/>
  <c r="CT214" i="4" s="1"/>
  <c r="CZ218" i="4" a="1"/>
  <c r="CZ218" i="4" s="1"/>
  <c r="CZ222" i="4" a="1"/>
  <c r="CZ222" i="4" s="1"/>
  <c r="CZ230" i="4" a="1"/>
  <c r="CZ230" i="4" s="1"/>
  <c r="CZ234" i="4" a="1"/>
  <c r="CZ234" i="4" s="1"/>
  <c r="CZ237" i="4" a="1"/>
  <c r="CZ237" i="4" s="1"/>
  <c r="CW243" i="4" a="1"/>
  <c r="CW243" i="4" s="1"/>
  <c r="CT248" i="4" a="1"/>
  <c r="CT248" i="4" s="1"/>
  <c r="CV251" i="4" a="1"/>
  <c r="CV251" i="4" s="1"/>
  <c r="CT255" i="4" a="1"/>
  <c r="CT255" i="4" s="1"/>
  <c r="CT259" i="4" a="1"/>
  <c r="CT259" i="4" s="1"/>
  <c r="CZ263" i="4" a="1"/>
  <c r="CZ263" i="4" s="1"/>
  <c r="CZ3" i="4" a="1"/>
  <c r="CZ3" i="4" s="1"/>
  <c r="CZ5" i="4" a="1"/>
  <c r="CZ5" i="4" s="1"/>
  <c r="CZ7" i="4" a="1"/>
  <c r="CZ7" i="4" s="1"/>
  <c r="CZ9" i="4" a="1"/>
  <c r="CZ9" i="4" s="1"/>
  <c r="CZ11" i="4" a="1"/>
  <c r="CZ11" i="4" s="1"/>
  <c r="CZ13" i="4" a="1"/>
  <c r="CZ13" i="4" s="1"/>
  <c r="CZ17" i="4" a="1"/>
  <c r="CZ17" i="4" s="1"/>
  <c r="CZ19" i="4" a="1"/>
  <c r="CZ19" i="4" s="1"/>
  <c r="CZ23" i="4" a="1"/>
  <c r="CZ23" i="4" s="1"/>
  <c r="CZ25" i="4" a="1"/>
  <c r="CZ25" i="4" s="1"/>
  <c r="CZ27" i="4" a="1"/>
  <c r="CZ27" i="4" s="1"/>
  <c r="CZ29" i="4" a="1"/>
  <c r="CZ29" i="4" s="1"/>
  <c r="CY31" i="4" a="1"/>
  <c r="CY31" i="4" s="1"/>
  <c r="CY33" i="4" a="1"/>
  <c r="CY33" i="4" s="1"/>
  <c r="CY37" i="4" a="1"/>
  <c r="CY37" i="4" s="1"/>
  <c r="CY41" i="4" a="1"/>
  <c r="CY41" i="4" s="1"/>
  <c r="CY43" i="4" a="1"/>
  <c r="CY43" i="4" s="1"/>
  <c r="CV45" i="4" a="1"/>
  <c r="CV45" i="4" s="1"/>
  <c r="CW48" i="4" a="1"/>
  <c r="CW48" i="4" s="1"/>
  <c r="CZ50" i="4" a="1"/>
  <c r="CZ50" i="4" s="1"/>
  <c r="CV54" i="4" a="1"/>
  <c r="CV54" i="4" s="1"/>
  <c r="CV58" i="4" a="1"/>
  <c r="CV58" i="4" s="1"/>
  <c r="CU62" i="4" a="1"/>
  <c r="CU62" i="4" s="1"/>
  <c r="CU67" i="4" a="1"/>
  <c r="CU67" i="4" s="1"/>
  <c r="CU88" i="4" a="1"/>
  <c r="CU88" i="4" s="1"/>
  <c r="CU93" i="4" a="1"/>
  <c r="CU93" i="4" s="1"/>
  <c r="CW98" i="4" a="1"/>
  <c r="CW98" i="4" s="1"/>
  <c r="CW103" i="4" a="1"/>
  <c r="CW103" i="4" s="1"/>
  <c r="CW108" i="4" a="1"/>
  <c r="CW108" i="4" s="1"/>
  <c r="CW113" i="4" a="1"/>
  <c r="CW113" i="4" s="1"/>
  <c r="CW118" i="4" a="1"/>
  <c r="CW118" i="4" s="1"/>
  <c r="CU123" i="4" a="1"/>
  <c r="CU123" i="4" s="1"/>
  <c r="CY127" i="4" a="1"/>
  <c r="CY127" i="4" s="1"/>
  <c r="CW132" i="4" a="1"/>
  <c r="CW132" i="4" s="1"/>
  <c r="CU152" i="4" a="1"/>
  <c r="CU152" i="4" s="1"/>
  <c r="CW158" i="4" a="1"/>
  <c r="CW158" i="4" s="1"/>
  <c r="CU168" i="4" a="1"/>
  <c r="CU168" i="4" s="1"/>
  <c r="CU179" i="4" a="1"/>
  <c r="CU179" i="4" s="1"/>
  <c r="CW188" i="4" a="1"/>
  <c r="CW188" i="4" s="1"/>
  <c r="CV193" i="4" a="1"/>
  <c r="CV193" i="4" s="1"/>
  <c r="CV201" i="4" a="1"/>
  <c r="CV201" i="4" s="1"/>
  <c r="CV205" i="4" a="1"/>
  <c r="CV205" i="4" s="1"/>
  <c r="CT209" i="4" a="1"/>
  <c r="CT209" i="4" s="1"/>
  <c r="CT213" i="4" a="1"/>
  <c r="CT213" i="4" s="1"/>
  <c r="CT217" i="4" a="1"/>
  <c r="CT217" i="4" s="1"/>
  <c r="CZ221" i="4" a="1"/>
  <c r="CZ221" i="4" s="1"/>
  <c r="CZ225" i="4" a="1"/>
  <c r="CZ225" i="4" s="1"/>
  <c r="CZ233" i="4" a="1"/>
  <c r="CZ233" i="4" s="1"/>
  <c r="CV237" i="4" a="1"/>
  <c r="CV237" i="4" s="1"/>
  <c r="CX248" i="4" a="1"/>
  <c r="CX248" i="4" s="1"/>
  <c r="CZ251" i="4" a="1"/>
  <c r="CZ251" i="4" s="1"/>
  <c r="CX255" i="4" a="1"/>
  <c r="CX255" i="4" s="1"/>
  <c r="CX259" i="4" a="1"/>
  <c r="CX259" i="4" s="1"/>
  <c r="CV263" i="4" a="1"/>
  <c r="CV263" i="4" s="1"/>
  <c r="CV2" i="4" a="1"/>
  <c r="CV2" i="4" s="1"/>
  <c r="CX5" i="4" a="1"/>
  <c r="CX5" i="4" s="1"/>
  <c r="CT8" i="4" a="1"/>
  <c r="CT8" i="4" s="1"/>
  <c r="CW10" i="4" a="1"/>
  <c r="CW10" i="4" s="1"/>
  <c r="CX13" i="4" a="1"/>
  <c r="CX13" i="4" s="1"/>
  <c r="CT16" i="4" a="1"/>
  <c r="CT16" i="4" s="1"/>
  <c r="CW18" i="4" a="1"/>
  <c r="CW18" i="4" s="1"/>
  <c r="CW26" i="4" a="1"/>
  <c r="CW26" i="4" s="1"/>
  <c r="CX29" i="4" a="1"/>
  <c r="CX29" i="4" s="1"/>
  <c r="CZ37" i="4" a="1"/>
  <c r="CZ37" i="4" s="1"/>
  <c r="CV40" i="4" a="1"/>
  <c r="CV40" i="4" s="1"/>
  <c r="CW43" i="4" a="1"/>
  <c r="CW43" i="4" s="1"/>
  <c r="CY45" i="4" a="1"/>
  <c r="CY45" i="4" s="1"/>
  <c r="CY47" i="4" a="1"/>
  <c r="CY47" i="4" s="1"/>
  <c r="CT56" i="4" a="1"/>
  <c r="CT56" i="4" s="1"/>
  <c r="CT60" i="4" a="1"/>
  <c r="CT60" i="4" s="1"/>
  <c r="CW65" i="4" a="1"/>
  <c r="CW65" i="4" s="1"/>
  <c r="CW70" i="4" a="1"/>
  <c r="CW70" i="4" s="1"/>
  <c r="CY80" i="4" a="1"/>
  <c r="CY80" i="4" s="1"/>
  <c r="CW85" i="4" a="1"/>
  <c r="CW85" i="4" s="1"/>
  <c r="CW90" i="4" a="1"/>
  <c r="CW90" i="4" s="1"/>
  <c r="CY96" i="4" a="1"/>
  <c r="CY96" i="4" s="1"/>
  <c r="CU107" i="4" a="1"/>
  <c r="CU107" i="4" s="1"/>
  <c r="CU113" i="4" a="1"/>
  <c r="CU113" i="4" s="1"/>
  <c r="CU119" i="4" a="1"/>
  <c r="CU119" i="4" s="1"/>
  <c r="CW129" i="4" a="1"/>
  <c r="CW129" i="4" s="1"/>
  <c r="CW134" i="4" a="1"/>
  <c r="CW134" i="4" s="1"/>
  <c r="CW139" i="4" a="1"/>
  <c r="CW139" i="4" s="1"/>
  <c r="CU153" i="4" a="1"/>
  <c r="CU153" i="4" s="1"/>
  <c r="CU158" i="4" a="1"/>
  <c r="CU158" i="4" s="1"/>
  <c r="CW170" i="4" a="1"/>
  <c r="CW170" i="4" s="1"/>
  <c r="CW175" i="4" a="1"/>
  <c r="CW175" i="4" s="1"/>
  <c r="CU181" i="4" a="1"/>
  <c r="CU181" i="4" s="1"/>
  <c r="CY186" i="4" a="1"/>
  <c r="CY186" i="4" s="1"/>
  <c r="CT199" i="4" a="1"/>
  <c r="CT199" i="4" s="1"/>
  <c r="CZ207" i="4" a="1"/>
  <c r="CZ207" i="4" s="1"/>
  <c r="CZ211" i="4" a="1"/>
  <c r="CZ211" i="4" s="1"/>
  <c r="CZ215" i="4" a="1"/>
  <c r="CZ215" i="4" s="1"/>
  <c r="CX219" i="4" a="1"/>
  <c r="CX219" i="4" s="1"/>
  <c r="CX223" i="4" a="1"/>
  <c r="CX223" i="4" s="1"/>
  <c r="CX227" i="4" a="1"/>
  <c r="CX227" i="4" s="1"/>
  <c r="CX231" i="4" a="1"/>
  <c r="CX231" i="4" s="1"/>
  <c r="CX235" i="4" a="1"/>
  <c r="CX235" i="4" s="1"/>
  <c r="CU238" i="4" a="1"/>
  <c r="CU238" i="4" s="1"/>
  <c r="CU244" i="4" a="1"/>
  <c r="CU244" i="4" s="1"/>
  <c r="CU246" i="4" a="1"/>
  <c r="CU246" i="4" s="1"/>
  <c r="CV248" i="4" a="1"/>
  <c r="CV248" i="4" s="1"/>
  <c r="CT250" i="4" a="1"/>
  <c r="CT250" i="4" s="1"/>
  <c r="CZ254" i="4" a="1"/>
  <c r="CZ254" i="4" s="1"/>
  <c r="CZ258" i="4" a="1"/>
  <c r="CZ258" i="4" s="1"/>
  <c r="CX262" i="4" a="1"/>
  <c r="CX262" i="4" s="1"/>
  <c r="CY51" i="4" a="1"/>
  <c r="CY51" i="4" s="1"/>
  <c r="CU53" i="4" a="1"/>
  <c r="CU53" i="4" s="1"/>
  <c r="CW54" i="4" a="1"/>
  <c r="CW54" i="4" s="1"/>
  <c r="CY55" i="4" a="1"/>
  <c r="CY55" i="4" s="1"/>
  <c r="CU57" i="4" a="1"/>
  <c r="CU57" i="4" s="1"/>
  <c r="CW58" i="4" a="1"/>
  <c r="CW58" i="4" s="1"/>
  <c r="CY59" i="4" a="1"/>
  <c r="CY59" i="4" s="1"/>
  <c r="CU61" i="4" a="1"/>
  <c r="CU61" i="4" s="1"/>
  <c r="CV62" i="4" a="1"/>
  <c r="CV62" i="4" s="1"/>
  <c r="CV64" i="4" a="1"/>
  <c r="CV64" i="4" s="1"/>
  <c r="CV65" i="4" a="1"/>
  <c r="CV65" i="4" s="1"/>
  <c r="CV66" i="4" a="1"/>
  <c r="CV66" i="4" s="1"/>
  <c r="CV67" i="4" a="1"/>
  <c r="CV67" i="4" s="1"/>
  <c r="CV68" i="4" a="1"/>
  <c r="CV68" i="4" s="1"/>
  <c r="CV69" i="4" a="1"/>
  <c r="CV69" i="4" s="1"/>
  <c r="CV70" i="4" a="1"/>
  <c r="CV70" i="4" s="1"/>
  <c r="CV72" i="4" a="1"/>
  <c r="CV72" i="4" s="1"/>
  <c r="CV78" i="4" a="1"/>
  <c r="CV78" i="4" s="1"/>
  <c r="CV80" i="4" a="1"/>
  <c r="CV80" i="4" s="1"/>
  <c r="CV81" i="4" a="1"/>
  <c r="CV81" i="4" s="1"/>
  <c r="CV82" i="4" a="1"/>
  <c r="CV82" i="4" s="1"/>
  <c r="CV84" i="4" a="1"/>
  <c r="CV84" i="4" s="1"/>
  <c r="CV85" i="4" a="1"/>
  <c r="CV85" i="4" s="1"/>
  <c r="CV87" i="4" a="1"/>
  <c r="CV87" i="4" s="1"/>
  <c r="CV88" i="4" a="1"/>
  <c r="CV88" i="4" s="1"/>
  <c r="CV89" i="4" a="1"/>
  <c r="CV89" i="4" s="1"/>
  <c r="CV90" i="4" a="1"/>
  <c r="CV90" i="4" s="1"/>
  <c r="CV91" i="4" a="1"/>
  <c r="CV91" i="4" s="1"/>
  <c r="CV93" i="4" a="1"/>
  <c r="CV93" i="4" s="1"/>
  <c r="CV94" i="4" a="1"/>
  <c r="CV94" i="4" s="1"/>
  <c r="CV95" i="4" a="1"/>
  <c r="CV95" i="4" s="1"/>
  <c r="CV96" i="4" a="1"/>
  <c r="CV96" i="4" s="1"/>
  <c r="CV97" i="4" a="1"/>
  <c r="CV97" i="4" s="1"/>
  <c r="CV98" i="4" a="1"/>
  <c r="CV98" i="4" s="1"/>
  <c r="CV100" i="4" a="1"/>
  <c r="CV100" i="4" s="1"/>
  <c r="CV102" i="4" a="1"/>
  <c r="CV102" i="4" s="1"/>
  <c r="CV103" i="4" a="1"/>
  <c r="CV103" i="4" s="1"/>
  <c r="CV104" i="4" a="1"/>
  <c r="CV104" i="4" s="1"/>
  <c r="CV105" i="4" a="1"/>
  <c r="CV105" i="4" s="1"/>
  <c r="CV106" i="4" a="1"/>
  <c r="CV106" i="4" s="1"/>
  <c r="CV107" i="4" a="1"/>
  <c r="CV107" i="4" s="1"/>
  <c r="CV108" i="4" a="1"/>
  <c r="CV108" i="4" s="1"/>
  <c r="CV109" i="4" a="1"/>
  <c r="CV109" i="4" s="1"/>
  <c r="CV113" i="4" a="1"/>
  <c r="CV113" i="4" s="1"/>
  <c r="CV114" i="4" a="1"/>
  <c r="CV114" i="4" s="1"/>
  <c r="CV115" i="4" a="1"/>
  <c r="CV115" i="4" s="1"/>
  <c r="CV116" i="4" a="1"/>
  <c r="CV116" i="4" s="1"/>
  <c r="CV117" i="4" a="1"/>
  <c r="CV117" i="4" s="1"/>
  <c r="CV118" i="4" a="1"/>
  <c r="CV118" i="4" s="1"/>
  <c r="CV119" i="4" a="1"/>
  <c r="CV119" i="4" s="1"/>
  <c r="CV120" i="4" a="1"/>
  <c r="CV120" i="4" s="1"/>
  <c r="CV121" i="4" a="1"/>
  <c r="CV121" i="4" s="1"/>
  <c r="CV122" i="4" a="1"/>
  <c r="CV122" i="4" s="1"/>
  <c r="CV123" i="4" a="1"/>
  <c r="CV123" i="4" s="1"/>
  <c r="CV124" i="4" a="1"/>
  <c r="CV124" i="4" s="1"/>
  <c r="CV126" i="4" a="1"/>
  <c r="CV126" i="4" s="1"/>
  <c r="CV127" i="4" a="1"/>
  <c r="CV127" i="4" s="1"/>
  <c r="CV128" i="4" a="1"/>
  <c r="CV128" i="4" s="1"/>
  <c r="CV129" i="4" a="1"/>
  <c r="CV129" i="4" s="1"/>
  <c r="CV131" i="4" a="1"/>
  <c r="CV131" i="4" s="1"/>
  <c r="CV132" i="4" a="1"/>
  <c r="CV132" i="4" s="1"/>
  <c r="CV133" i="4" a="1"/>
  <c r="CV133" i="4" s="1"/>
  <c r="CV134" i="4" a="1"/>
  <c r="CV134" i="4" s="1"/>
  <c r="CV135" i="4" a="1"/>
  <c r="CV135" i="4" s="1"/>
  <c r="CV136" i="4" a="1"/>
  <c r="CV136" i="4" s="1"/>
  <c r="CV138" i="4" a="1"/>
  <c r="CV138" i="4" s="1"/>
  <c r="CV139" i="4" a="1"/>
  <c r="CV139" i="4" s="1"/>
  <c r="CV140" i="4" a="1"/>
  <c r="CV140" i="4" s="1"/>
  <c r="CV141" i="4" a="1"/>
  <c r="CV141" i="4" s="1"/>
  <c r="CV143" i="4" a="1"/>
  <c r="CV143" i="4" s="1"/>
  <c r="CV144" i="4" a="1"/>
  <c r="CV144" i="4" s="1"/>
  <c r="CV145" i="4" a="1"/>
  <c r="CV145" i="4" s="1"/>
  <c r="CV148" i="4" a="1"/>
  <c r="CV148" i="4" s="1"/>
  <c r="CV149" i="4" a="1"/>
  <c r="CV149" i="4" s="1"/>
  <c r="CV150" i="4" a="1"/>
  <c r="CV150" i="4" s="1"/>
  <c r="CV151" i="4" a="1"/>
  <c r="CV151" i="4" s="1"/>
  <c r="CV152" i="4" a="1"/>
  <c r="CV152" i="4" s="1"/>
  <c r="CV153" i="4" a="1"/>
  <c r="CV153" i="4" s="1"/>
  <c r="CV154" i="4" a="1"/>
  <c r="CV154" i="4" s="1"/>
  <c r="CV156" i="4" a="1"/>
  <c r="CV156" i="4" s="1"/>
  <c r="CV158" i="4" a="1"/>
  <c r="CV158" i="4" s="1"/>
  <c r="CV159" i="4" a="1"/>
  <c r="CV159" i="4" s="1"/>
  <c r="CV160" i="4" a="1"/>
  <c r="CV160" i="4" s="1"/>
  <c r="CV162" i="4" a="1"/>
  <c r="CV162" i="4" s="1"/>
  <c r="CV168" i="4" a="1"/>
  <c r="CV168" i="4" s="1"/>
  <c r="CV169" i="4" a="1"/>
  <c r="CV169" i="4" s="1"/>
  <c r="CV170" i="4" a="1"/>
  <c r="CV170" i="4" s="1"/>
  <c r="CV171" i="4" a="1"/>
  <c r="CV171" i="4" s="1"/>
  <c r="CV172" i="4" a="1"/>
  <c r="CV172" i="4" s="1"/>
  <c r="CV174" i="4" a="1"/>
  <c r="CV174" i="4" s="1"/>
  <c r="CV175" i="4" a="1"/>
  <c r="CV175" i="4" s="1"/>
  <c r="CV176" i="4" a="1"/>
  <c r="CV176" i="4" s="1"/>
  <c r="CV178" i="4" a="1"/>
  <c r="CV178" i="4" s="1"/>
  <c r="CV179" i="4" a="1"/>
  <c r="CV179" i="4" s="1"/>
  <c r="CV181" i="4" a="1"/>
  <c r="CV181" i="4" s="1"/>
  <c r="CV184" i="4" a="1"/>
  <c r="CV184" i="4" s="1"/>
  <c r="CV185" i="4" a="1"/>
  <c r="CV185" i="4" s="1"/>
  <c r="CV186" i="4" a="1"/>
  <c r="CV186" i="4" s="1"/>
  <c r="CV187" i="4" a="1"/>
  <c r="CV187" i="4" s="1"/>
  <c r="CV188" i="4" a="1"/>
  <c r="CV188" i="4" s="1"/>
  <c r="CV189" i="4" a="1"/>
  <c r="CV189" i="4" s="1"/>
  <c r="CV190" i="4" a="1"/>
  <c r="CV190" i="4" s="1"/>
  <c r="CY192" i="4" a="1"/>
  <c r="CY192" i="4" s="1"/>
  <c r="CY196" i="4" a="1"/>
  <c r="CY196" i="4" s="1"/>
  <c r="CU198" i="4" a="1"/>
  <c r="CU198" i="4" s="1"/>
  <c r="CW199" i="4" a="1"/>
  <c r="CW199" i="4" s="1"/>
  <c r="CY200" i="4" a="1"/>
  <c r="CY200" i="4" s="1"/>
  <c r="CU202" i="4" a="1"/>
  <c r="CU202" i="4" s="1"/>
  <c r="CY204" i="4" a="1"/>
  <c r="CY204" i="4" s="1"/>
  <c r="CU206" i="4" a="1"/>
  <c r="CU206" i="4" s="1"/>
  <c r="CW207" i="4" a="1"/>
  <c r="CW207" i="4" s="1"/>
  <c r="CY208" i="4" a="1"/>
  <c r="CY208" i="4" s="1"/>
  <c r="CW211" i="4" a="1"/>
  <c r="CW211" i="4" s="1"/>
  <c r="CY212" i="4" a="1"/>
  <c r="CY212" i="4" s="1"/>
  <c r="CU214" i="4" a="1"/>
  <c r="CU214" i="4" s="1"/>
  <c r="CW215" i="4" a="1"/>
  <c r="CW215" i="4" s="1"/>
  <c r="CY216" i="4" a="1"/>
  <c r="CY216" i="4" s="1"/>
  <c r="CU218" i="4" a="1"/>
  <c r="CU218" i="4" s="1"/>
  <c r="CW219" i="4" a="1"/>
  <c r="CW219" i="4" s="1"/>
  <c r="CY220" i="4" a="1"/>
  <c r="CY220" i="4" s="1"/>
  <c r="CU222" i="4" a="1"/>
  <c r="CU222" i="4" s="1"/>
  <c r="CW223" i="4" a="1"/>
  <c r="CW223" i="4" s="1"/>
  <c r="CY224" i="4" a="1"/>
  <c r="CY224" i="4" s="1"/>
  <c r="CW227" i="4" a="1"/>
  <c r="CW227" i="4" s="1"/>
  <c r="CY228" i="4" a="1"/>
  <c r="CY228" i="4" s="1"/>
  <c r="CU230" i="4" a="1"/>
  <c r="CU230" i="4" s="1"/>
  <c r="CW231" i="4" a="1"/>
  <c r="CW231" i="4" s="1"/>
  <c r="CY232" i="4" a="1"/>
  <c r="CY232" i="4" s="1"/>
  <c r="CU234" i="4" a="1"/>
  <c r="CU234" i="4" s="1"/>
  <c r="CW235" i="4" a="1"/>
  <c r="CW235" i="4" s="1"/>
  <c r="CY236" i="4" a="1"/>
  <c r="CY236" i="4" s="1"/>
  <c r="CU251" i="4" a="1"/>
  <c r="CU251" i="4" s="1"/>
  <c r="CU255" i="4" a="1"/>
  <c r="CU255" i="4" s="1"/>
  <c r="CW256" i="4" a="1"/>
  <c r="CW256" i="4" s="1"/>
  <c r="CY257" i="4" a="1"/>
  <c r="CY257" i="4" s="1"/>
  <c r="CU259" i="4" a="1"/>
  <c r="CU259" i="4" s="1"/>
  <c r="CW260" i="4" a="1"/>
  <c r="CW260" i="4" s="1"/>
  <c r="CU263" i="4" a="1"/>
  <c r="CU263" i="4" s="1"/>
  <c r="FI2" i="4" a="1"/>
  <c r="FI2" i="4" s="1"/>
  <c r="FF2" i="4" a="1"/>
  <c r="FF2" i="4" s="1"/>
  <c r="ES2" i="4" a="1"/>
  <c r="ES2" i="4" s="1"/>
  <c r="FK2" i="4" a="1"/>
  <c r="FK2" i="4" s="1"/>
  <c r="FH2" i="4" a="1"/>
  <c r="FH2" i="4" s="1"/>
  <c r="EM2" i="4" a="1"/>
  <c r="EM2" i="4" s="1"/>
  <c r="FG2" i="4" a="1"/>
  <c r="FG2" i="4" s="1"/>
  <c r="FJ2" i="4" a="1"/>
  <c r="FJ2" i="4" s="1"/>
  <c r="FE2" i="4" a="1"/>
  <c r="FE2" i="4" s="1"/>
  <c r="FQ5" i="4" a="1"/>
  <c r="FQ5" i="4" s="1"/>
  <c r="FL5" i="4" a="1"/>
  <c r="FL5" i="4" s="1"/>
  <c r="FN5" i="4" a="1"/>
  <c r="FN5" i="4" s="1"/>
  <c r="EU5" i="4" a="1"/>
  <c r="EU5" i="4" s="1"/>
  <c r="FR5" i="4" a="1"/>
  <c r="FR5" i="4" s="1"/>
  <c r="FO5" i="4" a="1"/>
  <c r="FO5" i="4" s="1"/>
  <c r="FP5" i="4" a="1"/>
  <c r="FP5" i="4" s="1"/>
  <c r="EO5" i="4" a="1"/>
  <c r="EO5" i="4" s="1"/>
  <c r="FM5" i="4" a="1"/>
  <c r="FM5" i="4" s="1"/>
  <c r="EQ6" i="4" a="1"/>
  <c r="EQ6" i="4" s="1"/>
  <c r="EK6" i="4" a="1"/>
  <c r="EK6" i="4" s="1"/>
  <c r="FQ9" i="4" a="1"/>
  <c r="FQ9" i="4" s="1"/>
  <c r="FL9" i="4" a="1"/>
  <c r="FL9" i="4" s="1"/>
  <c r="FN9" i="4" a="1"/>
  <c r="FN9" i="4" s="1"/>
  <c r="EU9" i="4" a="1"/>
  <c r="EU9" i="4" s="1"/>
  <c r="FR9" i="4" a="1"/>
  <c r="FR9" i="4" s="1"/>
  <c r="FO9" i="4" a="1"/>
  <c r="FO9" i="4" s="1"/>
  <c r="FP9" i="4" a="1"/>
  <c r="FP9" i="4" s="1"/>
  <c r="EO9" i="4" a="1"/>
  <c r="EO9" i="4" s="1"/>
  <c r="FM9" i="4" a="1"/>
  <c r="FM9" i="4" s="1"/>
  <c r="EQ10" i="4" a="1"/>
  <c r="EQ10" i="4" s="1"/>
  <c r="EK10" i="4" a="1"/>
  <c r="EK10" i="4" s="1"/>
  <c r="FQ13" i="4" a="1"/>
  <c r="FQ13" i="4" s="1"/>
  <c r="FL13" i="4" a="1"/>
  <c r="FL13" i="4" s="1"/>
  <c r="FN13" i="4" a="1"/>
  <c r="FN13" i="4" s="1"/>
  <c r="EU13" i="4" a="1"/>
  <c r="EU13" i="4" s="1"/>
  <c r="FR13" i="4" a="1"/>
  <c r="FR13" i="4" s="1"/>
  <c r="FO13" i="4" a="1"/>
  <c r="FO13" i="4" s="1"/>
  <c r="FP13" i="4" a="1"/>
  <c r="FP13" i="4" s="1"/>
  <c r="EO13" i="4" a="1"/>
  <c r="EO13" i="4" s="1"/>
  <c r="FM13" i="4" a="1"/>
  <c r="FM13" i="4" s="1"/>
  <c r="EQ14" i="4" a="1"/>
  <c r="EQ14" i="4" s="1"/>
  <c r="EK14" i="4" a="1"/>
  <c r="EK14" i="4" s="1"/>
  <c r="FQ17" i="4" a="1"/>
  <c r="FQ17" i="4" s="1"/>
  <c r="FL17" i="4" a="1"/>
  <c r="FL17" i="4" s="1"/>
  <c r="FN17" i="4" a="1"/>
  <c r="FN17" i="4" s="1"/>
  <c r="EU17" i="4" a="1"/>
  <c r="EU17" i="4" s="1"/>
  <c r="FR17" i="4" a="1"/>
  <c r="FR17" i="4" s="1"/>
  <c r="FO17" i="4" a="1"/>
  <c r="FO17" i="4" s="1"/>
  <c r="FP17" i="4" a="1"/>
  <c r="FP17" i="4" s="1"/>
  <c r="EO17" i="4" a="1"/>
  <c r="EO17" i="4" s="1"/>
  <c r="FM17" i="4" a="1"/>
  <c r="FM17" i="4" s="1"/>
  <c r="EQ18" i="4" a="1"/>
  <c r="EQ18" i="4" s="1"/>
  <c r="EK18" i="4" a="1"/>
  <c r="EK18" i="4" s="1"/>
  <c r="FQ21" i="4" a="1"/>
  <c r="FQ21" i="4" s="1"/>
  <c r="FL21" i="4" a="1"/>
  <c r="FL21" i="4" s="1"/>
  <c r="FN21" i="4" a="1"/>
  <c r="FN21" i="4" s="1"/>
  <c r="EU21" i="4" a="1"/>
  <c r="EU21" i="4" s="1"/>
  <c r="FR21" i="4" a="1"/>
  <c r="FR21" i="4" s="1"/>
  <c r="FO21" i="4" a="1"/>
  <c r="FO21" i="4" s="1"/>
  <c r="FP21" i="4" a="1"/>
  <c r="FP21" i="4" s="1"/>
  <c r="EO21" i="4" a="1"/>
  <c r="EO21" i="4" s="1"/>
  <c r="FM21" i="4" a="1"/>
  <c r="FM21" i="4" s="1"/>
  <c r="EQ22" i="4" a="1"/>
  <c r="EQ22" i="4" s="1"/>
  <c r="EK22" i="4" a="1"/>
  <c r="EK22" i="4" s="1"/>
  <c r="FQ25" i="4" a="1"/>
  <c r="FQ25" i="4" s="1"/>
  <c r="FL25" i="4" a="1"/>
  <c r="FL25" i="4" s="1"/>
  <c r="FN25" i="4" a="1"/>
  <c r="FN25" i="4" s="1"/>
  <c r="EU25" i="4" a="1"/>
  <c r="EU25" i="4" s="1"/>
  <c r="FR25" i="4" a="1"/>
  <c r="FR25" i="4" s="1"/>
  <c r="FO25" i="4" a="1"/>
  <c r="FO25" i="4" s="1"/>
  <c r="FM25" i="4" a="1"/>
  <c r="FM25" i="4" s="1"/>
  <c r="EO25" i="4" a="1"/>
  <c r="EO25" i="4" s="1"/>
  <c r="FP25" i="4" a="1"/>
  <c r="FP25" i="4" s="1"/>
  <c r="EQ26" i="4" a="1"/>
  <c r="EQ26" i="4" s="1"/>
  <c r="EK26" i="4" a="1"/>
  <c r="EK26" i="4" s="1"/>
  <c r="FQ29" i="4" a="1"/>
  <c r="FQ29" i="4" s="1"/>
  <c r="FL29" i="4" a="1"/>
  <c r="FL29" i="4" s="1"/>
  <c r="FN29" i="4" a="1"/>
  <c r="FN29" i="4" s="1"/>
  <c r="EU29" i="4" a="1"/>
  <c r="EU29" i="4" s="1"/>
  <c r="FR29" i="4" a="1"/>
  <c r="FR29" i="4" s="1"/>
  <c r="FO29" i="4" a="1"/>
  <c r="FO29" i="4" s="1"/>
  <c r="FM29" i="4" a="1"/>
  <c r="FM29" i="4" s="1"/>
  <c r="EO29" i="4" a="1"/>
  <c r="EO29" i="4" s="1"/>
  <c r="FP29" i="4" a="1"/>
  <c r="FP29" i="4" s="1"/>
  <c r="FI30" i="4" a="1"/>
  <c r="FI30" i="4" s="1"/>
  <c r="FF30" i="4" a="1"/>
  <c r="FF30" i="4" s="1"/>
  <c r="ES30" i="4" a="1"/>
  <c r="ES30" i="4" s="1"/>
  <c r="FK30" i="4" a="1"/>
  <c r="FK30" i="4" s="1"/>
  <c r="FH30" i="4" a="1"/>
  <c r="FH30" i="4" s="1"/>
  <c r="EM30" i="4" a="1"/>
  <c r="EM30" i="4" s="1"/>
  <c r="FG30" i="4" a="1"/>
  <c r="FG30" i="4" s="1"/>
  <c r="FE30" i="4" a="1"/>
  <c r="FE30" i="4" s="1"/>
  <c r="FJ30" i="4" a="1"/>
  <c r="FJ30" i="4" s="1"/>
  <c r="FI34" i="4" a="1"/>
  <c r="FI34" i="4" s="1"/>
  <c r="FF34" i="4" a="1"/>
  <c r="FF34" i="4" s="1"/>
  <c r="ES34" i="4" a="1"/>
  <c r="ES34" i="4" s="1"/>
  <c r="FK34" i="4" a="1"/>
  <c r="FK34" i="4" s="1"/>
  <c r="FH34" i="4" a="1"/>
  <c r="FH34" i="4" s="1"/>
  <c r="EM34" i="4" a="1"/>
  <c r="EM34" i="4" s="1"/>
  <c r="FG34" i="4" a="1"/>
  <c r="FG34" i="4" s="1"/>
  <c r="FJ34" i="4" a="1"/>
  <c r="FJ34" i="4" s="1"/>
  <c r="FE34" i="4" a="1"/>
  <c r="FE34" i="4" s="1"/>
  <c r="FI38" i="4" a="1"/>
  <c r="FI38" i="4" s="1"/>
  <c r="FF38" i="4" a="1"/>
  <c r="FF38" i="4" s="1"/>
  <c r="ES38" i="4" a="1"/>
  <c r="ES38" i="4" s="1"/>
  <c r="FK38" i="4" a="1"/>
  <c r="FK38" i="4" s="1"/>
  <c r="FH38" i="4" a="1"/>
  <c r="FH38" i="4" s="1"/>
  <c r="EM38" i="4" a="1"/>
  <c r="EM38" i="4" s="1"/>
  <c r="FG38" i="4" a="1"/>
  <c r="FG38" i="4" s="1"/>
  <c r="FJ38" i="4" a="1"/>
  <c r="FJ38" i="4" s="1"/>
  <c r="FE38" i="4" a="1"/>
  <c r="FE38" i="4" s="1"/>
  <c r="FI42" i="4" a="1"/>
  <c r="FI42" i="4" s="1"/>
  <c r="FF42" i="4" a="1"/>
  <c r="FF42" i="4" s="1"/>
  <c r="ES42" i="4" a="1"/>
  <c r="ES42" i="4" s="1"/>
  <c r="FK42" i="4" a="1"/>
  <c r="FK42" i="4" s="1"/>
  <c r="FH42" i="4" a="1"/>
  <c r="FH42" i="4" s="1"/>
  <c r="EM42" i="4" a="1"/>
  <c r="EM42" i="4" s="1"/>
  <c r="FG42" i="4" a="1"/>
  <c r="FG42" i="4" s="1"/>
  <c r="FE42" i="4" a="1"/>
  <c r="FE42" i="4" s="1"/>
  <c r="FJ42" i="4" a="1"/>
  <c r="FJ42" i="4" s="1"/>
  <c r="FG47" i="4" a="1"/>
  <c r="FG47" i="4" s="1"/>
  <c r="FI47" i="4" a="1"/>
  <c r="FI47" i="4" s="1"/>
  <c r="FF47" i="4" a="1"/>
  <c r="FF47" i="4" s="1"/>
  <c r="ES47" i="4" a="1"/>
  <c r="ES47" i="4" s="1"/>
  <c r="FJ47" i="4" a="1"/>
  <c r="FJ47" i="4" s="1"/>
  <c r="FE47" i="4" a="1"/>
  <c r="FE47" i="4" s="1"/>
  <c r="FK47" i="4" a="1"/>
  <c r="FK47" i="4" s="1"/>
  <c r="EM47" i="4" a="1"/>
  <c r="EM47" i="4" s="1"/>
  <c r="FH47" i="4" a="1"/>
  <c r="FH47" i="4" s="1"/>
  <c r="FD51" i="4" a="1"/>
  <c r="FD51" i="4" s="1"/>
  <c r="FB51" i="4" a="1"/>
  <c r="FB51" i="4" s="1"/>
  <c r="EZ51" i="4" a="1"/>
  <c r="EZ51" i="4" s="1"/>
  <c r="EX51" i="4" a="1"/>
  <c r="EX51" i="4" s="1"/>
  <c r="ER51" i="4" a="1"/>
  <c r="ER51" i="4" s="1"/>
  <c r="EL51" i="4" a="1"/>
  <c r="EL51" i="4" s="1"/>
  <c r="FA51" i="4" a="1"/>
  <c r="FA51" i="4" s="1"/>
  <c r="FC51" i="4" a="1"/>
  <c r="FC51" i="4" s="1"/>
  <c r="EY51" i="4" a="1"/>
  <c r="EY51" i="4" s="1"/>
  <c r="FX54" i="4" a="1"/>
  <c r="FX54" i="4" s="1"/>
  <c r="FV54" i="4" a="1"/>
  <c r="FV54" i="4" s="1"/>
  <c r="FT54" i="4" a="1"/>
  <c r="FT54" i="4" s="1"/>
  <c r="EV54" i="4" a="1"/>
  <c r="EV54" i="4" s="1"/>
  <c r="EP54" i="4" a="1"/>
  <c r="EP54" i="4" s="1"/>
  <c r="FU54" i="4" a="1"/>
  <c r="FU54" i="4" s="1"/>
  <c r="FW54" i="4" a="1"/>
  <c r="FW54" i="4" s="1"/>
  <c r="FS54" i="4" a="1"/>
  <c r="FS54" i="4" s="1"/>
  <c r="FY54" i="4" a="1"/>
  <c r="FY54" i="4" s="1"/>
  <c r="FD55" i="4" a="1"/>
  <c r="FD55" i="4" s="1"/>
  <c r="FB55" i="4" a="1"/>
  <c r="FB55" i="4" s="1"/>
  <c r="EZ55" i="4" a="1"/>
  <c r="EZ55" i="4" s="1"/>
  <c r="EX55" i="4" a="1"/>
  <c r="EX55" i="4" s="1"/>
  <c r="ER55" i="4" a="1"/>
  <c r="ER55" i="4" s="1"/>
  <c r="EL55" i="4" a="1"/>
  <c r="EL55" i="4" s="1"/>
  <c r="FA55" i="4" a="1"/>
  <c r="FA55" i="4" s="1"/>
  <c r="FC55" i="4" a="1"/>
  <c r="FC55" i="4" s="1"/>
  <c r="EY55" i="4" a="1"/>
  <c r="EY55" i="4" s="1"/>
  <c r="FX58" i="4" a="1"/>
  <c r="FX58" i="4" s="1"/>
  <c r="FV58" i="4" a="1"/>
  <c r="FV58" i="4" s="1"/>
  <c r="FT58" i="4" a="1"/>
  <c r="FT58" i="4" s="1"/>
  <c r="EV58" i="4" a="1"/>
  <c r="EV58" i="4" s="1"/>
  <c r="EP58" i="4" a="1"/>
  <c r="EP58" i="4" s="1"/>
  <c r="FU58" i="4" a="1"/>
  <c r="FU58" i="4" s="1"/>
  <c r="FW58" i="4" a="1"/>
  <c r="FW58" i="4" s="1"/>
  <c r="FS58" i="4" a="1"/>
  <c r="FS58" i="4" s="1"/>
  <c r="FY58" i="4" a="1"/>
  <c r="FY58" i="4" s="1"/>
  <c r="FD59" i="4" a="1"/>
  <c r="FD59" i="4" s="1"/>
  <c r="FB59" i="4" a="1"/>
  <c r="FB59" i="4" s="1"/>
  <c r="EZ59" i="4" a="1"/>
  <c r="EZ59" i="4" s="1"/>
  <c r="EX59" i="4" a="1"/>
  <c r="EX59" i="4" s="1"/>
  <c r="ER59" i="4" a="1"/>
  <c r="ER59" i="4" s="1"/>
  <c r="EL59" i="4" a="1"/>
  <c r="EL59" i="4" s="1"/>
  <c r="FA59" i="4" a="1"/>
  <c r="FA59" i="4" s="1"/>
  <c r="FC59" i="4" a="1"/>
  <c r="FC59" i="4" s="1"/>
  <c r="EY59" i="4" a="1"/>
  <c r="EY59" i="4" s="1"/>
  <c r="EN62" i="4" a="1"/>
  <c r="EN62" i="4" s="1"/>
  <c r="ET62" i="4" a="1"/>
  <c r="ET62" i="4" s="1"/>
  <c r="EN64" i="4" a="1"/>
  <c r="EN64" i="4" s="1"/>
  <c r="ET64" i="4" a="1"/>
  <c r="ET64" i="4" s="1"/>
  <c r="ET66" i="4" a="1"/>
  <c r="ET66" i="4" s="1"/>
  <c r="EN66" i="4" a="1"/>
  <c r="EN66" i="4" s="1"/>
  <c r="EN68" i="4" a="1"/>
  <c r="EN68" i="4" s="1"/>
  <c r="ET68" i="4" a="1"/>
  <c r="ET68" i="4" s="1"/>
  <c r="ET70" i="4" a="1"/>
  <c r="ET70" i="4" s="1"/>
  <c r="EN70" i="4" a="1"/>
  <c r="EN70" i="4" s="1"/>
  <c r="ET72" i="4" a="1"/>
  <c r="ET72" i="4" s="1"/>
  <c r="EN72" i="4" a="1"/>
  <c r="EN72" i="4" s="1"/>
  <c r="EN74" i="4" a="1"/>
  <c r="EN74" i="4" s="1"/>
  <c r="ET74" i="4" a="1"/>
  <c r="ET74" i="4" s="1"/>
  <c r="EN76" i="4" a="1"/>
  <c r="EN76" i="4" s="1"/>
  <c r="ET76" i="4" a="1"/>
  <c r="ET76" i="4" s="1"/>
  <c r="ET78" i="4" a="1"/>
  <c r="ET78" i="4" s="1"/>
  <c r="EN78" i="4" a="1"/>
  <c r="EN78" i="4" s="1"/>
  <c r="ET80" i="4" a="1"/>
  <c r="ET80" i="4" s="1"/>
  <c r="EN80" i="4" a="1"/>
  <c r="EN80" i="4" s="1"/>
  <c r="EN82" i="4" a="1"/>
  <c r="EN82" i="4" s="1"/>
  <c r="ET82" i="4" a="1"/>
  <c r="ET82" i="4" s="1"/>
  <c r="EN84" i="4" a="1"/>
  <c r="EN84" i="4" s="1"/>
  <c r="ET84" i="4" a="1"/>
  <c r="ET84" i="4" s="1"/>
  <c r="ET86" i="4" a="1"/>
  <c r="ET86" i="4" s="1"/>
  <c r="EN86" i="4" a="1"/>
  <c r="EN86" i="4" s="1"/>
  <c r="EN88" i="4" a="1"/>
  <c r="EN88" i="4" s="1"/>
  <c r="ET88" i="4" a="1"/>
  <c r="ET88" i="4" s="1"/>
  <c r="ET90" i="4" a="1"/>
  <c r="ET90" i="4" s="1"/>
  <c r="EN90" i="4" a="1"/>
  <c r="EN90" i="4" s="1"/>
  <c r="ET92" i="4" a="1"/>
  <c r="ET92" i="4" s="1"/>
  <c r="EN92" i="4" a="1"/>
  <c r="EN92" i="4" s="1"/>
  <c r="EN94" i="4" a="1"/>
  <c r="EN94" i="4" s="1"/>
  <c r="ET94" i="4" a="1"/>
  <c r="ET94" i="4" s="1"/>
  <c r="ET96" i="4" a="1"/>
  <c r="ET96" i="4" s="1"/>
  <c r="EN96" i="4" a="1"/>
  <c r="EN96" i="4" s="1"/>
  <c r="EN98" i="4" a="1"/>
  <c r="EN98" i="4" s="1"/>
  <c r="ET98" i="4" a="1"/>
  <c r="ET98" i="4" s="1"/>
  <c r="ET100" i="4" a="1"/>
  <c r="ET100" i="4" s="1"/>
  <c r="EN100" i="4" a="1"/>
  <c r="EN100" i="4" s="1"/>
  <c r="EN102" i="4" a="1"/>
  <c r="EN102" i="4" s="1"/>
  <c r="ET102" i="4" a="1"/>
  <c r="ET102" i="4" s="1"/>
  <c r="ET104" i="4" a="1"/>
  <c r="ET104" i="4" s="1"/>
  <c r="EN104" i="4" a="1"/>
  <c r="EN104" i="4" s="1"/>
  <c r="EN106" i="4" a="1"/>
  <c r="EN106" i="4" s="1"/>
  <c r="ET106" i="4" a="1"/>
  <c r="ET106" i="4" s="1"/>
  <c r="EN108" i="4" a="1"/>
  <c r="EN108" i="4" s="1"/>
  <c r="ET108" i="4" a="1"/>
  <c r="ET108" i="4" s="1"/>
  <c r="ET110" i="4" a="1"/>
  <c r="ET110" i="4" s="1"/>
  <c r="EN110" i="4" a="1"/>
  <c r="EN110" i="4" s="1"/>
  <c r="EN112" i="4" a="1"/>
  <c r="EN112" i="4" s="1"/>
  <c r="ET112" i="4" a="1"/>
  <c r="ET112" i="4" s="1"/>
  <c r="ET114" i="4" a="1"/>
  <c r="ET114" i="4" s="1"/>
  <c r="EN114" i="4" a="1"/>
  <c r="EN114" i="4" s="1"/>
  <c r="ET116" i="4" a="1"/>
  <c r="ET116" i="4" s="1"/>
  <c r="EN116" i="4" a="1"/>
  <c r="EN116" i="4" s="1"/>
  <c r="EN118" i="4" a="1"/>
  <c r="EN118" i="4" s="1"/>
  <c r="ET118" i="4" a="1"/>
  <c r="ET118" i="4" s="1"/>
  <c r="EN120" i="4" a="1"/>
  <c r="EN120" i="4" s="1"/>
  <c r="ET120" i="4" a="1"/>
  <c r="ET120" i="4" s="1"/>
  <c r="ET122" i="4" a="1"/>
  <c r="ET122" i="4" s="1"/>
  <c r="EN122" i="4" a="1"/>
  <c r="EN122" i="4" s="1"/>
  <c r="EN124" i="4" a="1"/>
  <c r="EN124" i="4" s="1"/>
  <c r="ET124" i="4" a="1"/>
  <c r="ET124" i="4" s="1"/>
  <c r="EN126" i="4" a="1"/>
  <c r="EN126" i="4" s="1"/>
  <c r="ET126" i="4" a="1"/>
  <c r="ET126" i="4" s="1"/>
  <c r="EN128" i="4" a="1"/>
  <c r="EN128" i="4" s="1"/>
  <c r="ET128" i="4" a="1"/>
  <c r="ET128" i="4" s="1"/>
  <c r="ET130" i="4" a="1"/>
  <c r="ET130" i="4" s="1"/>
  <c r="EN130" i="4" a="1"/>
  <c r="EN130" i="4" s="1"/>
  <c r="EN132" i="4" a="1"/>
  <c r="EN132" i="4" s="1"/>
  <c r="ET132" i="4" a="1"/>
  <c r="ET132" i="4" s="1"/>
  <c r="EN134" i="4" a="1"/>
  <c r="EN134" i="4" s="1"/>
  <c r="ET134" i="4" a="1"/>
  <c r="ET134" i="4" s="1"/>
  <c r="ET136" i="4" a="1"/>
  <c r="ET136" i="4" s="1"/>
  <c r="EN136" i="4" a="1"/>
  <c r="EN136" i="4" s="1"/>
  <c r="EN138" i="4" a="1"/>
  <c r="EN138" i="4" s="1"/>
  <c r="ET138" i="4" a="1"/>
  <c r="ET138" i="4" s="1"/>
  <c r="ET140" i="4" a="1"/>
  <c r="ET140" i="4" s="1"/>
  <c r="EN140" i="4" a="1"/>
  <c r="EN140" i="4" s="1"/>
  <c r="ET142" i="4" a="1"/>
  <c r="ET142" i="4" s="1"/>
  <c r="EN142" i="4" a="1"/>
  <c r="EN142" i="4" s="1"/>
  <c r="EN144" i="4" a="1"/>
  <c r="EN144" i="4" s="1"/>
  <c r="ET144" i="4" a="1"/>
  <c r="ET144" i="4" s="1"/>
  <c r="ET146" i="4" a="1"/>
  <c r="ET146" i="4" s="1"/>
  <c r="EN146" i="4" a="1"/>
  <c r="EN146" i="4" s="1"/>
  <c r="EN148" i="4" a="1"/>
  <c r="EN148" i="4" s="1"/>
  <c r="ET148" i="4" a="1"/>
  <c r="ET148" i="4" s="1"/>
  <c r="ET150" i="4" a="1"/>
  <c r="ET150" i="4" s="1"/>
  <c r="EN150" i="4" a="1"/>
  <c r="EN150" i="4" s="1"/>
  <c r="EN152" i="4" a="1"/>
  <c r="EN152" i="4" s="1"/>
  <c r="ET152" i="4" a="1"/>
  <c r="ET152" i="4" s="1"/>
  <c r="ET154" i="4" a="1"/>
  <c r="ET154" i="4" s="1"/>
  <c r="EN154" i="4" a="1"/>
  <c r="EN154" i="4" s="1"/>
  <c r="ET156" i="4" a="1"/>
  <c r="ET156" i="4" s="1"/>
  <c r="EN156" i="4" a="1"/>
  <c r="EN156" i="4" s="1"/>
  <c r="EN158" i="4" a="1"/>
  <c r="EN158" i="4" s="1"/>
  <c r="ET158" i="4" a="1"/>
  <c r="ET158" i="4" s="1"/>
  <c r="ET160" i="4" a="1"/>
  <c r="ET160" i="4" s="1"/>
  <c r="EN160" i="4" a="1"/>
  <c r="EN160" i="4" s="1"/>
  <c r="EN162" i="4" a="1"/>
  <c r="EN162" i="4" s="1"/>
  <c r="ET162" i="4" a="1"/>
  <c r="ET162" i="4" s="1"/>
  <c r="EN164" i="4" a="1"/>
  <c r="EN164" i="4" s="1"/>
  <c r="ET164" i="4" a="1"/>
  <c r="ET164" i="4" s="1"/>
  <c r="ET166" i="4" a="1"/>
  <c r="ET166" i="4" s="1"/>
  <c r="EN166" i="4" a="1"/>
  <c r="EN166" i="4" s="1"/>
  <c r="EN168" i="4" a="1"/>
  <c r="EN168" i="4" s="1"/>
  <c r="ET168" i="4" a="1"/>
  <c r="ET168" i="4" s="1"/>
  <c r="ET170" i="4" a="1"/>
  <c r="ET170" i="4" s="1"/>
  <c r="EN170" i="4" a="1"/>
  <c r="EN170" i="4" s="1"/>
  <c r="EN172" i="4" a="1"/>
  <c r="EN172" i="4" s="1"/>
  <c r="ET172" i="4" a="1"/>
  <c r="ET172" i="4" s="1"/>
  <c r="EN174" i="4" a="1"/>
  <c r="EN174" i="4" s="1"/>
  <c r="ET174" i="4" a="1"/>
  <c r="ET174" i="4" s="1"/>
  <c r="ET176" i="4" a="1"/>
  <c r="ET176" i="4" s="1"/>
  <c r="EN176" i="4" a="1"/>
  <c r="EN176" i="4" s="1"/>
  <c r="ET178" i="4" a="1"/>
  <c r="ET178" i="4" s="1"/>
  <c r="EN178" i="4" a="1"/>
  <c r="EN178" i="4" s="1"/>
  <c r="EN180" i="4" a="1"/>
  <c r="EN180" i="4" s="1"/>
  <c r="ET180" i="4" a="1"/>
  <c r="ET180" i="4" s="1"/>
  <c r="FD191" i="4" a="1"/>
  <c r="FD191" i="4" s="1"/>
  <c r="FB191" i="4" a="1"/>
  <c r="FB191" i="4" s="1"/>
  <c r="EZ191" i="4" a="1"/>
  <c r="EZ191" i="4" s="1"/>
  <c r="EX191" i="4" a="1"/>
  <c r="EX191" i="4" s="1"/>
  <c r="ER191" i="4" a="1"/>
  <c r="ER191" i="4" s="1"/>
  <c r="EL191" i="4" a="1"/>
  <c r="EL191" i="4" s="1"/>
  <c r="EY191" i="4" a="1"/>
  <c r="EY191" i="4" s="1"/>
  <c r="FC191" i="4" a="1"/>
  <c r="FC191" i="4" s="1"/>
  <c r="FA191" i="4" a="1"/>
  <c r="FA191" i="4" s="1"/>
  <c r="FX194" i="4" a="1"/>
  <c r="FX194" i="4" s="1"/>
  <c r="FV194" i="4" a="1"/>
  <c r="FV194" i="4" s="1"/>
  <c r="FT194" i="4" a="1"/>
  <c r="FT194" i="4" s="1"/>
  <c r="EV194" i="4" a="1"/>
  <c r="EV194" i="4" s="1"/>
  <c r="EP194" i="4" a="1"/>
  <c r="EP194" i="4" s="1"/>
  <c r="FY194" i="4" a="1"/>
  <c r="FY194" i="4" s="1"/>
  <c r="FS194" i="4" a="1"/>
  <c r="FS194" i="4" s="1"/>
  <c r="FW194" i="4" a="1"/>
  <c r="FW194" i="4" s="1"/>
  <c r="FU194" i="4" a="1"/>
  <c r="FU194" i="4" s="1"/>
  <c r="FD195" i="4" a="1"/>
  <c r="FD195" i="4" s="1"/>
  <c r="FB195" i="4" a="1"/>
  <c r="FB195" i="4" s="1"/>
  <c r="EZ195" i="4" a="1"/>
  <c r="EZ195" i="4" s="1"/>
  <c r="EX195" i="4" a="1"/>
  <c r="EX195" i="4" s="1"/>
  <c r="ER195" i="4" a="1"/>
  <c r="ER195" i="4" s="1"/>
  <c r="EL195" i="4" a="1"/>
  <c r="EL195" i="4" s="1"/>
  <c r="EY195" i="4" a="1"/>
  <c r="EY195" i="4" s="1"/>
  <c r="FC195" i="4" a="1"/>
  <c r="FC195" i="4" s="1"/>
  <c r="FA195" i="4" a="1"/>
  <c r="FA195" i="4" s="1"/>
  <c r="FX198" i="4" a="1"/>
  <c r="FX198" i="4" s="1"/>
  <c r="FV198" i="4" a="1"/>
  <c r="FV198" i="4" s="1"/>
  <c r="FT198" i="4" a="1"/>
  <c r="FT198" i="4" s="1"/>
  <c r="EV198" i="4" a="1"/>
  <c r="EV198" i="4" s="1"/>
  <c r="EP198" i="4" a="1"/>
  <c r="EP198" i="4" s="1"/>
  <c r="FY198" i="4" a="1"/>
  <c r="FY198" i="4" s="1"/>
  <c r="FS198" i="4" a="1"/>
  <c r="FS198" i="4" s="1"/>
  <c r="FW198" i="4" a="1"/>
  <c r="FW198" i="4" s="1"/>
  <c r="FU198" i="4" a="1"/>
  <c r="FU198" i="4" s="1"/>
  <c r="FD199" i="4" a="1"/>
  <c r="FD199" i="4" s="1"/>
  <c r="FB199" i="4" a="1"/>
  <c r="FB199" i="4" s="1"/>
  <c r="EZ199" i="4" a="1"/>
  <c r="EZ199" i="4" s="1"/>
  <c r="EX199" i="4" a="1"/>
  <c r="EX199" i="4" s="1"/>
  <c r="ER199" i="4" a="1"/>
  <c r="ER199" i="4" s="1"/>
  <c r="EL199" i="4" a="1"/>
  <c r="EL199" i="4" s="1"/>
  <c r="EY199" i="4" a="1"/>
  <c r="EY199" i="4" s="1"/>
  <c r="FC199" i="4" a="1"/>
  <c r="FC199" i="4" s="1"/>
  <c r="FA199" i="4" a="1"/>
  <c r="FA199" i="4" s="1"/>
  <c r="FX202" i="4" a="1"/>
  <c r="FX202" i="4" s="1"/>
  <c r="FV202" i="4" a="1"/>
  <c r="FV202" i="4" s="1"/>
  <c r="FT202" i="4" a="1"/>
  <c r="FT202" i="4" s="1"/>
  <c r="EV202" i="4" a="1"/>
  <c r="EV202" i="4" s="1"/>
  <c r="EP202" i="4" a="1"/>
  <c r="EP202" i="4" s="1"/>
  <c r="FY202" i="4" a="1"/>
  <c r="FY202" i="4" s="1"/>
  <c r="FS202" i="4" a="1"/>
  <c r="FS202" i="4" s="1"/>
  <c r="FW202" i="4" a="1"/>
  <c r="FW202" i="4" s="1"/>
  <c r="FU202" i="4" a="1"/>
  <c r="FU202" i="4" s="1"/>
  <c r="FD203" i="4" a="1"/>
  <c r="FD203" i="4" s="1"/>
  <c r="FB203" i="4" a="1"/>
  <c r="FB203" i="4" s="1"/>
  <c r="EZ203" i="4" a="1"/>
  <c r="EZ203" i="4" s="1"/>
  <c r="EX203" i="4" a="1"/>
  <c r="EX203" i="4" s="1"/>
  <c r="ER203" i="4" a="1"/>
  <c r="ER203" i="4" s="1"/>
  <c r="EL203" i="4" a="1"/>
  <c r="EL203" i="4" s="1"/>
  <c r="EY203" i="4" a="1"/>
  <c r="EY203" i="4" s="1"/>
  <c r="FC203" i="4" a="1"/>
  <c r="FC203" i="4" s="1"/>
  <c r="FA203" i="4" a="1"/>
  <c r="FA203" i="4" s="1"/>
  <c r="FX206" i="4" a="1"/>
  <c r="FX206" i="4" s="1"/>
  <c r="FV206" i="4" a="1"/>
  <c r="FV206" i="4" s="1"/>
  <c r="FT206" i="4" a="1"/>
  <c r="FT206" i="4" s="1"/>
  <c r="EV206" i="4" a="1"/>
  <c r="EV206" i="4" s="1"/>
  <c r="EP206" i="4" a="1"/>
  <c r="EP206" i="4" s="1"/>
  <c r="FW206" i="4" a="1"/>
  <c r="FW206" i="4" s="1"/>
  <c r="FY206" i="4" a="1"/>
  <c r="FY206" i="4" s="1"/>
  <c r="FU206" i="4" a="1"/>
  <c r="FU206" i="4" s="1"/>
  <c r="FS206" i="4" a="1"/>
  <c r="FS206" i="4" s="1"/>
  <c r="FD207" i="4" a="1"/>
  <c r="FD207" i="4" s="1"/>
  <c r="FB207" i="4" a="1"/>
  <c r="FB207" i="4" s="1"/>
  <c r="EZ207" i="4" a="1"/>
  <c r="EZ207" i="4" s="1"/>
  <c r="EX207" i="4" a="1"/>
  <c r="EX207" i="4" s="1"/>
  <c r="ER207" i="4" a="1"/>
  <c r="ER207" i="4" s="1"/>
  <c r="EL207" i="4" a="1"/>
  <c r="EL207" i="4" s="1"/>
  <c r="FC207" i="4" a="1"/>
  <c r="FC207" i="4" s="1"/>
  <c r="FA207" i="4" a="1"/>
  <c r="FA207" i="4" s="1"/>
  <c r="EY207" i="4" a="1"/>
  <c r="EY207" i="4" s="1"/>
  <c r="FX210" i="4" a="1"/>
  <c r="FX210" i="4" s="1"/>
  <c r="FV210" i="4" a="1"/>
  <c r="FV210" i="4" s="1"/>
  <c r="FT210" i="4" a="1"/>
  <c r="FT210" i="4" s="1"/>
  <c r="EV210" i="4" a="1"/>
  <c r="EV210" i="4" s="1"/>
  <c r="EP210" i="4" a="1"/>
  <c r="EP210" i="4" s="1"/>
  <c r="FW210" i="4" a="1"/>
  <c r="FW210" i="4" s="1"/>
  <c r="FY210" i="4" a="1"/>
  <c r="FY210" i="4" s="1"/>
  <c r="FU210" i="4" a="1"/>
  <c r="FU210" i="4" s="1"/>
  <c r="FS210" i="4" a="1"/>
  <c r="FS210" i="4" s="1"/>
  <c r="FD211" i="4" a="1"/>
  <c r="FD211" i="4" s="1"/>
  <c r="FB211" i="4" a="1"/>
  <c r="FB211" i="4" s="1"/>
  <c r="EZ211" i="4" a="1"/>
  <c r="EZ211" i="4" s="1"/>
  <c r="EX211" i="4" a="1"/>
  <c r="EX211" i="4" s="1"/>
  <c r="ER211" i="4" a="1"/>
  <c r="ER211" i="4" s="1"/>
  <c r="EL211" i="4" a="1"/>
  <c r="EL211" i="4" s="1"/>
  <c r="FC211" i="4" a="1"/>
  <c r="FC211" i="4" s="1"/>
  <c r="FA211" i="4" a="1"/>
  <c r="FA211" i="4" s="1"/>
  <c r="EY211" i="4" a="1"/>
  <c r="EY211" i="4" s="1"/>
  <c r="FX214" i="4" a="1"/>
  <c r="FX214" i="4" s="1"/>
  <c r="FV214" i="4" a="1"/>
  <c r="FV214" i="4" s="1"/>
  <c r="FT214" i="4" a="1"/>
  <c r="FT214" i="4" s="1"/>
  <c r="EV214" i="4" a="1"/>
  <c r="EV214" i="4" s="1"/>
  <c r="EP214" i="4" a="1"/>
  <c r="EP214" i="4" s="1"/>
  <c r="FW214" i="4" a="1"/>
  <c r="FW214" i="4" s="1"/>
  <c r="FY214" i="4" a="1"/>
  <c r="FY214" i="4" s="1"/>
  <c r="FU214" i="4" a="1"/>
  <c r="FU214" i="4" s="1"/>
  <c r="FS214" i="4" a="1"/>
  <c r="FS214" i="4" s="1"/>
  <c r="FD215" i="4" a="1"/>
  <c r="FD215" i="4" s="1"/>
  <c r="FB215" i="4" a="1"/>
  <c r="FB215" i="4" s="1"/>
  <c r="EZ215" i="4" a="1"/>
  <c r="EZ215" i="4" s="1"/>
  <c r="EX215" i="4" a="1"/>
  <c r="EX215" i="4" s="1"/>
  <c r="ER215" i="4" a="1"/>
  <c r="ER215" i="4" s="1"/>
  <c r="EL215" i="4" a="1"/>
  <c r="EL215" i="4" s="1"/>
  <c r="FC215" i="4" a="1"/>
  <c r="FC215" i="4" s="1"/>
  <c r="FA215" i="4" a="1"/>
  <c r="FA215" i="4" s="1"/>
  <c r="EY215" i="4" a="1"/>
  <c r="EY215" i="4" s="1"/>
  <c r="FX218" i="4" a="1"/>
  <c r="FX218" i="4" s="1"/>
  <c r="FV218" i="4" a="1"/>
  <c r="FV218" i="4" s="1"/>
  <c r="FT218" i="4" a="1"/>
  <c r="FT218" i="4" s="1"/>
  <c r="EV218" i="4" a="1"/>
  <c r="EV218" i="4" s="1"/>
  <c r="EP218" i="4" a="1"/>
  <c r="EP218" i="4" s="1"/>
  <c r="FU218" i="4" a="1"/>
  <c r="FU218" i="4" s="1"/>
  <c r="FW218" i="4" a="1"/>
  <c r="FW218" i="4" s="1"/>
  <c r="FS218" i="4" a="1"/>
  <c r="FS218" i="4" s="1"/>
  <c r="FY218" i="4" a="1"/>
  <c r="FY218" i="4" s="1"/>
  <c r="FD219" i="4" a="1"/>
  <c r="FD219" i="4" s="1"/>
  <c r="FB219" i="4" a="1"/>
  <c r="FB219" i="4" s="1"/>
  <c r="EZ219" i="4" a="1"/>
  <c r="EZ219" i="4" s="1"/>
  <c r="EX219" i="4" a="1"/>
  <c r="EX219" i="4" s="1"/>
  <c r="ER219" i="4" a="1"/>
  <c r="ER219" i="4" s="1"/>
  <c r="EL219" i="4" a="1"/>
  <c r="EL219" i="4" s="1"/>
  <c r="FA219" i="4" a="1"/>
  <c r="FA219" i="4" s="1"/>
  <c r="FC219" i="4" a="1"/>
  <c r="FC219" i="4" s="1"/>
  <c r="EY219" i="4" a="1"/>
  <c r="EY219" i="4" s="1"/>
  <c r="FX222" i="4" a="1"/>
  <c r="FX222" i="4" s="1"/>
  <c r="FV222" i="4" a="1"/>
  <c r="FV222" i="4" s="1"/>
  <c r="FT222" i="4" a="1"/>
  <c r="FT222" i="4" s="1"/>
  <c r="EV222" i="4" a="1"/>
  <c r="EV222" i="4" s="1"/>
  <c r="EP222" i="4" a="1"/>
  <c r="EP222" i="4" s="1"/>
  <c r="FU222" i="4" a="1"/>
  <c r="FU222" i="4" s="1"/>
  <c r="FW222" i="4" a="1"/>
  <c r="FW222" i="4" s="1"/>
  <c r="FS222" i="4" a="1"/>
  <c r="FS222" i="4" s="1"/>
  <c r="FY222" i="4" a="1"/>
  <c r="FY222" i="4" s="1"/>
  <c r="FD223" i="4" a="1"/>
  <c r="FD223" i="4" s="1"/>
  <c r="FB223" i="4" a="1"/>
  <c r="FB223" i="4" s="1"/>
  <c r="EZ223" i="4" a="1"/>
  <c r="EZ223" i="4" s="1"/>
  <c r="EX223" i="4" a="1"/>
  <c r="EX223" i="4" s="1"/>
  <c r="ER223" i="4" a="1"/>
  <c r="ER223" i="4" s="1"/>
  <c r="EL223" i="4" a="1"/>
  <c r="EL223" i="4" s="1"/>
  <c r="FA223" i="4" a="1"/>
  <c r="FA223" i="4" s="1"/>
  <c r="FC223" i="4" a="1"/>
  <c r="FC223" i="4" s="1"/>
  <c r="EY223" i="4" a="1"/>
  <c r="EY223" i="4" s="1"/>
  <c r="FX226" i="4" a="1"/>
  <c r="FX226" i="4" s="1"/>
  <c r="FV226" i="4" a="1"/>
  <c r="FV226" i="4" s="1"/>
  <c r="FT226" i="4" a="1"/>
  <c r="FT226" i="4" s="1"/>
  <c r="EV226" i="4" a="1"/>
  <c r="EV226" i="4" s="1"/>
  <c r="EP226" i="4" a="1"/>
  <c r="EP226" i="4" s="1"/>
  <c r="FU226" i="4" a="1"/>
  <c r="FU226" i="4" s="1"/>
  <c r="FW226" i="4" a="1"/>
  <c r="FW226" i="4" s="1"/>
  <c r="FS226" i="4" a="1"/>
  <c r="FS226" i="4" s="1"/>
  <c r="FY226" i="4" a="1"/>
  <c r="FY226" i="4" s="1"/>
  <c r="FD227" i="4" a="1"/>
  <c r="FD227" i="4" s="1"/>
  <c r="FB227" i="4" a="1"/>
  <c r="FB227" i="4" s="1"/>
  <c r="EZ227" i="4" a="1"/>
  <c r="EZ227" i="4" s="1"/>
  <c r="EX227" i="4" a="1"/>
  <c r="EX227" i="4" s="1"/>
  <c r="ER227" i="4" a="1"/>
  <c r="ER227" i="4" s="1"/>
  <c r="EL227" i="4" a="1"/>
  <c r="EL227" i="4" s="1"/>
  <c r="FA227" i="4" a="1"/>
  <c r="FA227" i="4" s="1"/>
  <c r="FC227" i="4" a="1"/>
  <c r="FC227" i="4" s="1"/>
  <c r="EY227" i="4" a="1"/>
  <c r="EY227" i="4" s="1"/>
  <c r="FX230" i="4" a="1"/>
  <c r="FX230" i="4" s="1"/>
  <c r="FV230" i="4" a="1"/>
  <c r="FV230" i="4" s="1"/>
  <c r="FT230" i="4" a="1"/>
  <c r="FT230" i="4" s="1"/>
  <c r="EV230" i="4" a="1"/>
  <c r="EV230" i="4" s="1"/>
  <c r="EP230" i="4" a="1"/>
  <c r="EP230" i="4" s="1"/>
  <c r="FU230" i="4" a="1"/>
  <c r="FU230" i="4" s="1"/>
  <c r="FW230" i="4" a="1"/>
  <c r="FW230" i="4" s="1"/>
  <c r="FS230" i="4" a="1"/>
  <c r="FS230" i="4" s="1"/>
  <c r="FY230" i="4" a="1"/>
  <c r="FY230" i="4" s="1"/>
  <c r="FD231" i="4" a="1"/>
  <c r="FD231" i="4" s="1"/>
  <c r="FB231" i="4" a="1"/>
  <c r="FB231" i="4" s="1"/>
  <c r="EZ231" i="4" a="1"/>
  <c r="EZ231" i="4" s="1"/>
  <c r="EX231" i="4" a="1"/>
  <c r="EX231" i="4" s="1"/>
  <c r="ER231" i="4" a="1"/>
  <c r="ER231" i="4" s="1"/>
  <c r="EL231" i="4" a="1"/>
  <c r="EL231" i="4" s="1"/>
  <c r="FA231" i="4" a="1"/>
  <c r="FA231" i="4" s="1"/>
  <c r="FC231" i="4" a="1"/>
  <c r="FC231" i="4" s="1"/>
  <c r="EY231" i="4" a="1"/>
  <c r="EY231" i="4" s="1"/>
  <c r="FX234" i="4" a="1"/>
  <c r="FX234" i="4" s="1"/>
  <c r="FV234" i="4" a="1"/>
  <c r="FV234" i="4" s="1"/>
  <c r="FT234" i="4" a="1"/>
  <c r="FT234" i="4" s="1"/>
  <c r="EV234" i="4" a="1"/>
  <c r="EV234" i="4" s="1"/>
  <c r="EP234" i="4" a="1"/>
  <c r="EP234" i="4" s="1"/>
  <c r="FU234" i="4" a="1"/>
  <c r="FU234" i="4" s="1"/>
  <c r="FW234" i="4" a="1"/>
  <c r="FW234" i="4" s="1"/>
  <c r="FS234" i="4" a="1"/>
  <c r="FS234" i="4" s="1"/>
  <c r="FY234" i="4" a="1"/>
  <c r="FY234" i="4" s="1"/>
  <c r="FD235" i="4" a="1"/>
  <c r="FD235" i="4" s="1"/>
  <c r="FB235" i="4" a="1"/>
  <c r="FB235" i="4" s="1"/>
  <c r="EZ235" i="4" a="1"/>
  <c r="EZ235" i="4" s="1"/>
  <c r="EX235" i="4" a="1"/>
  <c r="EX235" i="4" s="1"/>
  <c r="ER235" i="4" a="1"/>
  <c r="ER235" i="4" s="1"/>
  <c r="EL235" i="4" a="1"/>
  <c r="EL235" i="4" s="1"/>
  <c r="FA235" i="4" a="1"/>
  <c r="FA235" i="4" s="1"/>
  <c r="FC235" i="4" a="1"/>
  <c r="FC235" i="4" s="1"/>
  <c r="EY235" i="4" a="1"/>
  <c r="EY235" i="4" s="1"/>
  <c r="FG239" i="4" a="1"/>
  <c r="FG239" i="4" s="1"/>
  <c r="FI239" i="4" a="1"/>
  <c r="FI239" i="4" s="1"/>
  <c r="FF239" i="4" a="1"/>
  <c r="FF239" i="4" s="1"/>
  <c r="ES239" i="4" a="1"/>
  <c r="ES239" i="4" s="1"/>
  <c r="FJ239" i="4" a="1"/>
  <c r="FJ239" i="4" s="1"/>
  <c r="FE239" i="4" a="1"/>
  <c r="FE239" i="4" s="1"/>
  <c r="FK239" i="4" a="1"/>
  <c r="FK239" i="4" s="1"/>
  <c r="EM239" i="4" a="1"/>
  <c r="EM239" i="4" s="1"/>
  <c r="FH239" i="4" a="1"/>
  <c r="FH239" i="4" s="1"/>
  <c r="FG243" i="4" a="1"/>
  <c r="FG243" i="4" s="1"/>
  <c r="FI243" i="4" a="1"/>
  <c r="FI243" i="4" s="1"/>
  <c r="FF243" i="4" a="1"/>
  <c r="FF243" i="4" s="1"/>
  <c r="ES243" i="4" a="1"/>
  <c r="ES243" i="4" s="1"/>
  <c r="FJ243" i="4" a="1"/>
  <c r="FJ243" i="4" s="1"/>
  <c r="FE243" i="4" a="1"/>
  <c r="FE243" i="4" s="1"/>
  <c r="FH243" i="4" a="1"/>
  <c r="FH243" i="4" s="1"/>
  <c r="EM243" i="4" a="1"/>
  <c r="EM243" i="4" s="1"/>
  <c r="FK243" i="4" a="1"/>
  <c r="FK243" i="4" s="1"/>
  <c r="FG247" i="4" a="1"/>
  <c r="FG247" i="4" s="1"/>
  <c r="FI247" i="4" a="1"/>
  <c r="FI247" i="4" s="1"/>
  <c r="FF247" i="4" a="1"/>
  <c r="FF247" i="4" s="1"/>
  <c r="ES247" i="4" a="1"/>
  <c r="ES247" i="4" s="1"/>
  <c r="FJ247" i="4" a="1"/>
  <c r="FJ247" i="4" s="1"/>
  <c r="FE247" i="4" a="1"/>
  <c r="FE247" i="4" s="1"/>
  <c r="FK247" i="4" a="1"/>
  <c r="FK247" i="4" s="1"/>
  <c r="FH247" i="4" a="1"/>
  <c r="FH247" i="4" s="1"/>
  <c r="EM247" i="4" a="1"/>
  <c r="EM247" i="4" s="1"/>
  <c r="FX250" i="4" a="1"/>
  <c r="FX250" i="4" s="1"/>
  <c r="FV250" i="4" a="1"/>
  <c r="FV250" i="4" s="1"/>
  <c r="FT250" i="4" a="1"/>
  <c r="FT250" i="4" s="1"/>
  <c r="EV250" i="4" a="1"/>
  <c r="EV250" i="4" s="1"/>
  <c r="EP250" i="4" a="1"/>
  <c r="EP250" i="4" s="1"/>
  <c r="FU250" i="4" a="1"/>
  <c r="FU250" i="4" s="1"/>
  <c r="FW250" i="4" a="1"/>
  <c r="FW250" i="4" s="1"/>
  <c r="FS250" i="4" a="1"/>
  <c r="FS250" i="4" s="1"/>
  <c r="FY250" i="4" a="1"/>
  <c r="FY250" i="4" s="1"/>
  <c r="FD251" i="4" a="1"/>
  <c r="FD251" i="4" s="1"/>
  <c r="FB251" i="4" a="1"/>
  <c r="FB251" i="4" s="1"/>
  <c r="EZ251" i="4" a="1"/>
  <c r="EZ251" i="4" s="1"/>
  <c r="EX251" i="4" a="1"/>
  <c r="EX251" i="4" s="1"/>
  <c r="ER251" i="4" a="1"/>
  <c r="ER251" i="4" s="1"/>
  <c r="EL251" i="4" a="1"/>
  <c r="EL251" i="4" s="1"/>
  <c r="FA251" i="4" a="1"/>
  <c r="FA251" i="4" s="1"/>
  <c r="FC251" i="4" a="1"/>
  <c r="FC251" i="4" s="1"/>
  <c r="EY251" i="4" a="1"/>
  <c r="EY251" i="4" s="1"/>
  <c r="FX254" i="4" a="1"/>
  <c r="FX254" i="4" s="1"/>
  <c r="FV254" i="4" a="1"/>
  <c r="FV254" i="4" s="1"/>
  <c r="FT254" i="4" a="1"/>
  <c r="FT254" i="4" s="1"/>
  <c r="EV254" i="4" a="1"/>
  <c r="EV254" i="4" s="1"/>
  <c r="EP254" i="4" a="1"/>
  <c r="EP254" i="4" s="1"/>
  <c r="FS254" i="4" a="1"/>
  <c r="FS254" i="4" s="1"/>
  <c r="FU254" i="4" a="1"/>
  <c r="FU254" i="4" s="1"/>
  <c r="FY254" i="4" a="1"/>
  <c r="FY254" i="4" s="1"/>
  <c r="FW254" i="4" a="1"/>
  <c r="FW254" i="4" s="1"/>
  <c r="FD255" i="4" a="1"/>
  <c r="FD255" i="4" s="1"/>
  <c r="FB255" i="4" a="1"/>
  <c r="FB255" i="4" s="1"/>
  <c r="EZ255" i="4" a="1"/>
  <c r="EZ255" i="4" s="1"/>
  <c r="EX255" i="4" a="1"/>
  <c r="EX255" i="4" s="1"/>
  <c r="ER255" i="4" a="1"/>
  <c r="ER255" i="4" s="1"/>
  <c r="EL255" i="4" a="1"/>
  <c r="EL255" i="4" s="1"/>
  <c r="EY255" i="4" a="1"/>
  <c r="EY255" i="4" s="1"/>
  <c r="FA255" i="4" a="1"/>
  <c r="FA255" i="4" s="1"/>
  <c r="FC255" i="4" a="1"/>
  <c r="FC255" i="4" s="1"/>
  <c r="FX258" i="4" a="1"/>
  <c r="FX258" i="4" s="1"/>
  <c r="FV258" i="4" a="1"/>
  <c r="FV258" i="4" s="1"/>
  <c r="FT258" i="4" a="1"/>
  <c r="FT258" i="4" s="1"/>
  <c r="EV258" i="4" a="1"/>
  <c r="EV258" i="4" s="1"/>
  <c r="EP258" i="4" a="1"/>
  <c r="EP258" i="4" s="1"/>
  <c r="FS258" i="4" a="1"/>
  <c r="FS258" i="4" s="1"/>
  <c r="FU258" i="4" a="1"/>
  <c r="FU258" i="4" s="1"/>
  <c r="FY258" i="4" a="1"/>
  <c r="FY258" i="4" s="1"/>
  <c r="FW258" i="4" a="1"/>
  <c r="FW258" i="4" s="1"/>
  <c r="FD259" i="4" a="1"/>
  <c r="FD259" i="4" s="1"/>
  <c r="FB259" i="4" a="1"/>
  <c r="FB259" i="4" s="1"/>
  <c r="EZ259" i="4" a="1"/>
  <c r="EZ259" i="4" s="1"/>
  <c r="EX259" i="4" a="1"/>
  <c r="EX259" i="4" s="1"/>
  <c r="ER259" i="4" a="1"/>
  <c r="ER259" i="4" s="1"/>
  <c r="EL259" i="4" a="1"/>
  <c r="EL259" i="4" s="1"/>
  <c r="EY259" i="4" a="1"/>
  <c r="EY259" i="4" s="1"/>
  <c r="FA259" i="4" a="1"/>
  <c r="FA259" i="4" s="1"/>
  <c r="FC259" i="4" a="1"/>
  <c r="FC259" i="4" s="1"/>
  <c r="FX262" i="4" a="1"/>
  <c r="FX262" i="4" s="1"/>
  <c r="FV262" i="4" a="1"/>
  <c r="FV262" i="4" s="1"/>
  <c r="FT262" i="4" a="1"/>
  <c r="FT262" i="4" s="1"/>
  <c r="EV262" i="4" a="1"/>
  <c r="EV262" i="4" s="1"/>
  <c r="EP262" i="4" a="1"/>
  <c r="EP262" i="4" s="1"/>
  <c r="FY262" i="4" a="1"/>
  <c r="FY262" i="4" s="1"/>
  <c r="FS262" i="4" a="1"/>
  <c r="FS262" i="4" s="1"/>
  <c r="FW262" i="4" a="1"/>
  <c r="FW262" i="4" s="1"/>
  <c r="FU262" i="4" a="1"/>
  <c r="FU262" i="4" s="1"/>
  <c r="FD263" i="4" a="1"/>
  <c r="FD263" i="4" s="1"/>
  <c r="FB263" i="4" a="1"/>
  <c r="FB263" i="4" s="1"/>
  <c r="EZ263" i="4" a="1"/>
  <c r="EZ263" i="4" s="1"/>
  <c r="EX263" i="4" a="1"/>
  <c r="EX263" i="4" s="1"/>
  <c r="ER263" i="4" a="1"/>
  <c r="ER263" i="4" s="1"/>
  <c r="EL263" i="4" a="1"/>
  <c r="EL263" i="4" s="1"/>
  <c r="EY263" i="4" a="1"/>
  <c r="EY263" i="4" s="1"/>
  <c r="FC263" i="4" a="1"/>
  <c r="FC263" i="4" s="1"/>
  <c r="FA263" i="4" a="1"/>
  <c r="FA263" i="4" s="1"/>
  <c r="EN2" i="4" a="1"/>
  <c r="EN2" i="4" s="1"/>
  <c r="ET2" i="4" a="1"/>
  <c r="ET2" i="4" s="1"/>
  <c r="EN3" i="4" a="1"/>
  <c r="EN3" i="4" s="1"/>
  <c r="ET3" i="4" a="1"/>
  <c r="ET3" i="4" s="1"/>
  <c r="EZ4" i="4" a="1"/>
  <c r="EZ4" i="4" s="1"/>
  <c r="ER4" i="4" a="1"/>
  <c r="ER4" i="4" s="1"/>
  <c r="FB4" i="4" a="1"/>
  <c r="FB4" i="4" s="1"/>
  <c r="EY4" i="4" a="1"/>
  <c r="EY4" i="4" s="1"/>
  <c r="EL4" i="4" a="1"/>
  <c r="EL4" i="4" s="1"/>
  <c r="FC4" i="4" a="1"/>
  <c r="FC4" i="4" s="1"/>
  <c r="EX4" i="4" a="1"/>
  <c r="EX4" i="4" s="1"/>
  <c r="FA4" i="4" a="1"/>
  <c r="FA4" i="4" s="1"/>
  <c r="FD4" i="4" a="1"/>
  <c r="FD4" i="4" s="1"/>
  <c r="EN5" i="4" a="1"/>
  <c r="EN5" i="4" s="1"/>
  <c r="ET5" i="4" a="1"/>
  <c r="ET5" i="4" s="1"/>
  <c r="EZ6" i="4" a="1"/>
  <c r="EZ6" i="4" s="1"/>
  <c r="ER6" i="4" a="1"/>
  <c r="ER6" i="4" s="1"/>
  <c r="FB6" i="4" a="1"/>
  <c r="FB6" i="4" s="1"/>
  <c r="EY6" i="4" a="1"/>
  <c r="EY6" i="4" s="1"/>
  <c r="EL6" i="4" a="1"/>
  <c r="EL6" i="4" s="1"/>
  <c r="FC6" i="4" a="1"/>
  <c r="FC6" i="4" s="1"/>
  <c r="EX6" i="4" a="1"/>
  <c r="EX6" i="4" s="1"/>
  <c r="FA6" i="4" a="1"/>
  <c r="FA6" i="4" s="1"/>
  <c r="FD6" i="4" a="1"/>
  <c r="FD6" i="4" s="1"/>
  <c r="EN7" i="4" a="1"/>
  <c r="EN7" i="4" s="1"/>
  <c r="ET7" i="4" a="1"/>
  <c r="ET7" i="4" s="1"/>
  <c r="EZ8" i="4" a="1"/>
  <c r="EZ8" i="4" s="1"/>
  <c r="ER8" i="4" a="1"/>
  <c r="ER8" i="4" s="1"/>
  <c r="FB8" i="4" a="1"/>
  <c r="FB8" i="4" s="1"/>
  <c r="EY8" i="4" a="1"/>
  <c r="EY8" i="4" s="1"/>
  <c r="EL8" i="4" a="1"/>
  <c r="EL8" i="4" s="1"/>
  <c r="FC8" i="4" a="1"/>
  <c r="FC8" i="4" s="1"/>
  <c r="EX8" i="4" a="1"/>
  <c r="EX8" i="4" s="1"/>
  <c r="FA8" i="4" a="1"/>
  <c r="FA8" i="4" s="1"/>
  <c r="FD8" i="4" a="1"/>
  <c r="FD8" i="4" s="1"/>
  <c r="EN9" i="4" a="1"/>
  <c r="EN9" i="4" s="1"/>
  <c r="ET9" i="4" a="1"/>
  <c r="ET9" i="4" s="1"/>
  <c r="EZ10" i="4" a="1"/>
  <c r="EZ10" i="4" s="1"/>
  <c r="ER10" i="4" a="1"/>
  <c r="ER10" i="4" s="1"/>
  <c r="FB10" i="4" a="1"/>
  <c r="FB10" i="4" s="1"/>
  <c r="EY10" i="4" a="1"/>
  <c r="EY10" i="4" s="1"/>
  <c r="EL10" i="4" a="1"/>
  <c r="EL10" i="4" s="1"/>
  <c r="FC10" i="4" a="1"/>
  <c r="FC10" i="4" s="1"/>
  <c r="EX10" i="4" a="1"/>
  <c r="EX10" i="4" s="1"/>
  <c r="FA10" i="4" a="1"/>
  <c r="FA10" i="4" s="1"/>
  <c r="FD10" i="4" a="1"/>
  <c r="FD10" i="4" s="1"/>
  <c r="EN11" i="4" a="1"/>
  <c r="EN11" i="4" s="1"/>
  <c r="ET11" i="4" a="1"/>
  <c r="ET11" i="4" s="1"/>
  <c r="EZ12" i="4" a="1"/>
  <c r="EZ12" i="4" s="1"/>
  <c r="ER12" i="4" a="1"/>
  <c r="ER12" i="4" s="1"/>
  <c r="FB12" i="4" a="1"/>
  <c r="FB12" i="4" s="1"/>
  <c r="EY12" i="4" a="1"/>
  <c r="EY12" i="4" s="1"/>
  <c r="EL12" i="4" a="1"/>
  <c r="EL12" i="4" s="1"/>
  <c r="FC12" i="4" a="1"/>
  <c r="FC12" i="4" s="1"/>
  <c r="EX12" i="4" a="1"/>
  <c r="EX12" i="4" s="1"/>
  <c r="FA12" i="4" a="1"/>
  <c r="FA12" i="4" s="1"/>
  <c r="FD12" i="4" a="1"/>
  <c r="FD12" i="4" s="1"/>
  <c r="EN13" i="4" a="1"/>
  <c r="EN13" i="4" s="1"/>
  <c r="ET13" i="4" a="1"/>
  <c r="ET13" i="4" s="1"/>
  <c r="EZ14" i="4" a="1"/>
  <c r="EZ14" i="4" s="1"/>
  <c r="ER14" i="4" a="1"/>
  <c r="ER14" i="4" s="1"/>
  <c r="FB14" i="4" a="1"/>
  <c r="FB14" i="4" s="1"/>
  <c r="EY14" i="4" a="1"/>
  <c r="EY14" i="4" s="1"/>
  <c r="EL14" i="4" a="1"/>
  <c r="EL14" i="4" s="1"/>
  <c r="FC14" i="4" a="1"/>
  <c r="FC14" i="4" s="1"/>
  <c r="EX14" i="4" a="1"/>
  <c r="EX14" i="4" s="1"/>
  <c r="FA14" i="4" a="1"/>
  <c r="FA14" i="4" s="1"/>
  <c r="FD14" i="4" a="1"/>
  <c r="FD14" i="4" s="1"/>
  <c r="EN15" i="4" a="1"/>
  <c r="EN15" i="4" s="1"/>
  <c r="ET15" i="4" a="1"/>
  <c r="ET15" i="4" s="1"/>
  <c r="EZ16" i="4" a="1"/>
  <c r="EZ16" i="4" s="1"/>
  <c r="ER16" i="4" a="1"/>
  <c r="ER16" i="4" s="1"/>
  <c r="FB16" i="4" a="1"/>
  <c r="FB16" i="4" s="1"/>
  <c r="EY16" i="4" a="1"/>
  <c r="EY16" i="4" s="1"/>
  <c r="EL16" i="4" a="1"/>
  <c r="EL16" i="4" s="1"/>
  <c r="FC16" i="4" a="1"/>
  <c r="FC16" i="4" s="1"/>
  <c r="EX16" i="4" a="1"/>
  <c r="EX16" i="4" s="1"/>
  <c r="FA16" i="4" a="1"/>
  <c r="FA16" i="4" s="1"/>
  <c r="FD16" i="4" a="1"/>
  <c r="FD16" i="4" s="1"/>
  <c r="EN17" i="4" a="1"/>
  <c r="EN17" i="4" s="1"/>
  <c r="ET17" i="4" a="1"/>
  <c r="ET17" i="4" s="1"/>
  <c r="EZ18" i="4" a="1"/>
  <c r="EZ18" i="4" s="1"/>
  <c r="ER18" i="4" a="1"/>
  <c r="ER18" i="4" s="1"/>
  <c r="FB18" i="4" a="1"/>
  <c r="FB18" i="4" s="1"/>
  <c r="EY18" i="4" a="1"/>
  <c r="EY18" i="4" s="1"/>
  <c r="EL18" i="4" a="1"/>
  <c r="EL18" i="4" s="1"/>
  <c r="FC18" i="4" a="1"/>
  <c r="FC18" i="4" s="1"/>
  <c r="EX18" i="4" a="1"/>
  <c r="EX18" i="4" s="1"/>
  <c r="FA18" i="4" a="1"/>
  <c r="FA18" i="4" s="1"/>
  <c r="FD18" i="4" a="1"/>
  <c r="FD18" i="4" s="1"/>
  <c r="EN19" i="4" a="1"/>
  <c r="EN19" i="4" s="1"/>
  <c r="ET19" i="4" a="1"/>
  <c r="ET19" i="4" s="1"/>
  <c r="EZ20" i="4" a="1"/>
  <c r="EZ20" i="4" s="1"/>
  <c r="ER20" i="4" a="1"/>
  <c r="ER20" i="4" s="1"/>
  <c r="FB20" i="4" a="1"/>
  <c r="FB20" i="4" s="1"/>
  <c r="EY20" i="4" a="1"/>
  <c r="EY20" i="4" s="1"/>
  <c r="EL20" i="4" a="1"/>
  <c r="EL20" i="4" s="1"/>
  <c r="FC20" i="4" a="1"/>
  <c r="FC20" i="4" s="1"/>
  <c r="EX20" i="4" a="1"/>
  <c r="EX20" i="4" s="1"/>
  <c r="FA20" i="4" a="1"/>
  <c r="FA20" i="4" s="1"/>
  <c r="FD20" i="4" a="1"/>
  <c r="FD20" i="4" s="1"/>
  <c r="EN21" i="4" a="1"/>
  <c r="EN21" i="4" s="1"/>
  <c r="ET21" i="4" a="1"/>
  <c r="ET21" i="4" s="1"/>
  <c r="EZ22" i="4" a="1"/>
  <c r="EZ22" i="4" s="1"/>
  <c r="ER22" i="4" a="1"/>
  <c r="ER22" i="4" s="1"/>
  <c r="FB22" i="4" a="1"/>
  <c r="FB22" i="4" s="1"/>
  <c r="EY22" i="4" a="1"/>
  <c r="EY22" i="4" s="1"/>
  <c r="EL22" i="4" a="1"/>
  <c r="EL22" i="4" s="1"/>
  <c r="FC22" i="4" a="1"/>
  <c r="FC22" i="4" s="1"/>
  <c r="EX22" i="4" a="1"/>
  <c r="EX22" i="4" s="1"/>
  <c r="FA22" i="4" a="1"/>
  <c r="FA22" i="4" s="1"/>
  <c r="FD22" i="4" a="1"/>
  <c r="FD22" i="4" s="1"/>
  <c r="EN23" i="4" a="1"/>
  <c r="EN23" i="4" s="1"/>
  <c r="ET23" i="4" a="1"/>
  <c r="ET23" i="4" s="1"/>
  <c r="EZ24" i="4" a="1"/>
  <c r="EZ24" i="4" s="1"/>
  <c r="ER24" i="4" a="1"/>
  <c r="ER24" i="4" s="1"/>
  <c r="FB24" i="4" a="1"/>
  <c r="FB24" i="4" s="1"/>
  <c r="EY24" i="4" a="1"/>
  <c r="EY24" i="4" s="1"/>
  <c r="EL24" i="4" a="1"/>
  <c r="EL24" i="4" s="1"/>
  <c r="FC24" i="4" a="1"/>
  <c r="FC24" i="4" s="1"/>
  <c r="EX24" i="4" a="1"/>
  <c r="EX24" i="4" s="1"/>
  <c r="FA24" i="4" a="1"/>
  <c r="FA24" i="4" s="1"/>
  <c r="FD24" i="4" a="1"/>
  <c r="FD24" i="4" s="1"/>
  <c r="EN25" i="4" a="1"/>
  <c r="EN25" i="4" s="1"/>
  <c r="ET25" i="4" a="1"/>
  <c r="ET25" i="4" s="1"/>
  <c r="EZ26" i="4" a="1"/>
  <c r="EZ26" i="4" s="1"/>
  <c r="ER26" i="4" a="1"/>
  <c r="ER26" i="4" s="1"/>
  <c r="FB26" i="4" a="1"/>
  <c r="FB26" i="4" s="1"/>
  <c r="EY26" i="4" a="1"/>
  <c r="EY26" i="4" s="1"/>
  <c r="EL26" i="4" a="1"/>
  <c r="EL26" i="4" s="1"/>
  <c r="FC26" i="4" a="1"/>
  <c r="FC26" i="4" s="1"/>
  <c r="EX26" i="4" a="1"/>
  <c r="EX26" i="4" s="1"/>
  <c r="FD26" i="4" a="1"/>
  <c r="FD26" i="4" s="1"/>
  <c r="FA26" i="4" a="1"/>
  <c r="FA26" i="4" s="1"/>
  <c r="EN27" i="4" a="1"/>
  <c r="EN27" i="4" s="1"/>
  <c r="ET27" i="4" a="1"/>
  <c r="ET27" i="4" s="1"/>
  <c r="EZ28" i="4" a="1"/>
  <c r="EZ28" i="4" s="1"/>
  <c r="ER28" i="4" a="1"/>
  <c r="ER28" i="4" s="1"/>
  <c r="FB28" i="4" a="1"/>
  <c r="FB28" i="4" s="1"/>
  <c r="EY28" i="4" a="1"/>
  <c r="EY28" i="4" s="1"/>
  <c r="EL28" i="4" a="1"/>
  <c r="EL28" i="4" s="1"/>
  <c r="FC28" i="4" a="1"/>
  <c r="FC28" i="4" s="1"/>
  <c r="EX28" i="4" a="1"/>
  <c r="EX28" i="4" s="1"/>
  <c r="FD28" i="4" a="1"/>
  <c r="FD28" i="4" s="1"/>
  <c r="FA28" i="4" a="1"/>
  <c r="FA28" i="4" s="1"/>
  <c r="EN29" i="4" a="1"/>
  <c r="EN29" i="4" s="1"/>
  <c r="ET29" i="4" a="1"/>
  <c r="ET29" i="4" s="1"/>
  <c r="EN30" i="4" a="1"/>
  <c r="EN30" i="4" s="1"/>
  <c r="ET30" i="4" a="1"/>
  <c r="ET30" i="4" s="1"/>
  <c r="EQ31" i="4" a="1"/>
  <c r="EQ31" i="4" s="1"/>
  <c r="EK31" i="4" a="1"/>
  <c r="EK31" i="4" s="1"/>
  <c r="EN32" i="4" a="1"/>
  <c r="EN32" i="4" s="1"/>
  <c r="ET32" i="4" a="1"/>
  <c r="ET32" i="4" s="1"/>
  <c r="EQ33" i="4" a="1"/>
  <c r="EQ33" i="4" s="1"/>
  <c r="EK33" i="4" a="1"/>
  <c r="EK33" i="4" s="1"/>
  <c r="EN34" i="4" a="1"/>
  <c r="EN34" i="4" s="1"/>
  <c r="ET34" i="4" a="1"/>
  <c r="ET34" i="4" s="1"/>
  <c r="EQ35" i="4" a="1"/>
  <c r="EQ35" i="4" s="1"/>
  <c r="EK35" i="4" a="1"/>
  <c r="EK35" i="4" s="1"/>
  <c r="EN36" i="4" a="1"/>
  <c r="EN36" i="4" s="1"/>
  <c r="ET36" i="4" a="1"/>
  <c r="ET36" i="4" s="1"/>
  <c r="EQ37" i="4" a="1"/>
  <c r="EQ37" i="4" s="1"/>
  <c r="EK37" i="4" a="1"/>
  <c r="EK37" i="4" s="1"/>
  <c r="EN38" i="4" a="1"/>
  <c r="EN38" i="4" s="1"/>
  <c r="ET38" i="4" a="1"/>
  <c r="ET38" i="4" s="1"/>
  <c r="EQ39" i="4" a="1"/>
  <c r="EQ39" i="4" s="1"/>
  <c r="EK39" i="4" a="1"/>
  <c r="EK39" i="4" s="1"/>
  <c r="EN40" i="4" a="1"/>
  <c r="EN40" i="4" s="1"/>
  <c r="ET40" i="4" a="1"/>
  <c r="ET40" i="4" s="1"/>
  <c r="EQ41" i="4" a="1"/>
  <c r="EQ41" i="4" s="1"/>
  <c r="EK41" i="4" a="1"/>
  <c r="EK41" i="4" s="1"/>
  <c r="EN42" i="4" a="1"/>
  <c r="EN42" i="4" s="1"/>
  <c r="ET42" i="4" a="1"/>
  <c r="ET42" i="4" s="1"/>
  <c r="EQ43" i="4" a="1"/>
  <c r="EQ43" i="4" s="1"/>
  <c r="EK43" i="4" a="1"/>
  <c r="EK43" i="4" s="1"/>
  <c r="ET44" i="4" a="1"/>
  <c r="ET44" i="4" s="1"/>
  <c r="EN44" i="4" a="1"/>
  <c r="EN44" i="4" s="1"/>
  <c r="FC46" i="4" a="1"/>
  <c r="FC46" i="4" s="1"/>
  <c r="EZ46" i="4" a="1"/>
  <c r="EZ46" i="4" s="1"/>
  <c r="ER46" i="4" a="1"/>
  <c r="ER46" i="4" s="1"/>
  <c r="FB46" i="4" a="1"/>
  <c r="FB46" i="4" s="1"/>
  <c r="EL46" i="4" a="1"/>
  <c r="EL46" i="4" s="1"/>
  <c r="FA46" i="4" a="1"/>
  <c r="FA46" i="4" s="1"/>
  <c r="EX46" i="4" a="1"/>
  <c r="EX46" i="4" s="1"/>
  <c r="FD46" i="4" a="1"/>
  <c r="FD46" i="4" s="1"/>
  <c r="EY46" i="4" a="1"/>
  <c r="EY46" i="4" s="1"/>
  <c r="FC48" i="4" a="1"/>
  <c r="FC48" i="4" s="1"/>
  <c r="EZ48" i="4" a="1"/>
  <c r="EZ48" i="4" s="1"/>
  <c r="ER48" i="4" a="1"/>
  <c r="ER48" i="4" s="1"/>
  <c r="FB48" i="4" a="1"/>
  <c r="FB48" i="4" s="1"/>
  <c r="EL48" i="4" a="1"/>
  <c r="EL48" i="4" s="1"/>
  <c r="FA48" i="4" a="1"/>
  <c r="FA48" i="4" s="1"/>
  <c r="EX48" i="4" a="1"/>
  <c r="EX48" i="4" s="1"/>
  <c r="EY48" i="4" a="1"/>
  <c r="EY48" i="4" s="1"/>
  <c r="FD48" i="4" a="1"/>
  <c r="FD48" i="4" s="1"/>
  <c r="FC50" i="4" a="1"/>
  <c r="FC50" i="4" s="1"/>
  <c r="EZ50" i="4" a="1"/>
  <c r="EZ50" i="4" s="1"/>
  <c r="ER50" i="4" a="1"/>
  <c r="ER50" i="4" s="1"/>
  <c r="FB50" i="4" a="1"/>
  <c r="FB50" i="4" s="1"/>
  <c r="EL50" i="4" a="1"/>
  <c r="EL50" i="4" s="1"/>
  <c r="FA50" i="4" a="1"/>
  <c r="FA50" i="4" s="1"/>
  <c r="EX50" i="4" a="1"/>
  <c r="EX50" i="4" s="1"/>
  <c r="EY50" i="4" a="1"/>
  <c r="EY50" i="4" s="1"/>
  <c r="FD50" i="4" a="1"/>
  <c r="FD50" i="4" s="1"/>
  <c r="ET51" i="4" a="1"/>
  <c r="ET51" i="4" s="1"/>
  <c r="EN51" i="4" a="1"/>
  <c r="EN51" i="4" s="1"/>
  <c r="EQ52" i="4" a="1"/>
  <c r="EQ52" i="4" s="1"/>
  <c r="EK52" i="4" a="1"/>
  <c r="EK52" i="4" s="1"/>
  <c r="ET53" i="4" a="1"/>
  <c r="ET53" i="4" s="1"/>
  <c r="EN53" i="4" a="1"/>
  <c r="EN53" i="4" s="1"/>
  <c r="EQ54" i="4" a="1"/>
  <c r="EQ54" i="4" s="1"/>
  <c r="EK54" i="4" a="1"/>
  <c r="EK54" i="4" s="1"/>
  <c r="ET55" i="4" a="1"/>
  <c r="ET55" i="4" s="1"/>
  <c r="EN55" i="4" a="1"/>
  <c r="EN55" i="4" s="1"/>
  <c r="EQ56" i="4" a="1"/>
  <c r="EQ56" i="4" s="1"/>
  <c r="EK56" i="4" a="1"/>
  <c r="EK56" i="4" s="1"/>
  <c r="ET57" i="4" a="1"/>
  <c r="ET57" i="4" s="1"/>
  <c r="EN57" i="4" a="1"/>
  <c r="EN57" i="4" s="1"/>
  <c r="EQ58" i="4" a="1"/>
  <c r="EQ58" i="4" s="1"/>
  <c r="EK58" i="4" a="1"/>
  <c r="EK58" i="4" s="1"/>
  <c r="ET59" i="4" a="1"/>
  <c r="ET59" i="4" s="1"/>
  <c r="EN59" i="4" a="1"/>
  <c r="EN59" i="4" s="1"/>
  <c r="EQ60" i="4" a="1"/>
  <c r="EQ60" i="4" s="1"/>
  <c r="EK60" i="4" a="1"/>
  <c r="EK60" i="4" s="1"/>
  <c r="ET61" i="4" a="1"/>
  <c r="ET61" i="4" s="1"/>
  <c r="EN61" i="4" a="1"/>
  <c r="EN61" i="4" s="1"/>
  <c r="FQ62" i="4" a="1"/>
  <c r="FQ62" i="4" s="1"/>
  <c r="FO62" i="4" a="1"/>
  <c r="FO62" i="4" s="1"/>
  <c r="FM62" i="4" a="1"/>
  <c r="FM62" i="4" s="1"/>
  <c r="EU62" i="4" a="1"/>
  <c r="EU62" i="4" s="1"/>
  <c r="EO62" i="4" a="1"/>
  <c r="EO62" i="4" s="1"/>
  <c r="FL62" i="4" a="1"/>
  <c r="FL62" i="4" s="1"/>
  <c r="FN62" i="4" a="1"/>
  <c r="FN62" i="4" s="1"/>
  <c r="FR62" i="4" a="1"/>
  <c r="FR62" i="4" s="1"/>
  <c r="FP62" i="4" a="1"/>
  <c r="FP62" i="4" s="1"/>
  <c r="FY66" i="4" a="1"/>
  <c r="FY66" i="4" s="1"/>
  <c r="FW66" i="4" a="1"/>
  <c r="FW66" i="4" s="1"/>
  <c r="FU66" i="4" a="1"/>
  <c r="FU66" i="4" s="1"/>
  <c r="FS66" i="4" a="1"/>
  <c r="FS66" i="4" s="1"/>
  <c r="FT66" i="4" a="1"/>
  <c r="FT66" i="4" s="1"/>
  <c r="EV66" i="4" a="1"/>
  <c r="EV66" i="4" s="1"/>
  <c r="FX66" i="4" a="1"/>
  <c r="FX66" i="4" s="1"/>
  <c r="FV66" i="4" a="1"/>
  <c r="FV66" i="4" s="1"/>
  <c r="EP66" i="4" a="1"/>
  <c r="EP66" i="4" s="1"/>
  <c r="FK76" i="4" a="1"/>
  <c r="FK76" i="4" s="1"/>
  <c r="FI76" i="4" a="1"/>
  <c r="FI76" i="4" s="1"/>
  <c r="FG76" i="4" a="1"/>
  <c r="FG76" i="4" s="1"/>
  <c r="FE76" i="4" a="1"/>
  <c r="FE76" i="4" s="1"/>
  <c r="ES76" i="4" a="1"/>
  <c r="ES76" i="4" s="1"/>
  <c r="EM76" i="4" a="1"/>
  <c r="EM76" i="4" s="1"/>
  <c r="FF76" i="4" a="1"/>
  <c r="FF76" i="4" s="1"/>
  <c r="FH76" i="4" a="1"/>
  <c r="FH76" i="4" s="1"/>
  <c r="FJ76" i="4" a="1"/>
  <c r="FJ76" i="4" s="1"/>
  <c r="FK77" i="4" a="1"/>
  <c r="FK77" i="4" s="1"/>
  <c r="FI77" i="4" a="1"/>
  <c r="FI77" i="4" s="1"/>
  <c r="FG77" i="4" a="1"/>
  <c r="FG77" i="4" s="1"/>
  <c r="FE77" i="4" a="1"/>
  <c r="FE77" i="4" s="1"/>
  <c r="ES77" i="4" a="1"/>
  <c r="ES77" i="4" s="1"/>
  <c r="EM77" i="4" a="1"/>
  <c r="EM77" i="4" s="1"/>
  <c r="FF77" i="4" a="1"/>
  <c r="FF77" i="4" s="1"/>
  <c r="FH77" i="4" a="1"/>
  <c r="FH77" i="4" s="1"/>
  <c r="FJ77" i="4" a="1"/>
  <c r="FJ77" i="4" s="1"/>
  <c r="FC78" i="4" a="1"/>
  <c r="FC78" i="4" s="1"/>
  <c r="FA78" i="4" a="1"/>
  <c r="FA78" i="4" s="1"/>
  <c r="EY78" i="4" a="1"/>
  <c r="EY78" i="4" s="1"/>
  <c r="EZ78" i="4" a="1"/>
  <c r="EZ78" i="4" s="1"/>
  <c r="ER78" i="4" a="1"/>
  <c r="ER78" i="4" s="1"/>
  <c r="FB78" i="4" a="1"/>
  <c r="FB78" i="4" s="1"/>
  <c r="EL78" i="4" a="1"/>
  <c r="EL78" i="4" s="1"/>
  <c r="EX78" i="4" a="1"/>
  <c r="EX78" i="4" s="1"/>
  <c r="FD78" i="4" a="1"/>
  <c r="FD78" i="4" s="1"/>
  <c r="FC79" i="4" a="1"/>
  <c r="FC79" i="4" s="1"/>
  <c r="FA79" i="4" a="1"/>
  <c r="FA79" i="4" s="1"/>
  <c r="EY79" i="4" a="1"/>
  <c r="EY79" i="4" s="1"/>
  <c r="EZ79" i="4" a="1"/>
  <c r="EZ79" i="4" s="1"/>
  <c r="ER79" i="4" a="1"/>
  <c r="ER79" i="4" s="1"/>
  <c r="FB79" i="4" a="1"/>
  <c r="FB79" i="4" s="1"/>
  <c r="EL79" i="4" a="1"/>
  <c r="EL79" i="4" s="1"/>
  <c r="EX79" i="4" a="1"/>
  <c r="EX79" i="4" s="1"/>
  <c r="FD79" i="4" a="1"/>
  <c r="FD79" i="4" s="1"/>
  <c r="EQ80" i="4" a="1"/>
  <c r="EQ80" i="4" s="1"/>
  <c r="EK80" i="4" a="1"/>
  <c r="EK80" i="4" s="1"/>
  <c r="FQ81" i="4" a="1"/>
  <c r="FQ81" i="4" s="1"/>
  <c r="FO81" i="4" a="1"/>
  <c r="FO81" i="4" s="1"/>
  <c r="FM81" i="4" a="1"/>
  <c r="FM81" i="4" s="1"/>
  <c r="EU81" i="4" a="1"/>
  <c r="EU81" i="4" s="1"/>
  <c r="EO81" i="4" a="1"/>
  <c r="EO81" i="4" s="1"/>
  <c r="FL81" i="4" a="1"/>
  <c r="FL81" i="4" s="1"/>
  <c r="FN81" i="4" a="1"/>
  <c r="FN81" i="4" s="1"/>
  <c r="FR81" i="4" a="1"/>
  <c r="FR81" i="4" s="1"/>
  <c r="FP81" i="4" a="1"/>
  <c r="FP81" i="4" s="1"/>
  <c r="FK89" i="4" a="1"/>
  <c r="FK89" i="4" s="1"/>
  <c r="FI89" i="4" a="1"/>
  <c r="FI89" i="4" s="1"/>
  <c r="FG89" i="4" a="1"/>
  <c r="FG89" i="4" s="1"/>
  <c r="FE89" i="4" a="1"/>
  <c r="FE89" i="4" s="1"/>
  <c r="ES89" i="4" a="1"/>
  <c r="ES89" i="4" s="1"/>
  <c r="EM89" i="4" a="1"/>
  <c r="EM89" i="4" s="1"/>
  <c r="FF89" i="4" a="1"/>
  <c r="FF89" i="4" s="1"/>
  <c r="FH89" i="4" a="1"/>
  <c r="FH89" i="4" s="1"/>
  <c r="FJ89" i="4" a="1"/>
  <c r="FJ89" i="4" s="1"/>
  <c r="FC90" i="4" a="1"/>
  <c r="FC90" i="4" s="1"/>
  <c r="FA90" i="4" a="1"/>
  <c r="FA90" i="4" s="1"/>
  <c r="EY90" i="4" a="1"/>
  <c r="EY90" i="4" s="1"/>
  <c r="EZ90" i="4" a="1"/>
  <c r="EZ90" i="4" s="1"/>
  <c r="ER90" i="4" a="1"/>
  <c r="ER90" i="4" s="1"/>
  <c r="FB90" i="4" a="1"/>
  <c r="FB90" i="4" s="1"/>
  <c r="EL90" i="4" a="1"/>
  <c r="EL90" i="4" s="1"/>
  <c r="EX90" i="4" a="1"/>
  <c r="EX90" i="4" s="1"/>
  <c r="FD90" i="4" a="1"/>
  <c r="FD90" i="4" s="1"/>
  <c r="EQ91" i="4" a="1"/>
  <c r="EQ91" i="4" s="1"/>
  <c r="EK91" i="4" a="1"/>
  <c r="EK91" i="4" s="1"/>
  <c r="EQ92" i="4" a="1"/>
  <c r="EQ92" i="4" s="1"/>
  <c r="EK92" i="4" a="1"/>
  <c r="EK92" i="4" s="1"/>
  <c r="FQ93" i="4" a="1"/>
  <c r="FQ93" i="4" s="1"/>
  <c r="FO93" i="4" a="1"/>
  <c r="FO93" i="4" s="1"/>
  <c r="FM93" i="4" a="1"/>
  <c r="FM93" i="4" s="1"/>
  <c r="EU93" i="4" a="1"/>
  <c r="EU93" i="4" s="1"/>
  <c r="EO93" i="4" a="1"/>
  <c r="EO93" i="4" s="1"/>
  <c r="FL93" i="4" a="1"/>
  <c r="FL93" i="4" s="1"/>
  <c r="FN93" i="4" a="1"/>
  <c r="FN93" i="4" s="1"/>
  <c r="FR93" i="4" a="1"/>
  <c r="FR93" i="4" s="1"/>
  <c r="FP93" i="4" a="1"/>
  <c r="FP93" i="4" s="1"/>
  <c r="FY96" i="4" a="1"/>
  <c r="FY96" i="4" s="1"/>
  <c r="FW96" i="4" a="1"/>
  <c r="FW96" i="4" s="1"/>
  <c r="FU96" i="4" a="1"/>
  <c r="FU96" i="4" s="1"/>
  <c r="FS96" i="4" a="1"/>
  <c r="FS96" i="4" s="1"/>
  <c r="FT96" i="4" a="1"/>
  <c r="FT96" i="4" s="1"/>
  <c r="EV96" i="4" a="1"/>
  <c r="EV96" i="4" s="1"/>
  <c r="FX96" i="4" a="1"/>
  <c r="FX96" i="4" s="1"/>
  <c r="FV96" i="4" a="1"/>
  <c r="FV96" i="4" s="1"/>
  <c r="EP96" i="4" a="1"/>
  <c r="EP96" i="4" s="1"/>
  <c r="FK103" i="4" a="1"/>
  <c r="FK103" i="4" s="1"/>
  <c r="FI103" i="4" a="1"/>
  <c r="FI103" i="4" s="1"/>
  <c r="FG103" i="4" a="1"/>
  <c r="FG103" i="4" s="1"/>
  <c r="FE103" i="4" a="1"/>
  <c r="FE103" i="4" s="1"/>
  <c r="ES103" i="4" a="1"/>
  <c r="ES103" i="4" s="1"/>
  <c r="EM103" i="4" a="1"/>
  <c r="EM103" i="4" s="1"/>
  <c r="FF103" i="4" a="1"/>
  <c r="FF103" i="4" s="1"/>
  <c r="FH103" i="4" a="1"/>
  <c r="FH103" i="4" s="1"/>
  <c r="FJ103" i="4" a="1"/>
  <c r="FJ103" i="4" s="1"/>
  <c r="FC104" i="4" a="1"/>
  <c r="FC104" i="4" s="1"/>
  <c r="FA104" i="4" a="1"/>
  <c r="FA104" i="4" s="1"/>
  <c r="EY104" i="4" a="1"/>
  <c r="EY104" i="4" s="1"/>
  <c r="EZ104" i="4" a="1"/>
  <c r="EZ104" i="4" s="1"/>
  <c r="ER104" i="4" a="1"/>
  <c r="ER104" i="4" s="1"/>
  <c r="FB104" i="4" a="1"/>
  <c r="FB104" i="4" s="1"/>
  <c r="EL104" i="4" a="1"/>
  <c r="EL104" i="4" s="1"/>
  <c r="EX104" i="4" a="1"/>
  <c r="EX104" i="4" s="1"/>
  <c r="FD104" i="4" a="1"/>
  <c r="FD104" i="4" s="1"/>
  <c r="EQ105" i="4" a="1"/>
  <c r="EQ105" i="4" s="1"/>
  <c r="EK105" i="4" a="1"/>
  <c r="EK105" i="4" s="1"/>
  <c r="FQ106" i="4" a="1"/>
  <c r="FQ106" i="4" s="1"/>
  <c r="FO106" i="4" a="1"/>
  <c r="FO106" i="4" s="1"/>
  <c r="FM106" i="4" a="1"/>
  <c r="FM106" i="4" s="1"/>
  <c r="EU106" i="4" a="1"/>
  <c r="EU106" i="4" s="1"/>
  <c r="EO106" i="4" a="1"/>
  <c r="EO106" i="4" s="1"/>
  <c r="FL106" i="4" a="1"/>
  <c r="FL106" i="4" s="1"/>
  <c r="FN106" i="4" a="1"/>
  <c r="FN106" i="4" s="1"/>
  <c r="FR106" i="4" a="1"/>
  <c r="FR106" i="4" s="1"/>
  <c r="FP106" i="4" a="1"/>
  <c r="FP106" i="4" s="1"/>
  <c r="FQ118" i="4" a="1"/>
  <c r="FQ118" i="4" s="1"/>
  <c r="FO118" i="4" a="1"/>
  <c r="FO118" i="4" s="1"/>
  <c r="FM118" i="4" a="1"/>
  <c r="FM118" i="4" s="1"/>
  <c r="EU118" i="4" a="1"/>
  <c r="EU118" i="4" s="1"/>
  <c r="EO118" i="4" a="1"/>
  <c r="EO118" i="4" s="1"/>
  <c r="FL118" i="4" a="1"/>
  <c r="FL118" i="4" s="1"/>
  <c r="FN118" i="4" a="1"/>
  <c r="FN118" i="4" s="1"/>
  <c r="FR118" i="4" a="1"/>
  <c r="FR118" i="4" s="1"/>
  <c r="FP118" i="4" a="1"/>
  <c r="FP118" i="4" s="1"/>
  <c r="FY122" i="4" a="1"/>
  <c r="FY122" i="4" s="1"/>
  <c r="FW122" i="4" a="1"/>
  <c r="FW122" i="4" s="1"/>
  <c r="FU122" i="4" a="1"/>
  <c r="FU122" i="4" s="1"/>
  <c r="FS122" i="4" a="1"/>
  <c r="FS122" i="4" s="1"/>
  <c r="FT122" i="4" a="1"/>
  <c r="FT122" i="4" s="1"/>
  <c r="EV122" i="4" a="1"/>
  <c r="EV122" i="4" s="1"/>
  <c r="FX122" i="4" a="1"/>
  <c r="FX122" i="4" s="1"/>
  <c r="FV122" i="4" a="1"/>
  <c r="FV122" i="4" s="1"/>
  <c r="EP122" i="4" a="1"/>
  <c r="EP122" i="4" s="1"/>
  <c r="FY123" i="4" a="1"/>
  <c r="FY123" i="4" s="1"/>
  <c r="FW123" i="4" a="1"/>
  <c r="FW123" i="4" s="1"/>
  <c r="FU123" i="4" a="1"/>
  <c r="FU123" i="4" s="1"/>
  <c r="FS123" i="4" a="1"/>
  <c r="FS123" i="4" s="1"/>
  <c r="FT123" i="4" a="1"/>
  <c r="FT123" i="4" s="1"/>
  <c r="EV123" i="4" a="1"/>
  <c r="EV123" i="4" s="1"/>
  <c r="FX123" i="4" a="1"/>
  <c r="FX123" i="4" s="1"/>
  <c r="FV123" i="4" a="1"/>
  <c r="FV123" i="4" s="1"/>
  <c r="EP123" i="4" a="1"/>
  <c r="EP123" i="4" s="1"/>
  <c r="FQ132" i="4" a="1"/>
  <c r="FQ132" i="4" s="1"/>
  <c r="FO132" i="4" a="1"/>
  <c r="FO132" i="4" s="1"/>
  <c r="FM132" i="4" a="1"/>
  <c r="FM132" i="4" s="1"/>
  <c r="EU132" i="4" a="1"/>
  <c r="EU132" i="4" s="1"/>
  <c r="EO132" i="4" a="1"/>
  <c r="EO132" i="4" s="1"/>
  <c r="FL132" i="4" a="1"/>
  <c r="FL132" i="4" s="1"/>
  <c r="FN132" i="4" a="1"/>
  <c r="FN132" i="4" s="1"/>
  <c r="FR132" i="4" a="1"/>
  <c r="FR132" i="4" s="1"/>
  <c r="FP132" i="4" a="1"/>
  <c r="FP132" i="4" s="1"/>
  <c r="FY136" i="4" a="1"/>
  <c r="FY136" i="4" s="1"/>
  <c r="FW136" i="4" a="1"/>
  <c r="FW136" i="4" s="1"/>
  <c r="FU136" i="4" a="1"/>
  <c r="FU136" i="4" s="1"/>
  <c r="FS136" i="4" a="1"/>
  <c r="FS136" i="4" s="1"/>
  <c r="FT136" i="4" a="1"/>
  <c r="FT136" i="4" s="1"/>
  <c r="EV136" i="4" a="1"/>
  <c r="EV136" i="4" s="1"/>
  <c r="FX136" i="4" a="1"/>
  <c r="FX136" i="4" s="1"/>
  <c r="EP136" i="4" a="1"/>
  <c r="EP136" i="4" s="1"/>
  <c r="FV136" i="4" a="1"/>
  <c r="FV136" i="4" s="1"/>
  <c r="FK149" i="4" a="1"/>
  <c r="FK149" i="4" s="1"/>
  <c r="FI149" i="4" a="1"/>
  <c r="FI149" i="4" s="1"/>
  <c r="FG149" i="4" a="1"/>
  <c r="FG149" i="4" s="1"/>
  <c r="FE149" i="4" a="1"/>
  <c r="FE149" i="4" s="1"/>
  <c r="ES149" i="4" a="1"/>
  <c r="ES149" i="4" s="1"/>
  <c r="EM149" i="4" a="1"/>
  <c r="EM149" i="4" s="1"/>
  <c r="FF149" i="4" a="1"/>
  <c r="FF149" i="4" s="1"/>
  <c r="FH149" i="4" a="1"/>
  <c r="FH149" i="4" s="1"/>
  <c r="FJ149" i="4" a="1"/>
  <c r="FJ149" i="4" s="1"/>
  <c r="FC150" i="4" a="1"/>
  <c r="FC150" i="4" s="1"/>
  <c r="FA150" i="4" a="1"/>
  <c r="FA150" i="4" s="1"/>
  <c r="EY150" i="4" a="1"/>
  <c r="EY150" i="4" s="1"/>
  <c r="EZ150" i="4" a="1"/>
  <c r="EZ150" i="4" s="1"/>
  <c r="ER150" i="4" a="1"/>
  <c r="ER150" i="4" s="1"/>
  <c r="FB150" i="4" a="1"/>
  <c r="FB150" i="4" s="1"/>
  <c r="EL150" i="4" a="1"/>
  <c r="EL150" i="4" s="1"/>
  <c r="EX150" i="4" a="1"/>
  <c r="EX150" i="4" s="1"/>
  <c r="FD150" i="4" a="1"/>
  <c r="FD150" i="4" s="1"/>
  <c r="EQ151" i="4" a="1"/>
  <c r="EQ151" i="4" s="1"/>
  <c r="EK151" i="4" a="1"/>
  <c r="EK151" i="4" s="1"/>
  <c r="FQ152" i="4" a="1"/>
  <c r="FQ152" i="4" s="1"/>
  <c r="FO152" i="4" a="1"/>
  <c r="FO152" i="4" s="1"/>
  <c r="FM152" i="4" a="1"/>
  <c r="FM152" i="4" s="1"/>
  <c r="EU152" i="4" a="1"/>
  <c r="EU152" i="4" s="1"/>
  <c r="EO152" i="4" a="1"/>
  <c r="EO152" i="4" s="1"/>
  <c r="FL152" i="4" a="1"/>
  <c r="FL152" i="4" s="1"/>
  <c r="FN152" i="4" a="1"/>
  <c r="FN152" i="4" s="1"/>
  <c r="FR152" i="4" a="1"/>
  <c r="FR152" i="4" s="1"/>
  <c r="FP152" i="4" a="1"/>
  <c r="FP152" i="4" s="1"/>
  <c r="FY156" i="4" a="1"/>
  <c r="FY156" i="4" s="1"/>
  <c r="FW156" i="4" a="1"/>
  <c r="FW156" i="4" s="1"/>
  <c r="FU156" i="4" a="1"/>
  <c r="FU156" i="4" s="1"/>
  <c r="FS156" i="4" a="1"/>
  <c r="FS156" i="4" s="1"/>
  <c r="FT156" i="4" a="1"/>
  <c r="FT156" i="4" s="1"/>
  <c r="EV156" i="4" a="1"/>
  <c r="EV156" i="4" s="1"/>
  <c r="FX156" i="4" a="1"/>
  <c r="FX156" i="4" s="1"/>
  <c r="FV156" i="4" a="1"/>
  <c r="FV156" i="4" s="1"/>
  <c r="EP156" i="4" a="1"/>
  <c r="EP156" i="4" s="1"/>
  <c r="FK164" i="4" a="1"/>
  <c r="FK164" i="4" s="1"/>
  <c r="FI164" i="4" a="1"/>
  <c r="FI164" i="4" s="1"/>
  <c r="FG164" i="4" a="1"/>
  <c r="FG164" i="4" s="1"/>
  <c r="FE164" i="4" a="1"/>
  <c r="FE164" i="4" s="1"/>
  <c r="ES164" i="4" a="1"/>
  <c r="ES164" i="4" s="1"/>
  <c r="EM164" i="4" a="1"/>
  <c r="EM164" i="4" s="1"/>
  <c r="FF164" i="4" a="1"/>
  <c r="FF164" i="4" s="1"/>
  <c r="FH164" i="4" a="1"/>
  <c r="FH164" i="4" s="1"/>
  <c r="FJ164" i="4" a="1"/>
  <c r="FJ164" i="4" s="1"/>
  <c r="FC165" i="4" a="1"/>
  <c r="FC165" i="4" s="1"/>
  <c r="FA165" i="4" a="1"/>
  <c r="FA165" i="4" s="1"/>
  <c r="EY165" i="4" a="1"/>
  <c r="EY165" i="4" s="1"/>
  <c r="EZ165" i="4" a="1"/>
  <c r="EZ165" i="4" s="1"/>
  <c r="ER165" i="4" a="1"/>
  <c r="ER165" i="4" s="1"/>
  <c r="FB165" i="4" a="1"/>
  <c r="FB165" i="4" s="1"/>
  <c r="EL165" i="4" a="1"/>
  <c r="EL165" i="4" s="1"/>
  <c r="EX165" i="4" a="1"/>
  <c r="EX165" i="4" s="1"/>
  <c r="FD165" i="4" a="1"/>
  <c r="FD165" i="4" s="1"/>
  <c r="EQ166" i="4" a="1"/>
  <c r="EQ166" i="4" s="1"/>
  <c r="EK166" i="4" a="1"/>
  <c r="EK166" i="4" s="1"/>
  <c r="EQ167" i="4" a="1"/>
  <c r="EQ167" i="4" s="1"/>
  <c r="EK167" i="4" a="1"/>
  <c r="EK167" i="4" s="1"/>
  <c r="FQ168" i="4" a="1"/>
  <c r="FQ168" i="4" s="1"/>
  <c r="FO168" i="4" a="1"/>
  <c r="FO168" i="4" s="1"/>
  <c r="FM168" i="4" a="1"/>
  <c r="FM168" i="4" s="1"/>
  <c r="EU168" i="4" a="1"/>
  <c r="EU168" i="4" s="1"/>
  <c r="EO168" i="4" a="1"/>
  <c r="EO168" i="4" s="1"/>
  <c r="FL168" i="4" a="1"/>
  <c r="FL168" i="4" s="1"/>
  <c r="FN168" i="4" a="1"/>
  <c r="FN168" i="4" s="1"/>
  <c r="FR168" i="4" a="1"/>
  <c r="FR168" i="4" s="1"/>
  <c r="FP168" i="4" a="1"/>
  <c r="FP168" i="4" s="1"/>
  <c r="FY171" i="4" a="1"/>
  <c r="FY171" i="4" s="1"/>
  <c r="FW171" i="4" a="1"/>
  <c r="FW171" i="4" s="1"/>
  <c r="FU171" i="4" a="1"/>
  <c r="FU171" i="4" s="1"/>
  <c r="FS171" i="4" a="1"/>
  <c r="FS171" i="4" s="1"/>
  <c r="FT171" i="4" a="1"/>
  <c r="FT171" i="4" s="1"/>
  <c r="EV171" i="4" a="1"/>
  <c r="EV171" i="4" s="1"/>
  <c r="FX171" i="4" a="1"/>
  <c r="FX171" i="4" s="1"/>
  <c r="FV171" i="4" a="1"/>
  <c r="FV171" i="4" s="1"/>
  <c r="EP171" i="4" a="1"/>
  <c r="EP171" i="4" s="1"/>
  <c r="FK184" i="4" a="1"/>
  <c r="FK184" i="4" s="1"/>
  <c r="FI184" i="4" a="1"/>
  <c r="FI184" i="4" s="1"/>
  <c r="FG184" i="4" a="1"/>
  <c r="FG184" i="4" s="1"/>
  <c r="FE184" i="4" a="1"/>
  <c r="FE184" i="4" s="1"/>
  <c r="ES184" i="4" a="1"/>
  <c r="ES184" i="4" s="1"/>
  <c r="EM184" i="4" a="1"/>
  <c r="EM184" i="4" s="1"/>
  <c r="FF184" i="4" a="1"/>
  <c r="FF184" i="4" s="1"/>
  <c r="FH184" i="4" a="1"/>
  <c r="FH184" i="4" s="1"/>
  <c r="FJ184" i="4" a="1"/>
  <c r="FJ184" i="4" s="1"/>
  <c r="FC185" i="4" a="1"/>
  <c r="FC185" i="4" s="1"/>
  <c r="FA185" i="4" a="1"/>
  <c r="FA185" i="4" s="1"/>
  <c r="EY185" i="4" a="1"/>
  <c r="EY185" i="4" s="1"/>
  <c r="EZ185" i="4" a="1"/>
  <c r="EZ185" i="4" s="1"/>
  <c r="ER185" i="4" a="1"/>
  <c r="ER185" i="4" s="1"/>
  <c r="FB185" i="4" a="1"/>
  <c r="FB185" i="4" s="1"/>
  <c r="EL185" i="4" a="1"/>
  <c r="EL185" i="4" s="1"/>
  <c r="EX185" i="4" a="1"/>
  <c r="EX185" i="4" s="1"/>
  <c r="FD185" i="4" a="1"/>
  <c r="FD185" i="4" s="1"/>
  <c r="EQ186" i="4" a="1"/>
  <c r="EQ186" i="4" s="1"/>
  <c r="EK186" i="4" a="1"/>
  <c r="EK186" i="4" s="1"/>
  <c r="FQ187" i="4" a="1"/>
  <c r="FQ187" i="4" s="1"/>
  <c r="FO187" i="4" a="1"/>
  <c r="FO187" i="4" s="1"/>
  <c r="FM187" i="4" a="1"/>
  <c r="FM187" i="4" s="1"/>
  <c r="EU187" i="4" a="1"/>
  <c r="EU187" i="4" s="1"/>
  <c r="EO187" i="4" a="1"/>
  <c r="EO187" i="4" s="1"/>
  <c r="FL187" i="4" a="1"/>
  <c r="FL187" i="4" s="1"/>
  <c r="FN187" i="4" a="1"/>
  <c r="FN187" i="4" s="1"/>
  <c r="FR187" i="4" a="1"/>
  <c r="FR187" i="4" s="1"/>
  <c r="FP187" i="4" a="1"/>
  <c r="FP187" i="4" s="1"/>
  <c r="FY190" i="4" a="1"/>
  <c r="FY190" i="4" s="1"/>
  <c r="FW190" i="4" a="1"/>
  <c r="FW190" i="4" s="1"/>
  <c r="FU190" i="4" a="1"/>
  <c r="FU190" i="4" s="1"/>
  <c r="FS190" i="4" a="1"/>
  <c r="FS190" i="4" s="1"/>
  <c r="FT190" i="4" a="1"/>
  <c r="FT190" i="4" s="1"/>
  <c r="EV190" i="4" a="1"/>
  <c r="EV190" i="4" s="1"/>
  <c r="FX190" i="4" a="1"/>
  <c r="FX190" i="4" s="1"/>
  <c r="FV190" i="4" a="1"/>
  <c r="FV190" i="4" s="1"/>
  <c r="EP190" i="4" a="1"/>
  <c r="EP190" i="4" s="1"/>
  <c r="FR206" i="4" a="1"/>
  <c r="FR206" i="4" s="1"/>
  <c r="FP206" i="4" a="1"/>
  <c r="FP206" i="4" s="1"/>
  <c r="FN206" i="4" a="1"/>
  <c r="FN206" i="4" s="1"/>
  <c r="FL206" i="4" a="1"/>
  <c r="FL206" i="4" s="1"/>
  <c r="FO206" i="4" a="1"/>
  <c r="FO206" i="4" s="1"/>
  <c r="FQ206" i="4" a="1"/>
  <c r="FQ206" i="4" s="1"/>
  <c r="FM206" i="4" a="1"/>
  <c r="FM206" i="4" s="1"/>
  <c r="EO206" i="4" a="1"/>
  <c r="EO206" i="4" s="1"/>
  <c r="EU206" i="4" a="1"/>
  <c r="EU206" i="4" s="1"/>
  <c r="FR208" i="4" a="1"/>
  <c r="FR208" i="4" s="1"/>
  <c r="FP208" i="4" a="1"/>
  <c r="FP208" i="4" s="1"/>
  <c r="FN208" i="4" a="1"/>
  <c r="FN208" i="4" s="1"/>
  <c r="FL208" i="4" a="1"/>
  <c r="FL208" i="4" s="1"/>
  <c r="FO208" i="4" a="1"/>
  <c r="FO208" i="4" s="1"/>
  <c r="FQ208" i="4" a="1"/>
  <c r="FQ208" i="4" s="1"/>
  <c r="FM208" i="4" a="1"/>
  <c r="FM208" i="4" s="1"/>
  <c r="EO208" i="4" a="1"/>
  <c r="EO208" i="4" s="1"/>
  <c r="EU208" i="4" a="1"/>
  <c r="EU208" i="4" s="1"/>
  <c r="FR210" i="4" a="1"/>
  <c r="FR210" i="4" s="1"/>
  <c r="FP210" i="4" a="1"/>
  <c r="FP210" i="4" s="1"/>
  <c r="FN210" i="4" a="1"/>
  <c r="FN210" i="4" s="1"/>
  <c r="FL210" i="4" a="1"/>
  <c r="FL210" i="4" s="1"/>
  <c r="FO210" i="4" a="1"/>
  <c r="FO210" i="4" s="1"/>
  <c r="FQ210" i="4" a="1"/>
  <c r="FQ210" i="4" s="1"/>
  <c r="FM210" i="4" a="1"/>
  <c r="FM210" i="4" s="1"/>
  <c r="EO210" i="4" a="1"/>
  <c r="EO210" i="4" s="1"/>
  <c r="EU210" i="4" a="1"/>
  <c r="EU210" i="4" s="1"/>
  <c r="FR212" i="4" a="1"/>
  <c r="FR212" i="4" s="1"/>
  <c r="FP212" i="4" a="1"/>
  <c r="FP212" i="4" s="1"/>
  <c r="FN212" i="4" a="1"/>
  <c r="FN212" i="4" s="1"/>
  <c r="FL212" i="4" a="1"/>
  <c r="FL212" i="4" s="1"/>
  <c r="FO212" i="4" a="1"/>
  <c r="FO212" i="4" s="1"/>
  <c r="FQ212" i="4" a="1"/>
  <c r="FQ212" i="4" s="1"/>
  <c r="FM212" i="4" a="1"/>
  <c r="FM212" i="4" s="1"/>
  <c r="EO212" i="4" a="1"/>
  <c r="EO212" i="4" s="1"/>
  <c r="EU212" i="4" a="1"/>
  <c r="EU212" i="4" s="1"/>
  <c r="FR214" i="4" a="1"/>
  <c r="FR214" i="4" s="1"/>
  <c r="FP214" i="4" a="1"/>
  <c r="FP214" i="4" s="1"/>
  <c r="FN214" i="4" a="1"/>
  <c r="FN214" i="4" s="1"/>
  <c r="FL214" i="4" a="1"/>
  <c r="FL214" i="4" s="1"/>
  <c r="FO214" i="4" a="1"/>
  <c r="FO214" i="4" s="1"/>
  <c r="FQ214" i="4" a="1"/>
  <c r="FQ214" i="4" s="1"/>
  <c r="FM214" i="4" a="1"/>
  <c r="FM214" i="4" s="1"/>
  <c r="EO214" i="4" a="1"/>
  <c r="EO214" i="4" s="1"/>
  <c r="EU214" i="4" a="1"/>
  <c r="EU214" i="4" s="1"/>
  <c r="FR216" i="4" a="1"/>
  <c r="FR216" i="4" s="1"/>
  <c r="FP216" i="4" a="1"/>
  <c r="FP216" i="4" s="1"/>
  <c r="FN216" i="4" a="1"/>
  <c r="FN216" i="4" s="1"/>
  <c r="FL216" i="4" a="1"/>
  <c r="FL216" i="4" s="1"/>
  <c r="FO216" i="4" a="1"/>
  <c r="FO216" i="4" s="1"/>
  <c r="FQ216" i="4" a="1"/>
  <c r="FQ216" i="4" s="1"/>
  <c r="FM216" i="4" a="1"/>
  <c r="FM216" i="4" s="1"/>
  <c r="EO216" i="4" a="1"/>
  <c r="EO216" i="4" s="1"/>
  <c r="EU216" i="4" a="1"/>
  <c r="EU216" i="4" s="1"/>
  <c r="FO237" i="4" a="1"/>
  <c r="FO237" i="4" s="1"/>
  <c r="FL237" i="4" a="1"/>
  <c r="FL237" i="4" s="1"/>
  <c r="FQ237" i="4" a="1"/>
  <c r="FQ237" i="4" s="1"/>
  <c r="FN237" i="4" a="1"/>
  <c r="FN237" i="4" s="1"/>
  <c r="FR237" i="4" a="1"/>
  <c r="FR237" i="4" s="1"/>
  <c r="FM237" i="4" a="1"/>
  <c r="FM237" i="4" s="1"/>
  <c r="EO237" i="4" a="1"/>
  <c r="EO237" i="4" s="1"/>
  <c r="FP237" i="4" a="1"/>
  <c r="FP237" i="4" s="1"/>
  <c r="EU237" i="4" a="1"/>
  <c r="EU237" i="4" s="1"/>
  <c r="FO239" i="4" a="1"/>
  <c r="FO239" i="4" s="1"/>
  <c r="FL239" i="4" a="1"/>
  <c r="FL239" i="4" s="1"/>
  <c r="FQ239" i="4" a="1"/>
  <c r="FQ239" i="4" s="1"/>
  <c r="FN239" i="4" a="1"/>
  <c r="FN239" i="4" s="1"/>
  <c r="FR239" i="4" a="1"/>
  <c r="FR239" i="4" s="1"/>
  <c r="FM239" i="4" a="1"/>
  <c r="FM239" i="4" s="1"/>
  <c r="EO239" i="4" a="1"/>
  <c r="EO239" i="4" s="1"/>
  <c r="FP239" i="4" a="1"/>
  <c r="FP239" i="4" s="1"/>
  <c r="EU239" i="4" a="1"/>
  <c r="EU239" i="4" s="1"/>
  <c r="FO241" i="4" a="1"/>
  <c r="FO241" i="4" s="1"/>
  <c r="FL241" i="4" a="1"/>
  <c r="FL241" i="4" s="1"/>
  <c r="FQ241" i="4" a="1"/>
  <c r="FQ241" i="4" s="1"/>
  <c r="FN241" i="4" a="1"/>
  <c r="FN241" i="4" s="1"/>
  <c r="FR241" i="4" a="1"/>
  <c r="FR241" i="4" s="1"/>
  <c r="FM241" i="4" a="1"/>
  <c r="FM241" i="4" s="1"/>
  <c r="EO241" i="4" a="1"/>
  <c r="EO241" i="4" s="1"/>
  <c r="EU241" i="4" a="1"/>
  <c r="EU241" i="4" s="1"/>
  <c r="FP241" i="4" a="1"/>
  <c r="FP241" i="4" s="1"/>
  <c r="FO243" i="4" a="1"/>
  <c r="FO243" i="4" s="1"/>
  <c r="FL243" i="4" a="1"/>
  <c r="FL243" i="4" s="1"/>
  <c r="FQ243" i="4" a="1"/>
  <c r="FQ243" i="4" s="1"/>
  <c r="FN243" i="4" a="1"/>
  <c r="FN243" i="4" s="1"/>
  <c r="FR243" i="4" a="1"/>
  <c r="FR243" i="4" s="1"/>
  <c r="FM243" i="4" a="1"/>
  <c r="FM243" i="4" s="1"/>
  <c r="EO243" i="4" a="1"/>
  <c r="EO243" i="4" s="1"/>
  <c r="FP243" i="4" a="1"/>
  <c r="FP243" i="4" s="1"/>
  <c r="EU243" i="4" a="1"/>
  <c r="EU243" i="4" s="1"/>
  <c r="FO245" i="4" a="1"/>
  <c r="FO245" i="4" s="1"/>
  <c r="FL245" i="4" a="1"/>
  <c r="FL245" i="4" s="1"/>
  <c r="FQ245" i="4" a="1"/>
  <c r="FQ245" i="4" s="1"/>
  <c r="FN245" i="4" a="1"/>
  <c r="FN245" i="4" s="1"/>
  <c r="FR245" i="4" a="1"/>
  <c r="FR245" i="4" s="1"/>
  <c r="FM245" i="4" a="1"/>
  <c r="FM245" i="4" s="1"/>
  <c r="EO245" i="4" a="1"/>
  <c r="EO245" i="4" s="1"/>
  <c r="FP245" i="4" a="1"/>
  <c r="FP245" i="4" s="1"/>
  <c r="EU245" i="4" a="1"/>
  <c r="EU245" i="4" s="1"/>
  <c r="FO247" i="4" a="1"/>
  <c r="FO247" i="4" s="1"/>
  <c r="FL247" i="4" a="1"/>
  <c r="FL247" i="4" s="1"/>
  <c r="FQ247" i="4" a="1"/>
  <c r="FQ247" i="4" s="1"/>
  <c r="FN247" i="4" a="1"/>
  <c r="FN247" i="4" s="1"/>
  <c r="FR247" i="4" a="1"/>
  <c r="FR247" i="4" s="1"/>
  <c r="FM247" i="4" a="1"/>
  <c r="FM247" i="4" s="1"/>
  <c r="EO247" i="4" a="1"/>
  <c r="EO247" i="4" s="1"/>
  <c r="FP247" i="4" a="1"/>
  <c r="FP247" i="4" s="1"/>
  <c r="EU247" i="4" a="1"/>
  <c r="EU247" i="4" s="1"/>
  <c r="FW248" i="4" a="1"/>
  <c r="FW248" i="4" s="1"/>
  <c r="FY248" i="4" a="1"/>
  <c r="FY248" i="4" s="1"/>
  <c r="FT248" i="4" a="1"/>
  <c r="FT248" i="4" s="1"/>
  <c r="EV248" i="4" a="1"/>
  <c r="EV248" i="4" s="1"/>
  <c r="FX248" i="4" a="1"/>
  <c r="FX248" i="4" s="1"/>
  <c r="FU248" i="4" a="1"/>
  <c r="FU248" i="4" s="1"/>
  <c r="FS248" i="4" a="1"/>
  <c r="FS248" i="4" s="1"/>
  <c r="EP248" i="4" a="1"/>
  <c r="EP248" i="4" s="1"/>
  <c r="FV248" i="4" a="1"/>
  <c r="FV248" i="4" s="1"/>
  <c r="FR253" i="4" a="1"/>
  <c r="FR253" i="4" s="1"/>
  <c r="FP253" i="4" a="1"/>
  <c r="FP253" i="4" s="1"/>
  <c r="FN253" i="4" a="1"/>
  <c r="FN253" i="4" s="1"/>
  <c r="FL253" i="4" a="1"/>
  <c r="FL253" i="4" s="1"/>
  <c r="FO253" i="4" a="1"/>
  <c r="FO253" i="4" s="1"/>
  <c r="FQ253" i="4" a="1"/>
  <c r="FQ253" i="4" s="1"/>
  <c r="FM253" i="4" a="1"/>
  <c r="FM253" i="4" s="1"/>
  <c r="EO253" i="4" a="1"/>
  <c r="EO253" i="4" s="1"/>
  <c r="EU253" i="4" a="1"/>
  <c r="EU253" i="4" s="1"/>
  <c r="FR255" i="4" a="1"/>
  <c r="FR255" i="4" s="1"/>
  <c r="FP255" i="4" a="1"/>
  <c r="FP255" i="4" s="1"/>
  <c r="FN255" i="4" a="1"/>
  <c r="FN255" i="4" s="1"/>
  <c r="FL255" i="4" a="1"/>
  <c r="FL255" i="4" s="1"/>
  <c r="FO255" i="4" a="1"/>
  <c r="FO255" i="4" s="1"/>
  <c r="FQ255" i="4" a="1"/>
  <c r="FQ255" i="4" s="1"/>
  <c r="FM255" i="4" a="1"/>
  <c r="FM255" i="4" s="1"/>
  <c r="EO255" i="4" a="1"/>
  <c r="EO255" i="4" s="1"/>
  <c r="EU255" i="4" a="1"/>
  <c r="EU255" i="4" s="1"/>
  <c r="FR257" i="4" a="1"/>
  <c r="FR257" i="4" s="1"/>
  <c r="FP257" i="4" a="1"/>
  <c r="FP257" i="4" s="1"/>
  <c r="FN257" i="4" a="1"/>
  <c r="FN257" i="4" s="1"/>
  <c r="FL257" i="4" a="1"/>
  <c r="FL257" i="4" s="1"/>
  <c r="FO257" i="4" a="1"/>
  <c r="FO257" i="4" s="1"/>
  <c r="FQ257" i="4" a="1"/>
  <c r="FQ257" i="4" s="1"/>
  <c r="FM257" i="4" a="1"/>
  <c r="FM257" i="4" s="1"/>
  <c r="EO257" i="4" a="1"/>
  <c r="EO257" i="4" s="1"/>
  <c r="EU257" i="4" a="1"/>
  <c r="EU257" i="4" s="1"/>
  <c r="FR259" i="4" a="1"/>
  <c r="FR259" i="4" s="1"/>
  <c r="FP259" i="4" a="1"/>
  <c r="FP259" i="4" s="1"/>
  <c r="FN259" i="4" a="1"/>
  <c r="FN259" i="4" s="1"/>
  <c r="FL259" i="4" a="1"/>
  <c r="FL259" i="4" s="1"/>
  <c r="FO259" i="4" a="1"/>
  <c r="FO259" i="4" s="1"/>
  <c r="FQ259" i="4" a="1"/>
  <c r="FQ259" i="4" s="1"/>
  <c r="FM259" i="4" a="1"/>
  <c r="FM259" i="4" s="1"/>
  <c r="EO259" i="4" a="1"/>
  <c r="EO259" i="4" s="1"/>
  <c r="EU259" i="4" a="1"/>
  <c r="EU259" i="4" s="1"/>
  <c r="FQ71" i="4" a="1"/>
  <c r="FQ71" i="4" s="1"/>
  <c r="FO71" i="4" a="1"/>
  <c r="FO71" i="4" s="1"/>
  <c r="FM71" i="4" a="1"/>
  <c r="FM71" i="4" s="1"/>
  <c r="EU71" i="4" a="1"/>
  <c r="EU71" i="4" s="1"/>
  <c r="EO71" i="4" a="1"/>
  <c r="EO71" i="4" s="1"/>
  <c r="FP71" i="4" a="1"/>
  <c r="FP71" i="4" s="1"/>
  <c r="FR71" i="4" a="1"/>
  <c r="FR71" i="4" s="1"/>
  <c r="FN71" i="4" a="1"/>
  <c r="FN71" i="4" s="1"/>
  <c r="FL71" i="4" a="1"/>
  <c r="FL71" i="4" s="1"/>
  <c r="FY76" i="4" a="1"/>
  <c r="FY76" i="4" s="1"/>
  <c r="FW76" i="4" a="1"/>
  <c r="FW76" i="4" s="1"/>
  <c r="FU76" i="4" a="1"/>
  <c r="FU76" i="4" s="1"/>
  <c r="FS76" i="4" a="1"/>
  <c r="FS76" i="4" s="1"/>
  <c r="FV76" i="4" a="1"/>
  <c r="FV76" i="4" s="1"/>
  <c r="EP76" i="4" a="1"/>
  <c r="EP76" i="4" s="1"/>
  <c r="FX76" i="4" a="1"/>
  <c r="FX76" i="4" s="1"/>
  <c r="FT76" i="4" a="1"/>
  <c r="FT76" i="4" s="1"/>
  <c r="EV76" i="4" a="1"/>
  <c r="EV76" i="4" s="1"/>
  <c r="FY77" i="4" a="1"/>
  <c r="FY77" i="4" s="1"/>
  <c r="FW77" i="4" a="1"/>
  <c r="FW77" i="4" s="1"/>
  <c r="FU77" i="4" a="1"/>
  <c r="FU77" i="4" s="1"/>
  <c r="FS77" i="4" a="1"/>
  <c r="FS77" i="4" s="1"/>
  <c r="FV77" i="4" a="1"/>
  <c r="FV77" i="4" s="1"/>
  <c r="EP77" i="4" a="1"/>
  <c r="EP77" i="4" s="1"/>
  <c r="FX77" i="4" a="1"/>
  <c r="FX77" i="4" s="1"/>
  <c r="FT77" i="4" a="1"/>
  <c r="FT77" i="4" s="1"/>
  <c r="EV77" i="4" a="1"/>
  <c r="EV77" i="4" s="1"/>
  <c r="FK87" i="4" a="1"/>
  <c r="FK87" i="4" s="1"/>
  <c r="FI87" i="4" a="1"/>
  <c r="FI87" i="4" s="1"/>
  <c r="FG87" i="4" a="1"/>
  <c r="FG87" i="4" s="1"/>
  <c r="FE87" i="4" a="1"/>
  <c r="FE87" i="4" s="1"/>
  <c r="ES87" i="4" a="1"/>
  <c r="ES87" i="4" s="1"/>
  <c r="EM87" i="4" a="1"/>
  <c r="EM87" i="4" s="1"/>
  <c r="FJ87" i="4" a="1"/>
  <c r="FJ87" i="4" s="1"/>
  <c r="FH87" i="4" a="1"/>
  <c r="FH87" i="4" s="1"/>
  <c r="FF87" i="4" a="1"/>
  <c r="FF87" i="4" s="1"/>
  <c r="FC88" i="4" a="1"/>
  <c r="FC88" i="4" s="1"/>
  <c r="FA88" i="4" a="1"/>
  <c r="FA88" i="4" s="1"/>
  <c r="EY88" i="4" a="1"/>
  <c r="EY88" i="4" s="1"/>
  <c r="FD88" i="4" a="1"/>
  <c r="FD88" i="4" s="1"/>
  <c r="EX88" i="4" a="1"/>
  <c r="EX88" i="4" s="1"/>
  <c r="FB88" i="4" a="1"/>
  <c r="FB88" i="4" s="1"/>
  <c r="EL88" i="4" a="1"/>
  <c r="EL88" i="4" s="1"/>
  <c r="ER88" i="4" a="1"/>
  <c r="ER88" i="4" s="1"/>
  <c r="EZ88" i="4" a="1"/>
  <c r="EZ88" i="4" s="1"/>
  <c r="EQ89" i="4" a="1"/>
  <c r="EQ89" i="4" s="1"/>
  <c r="EK89" i="4" a="1"/>
  <c r="EK89" i="4" s="1"/>
  <c r="FQ90" i="4" a="1"/>
  <c r="FQ90" i="4" s="1"/>
  <c r="FO90" i="4" a="1"/>
  <c r="FO90" i="4" s="1"/>
  <c r="FM90" i="4" a="1"/>
  <c r="FM90" i="4" s="1"/>
  <c r="EU90" i="4" a="1"/>
  <c r="EU90" i="4" s="1"/>
  <c r="EO90" i="4" a="1"/>
  <c r="EO90" i="4" s="1"/>
  <c r="FP90" i="4" a="1"/>
  <c r="FP90" i="4" s="1"/>
  <c r="FR90" i="4" a="1"/>
  <c r="FR90" i="4" s="1"/>
  <c r="FN90" i="4" a="1"/>
  <c r="FN90" i="4" s="1"/>
  <c r="FL90" i="4" a="1"/>
  <c r="FL90" i="4" s="1"/>
  <c r="FY94" i="4" a="1"/>
  <c r="FY94" i="4" s="1"/>
  <c r="FW94" i="4" a="1"/>
  <c r="FW94" i="4" s="1"/>
  <c r="FU94" i="4" a="1"/>
  <c r="FU94" i="4" s="1"/>
  <c r="FS94" i="4" a="1"/>
  <c r="FS94" i="4" s="1"/>
  <c r="FV94" i="4" a="1"/>
  <c r="FV94" i="4" s="1"/>
  <c r="EP94" i="4" a="1"/>
  <c r="EP94" i="4" s="1"/>
  <c r="FX94" i="4" a="1"/>
  <c r="FX94" i="4" s="1"/>
  <c r="FT94" i="4" a="1"/>
  <c r="FT94" i="4" s="1"/>
  <c r="EV94" i="4" a="1"/>
  <c r="EV94" i="4" s="1"/>
  <c r="FK105" i="4" a="1"/>
  <c r="FK105" i="4" s="1"/>
  <c r="FI105" i="4" a="1"/>
  <c r="FI105" i="4" s="1"/>
  <c r="FG105" i="4" a="1"/>
  <c r="FG105" i="4" s="1"/>
  <c r="FE105" i="4" a="1"/>
  <c r="FE105" i="4" s="1"/>
  <c r="ES105" i="4" a="1"/>
  <c r="ES105" i="4" s="1"/>
  <c r="EM105" i="4" a="1"/>
  <c r="EM105" i="4" s="1"/>
  <c r="FJ105" i="4" a="1"/>
  <c r="FJ105" i="4" s="1"/>
  <c r="FH105" i="4" a="1"/>
  <c r="FH105" i="4" s="1"/>
  <c r="FF105" i="4" a="1"/>
  <c r="FF105" i="4" s="1"/>
  <c r="FC106" i="4" a="1"/>
  <c r="FC106" i="4" s="1"/>
  <c r="FA106" i="4" a="1"/>
  <c r="FA106" i="4" s="1"/>
  <c r="EY106" i="4" a="1"/>
  <c r="EY106" i="4" s="1"/>
  <c r="FD106" i="4" a="1"/>
  <c r="FD106" i="4" s="1"/>
  <c r="EX106" i="4" a="1"/>
  <c r="EX106" i="4" s="1"/>
  <c r="FB106" i="4" a="1"/>
  <c r="FB106" i="4" s="1"/>
  <c r="EL106" i="4" a="1"/>
  <c r="EL106" i="4" s="1"/>
  <c r="ER106" i="4" a="1"/>
  <c r="ER106" i="4" s="1"/>
  <c r="EZ106" i="4" a="1"/>
  <c r="EZ106" i="4" s="1"/>
  <c r="FC107" i="4" a="1"/>
  <c r="FC107" i="4" s="1"/>
  <c r="FA107" i="4" a="1"/>
  <c r="FA107" i="4" s="1"/>
  <c r="EY107" i="4" a="1"/>
  <c r="EY107" i="4" s="1"/>
  <c r="FD107" i="4" a="1"/>
  <c r="FD107" i="4" s="1"/>
  <c r="EX107" i="4" a="1"/>
  <c r="EX107" i="4" s="1"/>
  <c r="FB107" i="4" a="1"/>
  <c r="FB107" i="4" s="1"/>
  <c r="EL107" i="4" a="1"/>
  <c r="EL107" i="4" s="1"/>
  <c r="ER107" i="4" a="1"/>
  <c r="ER107" i="4" s="1"/>
  <c r="EZ107" i="4" a="1"/>
  <c r="EZ107" i="4" s="1"/>
  <c r="EQ108" i="4" a="1"/>
  <c r="EQ108" i="4" s="1"/>
  <c r="EK108" i="4" a="1"/>
  <c r="EK108" i="4" s="1"/>
  <c r="FQ109" i="4" a="1"/>
  <c r="FQ109" i="4" s="1"/>
  <c r="FO109" i="4" a="1"/>
  <c r="FO109" i="4" s="1"/>
  <c r="FM109" i="4" a="1"/>
  <c r="FM109" i="4" s="1"/>
  <c r="EU109" i="4" a="1"/>
  <c r="EU109" i="4" s="1"/>
  <c r="EO109" i="4" a="1"/>
  <c r="EO109" i="4" s="1"/>
  <c r="FP109" i="4" a="1"/>
  <c r="FP109" i="4" s="1"/>
  <c r="FR109" i="4" a="1"/>
  <c r="FR109" i="4" s="1"/>
  <c r="FN109" i="4" a="1"/>
  <c r="FN109" i="4" s="1"/>
  <c r="FL109" i="4" a="1"/>
  <c r="FL109" i="4" s="1"/>
  <c r="FY113" i="4" a="1"/>
  <c r="FY113" i="4" s="1"/>
  <c r="FW113" i="4" a="1"/>
  <c r="FW113" i="4" s="1"/>
  <c r="FU113" i="4" a="1"/>
  <c r="FU113" i="4" s="1"/>
  <c r="FS113" i="4" a="1"/>
  <c r="FS113" i="4" s="1"/>
  <c r="FV113" i="4" a="1"/>
  <c r="FV113" i="4" s="1"/>
  <c r="EP113" i="4" a="1"/>
  <c r="EP113" i="4" s="1"/>
  <c r="FX113" i="4" a="1"/>
  <c r="FX113" i="4" s="1"/>
  <c r="FT113" i="4" a="1"/>
  <c r="FT113" i="4" s="1"/>
  <c r="EV113" i="4" a="1"/>
  <c r="EV113" i="4" s="1"/>
  <c r="FK130" i="4" a="1"/>
  <c r="FK130" i="4" s="1"/>
  <c r="FI130" i="4" a="1"/>
  <c r="FI130" i="4" s="1"/>
  <c r="FG130" i="4" a="1"/>
  <c r="FG130" i="4" s="1"/>
  <c r="FE130" i="4" a="1"/>
  <c r="FE130" i="4" s="1"/>
  <c r="ES130" i="4" a="1"/>
  <c r="ES130" i="4" s="1"/>
  <c r="EM130" i="4" a="1"/>
  <c r="EM130" i="4" s="1"/>
  <c r="FJ130" i="4" a="1"/>
  <c r="FJ130" i="4" s="1"/>
  <c r="FH130" i="4" a="1"/>
  <c r="FH130" i="4" s="1"/>
  <c r="FF130" i="4" a="1"/>
  <c r="FF130" i="4" s="1"/>
  <c r="FC131" i="4" a="1"/>
  <c r="FC131" i="4" s="1"/>
  <c r="FA131" i="4" a="1"/>
  <c r="FA131" i="4" s="1"/>
  <c r="EY131" i="4" a="1"/>
  <c r="EY131" i="4" s="1"/>
  <c r="FD131" i="4" a="1"/>
  <c r="FD131" i="4" s="1"/>
  <c r="EX131" i="4" a="1"/>
  <c r="EX131" i="4" s="1"/>
  <c r="FB131" i="4" a="1"/>
  <c r="FB131" i="4" s="1"/>
  <c r="EL131" i="4" a="1"/>
  <c r="EL131" i="4" s="1"/>
  <c r="EZ131" i="4" a="1"/>
  <c r="EZ131" i="4" s="1"/>
  <c r="ER131" i="4" a="1"/>
  <c r="ER131" i="4" s="1"/>
  <c r="FC132" i="4" a="1"/>
  <c r="FC132" i="4" s="1"/>
  <c r="FA132" i="4" a="1"/>
  <c r="FA132" i="4" s="1"/>
  <c r="EY132" i="4" a="1"/>
  <c r="EY132" i="4" s="1"/>
  <c r="FD132" i="4" a="1"/>
  <c r="FD132" i="4" s="1"/>
  <c r="EX132" i="4" a="1"/>
  <c r="EX132" i="4" s="1"/>
  <c r="FB132" i="4" a="1"/>
  <c r="FB132" i="4" s="1"/>
  <c r="EL132" i="4" a="1"/>
  <c r="EL132" i="4" s="1"/>
  <c r="ER132" i="4" a="1"/>
  <c r="ER132" i="4" s="1"/>
  <c r="EZ132" i="4" a="1"/>
  <c r="EZ132" i="4" s="1"/>
  <c r="EQ133" i="4" a="1"/>
  <c r="EQ133" i="4" s="1"/>
  <c r="EK133" i="4" a="1"/>
  <c r="EK133" i="4" s="1"/>
  <c r="EQ134" i="4" a="1"/>
  <c r="EQ134" i="4" s="1"/>
  <c r="EK134" i="4" a="1"/>
  <c r="EK134" i="4" s="1"/>
  <c r="FQ135" i="4" a="1"/>
  <c r="FQ135" i="4" s="1"/>
  <c r="FO135" i="4" a="1"/>
  <c r="FO135" i="4" s="1"/>
  <c r="FM135" i="4" a="1"/>
  <c r="FM135" i="4" s="1"/>
  <c r="EU135" i="4" a="1"/>
  <c r="EU135" i="4" s="1"/>
  <c r="EO135" i="4" a="1"/>
  <c r="EO135" i="4" s="1"/>
  <c r="FP135" i="4" a="1"/>
  <c r="FP135" i="4" s="1"/>
  <c r="FR135" i="4" a="1"/>
  <c r="FR135" i="4" s="1"/>
  <c r="FN135" i="4" a="1"/>
  <c r="FN135" i="4" s="1"/>
  <c r="FL135" i="4" a="1"/>
  <c r="FL135" i="4" s="1"/>
  <c r="FY138" i="4" a="1"/>
  <c r="FY138" i="4" s="1"/>
  <c r="FW138" i="4" a="1"/>
  <c r="FW138" i="4" s="1"/>
  <c r="FU138" i="4" a="1"/>
  <c r="FU138" i="4" s="1"/>
  <c r="FS138" i="4" a="1"/>
  <c r="FS138" i="4" s="1"/>
  <c r="FV138" i="4" a="1"/>
  <c r="FV138" i="4" s="1"/>
  <c r="EP138" i="4" a="1"/>
  <c r="EP138" i="4" s="1"/>
  <c r="FX138" i="4" a="1"/>
  <c r="FX138" i="4" s="1"/>
  <c r="FT138" i="4" a="1"/>
  <c r="FT138" i="4" s="1"/>
  <c r="EV138" i="4" a="1"/>
  <c r="EV138" i="4" s="1"/>
  <c r="FK151" i="4" a="1"/>
  <c r="FK151" i="4" s="1"/>
  <c r="FI151" i="4" a="1"/>
  <c r="FI151" i="4" s="1"/>
  <c r="FG151" i="4" a="1"/>
  <c r="FG151" i="4" s="1"/>
  <c r="FE151" i="4" a="1"/>
  <c r="FE151" i="4" s="1"/>
  <c r="ES151" i="4" a="1"/>
  <c r="ES151" i="4" s="1"/>
  <c r="EM151" i="4" a="1"/>
  <c r="EM151" i="4" s="1"/>
  <c r="FJ151" i="4" a="1"/>
  <c r="FJ151" i="4" s="1"/>
  <c r="FH151" i="4" a="1"/>
  <c r="FH151" i="4" s="1"/>
  <c r="FF151" i="4" a="1"/>
  <c r="FF151" i="4" s="1"/>
  <c r="FC152" i="4" a="1"/>
  <c r="FC152" i="4" s="1"/>
  <c r="FA152" i="4" a="1"/>
  <c r="FA152" i="4" s="1"/>
  <c r="EY152" i="4" a="1"/>
  <c r="EY152" i="4" s="1"/>
  <c r="FD152" i="4" a="1"/>
  <c r="FD152" i="4" s="1"/>
  <c r="EX152" i="4" a="1"/>
  <c r="EX152" i="4" s="1"/>
  <c r="FB152" i="4" a="1"/>
  <c r="FB152" i="4" s="1"/>
  <c r="EL152" i="4" a="1"/>
  <c r="EL152" i="4" s="1"/>
  <c r="EZ152" i="4" a="1"/>
  <c r="EZ152" i="4" s="1"/>
  <c r="ER152" i="4" a="1"/>
  <c r="ER152" i="4" s="1"/>
  <c r="EQ153" i="4" a="1"/>
  <c r="EQ153" i="4" s="1"/>
  <c r="EK153" i="4" a="1"/>
  <c r="EK153" i="4" s="1"/>
  <c r="FQ154" i="4" a="1"/>
  <c r="FQ154" i="4" s="1"/>
  <c r="FO154" i="4" a="1"/>
  <c r="FO154" i="4" s="1"/>
  <c r="FM154" i="4" a="1"/>
  <c r="FM154" i="4" s="1"/>
  <c r="EU154" i="4" a="1"/>
  <c r="EU154" i="4" s="1"/>
  <c r="EO154" i="4" a="1"/>
  <c r="EO154" i="4" s="1"/>
  <c r="FP154" i="4" a="1"/>
  <c r="FP154" i="4" s="1"/>
  <c r="FR154" i="4" a="1"/>
  <c r="FR154" i="4" s="1"/>
  <c r="FN154" i="4" a="1"/>
  <c r="FN154" i="4" s="1"/>
  <c r="FL154" i="4" a="1"/>
  <c r="FL154" i="4" s="1"/>
  <c r="FK166" i="4" a="1"/>
  <c r="FK166" i="4" s="1"/>
  <c r="FI166" i="4" a="1"/>
  <c r="FI166" i="4" s="1"/>
  <c r="FG166" i="4" a="1"/>
  <c r="FG166" i="4" s="1"/>
  <c r="FE166" i="4" a="1"/>
  <c r="FE166" i="4" s="1"/>
  <c r="ES166" i="4" a="1"/>
  <c r="ES166" i="4" s="1"/>
  <c r="EM166" i="4" a="1"/>
  <c r="EM166" i="4" s="1"/>
  <c r="FJ166" i="4" a="1"/>
  <c r="FJ166" i="4" s="1"/>
  <c r="FH166" i="4" a="1"/>
  <c r="FH166" i="4" s="1"/>
  <c r="FF166" i="4" a="1"/>
  <c r="FF166" i="4" s="1"/>
  <c r="FK167" i="4" a="1"/>
  <c r="FK167" i="4" s="1"/>
  <c r="FI167" i="4" a="1"/>
  <c r="FI167" i="4" s="1"/>
  <c r="FG167" i="4" a="1"/>
  <c r="FG167" i="4" s="1"/>
  <c r="FE167" i="4" a="1"/>
  <c r="FE167" i="4" s="1"/>
  <c r="ES167" i="4" a="1"/>
  <c r="ES167" i="4" s="1"/>
  <c r="EM167" i="4" a="1"/>
  <c r="EM167" i="4" s="1"/>
  <c r="FJ167" i="4" a="1"/>
  <c r="FJ167" i="4" s="1"/>
  <c r="FH167" i="4" a="1"/>
  <c r="FH167" i="4" s="1"/>
  <c r="FF167" i="4" a="1"/>
  <c r="FF167" i="4" s="1"/>
  <c r="FC168" i="4" a="1"/>
  <c r="FC168" i="4" s="1"/>
  <c r="FA168" i="4" a="1"/>
  <c r="FA168" i="4" s="1"/>
  <c r="EY168" i="4" a="1"/>
  <c r="EY168" i="4" s="1"/>
  <c r="FD168" i="4" a="1"/>
  <c r="FD168" i="4" s="1"/>
  <c r="EX168" i="4" a="1"/>
  <c r="EX168" i="4" s="1"/>
  <c r="FB168" i="4" a="1"/>
  <c r="FB168" i="4" s="1"/>
  <c r="EL168" i="4" a="1"/>
  <c r="EL168" i="4" s="1"/>
  <c r="ER168" i="4" a="1"/>
  <c r="ER168" i="4" s="1"/>
  <c r="EZ168" i="4" a="1"/>
  <c r="EZ168" i="4" s="1"/>
  <c r="EQ169" i="4" a="1"/>
  <c r="EQ169" i="4" s="1"/>
  <c r="EK169" i="4" a="1"/>
  <c r="EK169" i="4" s="1"/>
  <c r="FQ170" i="4" a="1"/>
  <c r="FQ170" i="4" s="1"/>
  <c r="FO170" i="4" a="1"/>
  <c r="FO170" i="4" s="1"/>
  <c r="FM170" i="4" a="1"/>
  <c r="FM170" i="4" s="1"/>
  <c r="EU170" i="4" a="1"/>
  <c r="EU170" i="4" s="1"/>
  <c r="EO170" i="4" a="1"/>
  <c r="EO170" i="4" s="1"/>
  <c r="FP170" i="4" a="1"/>
  <c r="FP170" i="4" s="1"/>
  <c r="FR170" i="4" a="1"/>
  <c r="FR170" i="4" s="1"/>
  <c r="FN170" i="4" a="1"/>
  <c r="FN170" i="4" s="1"/>
  <c r="FL170" i="4" a="1"/>
  <c r="FL170" i="4" s="1"/>
  <c r="FY173" i="4" a="1"/>
  <c r="FY173" i="4" s="1"/>
  <c r="FW173" i="4" a="1"/>
  <c r="FW173" i="4" s="1"/>
  <c r="FU173" i="4" a="1"/>
  <c r="FU173" i="4" s="1"/>
  <c r="FS173" i="4" a="1"/>
  <c r="FS173" i="4" s="1"/>
  <c r="FV173" i="4" a="1"/>
  <c r="FV173" i="4" s="1"/>
  <c r="EP173" i="4" a="1"/>
  <c r="EP173" i="4" s="1"/>
  <c r="FX173" i="4" a="1"/>
  <c r="FX173" i="4" s="1"/>
  <c r="FT173" i="4" a="1"/>
  <c r="FT173" i="4" s="1"/>
  <c r="EV173" i="4" a="1"/>
  <c r="EV173" i="4" s="1"/>
  <c r="FY174" i="4" a="1"/>
  <c r="FY174" i="4" s="1"/>
  <c r="FW174" i="4" a="1"/>
  <c r="FW174" i="4" s="1"/>
  <c r="FU174" i="4" a="1"/>
  <c r="FU174" i="4" s="1"/>
  <c r="FS174" i="4" a="1"/>
  <c r="FS174" i="4" s="1"/>
  <c r="FV174" i="4" a="1"/>
  <c r="FV174" i="4" s="1"/>
  <c r="EP174" i="4" a="1"/>
  <c r="EP174" i="4" s="1"/>
  <c r="FX174" i="4" a="1"/>
  <c r="FX174" i="4" s="1"/>
  <c r="FT174" i="4" a="1"/>
  <c r="FT174" i="4" s="1"/>
  <c r="EV174" i="4" a="1"/>
  <c r="EV174" i="4" s="1"/>
  <c r="FY175" i="4" a="1"/>
  <c r="FY175" i="4" s="1"/>
  <c r="FW175" i="4" a="1"/>
  <c r="FW175" i="4" s="1"/>
  <c r="FU175" i="4" a="1"/>
  <c r="FU175" i="4" s="1"/>
  <c r="FS175" i="4" a="1"/>
  <c r="FS175" i="4" s="1"/>
  <c r="FV175" i="4" a="1"/>
  <c r="FV175" i="4" s="1"/>
  <c r="EP175" i="4" a="1"/>
  <c r="EP175" i="4" s="1"/>
  <c r="FX175" i="4" a="1"/>
  <c r="FX175" i="4" s="1"/>
  <c r="FT175" i="4" a="1"/>
  <c r="FT175" i="4" s="1"/>
  <c r="EV175" i="4" a="1"/>
  <c r="EV175" i="4" s="1"/>
  <c r="FC183" i="4" a="1"/>
  <c r="FC183" i="4" s="1"/>
  <c r="FA183" i="4" a="1"/>
  <c r="FA183" i="4" s="1"/>
  <c r="EY183" i="4" a="1"/>
  <c r="EY183" i="4" s="1"/>
  <c r="FD183" i="4" a="1"/>
  <c r="FD183" i="4" s="1"/>
  <c r="EX183" i="4" a="1"/>
  <c r="EX183" i="4" s="1"/>
  <c r="FB183" i="4" a="1"/>
  <c r="FB183" i="4" s="1"/>
  <c r="EL183" i="4" a="1"/>
  <c r="EL183" i="4" s="1"/>
  <c r="ER183" i="4" a="1"/>
  <c r="ER183" i="4" s="1"/>
  <c r="EZ183" i="4" a="1"/>
  <c r="EZ183" i="4" s="1"/>
  <c r="EQ184" i="4" a="1"/>
  <c r="EQ184" i="4" s="1"/>
  <c r="EK184" i="4" a="1"/>
  <c r="EK184" i="4" s="1"/>
  <c r="FQ185" i="4" a="1"/>
  <c r="FQ185" i="4" s="1"/>
  <c r="FO185" i="4" a="1"/>
  <c r="FO185" i="4" s="1"/>
  <c r="FM185" i="4" a="1"/>
  <c r="FM185" i="4" s="1"/>
  <c r="EU185" i="4" a="1"/>
  <c r="EU185" i="4" s="1"/>
  <c r="EO185" i="4" a="1"/>
  <c r="EO185" i="4" s="1"/>
  <c r="FP185" i="4" a="1"/>
  <c r="FP185" i="4" s="1"/>
  <c r="FR185" i="4" a="1"/>
  <c r="FR185" i="4" s="1"/>
  <c r="FN185" i="4" a="1"/>
  <c r="FN185" i="4" s="1"/>
  <c r="FL185" i="4" a="1"/>
  <c r="FL185" i="4" s="1"/>
  <c r="FY188" i="4" a="1"/>
  <c r="FY188" i="4" s="1"/>
  <c r="FW188" i="4" a="1"/>
  <c r="FW188" i="4" s="1"/>
  <c r="FU188" i="4" a="1"/>
  <c r="FU188" i="4" s="1"/>
  <c r="FS188" i="4" a="1"/>
  <c r="FS188" i="4" s="1"/>
  <c r="FV188" i="4" a="1"/>
  <c r="FV188" i="4" s="1"/>
  <c r="EP188" i="4" a="1"/>
  <c r="EP188" i="4" s="1"/>
  <c r="FX188" i="4" a="1"/>
  <c r="FX188" i="4" s="1"/>
  <c r="FT188" i="4" a="1"/>
  <c r="FT188" i="4" s="1"/>
  <c r="EV188" i="4" a="1"/>
  <c r="EV188" i="4" s="1"/>
  <c r="FX4" i="4" a="1"/>
  <c r="FX4" i="4" s="1"/>
  <c r="FU4" i="4" a="1"/>
  <c r="FU4" i="4" s="1"/>
  <c r="FW4" i="4" a="1"/>
  <c r="FW4" i="4" s="1"/>
  <c r="FV4" i="4" a="1"/>
  <c r="FV4" i="4" s="1"/>
  <c r="FS4" i="4" a="1"/>
  <c r="FS4" i="4" s="1"/>
  <c r="EP4" i="4" a="1"/>
  <c r="EP4" i="4" s="1"/>
  <c r="FT4" i="4" a="1"/>
  <c r="FT4" i="4" s="1"/>
  <c r="EV4" i="4" a="1"/>
  <c r="EV4" i="4" s="1"/>
  <c r="FY4" i="4" a="1"/>
  <c r="FY4" i="4" s="1"/>
  <c r="FX6" i="4" a="1"/>
  <c r="FX6" i="4" s="1"/>
  <c r="FU6" i="4" a="1"/>
  <c r="FU6" i="4" s="1"/>
  <c r="FW6" i="4" a="1"/>
  <c r="FW6" i="4" s="1"/>
  <c r="FV6" i="4" a="1"/>
  <c r="FV6" i="4" s="1"/>
  <c r="FS6" i="4" a="1"/>
  <c r="FS6" i="4" s="1"/>
  <c r="EP6" i="4" a="1"/>
  <c r="EP6" i="4" s="1"/>
  <c r="FT6" i="4" a="1"/>
  <c r="FT6" i="4" s="1"/>
  <c r="EV6" i="4" a="1"/>
  <c r="EV6" i="4" s="1"/>
  <c r="FY6" i="4" a="1"/>
  <c r="FY6" i="4" s="1"/>
  <c r="FX8" i="4" a="1"/>
  <c r="FX8" i="4" s="1"/>
  <c r="FU8" i="4" a="1"/>
  <c r="FU8" i="4" s="1"/>
  <c r="FW8" i="4" a="1"/>
  <c r="FW8" i="4" s="1"/>
  <c r="FV8" i="4" a="1"/>
  <c r="FV8" i="4" s="1"/>
  <c r="FS8" i="4" a="1"/>
  <c r="FS8" i="4" s="1"/>
  <c r="EP8" i="4" a="1"/>
  <c r="EP8" i="4" s="1"/>
  <c r="FT8" i="4" a="1"/>
  <c r="FT8" i="4" s="1"/>
  <c r="EV8" i="4" a="1"/>
  <c r="EV8" i="4" s="1"/>
  <c r="FY8" i="4" a="1"/>
  <c r="FY8" i="4" s="1"/>
  <c r="FX10" i="4" a="1"/>
  <c r="FX10" i="4" s="1"/>
  <c r="FU10" i="4" a="1"/>
  <c r="FU10" i="4" s="1"/>
  <c r="FW10" i="4" a="1"/>
  <c r="FW10" i="4" s="1"/>
  <c r="FV10" i="4" a="1"/>
  <c r="FV10" i="4" s="1"/>
  <c r="FS10" i="4" a="1"/>
  <c r="FS10" i="4" s="1"/>
  <c r="EP10" i="4" a="1"/>
  <c r="EP10" i="4" s="1"/>
  <c r="FT10" i="4" a="1"/>
  <c r="FT10" i="4" s="1"/>
  <c r="EV10" i="4" a="1"/>
  <c r="EV10" i="4" s="1"/>
  <c r="FY10" i="4" a="1"/>
  <c r="FY10" i="4" s="1"/>
  <c r="FX12" i="4" a="1"/>
  <c r="FX12" i="4" s="1"/>
  <c r="FU12" i="4" a="1"/>
  <c r="FU12" i="4" s="1"/>
  <c r="FW12" i="4" a="1"/>
  <c r="FW12" i="4" s="1"/>
  <c r="FV12" i="4" a="1"/>
  <c r="FV12" i="4" s="1"/>
  <c r="FS12" i="4" a="1"/>
  <c r="FS12" i="4" s="1"/>
  <c r="EP12" i="4" a="1"/>
  <c r="EP12" i="4" s="1"/>
  <c r="FT12" i="4" a="1"/>
  <c r="FT12" i="4" s="1"/>
  <c r="EV12" i="4" a="1"/>
  <c r="EV12" i="4" s="1"/>
  <c r="FY12" i="4" a="1"/>
  <c r="FY12" i="4" s="1"/>
  <c r="FX14" i="4" a="1"/>
  <c r="FX14" i="4" s="1"/>
  <c r="FU14" i="4" a="1"/>
  <c r="FU14" i="4" s="1"/>
  <c r="FW14" i="4" a="1"/>
  <c r="FW14" i="4" s="1"/>
  <c r="FV14" i="4" a="1"/>
  <c r="FV14" i="4" s="1"/>
  <c r="FS14" i="4" a="1"/>
  <c r="FS14" i="4" s="1"/>
  <c r="EP14" i="4" a="1"/>
  <c r="EP14" i="4" s="1"/>
  <c r="FT14" i="4" a="1"/>
  <c r="FT14" i="4" s="1"/>
  <c r="EV14" i="4" a="1"/>
  <c r="EV14" i="4" s="1"/>
  <c r="FY14" i="4" a="1"/>
  <c r="FY14" i="4" s="1"/>
  <c r="FX16" i="4" a="1"/>
  <c r="FX16" i="4" s="1"/>
  <c r="FU16" i="4" a="1"/>
  <c r="FU16" i="4" s="1"/>
  <c r="FW16" i="4" a="1"/>
  <c r="FW16" i="4" s="1"/>
  <c r="FV16" i="4" a="1"/>
  <c r="FV16" i="4" s="1"/>
  <c r="FS16" i="4" a="1"/>
  <c r="FS16" i="4" s="1"/>
  <c r="EP16" i="4" a="1"/>
  <c r="EP16" i="4" s="1"/>
  <c r="FT16" i="4" a="1"/>
  <c r="FT16" i="4" s="1"/>
  <c r="EV16" i="4" a="1"/>
  <c r="EV16" i="4" s="1"/>
  <c r="FY16" i="4" a="1"/>
  <c r="FY16" i="4" s="1"/>
  <c r="FX18" i="4" a="1"/>
  <c r="FX18" i="4" s="1"/>
  <c r="FU18" i="4" a="1"/>
  <c r="FU18" i="4" s="1"/>
  <c r="FW18" i="4" a="1"/>
  <c r="FW18" i="4" s="1"/>
  <c r="FV18" i="4" a="1"/>
  <c r="FV18" i="4" s="1"/>
  <c r="FS18" i="4" a="1"/>
  <c r="FS18" i="4" s="1"/>
  <c r="EP18" i="4" a="1"/>
  <c r="EP18" i="4" s="1"/>
  <c r="FT18" i="4" a="1"/>
  <c r="FT18" i="4" s="1"/>
  <c r="EV18" i="4" a="1"/>
  <c r="EV18" i="4" s="1"/>
  <c r="FY18" i="4" a="1"/>
  <c r="FY18" i="4" s="1"/>
  <c r="FX20" i="4" a="1"/>
  <c r="FX20" i="4" s="1"/>
  <c r="FU20" i="4" a="1"/>
  <c r="FU20" i="4" s="1"/>
  <c r="FW20" i="4" a="1"/>
  <c r="FW20" i="4" s="1"/>
  <c r="FV20" i="4" a="1"/>
  <c r="FV20" i="4" s="1"/>
  <c r="FS20" i="4" a="1"/>
  <c r="FS20" i="4" s="1"/>
  <c r="EP20" i="4" a="1"/>
  <c r="EP20" i="4" s="1"/>
  <c r="FT20" i="4" a="1"/>
  <c r="FT20" i="4" s="1"/>
  <c r="EV20" i="4" a="1"/>
  <c r="EV20" i="4" s="1"/>
  <c r="FY20" i="4" a="1"/>
  <c r="FY20" i="4" s="1"/>
  <c r="FX22" i="4" a="1"/>
  <c r="FX22" i="4" s="1"/>
  <c r="FU22" i="4" a="1"/>
  <c r="FU22" i="4" s="1"/>
  <c r="FW22" i="4" a="1"/>
  <c r="FW22" i="4" s="1"/>
  <c r="FV22" i="4" a="1"/>
  <c r="FV22" i="4" s="1"/>
  <c r="FS22" i="4" a="1"/>
  <c r="FS22" i="4" s="1"/>
  <c r="EP22" i="4" a="1"/>
  <c r="EP22" i="4" s="1"/>
  <c r="FT22" i="4" a="1"/>
  <c r="FT22" i="4" s="1"/>
  <c r="EV22" i="4" a="1"/>
  <c r="EV22" i="4" s="1"/>
  <c r="FY22" i="4" a="1"/>
  <c r="FY22" i="4" s="1"/>
  <c r="FX24" i="4" a="1"/>
  <c r="FX24" i="4" s="1"/>
  <c r="FU24" i="4" a="1"/>
  <c r="FU24" i="4" s="1"/>
  <c r="FW24" i="4" a="1"/>
  <c r="FW24" i="4" s="1"/>
  <c r="FV24" i="4" a="1"/>
  <c r="FV24" i="4" s="1"/>
  <c r="FS24" i="4" a="1"/>
  <c r="FS24" i="4" s="1"/>
  <c r="EP24" i="4" a="1"/>
  <c r="EP24" i="4" s="1"/>
  <c r="FT24" i="4" a="1"/>
  <c r="FT24" i="4" s="1"/>
  <c r="EV24" i="4" a="1"/>
  <c r="EV24" i="4" s="1"/>
  <c r="FY24" i="4" a="1"/>
  <c r="FY24" i="4" s="1"/>
  <c r="FX26" i="4" a="1"/>
  <c r="FX26" i="4" s="1"/>
  <c r="FU26" i="4" a="1"/>
  <c r="FU26" i="4" s="1"/>
  <c r="FW26" i="4" a="1"/>
  <c r="FW26" i="4" s="1"/>
  <c r="FV26" i="4" a="1"/>
  <c r="FV26" i="4" s="1"/>
  <c r="FS26" i="4" a="1"/>
  <c r="FS26" i="4" s="1"/>
  <c r="EP26" i="4" a="1"/>
  <c r="EP26" i="4" s="1"/>
  <c r="FY26" i="4" a="1"/>
  <c r="FY26" i="4" s="1"/>
  <c r="EV26" i="4" a="1"/>
  <c r="EV26" i="4" s="1"/>
  <c r="FT26" i="4" a="1"/>
  <c r="FT26" i="4" s="1"/>
  <c r="FX28" i="4" a="1"/>
  <c r="FX28" i="4" s="1"/>
  <c r="FU28" i="4" a="1"/>
  <c r="FU28" i="4" s="1"/>
  <c r="FW28" i="4" a="1"/>
  <c r="FW28" i="4" s="1"/>
  <c r="FV28" i="4" a="1"/>
  <c r="FV28" i="4" s="1"/>
  <c r="FS28" i="4" a="1"/>
  <c r="FS28" i="4" s="1"/>
  <c r="EP28" i="4" a="1"/>
  <c r="EP28" i="4" s="1"/>
  <c r="FY28" i="4" a="1"/>
  <c r="FY28" i="4" s="1"/>
  <c r="EV28" i="4" a="1"/>
  <c r="EV28" i="4" s="1"/>
  <c r="FT28" i="4" a="1"/>
  <c r="FT28" i="4" s="1"/>
  <c r="FR31" i="4" a="1"/>
  <c r="FR31" i="4" s="1"/>
  <c r="FM31" i="4" a="1"/>
  <c r="FM31" i="4" s="1"/>
  <c r="EO31" i="4" a="1"/>
  <c r="EO31" i="4" s="1"/>
  <c r="FO31" i="4" a="1"/>
  <c r="FO31" i="4" s="1"/>
  <c r="FL31" i="4" a="1"/>
  <c r="FL31" i="4" s="1"/>
  <c r="FP31" i="4" a="1"/>
  <c r="FP31" i="4" s="1"/>
  <c r="EU31" i="4" a="1"/>
  <c r="EU31" i="4" s="1"/>
  <c r="FQ31" i="4" a="1"/>
  <c r="FQ31" i="4" s="1"/>
  <c r="FN31" i="4" a="1"/>
  <c r="FN31" i="4" s="1"/>
  <c r="FR33" i="4" a="1"/>
  <c r="FR33" i="4" s="1"/>
  <c r="FM33" i="4" a="1"/>
  <c r="FM33" i="4" s="1"/>
  <c r="EO33" i="4" a="1"/>
  <c r="EO33" i="4" s="1"/>
  <c r="FO33" i="4" a="1"/>
  <c r="FO33" i="4" s="1"/>
  <c r="FL33" i="4" a="1"/>
  <c r="FL33" i="4" s="1"/>
  <c r="FP33" i="4" a="1"/>
  <c r="FP33" i="4" s="1"/>
  <c r="EU33" i="4" a="1"/>
  <c r="EU33" i="4" s="1"/>
  <c r="FN33" i="4" a="1"/>
  <c r="FN33" i="4" s="1"/>
  <c r="FQ33" i="4" a="1"/>
  <c r="FQ33" i="4" s="1"/>
  <c r="FR35" i="4" a="1"/>
  <c r="FR35" i="4" s="1"/>
  <c r="FM35" i="4" a="1"/>
  <c r="FM35" i="4" s="1"/>
  <c r="EO35" i="4" a="1"/>
  <c r="EO35" i="4" s="1"/>
  <c r="FO35" i="4" a="1"/>
  <c r="FO35" i="4" s="1"/>
  <c r="FL35" i="4" a="1"/>
  <c r="FL35" i="4" s="1"/>
  <c r="FP35" i="4" a="1"/>
  <c r="FP35" i="4" s="1"/>
  <c r="EU35" i="4" a="1"/>
  <c r="EU35" i="4" s="1"/>
  <c r="FN35" i="4" a="1"/>
  <c r="FN35" i="4" s="1"/>
  <c r="FQ35" i="4" a="1"/>
  <c r="FQ35" i="4" s="1"/>
  <c r="FR37" i="4" a="1"/>
  <c r="FR37" i="4" s="1"/>
  <c r="FM37" i="4" a="1"/>
  <c r="FM37" i="4" s="1"/>
  <c r="EO37" i="4" a="1"/>
  <c r="EO37" i="4" s="1"/>
  <c r="FO37" i="4" a="1"/>
  <c r="FO37" i="4" s="1"/>
  <c r="FL37" i="4" a="1"/>
  <c r="FL37" i="4" s="1"/>
  <c r="FP37" i="4" a="1"/>
  <c r="FP37" i="4" s="1"/>
  <c r="EU37" i="4" a="1"/>
  <c r="EU37" i="4" s="1"/>
  <c r="FN37" i="4" a="1"/>
  <c r="FN37" i="4" s="1"/>
  <c r="FQ37" i="4" a="1"/>
  <c r="FQ37" i="4" s="1"/>
  <c r="FR39" i="4" a="1"/>
  <c r="FR39" i="4" s="1"/>
  <c r="FM39" i="4" a="1"/>
  <c r="FM39" i="4" s="1"/>
  <c r="EO39" i="4" a="1"/>
  <c r="EO39" i="4" s="1"/>
  <c r="FO39" i="4" a="1"/>
  <c r="FO39" i="4" s="1"/>
  <c r="FL39" i="4" a="1"/>
  <c r="FL39" i="4" s="1"/>
  <c r="FP39" i="4" a="1"/>
  <c r="FP39" i="4" s="1"/>
  <c r="EU39" i="4" a="1"/>
  <c r="EU39" i="4" s="1"/>
  <c r="FN39" i="4" a="1"/>
  <c r="FN39" i="4" s="1"/>
  <c r="FQ39" i="4" a="1"/>
  <c r="FQ39" i="4" s="1"/>
  <c r="FR41" i="4" a="1"/>
  <c r="FR41" i="4" s="1"/>
  <c r="FM41" i="4" a="1"/>
  <c r="FM41" i="4" s="1"/>
  <c r="EO41" i="4" a="1"/>
  <c r="EO41" i="4" s="1"/>
  <c r="FO41" i="4" a="1"/>
  <c r="FO41" i="4" s="1"/>
  <c r="FL41" i="4" a="1"/>
  <c r="FL41" i="4" s="1"/>
  <c r="FP41" i="4" a="1"/>
  <c r="FP41" i="4" s="1"/>
  <c r="EU41" i="4" a="1"/>
  <c r="EU41" i="4" s="1"/>
  <c r="FN41" i="4" a="1"/>
  <c r="FN41" i="4" s="1"/>
  <c r="FQ41" i="4" a="1"/>
  <c r="FQ41" i="4" s="1"/>
  <c r="FR43" i="4" a="1"/>
  <c r="FR43" i="4" s="1"/>
  <c r="FM43" i="4" a="1"/>
  <c r="FM43" i="4" s="1"/>
  <c r="EO43" i="4" a="1"/>
  <c r="EO43" i="4" s="1"/>
  <c r="FO43" i="4" a="1"/>
  <c r="FO43" i="4" s="1"/>
  <c r="FL43" i="4" a="1"/>
  <c r="FL43" i="4" s="1"/>
  <c r="FP43" i="4" a="1"/>
  <c r="FP43" i="4" s="1"/>
  <c r="EU43" i="4" a="1"/>
  <c r="EU43" i="4" s="1"/>
  <c r="FQ43" i="4" a="1"/>
  <c r="FQ43" i="4" s="1"/>
  <c r="FN43" i="4" a="1"/>
  <c r="FN43" i="4" s="1"/>
  <c r="FQ73" i="4" a="1"/>
  <c r="FQ73" i="4" s="1"/>
  <c r="FO73" i="4" a="1"/>
  <c r="FO73" i="4" s="1"/>
  <c r="FM73" i="4" a="1"/>
  <c r="FM73" i="4" s="1"/>
  <c r="EU73" i="4" a="1"/>
  <c r="EU73" i="4" s="1"/>
  <c r="EO73" i="4" a="1"/>
  <c r="EO73" i="4" s="1"/>
  <c r="FR73" i="4" a="1"/>
  <c r="FR73" i="4" s="1"/>
  <c r="FL73" i="4" a="1"/>
  <c r="FL73" i="4" s="1"/>
  <c r="FP73" i="4" a="1"/>
  <c r="FP73" i="4" s="1"/>
  <c r="FN73" i="4" a="1"/>
  <c r="FN73" i="4" s="1"/>
  <c r="FY78" i="4" a="1"/>
  <c r="FY78" i="4" s="1"/>
  <c r="FW78" i="4" a="1"/>
  <c r="FW78" i="4" s="1"/>
  <c r="FU78" i="4" a="1"/>
  <c r="FU78" i="4" s="1"/>
  <c r="FS78" i="4" a="1"/>
  <c r="FS78" i="4" s="1"/>
  <c r="FX78" i="4" a="1"/>
  <c r="FX78" i="4" s="1"/>
  <c r="FV78" i="4" a="1"/>
  <c r="FV78" i="4" s="1"/>
  <c r="EP78" i="4" a="1"/>
  <c r="EP78" i="4" s="1"/>
  <c r="EV78" i="4" a="1"/>
  <c r="EV78" i="4" s="1"/>
  <c r="FT78" i="4" a="1"/>
  <c r="FT78" i="4" s="1"/>
  <c r="FY79" i="4" a="1"/>
  <c r="FY79" i="4" s="1"/>
  <c r="FW79" i="4" a="1"/>
  <c r="FW79" i="4" s="1"/>
  <c r="FU79" i="4" a="1"/>
  <c r="FU79" i="4" s="1"/>
  <c r="FS79" i="4" a="1"/>
  <c r="FS79" i="4" s="1"/>
  <c r="FX79" i="4" a="1"/>
  <c r="FX79" i="4" s="1"/>
  <c r="FV79" i="4" a="1"/>
  <c r="FV79" i="4" s="1"/>
  <c r="EP79" i="4" a="1"/>
  <c r="EP79" i="4" s="1"/>
  <c r="FT79" i="4" a="1"/>
  <c r="FT79" i="4" s="1"/>
  <c r="EV79" i="4" a="1"/>
  <c r="EV79" i="4" s="1"/>
  <c r="FQ92" i="4" a="1"/>
  <c r="FQ92" i="4" s="1"/>
  <c r="FO92" i="4" a="1"/>
  <c r="FO92" i="4" s="1"/>
  <c r="FM92" i="4" a="1"/>
  <c r="FM92" i="4" s="1"/>
  <c r="EU92" i="4" a="1"/>
  <c r="EU92" i="4" s="1"/>
  <c r="EO92" i="4" a="1"/>
  <c r="EO92" i="4" s="1"/>
  <c r="FR92" i="4" a="1"/>
  <c r="FR92" i="4" s="1"/>
  <c r="FL92" i="4" a="1"/>
  <c r="FL92" i="4" s="1"/>
  <c r="FP92" i="4" a="1"/>
  <c r="FP92" i="4" s="1"/>
  <c r="FN92" i="4" a="1"/>
  <c r="FN92" i="4" s="1"/>
  <c r="FY95" i="4" a="1"/>
  <c r="FY95" i="4" s="1"/>
  <c r="FW95" i="4" a="1"/>
  <c r="FW95" i="4" s="1"/>
  <c r="FU95" i="4" a="1"/>
  <c r="FU95" i="4" s="1"/>
  <c r="FS95" i="4" a="1"/>
  <c r="FS95" i="4" s="1"/>
  <c r="FX95" i="4" a="1"/>
  <c r="FX95" i="4" s="1"/>
  <c r="FV95" i="4" a="1"/>
  <c r="FV95" i="4" s="1"/>
  <c r="EP95" i="4" a="1"/>
  <c r="EP95" i="4" s="1"/>
  <c r="EV95" i="4" a="1"/>
  <c r="EV95" i="4" s="1"/>
  <c r="FT95" i="4" a="1"/>
  <c r="FT95" i="4" s="1"/>
  <c r="FK106" i="4" a="1"/>
  <c r="FK106" i="4" s="1"/>
  <c r="FI106" i="4" a="1"/>
  <c r="FI106" i="4" s="1"/>
  <c r="FG106" i="4" a="1"/>
  <c r="FG106" i="4" s="1"/>
  <c r="FE106" i="4" a="1"/>
  <c r="FE106" i="4" s="1"/>
  <c r="ES106" i="4" a="1"/>
  <c r="ES106" i="4" s="1"/>
  <c r="EM106" i="4" a="1"/>
  <c r="EM106" i="4" s="1"/>
  <c r="FF106" i="4" a="1"/>
  <c r="FF106" i="4" s="1"/>
  <c r="FJ106" i="4" a="1"/>
  <c r="FJ106" i="4" s="1"/>
  <c r="FH106" i="4" a="1"/>
  <c r="FH106" i="4" s="1"/>
  <c r="FK107" i="4" a="1"/>
  <c r="FK107" i="4" s="1"/>
  <c r="FI107" i="4" a="1"/>
  <c r="FI107" i="4" s="1"/>
  <c r="FG107" i="4" a="1"/>
  <c r="FG107" i="4" s="1"/>
  <c r="FE107" i="4" a="1"/>
  <c r="FE107" i="4" s="1"/>
  <c r="ES107" i="4" a="1"/>
  <c r="ES107" i="4" s="1"/>
  <c r="EM107" i="4" a="1"/>
  <c r="EM107" i="4" s="1"/>
  <c r="FF107" i="4" a="1"/>
  <c r="FF107" i="4" s="1"/>
  <c r="FJ107" i="4" a="1"/>
  <c r="FJ107" i="4" s="1"/>
  <c r="FH107" i="4" a="1"/>
  <c r="FH107" i="4" s="1"/>
  <c r="FC108" i="4" a="1"/>
  <c r="FC108" i="4" s="1"/>
  <c r="FA108" i="4" a="1"/>
  <c r="FA108" i="4" s="1"/>
  <c r="EY108" i="4" a="1"/>
  <c r="EY108" i="4" s="1"/>
  <c r="EX108" i="4" a="1"/>
  <c r="EX108" i="4" s="1"/>
  <c r="EZ108" i="4" a="1"/>
  <c r="EZ108" i="4" s="1"/>
  <c r="ER108" i="4" a="1"/>
  <c r="ER108" i="4" s="1"/>
  <c r="FD108" i="4" a="1"/>
  <c r="FD108" i="4" s="1"/>
  <c r="EL108" i="4" a="1"/>
  <c r="EL108" i="4" s="1"/>
  <c r="FB108" i="4" a="1"/>
  <c r="FB108" i="4" s="1"/>
  <c r="EQ109" i="4" a="1"/>
  <c r="EQ109" i="4" s="1"/>
  <c r="EK109" i="4" a="1"/>
  <c r="EK109" i="4" s="1"/>
  <c r="FQ110" i="4" a="1"/>
  <c r="FQ110" i="4" s="1"/>
  <c r="FO110" i="4" a="1"/>
  <c r="FO110" i="4" s="1"/>
  <c r="FM110" i="4" a="1"/>
  <c r="FM110" i="4" s="1"/>
  <c r="EU110" i="4" a="1"/>
  <c r="EU110" i="4" s="1"/>
  <c r="EO110" i="4" a="1"/>
  <c r="EO110" i="4" s="1"/>
  <c r="FR110" i="4" a="1"/>
  <c r="FR110" i="4" s="1"/>
  <c r="FL110" i="4" a="1"/>
  <c r="FL110" i="4" s="1"/>
  <c r="FP110" i="4" a="1"/>
  <c r="FP110" i="4" s="1"/>
  <c r="FN110" i="4" a="1"/>
  <c r="FN110" i="4" s="1"/>
  <c r="FK117" i="4" a="1"/>
  <c r="FK117" i="4" s="1"/>
  <c r="FI117" i="4" a="1"/>
  <c r="FI117" i="4" s="1"/>
  <c r="FG117" i="4" a="1"/>
  <c r="FG117" i="4" s="1"/>
  <c r="FE117" i="4" a="1"/>
  <c r="FE117" i="4" s="1"/>
  <c r="ES117" i="4" a="1"/>
  <c r="ES117" i="4" s="1"/>
  <c r="EM117" i="4" a="1"/>
  <c r="EM117" i="4" s="1"/>
  <c r="FF117" i="4" a="1"/>
  <c r="FF117" i="4" s="1"/>
  <c r="FJ117" i="4" a="1"/>
  <c r="FJ117" i="4" s="1"/>
  <c r="FH117" i="4" a="1"/>
  <c r="FH117" i="4" s="1"/>
  <c r="FK118" i="4" a="1"/>
  <c r="FK118" i="4" s="1"/>
  <c r="FI118" i="4" a="1"/>
  <c r="FI118" i="4" s="1"/>
  <c r="FG118" i="4" a="1"/>
  <c r="FG118" i="4" s="1"/>
  <c r="FE118" i="4" a="1"/>
  <c r="FE118" i="4" s="1"/>
  <c r="ES118" i="4" a="1"/>
  <c r="ES118" i="4" s="1"/>
  <c r="EM118" i="4" a="1"/>
  <c r="EM118" i="4" s="1"/>
  <c r="FF118" i="4" a="1"/>
  <c r="FF118" i="4" s="1"/>
  <c r="FJ118" i="4" a="1"/>
  <c r="FJ118" i="4" s="1"/>
  <c r="FH118" i="4" a="1"/>
  <c r="FH118" i="4" s="1"/>
  <c r="FC119" i="4" a="1"/>
  <c r="FC119" i="4" s="1"/>
  <c r="FA119" i="4" a="1"/>
  <c r="FA119" i="4" s="1"/>
  <c r="EY119" i="4" a="1"/>
  <c r="EY119" i="4" s="1"/>
  <c r="EX119" i="4" a="1"/>
  <c r="EX119" i="4" s="1"/>
  <c r="EZ119" i="4" a="1"/>
  <c r="EZ119" i="4" s="1"/>
  <c r="ER119" i="4" a="1"/>
  <c r="ER119" i="4" s="1"/>
  <c r="FD119" i="4" a="1"/>
  <c r="FD119" i="4" s="1"/>
  <c r="EL119" i="4" a="1"/>
  <c r="EL119" i="4" s="1"/>
  <c r="FB119" i="4" a="1"/>
  <c r="FB119" i="4" s="1"/>
  <c r="FC120" i="4" a="1"/>
  <c r="FC120" i="4" s="1"/>
  <c r="FA120" i="4" a="1"/>
  <c r="FA120" i="4" s="1"/>
  <c r="EY120" i="4" a="1"/>
  <c r="EY120" i="4" s="1"/>
  <c r="EX120" i="4" a="1"/>
  <c r="EX120" i="4" s="1"/>
  <c r="EZ120" i="4" a="1"/>
  <c r="EZ120" i="4" s="1"/>
  <c r="ER120" i="4" a="1"/>
  <c r="ER120" i="4" s="1"/>
  <c r="FD120" i="4" a="1"/>
  <c r="FD120" i="4" s="1"/>
  <c r="FB120" i="4" a="1"/>
  <c r="FB120" i="4" s="1"/>
  <c r="EL120" i="4" a="1"/>
  <c r="EL120" i="4" s="1"/>
  <c r="EQ121" i="4" a="1"/>
  <c r="EQ121" i="4" s="1"/>
  <c r="EK121" i="4" a="1"/>
  <c r="EK121" i="4" s="1"/>
  <c r="FQ122" i="4" a="1"/>
  <c r="FQ122" i="4" s="1"/>
  <c r="FO122" i="4" a="1"/>
  <c r="FO122" i="4" s="1"/>
  <c r="FM122" i="4" a="1"/>
  <c r="FM122" i="4" s="1"/>
  <c r="EU122" i="4" a="1"/>
  <c r="EU122" i="4" s="1"/>
  <c r="EO122" i="4" a="1"/>
  <c r="EO122" i="4" s="1"/>
  <c r="FR122" i="4" a="1"/>
  <c r="FR122" i="4" s="1"/>
  <c r="FL122" i="4" a="1"/>
  <c r="FL122" i="4" s="1"/>
  <c r="FP122" i="4" a="1"/>
  <c r="FP122" i="4" s="1"/>
  <c r="FN122" i="4" a="1"/>
  <c r="FN122" i="4" s="1"/>
  <c r="FK137" i="4" a="1"/>
  <c r="FK137" i="4" s="1"/>
  <c r="FI137" i="4" a="1"/>
  <c r="FI137" i="4" s="1"/>
  <c r="FG137" i="4" a="1"/>
  <c r="FG137" i="4" s="1"/>
  <c r="FE137" i="4" a="1"/>
  <c r="FE137" i="4" s="1"/>
  <c r="ES137" i="4" a="1"/>
  <c r="ES137" i="4" s="1"/>
  <c r="EM137" i="4" a="1"/>
  <c r="EM137" i="4" s="1"/>
  <c r="FF137" i="4" a="1"/>
  <c r="FF137" i="4" s="1"/>
  <c r="FJ137" i="4" a="1"/>
  <c r="FJ137" i="4" s="1"/>
  <c r="FH137" i="4" a="1"/>
  <c r="FH137" i="4" s="1"/>
  <c r="FC138" i="4" a="1"/>
  <c r="FC138" i="4" s="1"/>
  <c r="FA138" i="4" a="1"/>
  <c r="FA138" i="4" s="1"/>
  <c r="EY138" i="4" a="1"/>
  <c r="EY138" i="4" s="1"/>
  <c r="EX138" i="4" a="1"/>
  <c r="EX138" i="4" s="1"/>
  <c r="EZ138" i="4" a="1"/>
  <c r="EZ138" i="4" s="1"/>
  <c r="ER138" i="4" a="1"/>
  <c r="ER138" i="4" s="1"/>
  <c r="FD138" i="4" a="1"/>
  <c r="FD138" i="4" s="1"/>
  <c r="FB138" i="4" a="1"/>
  <c r="FB138" i="4" s="1"/>
  <c r="EL138" i="4" a="1"/>
  <c r="EL138" i="4" s="1"/>
  <c r="EQ139" i="4" a="1"/>
  <c r="EQ139" i="4" s="1"/>
  <c r="EK139" i="4" a="1"/>
  <c r="EK139" i="4" s="1"/>
  <c r="FQ140" i="4" a="1"/>
  <c r="FQ140" i="4" s="1"/>
  <c r="FO140" i="4" a="1"/>
  <c r="FO140" i="4" s="1"/>
  <c r="FM140" i="4" a="1"/>
  <c r="FM140" i="4" s="1"/>
  <c r="EU140" i="4" a="1"/>
  <c r="EU140" i="4" s="1"/>
  <c r="EO140" i="4" a="1"/>
  <c r="EO140" i="4" s="1"/>
  <c r="FR140" i="4" a="1"/>
  <c r="FR140" i="4" s="1"/>
  <c r="FL140" i="4" a="1"/>
  <c r="FL140" i="4" s="1"/>
  <c r="FP140" i="4" a="1"/>
  <c r="FP140" i="4" s="1"/>
  <c r="FN140" i="4" a="1"/>
  <c r="FN140" i="4" s="1"/>
  <c r="FQ147" i="4" a="1"/>
  <c r="FQ147" i="4" s="1"/>
  <c r="FO147" i="4" a="1"/>
  <c r="FO147" i="4" s="1"/>
  <c r="FM147" i="4" a="1"/>
  <c r="FM147" i="4" s="1"/>
  <c r="EU147" i="4" a="1"/>
  <c r="EU147" i="4" s="1"/>
  <c r="EO147" i="4" a="1"/>
  <c r="EO147" i="4" s="1"/>
  <c r="FR147" i="4" a="1"/>
  <c r="FR147" i="4" s="1"/>
  <c r="FL147" i="4" a="1"/>
  <c r="FL147" i="4" s="1"/>
  <c r="FP147" i="4" a="1"/>
  <c r="FP147" i="4" s="1"/>
  <c r="FN147" i="4" a="1"/>
  <c r="FN147" i="4" s="1"/>
  <c r="FY150" i="4" a="1"/>
  <c r="FY150" i="4" s="1"/>
  <c r="FW150" i="4" a="1"/>
  <c r="FW150" i="4" s="1"/>
  <c r="FU150" i="4" a="1"/>
  <c r="FU150" i="4" s="1"/>
  <c r="FS150" i="4" a="1"/>
  <c r="FS150" i="4" s="1"/>
  <c r="FX150" i="4" a="1"/>
  <c r="FX150" i="4" s="1"/>
  <c r="FV150" i="4" a="1"/>
  <c r="FV150" i="4" s="1"/>
  <c r="EP150" i="4" a="1"/>
  <c r="EP150" i="4" s="1"/>
  <c r="FT150" i="4" a="1"/>
  <c r="FT150" i="4" s="1"/>
  <c r="EV150" i="4" a="1"/>
  <c r="EV150" i="4" s="1"/>
  <c r="FQ161" i="4" a="1"/>
  <c r="FQ161" i="4" s="1"/>
  <c r="FO161" i="4" a="1"/>
  <c r="FO161" i="4" s="1"/>
  <c r="FM161" i="4" a="1"/>
  <c r="FM161" i="4" s="1"/>
  <c r="EU161" i="4" a="1"/>
  <c r="EU161" i="4" s="1"/>
  <c r="EO161" i="4" a="1"/>
  <c r="EO161" i="4" s="1"/>
  <c r="FR161" i="4" a="1"/>
  <c r="FR161" i="4" s="1"/>
  <c r="FL161" i="4" a="1"/>
  <c r="FL161" i="4" s="1"/>
  <c r="FP161" i="4" a="1"/>
  <c r="FP161" i="4" s="1"/>
  <c r="FN161" i="4" a="1"/>
  <c r="FN161" i="4" s="1"/>
  <c r="FY165" i="4" a="1"/>
  <c r="FY165" i="4" s="1"/>
  <c r="FW165" i="4" a="1"/>
  <c r="FW165" i="4" s="1"/>
  <c r="FU165" i="4" a="1"/>
  <c r="FU165" i="4" s="1"/>
  <c r="FS165" i="4" a="1"/>
  <c r="FS165" i="4" s="1"/>
  <c r="FX165" i="4" a="1"/>
  <c r="FX165" i="4" s="1"/>
  <c r="FV165" i="4" a="1"/>
  <c r="FV165" i="4" s="1"/>
  <c r="EP165" i="4" a="1"/>
  <c r="EP165" i="4" s="1"/>
  <c r="FT165" i="4" a="1"/>
  <c r="FT165" i="4" s="1"/>
  <c r="EV165" i="4" a="1"/>
  <c r="EV165" i="4" s="1"/>
  <c r="FK172" i="4" a="1"/>
  <c r="FK172" i="4" s="1"/>
  <c r="FI172" i="4" a="1"/>
  <c r="FI172" i="4" s="1"/>
  <c r="FG172" i="4" a="1"/>
  <c r="FG172" i="4" s="1"/>
  <c r="FE172" i="4" a="1"/>
  <c r="FE172" i="4" s="1"/>
  <c r="ES172" i="4" a="1"/>
  <c r="ES172" i="4" s="1"/>
  <c r="EM172" i="4" a="1"/>
  <c r="EM172" i="4" s="1"/>
  <c r="FF172" i="4" a="1"/>
  <c r="FF172" i="4" s="1"/>
  <c r="FJ172" i="4" a="1"/>
  <c r="FJ172" i="4" s="1"/>
  <c r="FH172" i="4" a="1"/>
  <c r="FH172" i="4" s="1"/>
  <c r="FC173" i="4" a="1"/>
  <c r="FC173" i="4" s="1"/>
  <c r="FA173" i="4" a="1"/>
  <c r="FA173" i="4" s="1"/>
  <c r="EY173" i="4" a="1"/>
  <c r="EY173" i="4" s="1"/>
  <c r="EX173" i="4" a="1"/>
  <c r="EX173" i="4" s="1"/>
  <c r="EZ173" i="4" a="1"/>
  <c r="EZ173" i="4" s="1"/>
  <c r="ER173" i="4" a="1"/>
  <c r="ER173" i="4" s="1"/>
  <c r="FD173" i="4" a="1"/>
  <c r="FD173" i="4" s="1"/>
  <c r="FB173" i="4" a="1"/>
  <c r="FB173" i="4" s="1"/>
  <c r="EL173" i="4" a="1"/>
  <c r="EL173" i="4" s="1"/>
  <c r="FC174" i="4" a="1"/>
  <c r="FC174" i="4" s="1"/>
  <c r="FA174" i="4" a="1"/>
  <c r="FA174" i="4" s="1"/>
  <c r="EY174" i="4" a="1"/>
  <c r="EY174" i="4" s="1"/>
  <c r="EX174" i="4" a="1"/>
  <c r="EX174" i="4" s="1"/>
  <c r="EZ174" i="4" a="1"/>
  <c r="EZ174" i="4" s="1"/>
  <c r="ER174" i="4" a="1"/>
  <c r="ER174" i="4" s="1"/>
  <c r="FD174" i="4" a="1"/>
  <c r="FD174" i="4" s="1"/>
  <c r="EL174" i="4" a="1"/>
  <c r="EL174" i="4" s="1"/>
  <c r="FB174" i="4" a="1"/>
  <c r="FB174" i="4" s="1"/>
  <c r="FC175" i="4" a="1"/>
  <c r="FC175" i="4" s="1"/>
  <c r="FA175" i="4" a="1"/>
  <c r="FA175" i="4" s="1"/>
  <c r="EY175" i="4" a="1"/>
  <c r="EY175" i="4" s="1"/>
  <c r="EX175" i="4" a="1"/>
  <c r="EX175" i="4" s="1"/>
  <c r="EZ175" i="4" a="1"/>
  <c r="EZ175" i="4" s="1"/>
  <c r="ER175" i="4" a="1"/>
  <c r="ER175" i="4" s="1"/>
  <c r="FD175" i="4" a="1"/>
  <c r="FD175" i="4" s="1"/>
  <c r="EL175" i="4" a="1"/>
  <c r="EL175" i="4" s="1"/>
  <c r="FB175" i="4" a="1"/>
  <c r="FB175" i="4" s="1"/>
  <c r="EQ176" i="4" a="1"/>
  <c r="EQ176" i="4" s="1"/>
  <c r="EK176" i="4" a="1"/>
  <c r="EK176" i="4" s="1"/>
  <c r="EQ177" i="4" a="1"/>
  <c r="EQ177" i="4" s="1"/>
  <c r="EK177" i="4" a="1"/>
  <c r="EK177" i="4" s="1"/>
  <c r="FQ178" i="4" a="1"/>
  <c r="FQ178" i="4" s="1"/>
  <c r="FO178" i="4" a="1"/>
  <c r="FO178" i="4" s="1"/>
  <c r="FM178" i="4" a="1"/>
  <c r="FM178" i="4" s="1"/>
  <c r="EU178" i="4" a="1"/>
  <c r="EU178" i="4" s="1"/>
  <c r="EO178" i="4" a="1"/>
  <c r="EO178" i="4" s="1"/>
  <c r="FR178" i="4" a="1"/>
  <c r="FR178" i="4" s="1"/>
  <c r="FL178" i="4" a="1"/>
  <c r="FL178" i="4" s="1"/>
  <c r="FP178" i="4" a="1"/>
  <c r="FP178" i="4" s="1"/>
  <c r="FN178" i="4" a="1"/>
  <c r="FN178" i="4" s="1"/>
  <c r="FK187" i="4" a="1"/>
  <c r="FK187" i="4" s="1"/>
  <c r="FI187" i="4" a="1"/>
  <c r="FI187" i="4" s="1"/>
  <c r="FG187" i="4" a="1"/>
  <c r="FG187" i="4" s="1"/>
  <c r="FE187" i="4" a="1"/>
  <c r="FE187" i="4" s="1"/>
  <c r="ES187" i="4" a="1"/>
  <c r="ES187" i="4" s="1"/>
  <c r="EM187" i="4" a="1"/>
  <c r="EM187" i="4" s="1"/>
  <c r="FF187" i="4" a="1"/>
  <c r="FF187" i="4" s="1"/>
  <c r="FJ187" i="4" a="1"/>
  <c r="FJ187" i="4" s="1"/>
  <c r="FH187" i="4" a="1"/>
  <c r="FH187" i="4" s="1"/>
  <c r="FC188" i="4" a="1"/>
  <c r="FC188" i="4" s="1"/>
  <c r="FA188" i="4" a="1"/>
  <c r="FA188" i="4" s="1"/>
  <c r="EY188" i="4" a="1"/>
  <c r="EY188" i="4" s="1"/>
  <c r="EX188" i="4" a="1"/>
  <c r="EX188" i="4" s="1"/>
  <c r="EZ188" i="4" a="1"/>
  <c r="EZ188" i="4" s="1"/>
  <c r="ER188" i="4" a="1"/>
  <c r="ER188" i="4" s="1"/>
  <c r="FD188" i="4" a="1"/>
  <c r="FD188" i="4" s="1"/>
  <c r="FB188" i="4" a="1"/>
  <c r="FB188" i="4" s="1"/>
  <c r="EL188" i="4" a="1"/>
  <c r="EL188" i="4" s="1"/>
  <c r="EQ189" i="4" a="1"/>
  <c r="EQ189" i="4" s="1"/>
  <c r="EK189" i="4" a="1"/>
  <c r="EK189" i="4" s="1"/>
  <c r="FQ190" i="4" a="1"/>
  <c r="FQ190" i="4" s="1"/>
  <c r="FO190" i="4" a="1"/>
  <c r="FO190" i="4" s="1"/>
  <c r="FM190" i="4" a="1"/>
  <c r="FM190" i="4" s="1"/>
  <c r="EU190" i="4" a="1"/>
  <c r="EU190" i="4" s="1"/>
  <c r="EO190" i="4" a="1"/>
  <c r="EO190" i="4" s="1"/>
  <c r="FR190" i="4" a="1"/>
  <c r="FR190" i="4" s="1"/>
  <c r="FL190" i="4" a="1"/>
  <c r="FL190" i="4" s="1"/>
  <c r="FP190" i="4" a="1"/>
  <c r="FP190" i="4" s="1"/>
  <c r="FN190" i="4" a="1"/>
  <c r="FN190" i="4" s="1"/>
  <c r="FR191" i="4" a="1"/>
  <c r="FR191" i="4" s="1"/>
  <c r="FP191" i="4" a="1"/>
  <c r="FP191" i="4" s="1"/>
  <c r="FN191" i="4" a="1"/>
  <c r="FN191" i="4" s="1"/>
  <c r="FL191" i="4" a="1"/>
  <c r="FL191" i="4" s="1"/>
  <c r="FM191" i="4" a="1"/>
  <c r="FM191" i="4" s="1"/>
  <c r="EO191" i="4" a="1"/>
  <c r="EO191" i="4" s="1"/>
  <c r="FO191" i="4" a="1"/>
  <c r="FO191" i="4" s="1"/>
  <c r="EU191" i="4" a="1"/>
  <c r="EU191" i="4" s="1"/>
  <c r="FQ191" i="4" a="1"/>
  <c r="FQ191" i="4" s="1"/>
  <c r="FR193" i="4" a="1"/>
  <c r="FR193" i="4" s="1"/>
  <c r="FP193" i="4" a="1"/>
  <c r="FP193" i="4" s="1"/>
  <c r="FN193" i="4" a="1"/>
  <c r="FN193" i="4" s="1"/>
  <c r="FL193" i="4" a="1"/>
  <c r="FL193" i="4" s="1"/>
  <c r="FM193" i="4" a="1"/>
  <c r="FM193" i="4" s="1"/>
  <c r="EO193" i="4" a="1"/>
  <c r="EO193" i="4" s="1"/>
  <c r="FO193" i="4" a="1"/>
  <c r="FO193" i="4" s="1"/>
  <c r="EU193" i="4" a="1"/>
  <c r="EU193" i="4" s="1"/>
  <c r="FQ193" i="4" a="1"/>
  <c r="FQ193" i="4" s="1"/>
  <c r="FR195" i="4" a="1"/>
  <c r="FR195" i="4" s="1"/>
  <c r="FP195" i="4" a="1"/>
  <c r="FP195" i="4" s="1"/>
  <c r="FN195" i="4" a="1"/>
  <c r="FN195" i="4" s="1"/>
  <c r="FL195" i="4" a="1"/>
  <c r="FL195" i="4" s="1"/>
  <c r="FM195" i="4" a="1"/>
  <c r="FM195" i="4" s="1"/>
  <c r="EO195" i="4" a="1"/>
  <c r="EO195" i="4" s="1"/>
  <c r="FO195" i="4" a="1"/>
  <c r="FO195" i="4" s="1"/>
  <c r="EU195" i="4" a="1"/>
  <c r="EU195" i="4" s="1"/>
  <c r="FQ195" i="4" a="1"/>
  <c r="FQ195" i="4" s="1"/>
  <c r="FR197" i="4" a="1"/>
  <c r="FR197" i="4" s="1"/>
  <c r="FP197" i="4" a="1"/>
  <c r="FP197" i="4" s="1"/>
  <c r="FN197" i="4" a="1"/>
  <c r="FN197" i="4" s="1"/>
  <c r="FL197" i="4" a="1"/>
  <c r="FL197" i="4" s="1"/>
  <c r="FM197" i="4" a="1"/>
  <c r="FM197" i="4" s="1"/>
  <c r="EO197" i="4" a="1"/>
  <c r="EO197" i="4" s="1"/>
  <c r="FO197" i="4" a="1"/>
  <c r="FO197" i="4" s="1"/>
  <c r="EU197" i="4" a="1"/>
  <c r="EU197" i="4" s="1"/>
  <c r="FQ197" i="4" a="1"/>
  <c r="FQ197" i="4" s="1"/>
  <c r="FR199" i="4" a="1"/>
  <c r="FR199" i="4" s="1"/>
  <c r="FP199" i="4" a="1"/>
  <c r="FP199" i="4" s="1"/>
  <c r="FN199" i="4" a="1"/>
  <c r="FN199" i="4" s="1"/>
  <c r="FL199" i="4" a="1"/>
  <c r="FL199" i="4" s="1"/>
  <c r="FM199" i="4" a="1"/>
  <c r="FM199" i="4" s="1"/>
  <c r="EO199" i="4" a="1"/>
  <c r="EO199" i="4" s="1"/>
  <c r="FO199" i="4" a="1"/>
  <c r="FO199" i="4" s="1"/>
  <c r="EU199" i="4" a="1"/>
  <c r="EU199" i="4" s="1"/>
  <c r="FQ199" i="4" a="1"/>
  <c r="FQ199" i="4" s="1"/>
  <c r="FR201" i="4" a="1"/>
  <c r="FR201" i="4" s="1"/>
  <c r="FP201" i="4" a="1"/>
  <c r="FP201" i="4" s="1"/>
  <c r="FN201" i="4" a="1"/>
  <c r="FN201" i="4" s="1"/>
  <c r="FL201" i="4" a="1"/>
  <c r="FL201" i="4" s="1"/>
  <c r="FM201" i="4" a="1"/>
  <c r="FM201" i="4" s="1"/>
  <c r="EO201" i="4" a="1"/>
  <c r="EO201" i="4" s="1"/>
  <c r="FO201" i="4" a="1"/>
  <c r="FO201" i="4" s="1"/>
  <c r="EU201" i="4" a="1"/>
  <c r="EU201" i="4" s="1"/>
  <c r="FQ201" i="4" a="1"/>
  <c r="FQ201" i="4" s="1"/>
  <c r="FR203" i="4" a="1"/>
  <c r="FR203" i="4" s="1"/>
  <c r="FP203" i="4" a="1"/>
  <c r="FP203" i="4" s="1"/>
  <c r="FN203" i="4" a="1"/>
  <c r="FN203" i="4" s="1"/>
  <c r="FL203" i="4" a="1"/>
  <c r="FL203" i="4" s="1"/>
  <c r="FM203" i="4" a="1"/>
  <c r="FM203" i="4" s="1"/>
  <c r="EO203" i="4" a="1"/>
  <c r="EO203" i="4" s="1"/>
  <c r="FO203" i="4" a="1"/>
  <c r="FO203" i="4" s="1"/>
  <c r="EU203" i="4" a="1"/>
  <c r="EU203" i="4" s="1"/>
  <c r="FQ203" i="4" a="1"/>
  <c r="FQ203" i="4" s="1"/>
  <c r="FR218" i="4" a="1"/>
  <c r="FR218" i="4" s="1"/>
  <c r="FP218" i="4" a="1"/>
  <c r="FP218" i="4" s="1"/>
  <c r="FN218" i="4" a="1"/>
  <c r="FN218" i="4" s="1"/>
  <c r="FL218" i="4" a="1"/>
  <c r="FL218" i="4" s="1"/>
  <c r="FM218" i="4" a="1"/>
  <c r="FM218" i="4" s="1"/>
  <c r="EO218" i="4" a="1"/>
  <c r="EO218" i="4" s="1"/>
  <c r="FO218" i="4" a="1"/>
  <c r="FO218" i="4" s="1"/>
  <c r="EU218" i="4" a="1"/>
  <c r="EU218" i="4" s="1"/>
  <c r="FQ218" i="4" a="1"/>
  <c r="FQ218" i="4" s="1"/>
  <c r="FR220" i="4" a="1"/>
  <c r="FR220" i="4" s="1"/>
  <c r="FP220" i="4" a="1"/>
  <c r="FP220" i="4" s="1"/>
  <c r="FN220" i="4" a="1"/>
  <c r="FN220" i="4" s="1"/>
  <c r="FL220" i="4" a="1"/>
  <c r="FL220" i="4" s="1"/>
  <c r="FM220" i="4" a="1"/>
  <c r="FM220" i="4" s="1"/>
  <c r="EO220" i="4" a="1"/>
  <c r="EO220" i="4" s="1"/>
  <c r="FO220" i="4" a="1"/>
  <c r="FO220" i="4" s="1"/>
  <c r="EU220" i="4" a="1"/>
  <c r="EU220" i="4" s="1"/>
  <c r="FQ220" i="4" a="1"/>
  <c r="FQ220" i="4" s="1"/>
  <c r="FR222" i="4" a="1"/>
  <c r="FR222" i="4" s="1"/>
  <c r="FP222" i="4" a="1"/>
  <c r="FP222" i="4" s="1"/>
  <c r="FN222" i="4" a="1"/>
  <c r="FN222" i="4" s="1"/>
  <c r="FL222" i="4" a="1"/>
  <c r="FL222" i="4" s="1"/>
  <c r="FM222" i="4" a="1"/>
  <c r="FM222" i="4" s="1"/>
  <c r="EO222" i="4" a="1"/>
  <c r="EO222" i="4" s="1"/>
  <c r="FO222" i="4" a="1"/>
  <c r="FO222" i="4" s="1"/>
  <c r="EU222" i="4" a="1"/>
  <c r="EU222" i="4" s="1"/>
  <c r="FQ222" i="4" a="1"/>
  <c r="FQ222" i="4" s="1"/>
  <c r="FR224" i="4" a="1"/>
  <c r="FR224" i="4" s="1"/>
  <c r="FP224" i="4" a="1"/>
  <c r="FP224" i="4" s="1"/>
  <c r="FN224" i="4" a="1"/>
  <c r="FN224" i="4" s="1"/>
  <c r="FL224" i="4" a="1"/>
  <c r="FL224" i="4" s="1"/>
  <c r="FM224" i="4" a="1"/>
  <c r="FM224" i="4" s="1"/>
  <c r="EO224" i="4" a="1"/>
  <c r="EO224" i="4" s="1"/>
  <c r="FO224" i="4" a="1"/>
  <c r="FO224" i="4" s="1"/>
  <c r="EU224" i="4" a="1"/>
  <c r="EU224" i="4" s="1"/>
  <c r="FQ224" i="4" a="1"/>
  <c r="FQ224" i="4" s="1"/>
  <c r="FR226" i="4" a="1"/>
  <c r="FR226" i="4" s="1"/>
  <c r="FP226" i="4" a="1"/>
  <c r="FP226" i="4" s="1"/>
  <c r="FN226" i="4" a="1"/>
  <c r="FN226" i="4" s="1"/>
  <c r="FL226" i="4" a="1"/>
  <c r="FL226" i="4" s="1"/>
  <c r="FM226" i="4" a="1"/>
  <c r="FM226" i="4" s="1"/>
  <c r="EO226" i="4" a="1"/>
  <c r="EO226" i="4" s="1"/>
  <c r="FO226" i="4" a="1"/>
  <c r="FO226" i="4" s="1"/>
  <c r="EU226" i="4" a="1"/>
  <c r="EU226" i="4" s="1"/>
  <c r="FQ226" i="4" a="1"/>
  <c r="FQ226" i="4" s="1"/>
  <c r="FR228" i="4" a="1"/>
  <c r="FR228" i="4" s="1"/>
  <c r="FP228" i="4" a="1"/>
  <c r="FP228" i="4" s="1"/>
  <c r="FN228" i="4" a="1"/>
  <c r="FN228" i="4" s="1"/>
  <c r="FL228" i="4" a="1"/>
  <c r="FL228" i="4" s="1"/>
  <c r="FM228" i="4" a="1"/>
  <c r="FM228" i="4" s="1"/>
  <c r="EO228" i="4" a="1"/>
  <c r="EO228" i="4" s="1"/>
  <c r="FO228" i="4" a="1"/>
  <c r="FO228" i="4" s="1"/>
  <c r="EU228" i="4" a="1"/>
  <c r="EU228" i="4" s="1"/>
  <c r="FQ228" i="4" a="1"/>
  <c r="FQ228" i="4" s="1"/>
  <c r="FR230" i="4" a="1"/>
  <c r="FR230" i="4" s="1"/>
  <c r="FP230" i="4" a="1"/>
  <c r="FP230" i="4" s="1"/>
  <c r="FN230" i="4" a="1"/>
  <c r="FN230" i="4" s="1"/>
  <c r="FL230" i="4" a="1"/>
  <c r="FL230" i="4" s="1"/>
  <c r="FM230" i="4" a="1"/>
  <c r="FM230" i="4" s="1"/>
  <c r="EO230" i="4" a="1"/>
  <c r="EO230" i="4" s="1"/>
  <c r="FO230" i="4" a="1"/>
  <c r="FO230" i="4" s="1"/>
  <c r="EU230" i="4" a="1"/>
  <c r="EU230" i="4" s="1"/>
  <c r="FQ230" i="4" a="1"/>
  <c r="FQ230" i="4" s="1"/>
  <c r="FR232" i="4" a="1"/>
  <c r="FR232" i="4" s="1"/>
  <c r="FP232" i="4" a="1"/>
  <c r="FP232" i="4" s="1"/>
  <c r="FN232" i="4" a="1"/>
  <c r="FN232" i="4" s="1"/>
  <c r="FL232" i="4" a="1"/>
  <c r="FL232" i="4" s="1"/>
  <c r="FM232" i="4" a="1"/>
  <c r="FM232" i="4" s="1"/>
  <c r="EO232" i="4" a="1"/>
  <c r="EO232" i="4" s="1"/>
  <c r="FO232" i="4" a="1"/>
  <c r="FO232" i="4" s="1"/>
  <c r="EU232" i="4" a="1"/>
  <c r="EU232" i="4" s="1"/>
  <c r="FQ232" i="4" a="1"/>
  <c r="FQ232" i="4" s="1"/>
  <c r="FR234" i="4" a="1"/>
  <c r="FR234" i="4" s="1"/>
  <c r="FP234" i="4" a="1"/>
  <c r="FP234" i="4" s="1"/>
  <c r="FN234" i="4" a="1"/>
  <c r="FN234" i="4" s="1"/>
  <c r="FL234" i="4" a="1"/>
  <c r="FL234" i="4" s="1"/>
  <c r="FM234" i="4" a="1"/>
  <c r="FM234" i="4" s="1"/>
  <c r="EO234" i="4" a="1"/>
  <c r="EO234" i="4" s="1"/>
  <c r="FO234" i="4" a="1"/>
  <c r="FO234" i="4" s="1"/>
  <c r="EU234" i="4" a="1"/>
  <c r="EU234" i="4" s="1"/>
  <c r="FQ234" i="4" a="1"/>
  <c r="FQ234" i="4" s="1"/>
  <c r="FR236" i="4" a="1"/>
  <c r="FR236" i="4" s="1"/>
  <c r="FP236" i="4" a="1"/>
  <c r="FP236" i="4" s="1"/>
  <c r="FN236" i="4" a="1"/>
  <c r="FN236" i="4" s="1"/>
  <c r="FL236" i="4" a="1"/>
  <c r="FL236" i="4" s="1"/>
  <c r="FM236" i="4" a="1"/>
  <c r="FM236" i="4" s="1"/>
  <c r="EO236" i="4" a="1"/>
  <c r="EO236" i="4" s="1"/>
  <c r="FO236" i="4" a="1"/>
  <c r="FO236" i="4" s="1"/>
  <c r="EU236" i="4" a="1"/>
  <c r="EU236" i="4" s="1"/>
  <c r="FQ236" i="4" a="1"/>
  <c r="FQ236" i="4" s="1"/>
  <c r="FX238" i="4" a="1"/>
  <c r="FX238" i="4" s="1"/>
  <c r="FS238" i="4" a="1"/>
  <c r="FS238" i="4" s="1"/>
  <c r="FU238" i="4" a="1"/>
  <c r="FU238" i="4" s="1"/>
  <c r="FY238" i="4" a="1"/>
  <c r="FY238" i="4" s="1"/>
  <c r="FV238" i="4" a="1"/>
  <c r="FV238" i="4" s="1"/>
  <c r="EP238" i="4" a="1"/>
  <c r="EP238" i="4" s="1"/>
  <c r="FW238" i="4" a="1"/>
  <c r="FW238" i="4" s="1"/>
  <c r="EV238" i="4" a="1"/>
  <c r="EV238" i="4" s="1"/>
  <c r="FT238" i="4" a="1"/>
  <c r="FT238" i="4" s="1"/>
  <c r="FX240" i="4" a="1"/>
  <c r="FX240" i="4" s="1"/>
  <c r="FS240" i="4" a="1"/>
  <c r="FS240" i="4" s="1"/>
  <c r="FU240" i="4" a="1"/>
  <c r="FU240" i="4" s="1"/>
  <c r="FY240" i="4" a="1"/>
  <c r="FY240" i="4" s="1"/>
  <c r="FV240" i="4" a="1"/>
  <c r="FV240" i="4" s="1"/>
  <c r="EP240" i="4" a="1"/>
  <c r="EP240" i="4" s="1"/>
  <c r="FW240" i="4" a="1"/>
  <c r="FW240" i="4" s="1"/>
  <c r="FT240" i="4" a="1"/>
  <c r="FT240" i="4" s="1"/>
  <c r="EV240" i="4" a="1"/>
  <c r="EV240" i="4" s="1"/>
  <c r="FX242" i="4" a="1"/>
  <c r="FX242" i="4" s="1"/>
  <c r="FS242" i="4" a="1"/>
  <c r="FS242" i="4" s="1"/>
  <c r="FU242" i="4" a="1"/>
  <c r="FU242" i="4" s="1"/>
  <c r="FY242" i="4" a="1"/>
  <c r="FY242" i="4" s="1"/>
  <c r="FV242" i="4" a="1"/>
  <c r="FV242" i="4" s="1"/>
  <c r="EP242" i="4" a="1"/>
  <c r="EP242" i="4" s="1"/>
  <c r="FT242" i="4" a="1"/>
  <c r="FT242" i="4" s="1"/>
  <c r="EV242" i="4" a="1"/>
  <c r="EV242" i="4" s="1"/>
  <c r="FW242" i="4" a="1"/>
  <c r="FW242" i="4" s="1"/>
  <c r="FX244" i="4" a="1"/>
  <c r="FX244" i="4" s="1"/>
  <c r="FS244" i="4" a="1"/>
  <c r="FS244" i="4" s="1"/>
  <c r="FU244" i="4" a="1"/>
  <c r="FU244" i="4" s="1"/>
  <c r="FY244" i="4" a="1"/>
  <c r="FY244" i="4" s="1"/>
  <c r="FV244" i="4" a="1"/>
  <c r="FV244" i="4" s="1"/>
  <c r="EP244" i="4" a="1"/>
  <c r="EP244" i="4" s="1"/>
  <c r="EV244" i="4" a="1"/>
  <c r="EV244" i="4" s="1"/>
  <c r="FT244" i="4" a="1"/>
  <c r="FT244" i="4" s="1"/>
  <c r="FW244" i="4" a="1"/>
  <c r="FW244" i="4" s="1"/>
  <c r="FX246" i="4" a="1"/>
  <c r="FX246" i="4" s="1"/>
  <c r="FS246" i="4" a="1"/>
  <c r="FS246" i="4" s="1"/>
  <c r="FU246" i="4" a="1"/>
  <c r="FU246" i="4" s="1"/>
  <c r="FY246" i="4" a="1"/>
  <c r="FY246" i="4" s="1"/>
  <c r="FV246" i="4" a="1"/>
  <c r="FV246" i="4" s="1"/>
  <c r="EP246" i="4" a="1"/>
  <c r="EP246" i="4" s="1"/>
  <c r="FW246" i="4" a="1"/>
  <c r="FW246" i="4" s="1"/>
  <c r="EV246" i="4" a="1"/>
  <c r="EV246" i="4" s="1"/>
  <c r="FT246" i="4" a="1"/>
  <c r="FT246" i="4" s="1"/>
  <c r="FR250" i="4" a="1"/>
  <c r="FR250" i="4" s="1"/>
  <c r="FP250" i="4" a="1"/>
  <c r="FP250" i="4" s="1"/>
  <c r="FN250" i="4" a="1"/>
  <c r="FN250" i="4" s="1"/>
  <c r="FL250" i="4" a="1"/>
  <c r="FL250" i="4" s="1"/>
  <c r="FM250" i="4" a="1"/>
  <c r="FM250" i="4" s="1"/>
  <c r="EO250" i="4" a="1"/>
  <c r="EO250" i="4" s="1"/>
  <c r="FO250" i="4" a="1"/>
  <c r="FO250" i="4" s="1"/>
  <c r="EU250" i="4" a="1"/>
  <c r="EU250" i="4" s="1"/>
  <c r="FQ250" i="4" a="1"/>
  <c r="FQ250" i="4" s="1"/>
  <c r="FR252" i="4" a="1"/>
  <c r="FR252" i="4" s="1"/>
  <c r="FP252" i="4" a="1"/>
  <c r="FP252" i="4" s="1"/>
  <c r="FN252" i="4" a="1"/>
  <c r="FN252" i="4" s="1"/>
  <c r="FL252" i="4" a="1"/>
  <c r="FL252" i="4" s="1"/>
  <c r="FM252" i="4" a="1"/>
  <c r="FM252" i="4" s="1"/>
  <c r="EO252" i="4" a="1"/>
  <c r="EO252" i="4" s="1"/>
  <c r="FO252" i="4" a="1"/>
  <c r="FO252" i="4" s="1"/>
  <c r="EU252" i="4" a="1"/>
  <c r="EU252" i="4" s="1"/>
  <c r="FQ252" i="4" a="1"/>
  <c r="FQ252" i="4" s="1"/>
  <c r="FR261" i="4" a="1"/>
  <c r="FR261" i="4" s="1"/>
  <c r="FP261" i="4" a="1"/>
  <c r="FP261" i="4" s="1"/>
  <c r="FN261" i="4" a="1"/>
  <c r="FN261" i="4" s="1"/>
  <c r="FL261" i="4" a="1"/>
  <c r="FL261" i="4" s="1"/>
  <c r="FM261" i="4" a="1"/>
  <c r="FM261" i="4" s="1"/>
  <c r="EO261" i="4" a="1"/>
  <c r="EO261" i="4" s="1"/>
  <c r="FO261" i="4" a="1"/>
  <c r="FO261" i="4" s="1"/>
  <c r="EU261" i="4" a="1"/>
  <c r="EU261" i="4" s="1"/>
  <c r="FQ261" i="4" a="1"/>
  <c r="FQ261" i="4" s="1"/>
  <c r="FR263" i="4" a="1"/>
  <c r="FR263" i="4" s="1"/>
  <c r="FP263" i="4" a="1"/>
  <c r="FP263" i="4" s="1"/>
  <c r="FN263" i="4" a="1"/>
  <c r="FN263" i="4" s="1"/>
  <c r="FL263" i="4" a="1"/>
  <c r="FL263" i="4" s="1"/>
  <c r="FM263" i="4" a="1"/>
  <c r="FM263" i="4" s="1"/>
  <c r="EO263" i="4" a="1"/>
  <c r="EO263" i="4" s="1"/>
  <c r="FO263" i="4" a="1"/>
  <c r="FO263" i="4" s="1"/>
  <c r="EU263" i="4" a="1"/>
  <c r="EU263" i="4" s="1"/>
  <c r="FQ263" i="4" a="1"/>
  <c r="FQ263" i="4" s="1"/>
  <c r="CT223" i="4" a="1"/>
  <c r="CT223" i="4" s="1"/>
  <c r="CT202" i="4" a="1"/>
  <c r="CT202" i="4" s="1"/>
  <c r="EW186" i="4" a="1"/>
  <c r="EW186" i="4" s="1"/>
  <c r="FK145" i="4" a="1"/>
  <c r="FK145" i="4" s="1"/>
  <c r="FI145" i="4" a="1"/>
  <c r="FI145" i="4" s="1"/>
  <c r="FG145" i="4" a="1"/>
  <c r="FG145" i="4" s="1"/>
  <c r="FE145" i="4" a="1"/>
  <c r="FE145" i="4" s="1"/>
  <c r="ES145" i="4" a="1"/>
  <c r="ES145" i="4" s="1"/>
  <c r="EM145" i="4" a="1"/>
  <c r="EM145" i="4" s="1"/>
  <c r="FH145" i="4" a="1"/>
  <c r="FH145" i="4" s="1"/>
  <c r="FJ145" i="4" a="1"/>
  <c r="FJ145" i="4" s="1"/>
  <c r="FF145" i="4" a="1"/>
  <c r="FF145" i="4" s="1"/>
  <c r="CY103" i="4" a="1"/>
  <c r="CY103" i="4" s="1"/>
  <c r="EQ82" i="4" a="1"/>
  <c r="EQ82" i="4" s="1"/>
  <c r="EK82" i="4" a="1"/>
  <c r="EK82" i="4" s="1"/>
  <c r="FJ52" i="4" a="1"/>
  <c r="FJ52" i="4" s="1"/>
  <c r="FH52" i="4" a="1"/>
  <c r="FH52" i="4" s="1"/>
  <c r="FF52" i="4" a="1"/>
  <c r="FF52" i="4" s="1"/>
  <c r="FE52" i="4" a="1"/>
  <c r="FE52" i="4" s="1"/>
  <c r="FG52" i="4" a="1"/>
  <c r="FG52" i="4" s="1"/>
  <c r="FK52" i="4" a="1"/>
  <c r="FK52" i="4" s="1"/>
  <c r="EM52" i="4" a="1"/>
  <c r="EM52" i="4" s="1"/>
  <c r="FI52" i="4" a="1"/>
  <c r="FI52" i="4" s="1"/>
  <c r="ES52" i="4" a="1"/>
  <c r="ES52" i="4" s="1"/>
  <c r="CW30" i="4" a="1"/>
  <c r="CW30" i="4" s="1"/>
  <c r="FH28" i="4" a="1"/>
  <c r="FH28" i="4" s="1"/>
  <c r="FE28" i="4" a="1"/>
  <c r="FE28" i="4" s="1"/>
  <c r="FJ28" i="4" a="1"/>
  <c r="FJ28" i="4" s="1"/>
  <c r="FG28" i="4" a="1"/>
  <c r="FG28" i="4" s="1"/>
  <c r="FK28" i="4" a="1"/>
  <c r="FK28" i="4" s="1"/>
  <c r="FF28" i="4" a="1"/>
  <c r="FF28" i="4" s="1"/>
  <c r="EM28" i="4" a="1"/>
  <c r="EM28" i="4" s="1"/>
  <c r="ES28" i="4" a="1"/>
  <c r="ES28" i="4" s="1"/>
  <c r="FI28" i="4" a="1"/>
  <c r="FI28" i="4" s="1"/>
  <c r="EJ32" i="4" a="1"/>
  <c r="EJ32" i="4" s="1"/>
  <c r="FK78" i="4" a="1"/>
  <c r="FK78" i="4" s="1"/>
  <c r="FI78" i="4" a="1"/>
  <c r="FI78" i="4" s="1"/>
  <c r="FG78" i="4" a="1"/>
  <c r="FG78" i="4" s="1"/>
  <c r="FE78" i="4" a="1"/>
  <c r="FE78" i="4" s="1"/>
  <c r="ES78" i="4" a="1"/>
  <c r="ES78" i="4" s="1"/>
  <c r="EM78" i="4" a="1"/>
  <c r="EM78" i="4" s="1"/>
  <c r="FH78" i="4" a="1"/>
  <c r="FH78" i="4" s="1"/>
  <c r="FJ78" i="4" a="1"/>
  <c r="FJ78" i="4" s="1"/>
  <c r="FF78" i="4" a="1"/>
  <c r="FF78" i="4" s="1"/>
  <c r="FC91" i="4" a="1"/>
  <c r="FC91" i="4" s="1"/>
  <c r="FA91" i="4" a="1"/>
  <c r="FA91" i="4" s="1"/>
  <c r="EY91" i="4" a="1"/>
  <c r="EY91" i="4" s="1"/>
  <c r="FB91" i="4" a="1"/>
  <c r="FB91" i="4" s="1"/>
  <c r="EL91" i="4" a="1"/>
  <c r="EL91" i="4" s="1"/>
  <c r="FD91" i="4" a="1"/>
  <c r="FD91" i="4" s="1"/>
  <c r="EZ91" i="4" a="1"/>
  <c r="EZ91" i="4" s="1"/>
  <c r="ER91" i="4" a="1"/>
  <c r="ER91" i="4" s="1"/>
  <c r="EX91" i="4" a="1"/>
  <c r="EX91" i="4" s="1"/>
  <c r="FK95" i="4" a="1"/>
  <c r="FK95" i="4" s="1"/>
  <c r="FI95" i="4" a="1"/>
  <c r="FI95" i="4" s="1"/>
  <c r="FG95" i="4" a="1"/>
  <c r="FG95" i="4" s="1"/>
  <c r="FE95" i="4" a="1"/>
  <c r="FE95" i="4" s="1"/>
  <c r="ES95" i="4" a="1"/>
  <c r="ES95" i="4" s="1"/>
  <c r="EM95" i="4" a="1"/>
  <c r="EM95" i="4" s="1"/>
  <c r="FH95" i="4" a="1"/>
  <c r="FH95" i="4" s="1"/>
  <c r="FJ95" i="4" a="1"/>
  <c r="FJ95" i="4" s="1"/>
  <c r="FF95" i="4" a="1"/>
  <c r="FF95" i="4" s="1"/>
  <c r="FQ99" i="4" a="1"/>
  <c r="FQ99" i="4" s="1"/>
  <c r="FO99" i="4" a="1"/>
  <c r="FO99" i="4" s="1"/>
  <c r="FM99" i="4" a="1"/>
  <c r="FM99" i="4" s="1"/>
  <c r="EU99" i="4" a="1"/>
  <c r="EU99" i="4" s="1"/>
  <c r="EO99" i="4" a="1"/>
  <c r="EO99" i="4" s="1"/>
  <c r="FN99" i="4" a="1"/>
  <c r="FN99" i="4" s="1"/>
  <c r="FP99" i="4" a="1"/>
  <c r="FP99" i="4" s="1"/>
  <c r="FL99" i="4" a="1"/>
  <c r="FL99" i="4" s="1"/>
  <c r="FR99" i="4" a="1"/>
  <c r="FR99" i="4" s="1"/>
  <c r="EQ107" i="4" a="1"/>
  <c r="EQ107" i="4" s="1"/>
  <c r="EK107" i="4" a="1"/>
  <c r="EK107" i="4" s="1"/>
  <c r="FC111" i="4" a="1"/>
  <c r="FC111" i="4" s="1"/>
  <c r="FA111" i="4" a="1"/>
  <c r="FA111" i="4" s="1"/>
  <c r="EY111" i="4" a="1"/>
  <c r="EY111" i="4" s="1"/>
  <c r="FB111" i="4" a="1"/>
  <c r="FB111" i="4" s="1"/>
  <c r="EL111" i="4" a="1"/>
  <c r="EL111" i="4" s="1"/>
  <c r="FD111" i="4" a="1"/>
  <c r="FD111" i="4" s="1"/>
  <c r="EZ111" i="4" a="1"/>
  <c r="EZ111" i="4" s="1"/>
  <c r="ER111" i="4" a="1"/>
  <c r="ER111" i="4" s="1"/>
  <c r="EX111" i="4" a="1"/>
  <c r="EX111" i="4" s="1"/>
  <c r="EW115" i="4" a="1"/>
  <c r="EW115" i="4" s="1"/>
  <c r="EQ124" i="4" a="1"/>
  <c r="EQ124" i="4" s="1"/>
  <c r="EK124" i="4" a="1"/>
  <c r="EK124" i="4" s="1"/>
  <c r="FK129" i="4" a="1"/>
  <c r="FK129" i="4" s="1"/>
  <c r="FI129" i="4" a="1"/>
  <c r="FI129" i="4" s="1"/>
  <c r="FG129" i="4" a="1"/>
  <c r="FG129" i="4" s="1"/>
  <c r="FE129" i="4" a="1"/>
  <c r="FE129" i="4" s="1"/>
  <c r="ES129" i="4" a="1"/>
  <c r="ES129" i="4" s="1"/>
  <c r="EM129" i="4" a="1"/>
  <c r="EM129" i="4" s="1"/>
  <c r="FH129" i="4" a="1"/>
  <c r="FH129" i="4" s="1"/>
  <c r="FJ129" i="4" a="1"/>
  <c r="FJ129" i="4" s="1"/>
  <c r="FF129" i="4" a="1"/>
  <c r="FF129" i="4" s="1"/>
  <c r="FY137" i="4" a="1"/>
  <c r="FY137" i="4" s="1"/>
  <c r="FW137" i="4" a="1"/>
  <c r="FW137" i="4" s="1"/>
  <c r="FU137" i="4" a="1"/>
  <c r="FU137" i="4" s="1"/>
  <c r="FS137" i="4" a="1"/>
  <c r="FS137" i="4" s="1"/>
  <c r="FT137" i="4" a="1"/>
  <c r="FT137" i="4" s="1"/>
  <c r="EV137" i="4" a="1"/>
  <c r="EV137" i="4" s="1"/>
  <c r="FV137" i="4" a="1"/>
  <c r="FV137" i="4" s="1"/>
  <c r="EP137" i="4" a="1"/>
  <c r="EP137" i="4" s="1"/>
  <c r="FX137" i="4" a="1"/>
  <c r="FX137" i="4" s="1"/>
  <c r="FC142" i="4" a="1"/>
  <c r="FC142" i="4" s="1"/>
  <c r="FA142" i="4" a="1"/>
  <c r="FA142" i="4" s="1"/>
  <c r="EY142" i="4" a="1"/>
  <c r="EY142" i="4" s="1"/>
  <c r="FB142" i="4" a="1"/>
  <c r="FB142" i="4" s="1"/>
  <c r="EL142" i="4" a="1"/>
  <c r="EL142" i="4" s="1"/>
  <c r="FD142" i="4" a="1"/>
  <c r="FD142" i="4" s="1"/>
  <c r="EZ142" i="4" a="1"/>
  <c r="EZ142" i="4" s="1"/>
  <c r="ER142" i="4" a="1"/>
  <c r="ER142" i="4" s="1"/>
  <c r="EX142" i="4" a="1"/>
  <c r="EX142" i="4" s="1"/>
  <c r="EW146" i="4" a="1"/>
  <c r="EW146" i="4" s="1"/>
  <c r="FC151" i="4" a="1"/>
  <c r="FC151" i="4" s="1"/>
  <c r="FA151" i="4" a="1"/>
  <c r="FA151" i="4" s="1"/>
  <c r="EY151" i="4" a="1"/>
  <c r="EY151" i="4" s="1"/>
  <c r="FB151" i="4" a="1"/>
  <c r="FB151" i="4" s="1"/>
  <c r="EL151" i="4" a="1"/>
  <c r="EL151" i="4" s="1"/>
  <c r="FD151" i="4" a="1"/>
  <c r="FD151" i="4" s="1"/>
  <c r="EZ151" i="4" a="1"/>
  <c r="EZ151" i="4" s="1"/>
  <c r="ER151" i="4" a="1"/>
  <c r="ER151" i="4" s="1"/>
  <c r="EX151" i="4" a="1"/>
  <c r="EX151" i="4" s="1"/>
  <c r="FC160" i="4" a="1"/>
  <c r="FC160" i="4" s="1"/>
  <c r="FA160" i="4" a="1"/>
  <c r="FA160" i="4" s="1"/>
  <c r="EY160" i="4" a="1"/>
  <c r="EY160" i="4" s="1"/>
  <c r="FB160" i="4" a="1"/>
  <c r="FB160" i="4" s="1"/>
  <c r="EL160" i="4" a="1"/>
  <c r="EL160" i="4" s="1"/>
  <c r="FD160" i="4" a="1"/>
  <c r="FD160" i="4" s="1"/>
  <c r="EZ160" i="4" a="1"/>
  <c r="EZ160" i="4" s="1"/>
  <c r="ER160" i="4" a="1"/>
  <c r="ER160" i="4" s="1"/>
  <c r="EX160" i="4" a="1"/>
  <c r="EX160" i="4" s="1"/>
  <c r="FQ164" i="4" a="1"/>
  <c r="FQ164" i="4" s="1"/>
  <c r="FO164" i="4" a="1"/>
  <c r="FO164" i="4" s="1"/>
  <c r="FM164" i="4" a="1"/>
  <c r="FM164" i="4" s="1"/>
  <c r="EU164" i="4" a="1"/>
  <c r="EU164" i="4" s="1"/>
  <c r="EO164" i="4" a="1"/>
  <c r="EO164" i="4" s="1"/>
  <c r="FN164" i="4" a="1"/>
  <c r="FN164" i="4" s="1"/>
  <c r="FP164" i="4" a="1"/>
  <c r="FP164" i="4" s="1"/>
  <c r="FL164" i="4" a="1"/>
  <c r="FL164" i="4" s="1"/>
  <c r="FR164" i="4" a="1"/>
  <c r="FR164" i="4" s="1"/>
  <c r="EQ168" i="4" a="1"/>
  <c r="EQ168" i="4" s="1"/>
  <c r="EK168" i="4" a="1"/>
  <c r="EK168" i="4" s="1"/>
  <c r="FY172" i="4" a="1"/>
  <c r="FY172" i="4" s="1"/>
  <c r="FW172" i="4" a="1"/>
  <c r="FW172" i="4" s="1"/>
  <c r="FU172" i="4" a="1"/>
  <c r="FU172" i="4" s="1"/>
  <c r="FS172" i="4" a="1"/>
  <c r="FS172" i="4" s="1"/>
  <c r="FT172" i="4" a="1"/>
  <c r="FT172" i="4" s="1"/>
  <c r="EV172" i="4" a="1"/>
  <c r="EV172" i="4" s="1"/>
  <c r="FV172" i="4" a="1"/>
  <c r="FV172" i="4" s="1"/>
  <c r="EP172" i="4" a="1"/>
  <c r="EP172" i="4" s="1"/>
  <c r="FX172" i="4" a="1"/>
  <c r="FX172" i="4" s="1"/>
  <c r="FW237" i="4" a="1"/>
  <c r="FW237" i="4" s="1"/>
  <c r="FT237" i="4" a="1"/>
  <c r="FT237" i="4" s="1"/>
  <c r="EV237" i="4" a="1"/>
  <c r="EV237" i="4" s="1"/>
  <c r="FY237" i="4" a="1"/>
  <c r="FY237" i="4" s="1"/>
  <c r="FV237" i="4" a="1"/>
  <c r="FV237" i="4" s="1"/>
  <c r="EP237" i="4" a="1"/>
  <c r="EP237" i="4" s="1"/>
  <c r="FU237" i="4" a="1"/>
  <c r="FU237" i="4" s="1"/>
  <c r="FX237" i="4" a="1"/>
  <c r="FX237" i="4" s="1"/>
  <c r="FS237" i="4" a="1"/>
  <c r="FS237" i="4" s="1"/>
  <c r="ET246" i="4" a="1"/>
  <c r="ET246" i="4" s="1"/>
  <c r="EN246" i="4" a="1"/>
  <c r="EN246" i="4" s="1"/>
  <c r="ET258" i="4" a="1"/>
  <c r="ET258" i="4" s="1"/>
  <c r="EN258" i="4" a="1"/>
  <c r="EN258" i="4" s="1"/>
  <c r="EJ5" i="4" a="1"/>
  <c r="EJ5" i="4" s="1"/>
  <c r="EJ9" i="4" a="1"/>
  <c r="EJ9" i="4" s="1"/>
  <c r="EJ13" i="4" a="1"/>
  <c r="EJ13" i="4" s="1"/>
  <c r="EJ17" i="4" a="1"/>
  <c r="EJ17" i="4" s="1"/>
  <c r="EJ21" i="4" a="1"/>
  <c r="EJ21" i="4" s="1"/>
  <c r="FQ34" i="4" a="1"/>
  <c r="FQ34" i="4" s="1"/>
  <c r="FN34" i="4" a="1"/>
  <c r="FN34" i="4" s="1"/>
  <c r="FP34" i="4" a="1"/>
  <c r="FP34" i="4" s="1"/>
  <c r="EU34" i="4" a="1"/>
  <c r="EU34" i="4" s="1"/>
  <c r="FO34" i="4" a="1"/>
  <c r="FO34" i="4" s="1"/>
  <c r="FL34" i="4" a="1"/>
  <c r="FL34" i="4" s="1"/>
  <c r="EO34" i="4" a="1"/>
  <c r="EO34" i="4" s="1"/>
  <c r="FR34" i="4" a="1"/>
  <c r="FR34" i="4" s="1"/>
  <c r="FM34" i="4" a="1"/>
  <c r="FM34" i="4" s="1"/>
  <c r="FQ38" i="4" a="1"/>
  <c r="FQ38" i="4" s="1"/>
  <c r="FN38" i="4" a="1"/>
  <c r="FN38" i="4" s="1"/>
  <c r="FP38" i="4" a="1"/>
  <c r="FP38" i="4" s="1"/>
  <c r="EU38" i="4" a="1"/>
  <c r="EU38" i="4" s="1"/>
  <c r="FO38" i="4" a="1"/>
  <c r="FO38" i="4" s="1"/>
  <c r="FL38" i="4" a="1"/>
  <c r="FL38" i="4" s="1"/>
  <c r="EO38" i="4" a="1"/>
  <c r="EO38" i="4" s="1"/>
  <c r="FR38" i="4" a="1"/>
  <c r="FR38" i="4" s="1"/>
  <c r="FM38" i="4" a="1"/>
  <c r="FM38" i="4" s="1"/>
  <c r="EJ42" i="4" a="1"/>
  <c r="EJ42" i="4" s="1"/>
  <c r="FW49" i="4" a="1"/>
  <c r="FW49" i="4" s="1"/>
  <c r="FT49" i="4" a="1"/>
  <c r="FT49" i="4" s="1"/>
  <c r="EV49" i="4" a="1"/>
  <c r="EV49" i="4" s="1"/>
  <c r="FY49" i="4" a="1"/>
  <c r="FY49" i="4" s="1"/>
  <c r="FV49" i="4" a="1"/>
  <c r="FV49" i="4" s="1"/>
  <c r="EP49" i="4" a="1"/>
  <c r="EP49" i="4" s="1"/>
  <c r="FU49" i="4" a="1"/>
  <c r="FU49" i="4" s="1"/>
  <c r="FS49" i="4" a="1"/>
  <c r="FS49" i="4" s="1"/>
  <c r="FX49" i="4" a="1"/>
  <c r="FX49" i="4" s="1"/>
  <c r="FR61" i="4" a="1"/>
  <c r="FR61" i="4" s="1"/>
  <c r="FP61" i="4" a="1"/>
  <c r="FP61" i="4" s="1"/>
  <c r="FN61" i="4" a="1"/>
  <c r="FN61" i="4" s="1"/>
  <c r="FL61" i="4" a="1"/>
  <c r="FL61" i="4" s="1"/>
  <c r="FQ61" i="4" a="1"/>
  <c r="FQ61" i="4" s="1"/>
  <c r="EU61" i="4" a="1"/>
  <c r="EU61" i="4" s="1"/>
  <c r="FO61" i="4" a="1"/>
  <c r="FO61" i="4" s="1"/>
  <c r="EO61" i="4" a="1"/>
  <c r="EO61" i="4" s="1"/>
  <c r="FM61" i="4" a="1"/>
  <c r="FM61" i="4" s="1"/>
  <c r="FY74" i="4" a="1"/>
  <c r="FY74" i="4" s="1"/>
  <c r="FW74" i="4" a="1"/>
  <c r="FW74" i="4" s="1"/>
  <c r="FU74" i="4" a="1"/>
  <c r="FU74" i="4" s="1"/>
  <c r="FS74" i="4" a="1"/>
  <c r="FS74" i="4" s="1"/>
  <c r="FT74" i="4" a="1"/>
  <c r="FT74" i="4" s="1"/>
  <c r="EV74" i="4" a="1"/>
  <c r="EV74" i="4" s="1"/>
  <c r="FV74" i="4" a="1"/>
  <c r="FV74" i="4" s="1"/>
  <c r="EP74" i="4" a="1"/>
  <c r="EP74" i="4" s="1"/>
  <c r="FX74" i="4" a="1"/>
  <c r="FX74" i="4" s="1"/>
  <c r="FY83" i="4" a="1"/>
  <c r="FY83" i="4" s="1"/>
  <c r="FW83" i="4" a="1"/>
  <c r="FW83" i="4" s="1"/>
  <c r="FU83" i="4" a="1"/>
  <c r="FU83" i="4" s="1"/>
  <c r="FS83" i="4" a="1"/>
  <c r="FS83" i="4" s="1"/>
  <c r="FT83" i="4" a="1"/>
  <c r="FT83" i="4" s="1"/>
  <c r="EV83" i="4" a="1"/>
  <c r="EV83" i="4" s="1"/>
  <c r="FV83" i="4" a="1"/>
  <c r="FV83" i="4" s="1"/>
  <c r="EP83" i="4" a="1"/>
  <c r="EP83" i="4" s="1"/>
  <c r="FX83" i="4" a="1"/>
  <c r="FX83" i="4" s="1"/>
  <c r="FC130" i="4" a="1"/>
  <c r="FC130" i="4" s="1"/>
  <c r="FA130" i="4" a="1"/>
  <c r="FA130" i="4" s="1"/>
  <c r="EY130" i="4" a="1"/>
  <c r="EY130" i="4" s="1"/>
  <c r="FB130" i="4" a="1"/>
  <c r="FB130" i="4" s="1"/>
  <c r="EL130" i="4" a="1"/>
  <c r="EL130" i="4" s="1"/>
  <c r="FD130" i="4" a="1"/>
  <c r="FD130" i="4" s="1"/>
  <c r="EZ130" i="4" a="1"/>
  <c r="EZ130" i="4" s="1"/>
  <c r="ER130" i="4" a="1"/>
  <c r="ER130" i="4" s="1"/>
  <c r="EX130" i="4" a="1"/>
  <c r="EX130" i="4" s="1"/>
  <c r="FK159" i="4" a="1"/>
  <c r="FK159" i="4" s="1"/>
  <c r="FI159" i="4" a="1"/>
  <c r="FI159" i="4" s="1"/>
  <c r="FG159" i="4" a="1"/>
  <c r="FG159" i="4" s="1"/>
  <c r="FE159" i="4" a="1"/>
  <c r="FE159" i="4" s="1"/>
  <c r="ES159" i="4" a="1"/>
  <c r="ES159" i="4" s="1"/>
  <c r="EM159" i="4" a="1"/>
  <c r="EM159" i="4" s="1"/>
  <c r="FH159" i="4" a="1"/>
  <c r="FH159" i="4" s="1"/>
  <c r="FJ159" i="4" a="1"/>
  <c r="FJ159" i="4" s="1"/>
  <c r="FF159" i="4" a="1"/>
  <c r="FF159" i="4" s="1"/>
  <c r="EQ163" i="4" a="1"/>
  <c r="EQ163" i="4" s="1"/>
  <c r="EK163" i="4" a="1"/>
  <c r="EK163" i="4" s="1"/>
  <c r="FC167" i="4" a="1"/>
  <c r="FC167" i="4" s="1"/>
  <c r="FA167" i="4" a="1"/>
  <c r="FA167" i="4" s="1"/>
  <c r="EY167" i="4" a="1"/>
  <c r="EY167" i="4" s="1"/>
  <c r="FB167" i="4" a="1"/>
  <c r="FB167" i="4" s="1"/>
  <c r="EL167" i="4" a="1"/>
  <c r="EL167" i="4" s="1"/>
  <c r="FD167" i="4" a="1"/>
  <c r="FD167" i="4" s="1"/>
  <c r="EZ167" i="4" a="1"/>
  <c r="EZ167" i="4" s="1"/>
  <c r="ER167" i="4" a="1"/>
  <c r="ER167" i="4" s="1"/>
  <c r="EX167" i="4" a="1"/>
  <c r="EX167" i="4" s="1"/>
  <c r="EW171" i="4" a="1"/>
  <c r="EW171" i="4" s="1"/>
  <c r="FR192" i="4" a="1"/>
  <c r="FR192" i="4" s="1"/>
  <c r="FP192" i="4" a="1"/>
  <c r="FP192" i="4" s="1"/>
  <c r="FN192" i="4" a="1"/>
  <c r="FN192" i="4" s="1"/>
  <c r="FL192" i="4" a="1"/>
  <c r="FL192" i="4" s="1"/>
  <c r="FQ192" i="4" a="1"/>
  <c r="FQ192" i="4" s="1"/>
  <c r="EU192" i="4" a="1"/>
  <c r="EU192" i="4" s="1"/>
  <c r="FO192" i="4" a="1"/>
  <c r="FO192" i="4" s="1"/>
  <c r="EO192" i="4" a="1"/>
  <c r="EO192" i="4" s="1"/>
  <c r="FM192" i="4" a="1"/>
  <c r="FM192" i="4" s="1"/>
  <c r="FR196" i="4" a="1"/>
  <c r="FR196" i="4" s="1"/>
  <c r="FP196" i="4" a="1"/>
  <c r="FP196" i="4" s="1"/>
  <c r="FN196" i="4" a="1"/>
  <c r="FN196" i="4" s="1"/>
  <c r="FL196" i="4" a="1"/>
  <c r="FL196" i="4" s="1"/>
  <c r="FQ196" i="4" a="1"/>
  <c r="FQ196" i="4" s="1"/>
  <c r="EU196" i="4" a="1"/>
  <c r="EU196" i="4" s="1"/>
  <c r="FO196" i="4" a="1"/>
  <c r="FO196" i="4" s="1"/>
  <c r="EO196" i="4" a="1"/>
  <c r="EO196" i="4" s="1"/>
  <c r="FM196" i="4" a="1"/>
  <c r="FM196" i="4" s="1"/>
  <c r="FR200" i="4" a="1"/>
  <c r="FR200" i="4" s="1"/>
  <c r="FP200" i="4" a="1"/>
  <c r="FP200" i="4" s="1"/>
  <c r="FN200" i="4" a="1"/>
  <c r="FN200" i="4" s="1"/>
  <c r="FL200" i="4" a="1"/>
  <c r="FL200" i="4" s="1"/>
  <c r="FQ200" i="4" a="1"/>
  <c r="FQ200" i="4" s="1"/>
  <c r="EU200" i="4" a="1"/>
  <c r="EU200" i="4" s="1"/>
  <c r="FO200" i="4" a="1"/>
  <c r="FO200" i="4" s="1"/>
  <c r="EO200" i="4" a="1"/>
  <c r="EO200" i="4" s="1"/>
  <c r="FM200" i="4" a="1"/>
  <c r="FM200" i="4" s="1"/>
  <c r="FR204" i="4" a="1"/>
  <c r="FR204" i="4" s="1"/>
  <c r="FP204" i="4" a="1"/>
  <c r="FP204" i="4" s="1"/>
  <c r="FN204" i="4" a="1"/>
  <c r="FN204" i="4" s="1"/>
  <c r="FL204" i="4" a="1"/>
  <c r="FL204" i="4" s="1"/>
  <c r="FQ204" i="4" a="1"/>
  <c r="FQ204" i="4" s="1"/>
  <c r="EU204" i="4" a="1"/>
  <c r="EU204" i="4" s="1"/>
  <c r="FO204" i="4" a="1"/>
  <c r="FO204" i="4" s="1"/>
  <c r="EO204" i="4" a="1"/>
  <c r="EO204" i="4" s="1"/>
  <c r="FM204" i="4" a="1"/>
  <c r="FM204" i="4" s="1"/>
  <c r="EW208" i="4" a="1"/>
  <c r="EW208" i="4" s="1"/>
  <c r="EW216" i="4" a="1"/>
  <c r="EW216" i="4" s="1"/>
  <c r="FR260" i="4" a="1"/>
  <c r="FR260" i="4" s="1"/>
  <c r="FP260" i="4" a="1"/>
  <c r="FP260" i="4" s="1"/>
  <c r="FN260" i="4" a="1"/>
  <c r="FN260" i="4" s="1"/>
  <c r="FL260" i="4" a="1"/>
  <c r="FL260" i="4" s="1"/>
  <c r="FQ260" i="4" a="1"/>
  <c r="FQ260" i="4" s="1"/>
  <c r="EU260" i="4" a="1"/>
  <c r="EU260" i="4" s="1"/>
  <c r="FO260" i="4" a="1"/>
  <c r="FO260" i="4" s="1"/>
  <c r="EO260" i="4" a="1"/>
  <c r="EO260" i="4" s="1"/>
  <c r="FM260" i="4" a="1"/>
  <c r="FM260" i="4" s="1"/>
  <c r="FR264" i="4" a="1"/>
  <c r="FR264" i="4" s="1"/>
  <c r="FP264" i="4" a="1"/>
  <c r="FP264" i="4" s="1"/>
  <c r="FN264" i="4" a="1"/>
  <c r="FN264" i="4" s="1"/>
  <c r="FL264" i="4" a="1"/>
  <c r="FL264" i="4" s="1"/>
  <c r="FQ264" i="4" a="1"/>
  <c r="FQ264" i="4" s="1"/>
  <c r="EU264" i="4" a="1"/>
  <c r="EU264" i="4" s="1"/>
  <c r="FO264" i="4" a="1"/>
  <c r="FO264" i="4" s="1"/>
  <c r="EO264" i="4" a="1"/>
  <c r="EO264" i="4" s="1"/>
  <c r="FM264" i="4" a="1"/>
  <c r="FM264" i="4" s="1"/>
  <c r="EQ45" i="4" a="1"/>
  <c r="EQ45" i="4" s="1"/>
  <c r="EK45" i="4" a="1"/>
  <c r="EK45" i="4" s="1"/>
  <c r="EJ53" i="4" a="1"/>
  <c r="EJ53" i="4" s="1"/>
  <c r="EJ57" i="4" a="1"/>
  <c r="EJ57" i="4" s="1"/>
  <c r="FK70" i="4" a="1"/>
  <c r="FK70" i="4" s="1"/>
  <c r="FI70" i="4" a="1"/>
  <c r="FI70" i="4" s="1"/>
  <c r="FG70" i="4" a="1"/>
  <c r="FG70" i="4" s="1"/>
  <c r="FE70" i="4" a="1"/>
  <c r="FE70" i="4" s="1"/>
  <c r="ES70" i="4" a="1"/>
  <c r="ES70" i="4" s="1"/>
  <c r="EM70" i="4" a="1"/>
  <c r="EM70" i="4" s="1"/>
  <c r="FH70" i="4" a="1"/>
  <c r="FH70" i="4" s="1"/>
  <c r="FJ70" i="4" a="1"/>
  <c r="FJ70" i="4" s="1"/>
  <c r="FF70" i="4" a="1"/>
  <c r="FF70" i="4" s="1"/>
  <c r="FK86" i="4" a="1"/>
  <c r="FK86" i="4" s="1"/>
  <c r="FI86" i="4" a="1"/>
  <c r="FI86" i="4" s="1"/>
  <c r="FG86" i="4" a="1"/>
  <c r="FG86" i="4" s="1"/>
  <c r="FE86" i="4" a="1"/>
  <c r="FE86" i="4" s="1"/>
  <c r="ES86" i="4" a="1"/>
  <c r="ES86" i="4" s="1"/>
  <c r="EM86" i="4" a="1"/>
  <c r="EM86" i="4" s="1"/>
  <c r="FH86" i="4" a="1"/>
  <c r="FH86" i="4" s="1"/>
  <c r="FJ86" i="4" a="1"/>
  <c r="FJ86" i="4" s="1"/>
  <c r="FF86" i="4" a="1"/>
  <c r="FF86" i="4" s="1"/>
  <c r="FQ94" i="4" a="1"/>
  <c r="FQ94" i="4" s="1"/>
  <c r="FO94" i="4" a="1"/>
  <c r="FO94" i="4" s="1"/>
  <c r="FM94" i="4" a="1"/>
  <c r="FM94" i="4" s="1"/>
  <c r="EU94" i="4" a="1"/>
  <c r="EU94" i="4" s="1"/>
  <c r="EO94" i="4" a="1"/>
  <c r="EO94" i="4" s="1"/>
  <c r="FN94" i="4" a="1"/>
  <c r="FN94" i="4" s="1"/>
  <c r="FP94" i="4" a="1"/>
  <c r="FP94" i="4" s="1"/>
  <c r="FL94" i="4" a="1"/>
  <c r="FL94" i="4" s="1"/>
  <c r="FR94" i="4" a="1"/>
  <c r="FR94" i="4" s="1"/>
  <c r="FY98" i="4" a="1"/>
  <c r="FY98" i="4" s="1"/>
  <c r="FW98" i="4" a="1"/>
  <c r="FW98" i="4" s="1"/>
  <c r="FU98" i="4" a="1"/>
  <c r="FU98" i="4" s="1"/>
  <c r="FS98" i="4" a="1"/>
  <c r="FS98" i="4" s="1"/>
  <c r="FT98" i="4" a="1"/>
  <c r="FT98" i="4" s="1"/>
  <c r="EV98" i="4" a="1"/>
  <c r="EV98" i="4" s="1"/>
  <c r="FV98" i="4" a="1"/>
  <c r="FV98" i="4" s="1"/>
  <c r="EP98" i="4" a="1"/>
  <c r="EP98" i="4" s="1"/>
  <c r="FX98" i="4" a="1"/>
  <c r="FX98" i="4" s="1"/>
  <c r="FQ103" i="4" a="1"/>
  <c r="FQ103" i="4" s="1"/>
  <c r="FO103" i="4" a="1"/>
  <c r="FO103" i="4" s="1"/>
  <c r="FM103" i="4" a="1"/>
  <c r="FM103" i="4" s="1"/>
  <c r="EU103" i="4" a="1"/>
  <c r="EU103" i="4" s="1"/>
  <c r="EO103" i="4" a="1"/>
  <c r="EO103" i="4" s="1"/>
  <c r="FN103" i="4" a="1"/>
  <c r="FN103" i="4" s="1"/>
  <c r="FP103" i="4" a="1"/>
  <c r="FP103" i="4" s="1"/>
  <c r="FL103" i="4" a="1"/>
  <c r="FL103" i="4" s="1"/>
  <c r="FR103" i="4" a="1"/>
  <c r="FR103" i="4" s="1"/>
  <c r="FQ128" i="4" a="1"/>
  <c r="FQ128" i="4" s="1"/>
  <c r="FO128" i="4" a="1"/>
  <c r="FO128" i="4" s="1"/>
  <c r="FM128" i="4" a="1"/>
  <c r="FM128" i="4" s="1"/>
  <c r="EU128" i="4" a="1"/>
  <c r="EU128" i="4" s="1"/>
  <c r="EO128" i="4" a="1"/>
  <c r="EO128" i="4" s="1"/>
  <c r="FN128" i="4" a="1"/>
  <c r="FN128" i="4" s="1"/>
  <c r="FP128" i="4" a="1"/>
  <c r="FP128" i="4" s="1"/>
  <c r="FL128" i="4" a="1"/>
  <c r="FL128" i="4" s="1"/>
  <c r="FR128" i="4" a="1"/>
  <c r="FR128" i="4" s="1"/>
  <c r="EQ137" i="4" a="1"/>
  <c r="EQ137" i="4" s="1"/>
  <c r="EK137" i="4" a="1"/>
  <c r="EK137" i="4" s="1"/>
  <c r="FC146" i="4" a="1"/>
  <c r="FC146" i="4" s="1"/>
  <c r="FA146" i="4" a="1"/>
  <c r="FA146" i="4" s="1"/>
  <c r="EY146" i="4" a="1"/>
  <c r="EY146" i="4" s="1"/>
  <c r="FB146" i="4" a="1"/>
  <c r="FB146" i="4" s="1"/>
  <c r="EL146" i="4" a="1"/>
  <c r="EL146" i="4" s="1"/>
  <c r="FD146" i="4" a="1"/>
  <c r="FD146" i="4" s="1"/>
  <c r="EZ146" i="4" a="1"/>
  <c r="EZ146" i="4" s="1"/>
  <c r="ER146" i="4" a="1"/>
  <c r="ER146" i="4" s="1"/>
  <c r="EX146" i="4" a="1"/>
  <c r="EX146" i="4" s="1"/>
  <c r="FK155" i="4" a="1"/>
  <c r="FK155" i="4" s="1"/>
  <c r="FI155" i="4" a="1"/>
  <c r="FI155" i="4" s="1"/>
  <c r="FG155" i="4" a="1"/>
  <c r="FG155" i="4" s="1"/>
  <c r="FE155" i="4" a="1"/>
  <c r="FE155" i="4" s="1"/>
  <c r="ES155" i="4" a="1"/>
  <c r="ES155" i="4" s="1"/>
  <c r="EM155" i="4" a="1"/>
  <c r="EM155" i="4" s="1"/>
  <c r="FH155" i="4" a="1"/>
  <c r="FH155" i="4" s="1"/>
  <c r="FJ155" i="4" a="1"/>
  <c r="FJ155" i="4" s="1"/>
  <c r="FF155" i="4" a="1"/>
  <c r="FF155" i="4" s="1"/>
  <c r="FY163" i="4" a="1"/>
  <c r="FY163" i="4" s="1"/>
  <c r="FW163" i="4" a="1"/>
  <c r="FW163" i="4" s="1"/>
  <c r="FU163" i="4" a="1"/>
  <c r="FU163" i="4" s="1"/>
  <c r="FS163" i="4" a="1"/>
  <c r="FS163" i="4" s="1"/>
  <c r="FT163" i="4" a="1"/>
  <c r="FT163" i="4" s="1"/>
  <c r="EV163" i="4" a="1"/>
  <c r="EV163" i="4" s="1"/>
  <c r="FV163" i="4" a="1"/>
  <c r="FV163" i="4" s="1"/>
  <c r="EP163" i="4" a="1"/>
  <c r="EP163" i="4" s="1"/>
  <c r="FX163" i="4" a="1"/>
  <c r="FX163" i="4" s="1"/>
  <c r="EQ172" i="4" a="1"/>
  <c r="EQ172" i="4" s="1"/>
  <c r="EK172" i="4" a="1"/>
  <c r="EK172" i="4" s="1"/>
  <c r="FK176" i="4" a="1"/>
  <c r="FK176" i="4" s="1"/>
  <c r="FI176" i="4" a="1"/>
  <c r="FI176" i="4" s="1"/>
  <c r="FG176" i="4" a="1"/>
  <c r="FG176" i="4" s="1"/>
  <c r="FE176" i="4" a="1"/>
  <c r="FE176" i="4" s="1"/>
  <c r="ES176" i="4" a="1"/>
  <c r="ES176" i="4" s="1"/>
  <c r="EM176" i="4" a="1"/>
  <c r="EM176" i="4" s="1"/>
  <c r="FH176" i="4" a="1"/>
  <c r="FH176" i="4" s="1"/>
  <c r="FJ176" i="4" a="1"/>
  <c r="FJ176" i="4" s="1"/>
  <c r="FF176" i="4" a="1"/>
  <c r="FF176" i="4" s="1"/>
  <c r="FC190" i="4" a="1"/>
  <c r="FC190" i="4" s="1"/>
  <c r="FA190" i="4" a="1"/>
  <c r="FA190" i="4" s="1"/>
  <c r="EY190" i="4" a="1"/>
  <c r="EY190" i="4" s="1"/>
  <c r="FB190" i="4" a="1"/>
  <c r="FB190" i="4" s="1"/>
  <c r="EL190" i="4" a="1"/>
  <c r="EL190" i="4" s="1"/>
  <c r="FD190" i="4" a="1"/>
  <c r="FD190" i="4" s="1"/>
  <c r="EZ190" i="4" a="1"/>
  <c r="EZ190" i="4" s="1"/>
  <c r="ER190" i="4" a="1"/>
  <c r="ER190" i="4" s="1"/>
  <c r="EX190" i="4" a="1"/>
  <c r="EX190" i="4" s="1"/>
  <c r="EW206" i="4" a="1"/>
  <c r="EW206" i="4" s="1"/>
  <c r="EW214" i="4" a="1"/>
  <c r="EW214" i="4" s="1"/>
  <c r="FJ218" i="4" a="1"/>
  <c r="FJ218" i="4" s="1"/>
  <c r="FH218" i="4" a="1"/>
  <c r="FH218" i="4" s="1"/>
  <c r="FF218" i="4" a="1"/>
  <c r="FF218" i="4" s="1"/>
  <c r="FE218" i="4" a="1"/>
  <c r="FE218" i="4" s="1"/>
  <c r="FG218" i="4" a="1"/>
  <c r="FG218" i="4" s="1"/>
  <c r="FK218" i="4" a="1"/>
  <c r="FK218" i="4" s="1"/>
  <c r="EM218" i="4" a="1"/>
  <c r="EM218" i="4" s="1"/>
  <c r="ES218" i="4" a="1"/>
  <c r="ES218" i="4" s="1"/>
  <c r="FI218" i="4" a="1"/>
  <c r="FI218" i="4" s="1"/>
  <c r="FJ222" i="4" a="1"/>
  <c r="FJ222" i="4" s="1"/>
  <c r="FH222" i="4" a="1"/>
  <c r="FH222" i="4" s="1"/>
  <c r="FF222" i="4" a="1"/>
  <c r="FF222" i="4" s="1"/>
  <c r="FE222" i="4" a="1"/>
  <c r="FE222" i="4" s="1"/>
  <c r="FG222" i="4" a="1"/>
  <c r="FG222" i="4" s="1"/>
  <c r="FK222" i="4" a="1"/>
  <c r="FK222" i="4" s="1"/>
  <c r="EM222" i="4" a="1"/>
  <c r="EM222" i="4" s="1"/>
  <c r="ES222" i="4" a="1"/>
  <c r="ES222" i="4" s="1"/>
  <c r="FI222" i="4" a="1"/>
  <c r="FI222" i="4" s="1"/>
  <c r="FJ226" i="4" a="1"/>
  <c r="FJ226" i="4" s="1"/>
  <c r="FH226" i="4" a="1"/>
  <c r="FH226" i="4" s="1"/>
  <c r="FF226" i="4" a="1"/>
  <c r="FF226" i="4" s="1"/>
  <c r="FE226" i="4" a="1"/>
  <c r="FE226" i="4" s="1"/>
  <c r="FG226" i="4" a="1"/>
  <c r="FG226" i="4" s="1"/>
  <c r="FK226" i="4" a="1"/>
  <c r="FK226" i="4" s="1"/>
  <c r="EM226" i="4" a="1"/>
  <c r="EM226" i="4" s="1"/>
  <c r="ES226" i="4" a="1"/>
  <c r="ES226" i="4" s="1"/>
  <c r="FI226" i="4" a="1"/>
  <c r="FI226" i="4" s="1"/>
  <c r="FJ230" i="4" a="1"/>
  <c r="FJ230" i="4" s="1"/>
  <c r="FH230" i="4" a="1"/>
  <c r="FH230" i="4" s="1"/>
  <c r="FF230" i="4" a="1"/>
  <c r="FF230" i="4" s="1"/>
  <c r="FE230" i="4" a="1"/>
  <c r="FE230" i="4" s="1"/>
  <c r="FG230" i="4" a="1"/>
  <c r="FG230" i="4" s="1"/>
  <c r="FK230" i="4" a="1"/>
  <c r="FK230" i="4" s="1"/>
  <c r="EM230" i="4" a="1"/>
  <c r="EM230" i="4" s="1"/>
  <c r="ES230" i="4" a="1"/>
  <c r="ES230" i="4" s="1"/>
  <c r="FI230" i="4" a="1"/>
  <c r="FI230" i="4" s="1"/>
  <c r="FJ234" i="4" a="1"/>
  <c r="FJ234" i="4" s="1"/>
  <c r="FH234" i="4" a="1"/>
  <c r="FH234" i="4" s="1"/>
  <c r="FF234" i="4" a="1"/>
  <c r="FF234" i="4" s="1"/>
  <c r="FE234" i="4" a="1"/>
  <c r="FE234" i="4" s="1"/>
  <c r="FG234" i="4" a="1"/>
  <c r="FG234" i="4" s="1"/>
  <c r="FK234" i="4" a="1"/>
  <c r="FK234" i="4" s="1"/>
  <c r="EM234" i="4" a="1"/>
  <c r="EM234" i="4" s="1"/>
  <c r="ES234" i="4" a="1"/>
  <c r="ES234" i="4" s="1"/>
  <c r="FI234" i="4" a="1"/>
  <c r="FI234" i="4" s="1"/>
  <c r="FJ250" i="4" a="1"/>
  <c r="FJ250" i="4" s="1"/>
  <c r="FH250" i="4" a="1"/>
  <c r="FH250" i="4" s="1"/>
  <c r="FF250" i="4" a="1"/>
  <c r="FF250" i="4" s="1"/>
  <c r="FE250" i="4" a="1"/>
  <c r="FE250" i="4" s="1"/>
  <c r="FG250" i="4" a="1"/>
  <c r="FG250" i="4" s="1"/>
  <c r="FK250" i="4" a="1"/>
  <c r="FK250" i="4" s="1"/>
  <c r="EM250" i="4" a="1"/>
  <c r="EM250" i="4" s="1"/>
  <c r="ES250" i="4" a="1"/>
  <c r="ES250" i="4" s="1"/>
  <c r="FI250" i="4" a="1"/>
  <c r="FI250" i="4" s="1"/>
  <c r="CT221" i="4" a="1"/>
  <c r="CT221" i="4" s="1"/>
  <c r="EJ202" i="4" a="1"/>
  <c r="EJ202" i="4" s="1"/>
  <c r="CX16" i="4" a="1"/>
  <c r="CX16" i="4" s="1"/>
  <c r="EQ259" i="4" a="1"/>
  <c r="EQ259" i="4" s="1"/>
  <c r="EK259" i="4" a="1"/>
  <c r="EK259" i="4" s="1"/>
  <c r="CU247" i="4" a="1"/>
  <c r="CU247" i="4" s="1"/>
  <c r="EW210" i="4" a="1"/>
  <c r="EW210" i="4" s="1"/>
  <c r="CW162" i="4" a="1"/>
  <c r="CW162" i="4" s="1"/>
  <c r="FY106" i="4" a="1"/>
  <c r="FY106" i="4" s="1"/>
  <c r="FW106" i="4" a="1"/>
  <c r="FW106" i="4" s="1"/>
  <c r="FU106" i="4" a="1"/>
  <c r="FU106" i="4" s="1"/>
  <c r="FS106" i="4" a="1"/>
  <c r="FS106" i="4" s="1"/>
  <c r="FT106" i="4" a="1"/>
  <c r="FT106" i="4" s="1"/>
  <c r="EV106" i="4" a="1"/>
  <c r="EV106" i="4" s="1"/>
  <c r="FV106" i="4" a="1"/>
  <c r="FV106" i="4" s="1"/>
  <c r="EP106" i="4" a="1"/>
  <c r="EP106" i="4" s="1"/>
  <c r="FX106" i="4" a="1"/>
  <c r="FX106" i="4" s="1"/>
  <c r="EQ93" i="4" a="1"/>
  <c r="EQ93" i="4" s="1"/>
  <c r="EK93" i="4" a="1"/>
  <c r="EK93" i="4" s="1"/>
  <c r="FK79" i="4" a="1"/>
  <c r="FK79" i="4" s="1"/>
  <c r="FI79" i="4" a="1"/>
  <c r="FI79" i="4" s="1"/>
  <c r="FG79" i="4" a="1"/>
  <c r="FG79" i="4" s="1"/>
  <c r="FE79" i="4" a="1"/>
  <c r="FE79" i="4" s="1"/>
  <c r="ES79" i="4" a="1"/>
  <c r="ES79" i="4" s="1"/>
  <c r="EM79" i="4" a="1"/>
  <c r="EM79" i="4" s="1"/>
  <c r="FH79" i="4" a="1"/>
  <c r="FH79" i="4" s="1"/>
  <c r="FJ79" i="4" a="1"/>
  <c r="FJ79" i="4" s="1"/>
  <c r="FF79" i="4" a="1"/>
  <c r="FF79" i="4" s="1"/>
  <c r="CY50" i="4" a="1"/>
  <c r="CY50" i="4" s="1"/>
  <c r="EJ34" i="4" a="1"/>
  <c r="EJ34" i="4" s="1"/>
  <c r="CZ255" i="4" a="1"/>
  <c r="CZ255" i="4" s="1"/>
  <c r="EJ223" i="4" a="1"/>
  <c r="EJ223" i="4" s="1"/>
  <c r="CT196" i="4" a="1"/>
  <c r="CT196" i="4" s="1"/>
  <c r="CX8" i="4" a="1"/>
  <c r="CX8" i="4" s="1"/>
  <c r="FW247" i="4" a="1"/>
  <c r="FW247" i="4" s="1"/>
  <c r="FT247" i="4" a="1"/>
  <c r="FT247" i="4" s="1"/>
  <c r="EV247" i="4" a="1"/>
  <c r="EV247" i="4" s="1"/>
  <c r="FY247" i="4" a="1"/>
  <c r="FY247" i="4" s="1"/>
  <c r="FV247" i="4" a="1"/>
  <c r="FV247" i="4" s="1"/>
  <c r="EP247" i="4" a="1"/>
  <c r="EP247" i="4" s="1"/>
  <c r="FU247" i="4" a="1"/>
  <c r="FU247" i="4" s="1"/>
  <c r="FX247" i="4" a="1"/>
  <c r="FX247" i="4" s="1"/>
  <c r="FS247" i="4" a="1"/>
  <c r="FS247" i="4" s="1"/>
  <c r="CX237" i="4" a="1"/>
  <c r="CX237" i="4" s="1"/>
  <c r="EQ208" i="4" a="1"/>
  <c r="EQ208" i="4" s="1"/>
  <c r="EK208" i="4" a="1"/>
  <c r="EK208" i="4" s="1"/>
  <c r="FC156" i="4" a="1"/>
  <c r="FC156" i="4" s="1"/>
  <c r="FA156" i="4" a="1"/>
  <c r="FA156" i="4" s="1"/>
  <c r="EY156" i="4" a="1"/>
  <c r="EY156" i="4" s="1"/>
  <c r="FB156" i="4" a="1"/>
  <c r="FB156" i="4" s="1"/>
  <c r="EL156" i="4" a="1"/>
  <c r="EL156" i="4" s="1"/>
  <c r="FD156" i="4" a="1"/>
  <c r="FD156" i="4" s="1"/>
  <c r="EZ156" i="4" a="1"/>
  <c r="EZ156" i="4" s="1"/>
  <c r="ER156" i="4" a="1"/>
  <c r="ER156" i="4" s="1"/>
  <c r="EX156" i="4" a="1"/>
  <c r="EX156" i="4" s="1"/>
  <c r="FC116" i="4" a="1"/>
  <c r="FC116" i="4" s="1"/>
  <c r="FA116" i="4" a="1"/>
  <c r="FA116" i="4" s="1"/>
  <c r="EY116" i="4" a="1"/>
  <c r="EY116" i="4" s="1"/>
  <c r="FB116" i="4" a="1"/>
  <c r="FB116" i="4" s="1"/>
  <c r="EL116" i="4" a="1"/>
  <c r="EL116" i="4" s="1"/>
  <c r="FD116" i="4" a="1"/>
  <c r="FD116" i="4" s="1"/>
  <c r="EZ116" i="4" a="1"/>
  <c r="EZ116" i="4" s="1"/>
  <c r="ER116" i="4" a="1"/>
  <c r="ER116" i="4" s="1"/>
  <c r="EX116" i="4" a="1"/>
  <c r="EX116" i="4" s="1"/>
  <c r="CW106" i="4" a="1"/>
  <c r="CW106" i="4" s="1"/>
  <c r="CU96" i="4" a="1"/>
  <c r="CU96" i="4" s="1"/>
  <c r="FQ76" i="4" a="1"/>
  <c r="FQ76" i="4" s="1"/>
  <c r="FO76" i="4" a="1"/>
  <c r="FO76" i="4" s="1"/>
  <c r="FM76" i="4" a="1"/>
  <c r="FM76" i="4" s="1"/>
  <c r="EU76" i="4" a="1"/>
  <c r="EU76" i="4" s="1"/>
  <c r="EO76" i="4" a="1"/>
  <c r="EO76" i="4" s="1"/>
  <c r="FN76" i="4" a="1"/>
  <c r="FN76" i="4" s="1"/>
  <c r="FP76" i="4" a="1"/>
  <c r="FP76" i="4" s="1"/>
  <c r="FL76" i="4" a="1"/>
  <c r="FL76" i="4" s="1"/>
  <c r="FR76" i="4" a="1"/>
  <c r="FR76" i="4" s="1"/>
  <c r="CT61" i="4" a="1"/>
  <c r="CT61" i="4" s="1"/>
  <c r="FR51" i="4" a="1"/>
  <c r="FR51" i="4" s="1"/>
  <c r="FP51" i="4" a="1"/>
  <c r="FP51" i="4" s="1"/>
  <c r="FN51" i="4" a="1"/>
  <c r="FN51" i="4" s="1"/>
  <c r="FL51" i="4" a="1"/>
  <c r="FL51" i="4" s="1"/>
  <c r="FQ51" i="4" a="1"/>
  <c r="FQ51" i="4" s="1"/>
  <c r="EU51" i="4" a="1"/>
  <c r="EU51" i="4" s="1"/>
  <c r="FO51" i="4" a="1"/>
  <c r="FO51" i="4" s="1"/>
  <c r="FM51" i="4" a="1"/>
  <c r="FM51" i="4" s="1"/>
  <c r="EO51" i="4" a="1"/>
  <c r="EO51" i="4" s="1"/>
  <c r="FY27" i="4" a="1"/>
  <c r="FY27" i="4" s="1"/>
  <c r="FT27" i="4" a="1"/>
  <c r="FT27" i="4" s="1"/>
  <c r="EV27" i="4" a="1"/>
  <c r="EV27" i="4" s="1"/>
  <c r="FV27" i="4" a="1"/>
  <c r="FV27" i="4" s="1"/>
  <c r="FS27" i="4" a="1"/>
  <c r="FS27" i="4" s="1"/>
  <c r="EP27" i="4" a="1"/>
  <c r="EP27" i="4" s="1"/>
  <c r="FW27" i="4" a="1"/>
  <c r="FW27" i="4" s="1"/>
  <c r="FX27" i="4" a="1"/>
  <c r="FX27" i="4" s="1"/>
  <c r="FU27" i="4" a="1"/>
  <c r="FU27" i="4" s="1"/>
  <c r="CX18" i="4" a="1"/>
  <c r="CX18" i="4" s="1"/>
  <c r="CX10" i="4" a="1"/>
  <c r="CX10" i="4" s="1"/>
  <c r="CT9" i="4" a="1"/>
  <c r="CT9" i="4" s="1"/>
  <c r="CT17" i="4" a="1"/>
  <c r="CT17" i="4" s="1"/>
  <c r="CT25" i="4" a="1"/>
  <c r="CT25" i="4" s="1"/>
  <c r="CZ40" i="4" a="1"/>
  <c r="CZ40" i="4" s="1"/>
  <c r="CY48" i="4" a="1"/>
  <c r="CY48" i="4" s="1"/>
  <c r="CU87" i="4" a="1"/>
  <c r="CU87" i="4" s="1"/>
  <c r="CY108" i="4" a="1"/>
  <c r="CY108" i="4" s="1"/>
  <c r="CU156" i="4" a="1"/>
  <c r="CU156" i="4" s="1"/>
  <c r="CU171" i="4" a="1"/>
  <c r="CU171" i="4" s="1"/>
  <c r="CX205" i="4" a="1"/>
  <c r="CX205" i="4" s="1"/>
  <c r="CV217" i="4" a="1"/>
  <c r="CV217" i="4" s="1"/>
  <c r="CX224" i="4" a="1"/>
  <c r="CX224" i="4" s="1"/>
  <c r="CX232" i="4" a="1"/>
  <c r="CX232" i="4" s="1"/>
  <c r="CU248" i="4" a="1"/>
  <c r="CU248" i="4" s="1"/>
  <c r="CV260" i="4" a="1"/>
  <c r="CV260" i="4" s="1"/>
  <c r="CW2" i="4" a="1"/>
  <c r="CW2" i="4" s="1"/>
  <c r="CT48" i="4" a="1"/>
  <c r="CT48" i="4" s="1"/>
  <c r="CX58" i="4" a="1"/>
  <c r="CX58" i="4" s="1"/>
  <c r="CU115" i="4" a="1"/>
  <c r="CU115" i="4" s="1"/>
  <c r="CY188" i="4" a="1"/>
  <c r="CY188" i="4" s="1"/>
  <c r="CX247" i="4" a="1"/>
  <c r="CX247" i="4" s="1"/>
  <c r="CX26" i="4" a="1"/>
  <c r="CX26" i="4" s="1"/>
  <c r="CV37" i="4" a="1"/>
  <c r="CV37" i="4" s="1"/>
  <c r="CV41" i="4" a="1"/>
  <c r="CV41" i="4" s="1"/>
  <c r="CT59" i="4" a="1"/>
  <c r="CT59" i="4" s="1"/>
  <c r="CY89" i="4" a="1"/>
  <c r="CY89" i="4" s="1"/>
  <c r="CY118" i="4" a="1"/>
  <c r="CY118" i="4" s="1"/>
  <c r="CU140" i="4" a="1"/>
  <c r="CU140" i="4" s="1"/>
  <c r="CW152" i="4" a="1"/>
  <c r="CW152" i="4" s="1"/>
  <c r="CZ208" i="4" a="1"/>
  <c r="CZ208" i="4" s="1"/>
  <c r="CY249" i="4" a="1"/>
  <c r="CY249" i="4" s="1"/>
  <c r="CY3" i="4" a="1"/>
  <c r="CY3" i="4" s="1"/>
  <c r="CY5" i="4" a="1"/>
  <c r="CY5" i="4" s="1"/>
  <c r="CY7" i="4" a="1"/>
  <c r="CY7" i="4" s="1"/>
  <c r="CY9" i="4" a="1"/>
  <c r="CY9" i="4" s="1"/>
  <c r="CY11" i="4" a="1"/>
  <c r="CY11" i="4" s="1"/>
  <c r="CY13" i="4" a="1"/>
  <c r="CY13" i="4" s="1"/>
  <c r="CY17" i="4" a="1"/>
  <c r="CY17" i="4" s="1"/>
  <c r="CY19" i="4" a="1"/>
  <c r="CY19" i="4" s="1"/>
  <c r="CY23" i="4" a="1"/>
  <c r="CY23" i="4" s="1"/>
  <c r="CY25" i="4" a="1"/>
  <c r="CY25" i="4" s="1"/>
  <c r="CY27" i="4" a="1"/>
  <c r="CY27" i="4" s="1"/>
  <c r="CY29" i="4" a="1"/>
  <c r="CY29" i="4" s="1"/>
  <c r="CX31" i="4" a="1"/>
  <c r="CX31" i="4" s="1"/>
  <c r="CX33" i="4" a="1"/>
  <c r="CX33" i="4" s="1"/>
  <c r="CX37" i="4" a="1"/>
  <c r="CX37" i="4" s="1"/>
  <c r="CX41" i="4" a="1"/>
  <c r="CX41" i="4" s="1"/>
  <c r="CX43" i="4" a="1"/>
  <c r="CX43" i="4" s="1"/>
  <c r="CZ45" i="4" a="1"/>
  <c r="CZ45" i="4" s="1"/>
  <c r="CV48" i="4" a="1"/>
  <c r="CV48" i="4" s="1"/>
  <c r="CV51" i="4" a="1"/>
  <c r="CV51" i="4" s="1"/>
  <c r="CV55" i="4" a="1"/>
  <c r="CV55" i="4" s="1"/>
  <c r="CV59" i="4" a="1"/>
  <c r="CV59" i="4" s="1"/>
  <c r="CU64" i="4" a="1"/>
  <c r="CU64" i="4" s="1"/>
  <c r="CU69" i="4" a="1"/>
  <c r="CU69" i="4" s="1"/>
  <c r="CW91" i="4" a="1"/>
  <c r="CW91" i="4" s="1"/>
  <c r="CW96" i="4" a="1"/>
  <c r="CW96" i="4" s="1"/>
  <c r="CY102" i="4" a="1"/>
  <c r="CY102" i="4" s="1"/>
  <c r="CU109" i="4" a="1"/>
  <c r="CU109" i="4" s="1"/>
  <c r="CU114" i="4" a="1"/>
  <c r="CU114" i="4" s="1"/>
  <c r="CU120" i="4" a="1"/>
  <c r="CU120" i="4" s="1"/>
  <c r="CY124" i="4" a="1"/>
  <c r="CY124" i="4" s="1"/>
  <c r="CW136" i="4" a="1"/>
  <c r="CW136" i="4" s="1"/>
  <c r="CY141" i="4" a="1"/>
  <c r="CY141" i="4" s="1"/>
  <c r="CW151" i="4" a="1"/>
  <c r="CW151" i="4" s="1"/>
  <c r="CW156" i="4" a="1"/>
  <c r="CW156" i="4" s="1"/>
  <c r="CY172" i="4" a="1"/>
  <c r="CY172" i="4" s="1"/>
  <c r="CW186" i="4" a="1"/>
  <c r="CW186" i="4" s="1"/>
  <c r="CZ199" i="4" a="1"/>
  <c r="CZ199" i="4" s="1"/>
  <c r="CX207" i="4" a="1"/>
  <c r="CX207" i="4" s="1"/>
  <c r="CX211" i="4" a="1"/>
  <c r="CX211" i="4" s="1"/>
  <c r="CX215" i="4" a="1"/>
  <c r="CX215" i="4" s="1"/>
  <c r="CV219" i="4" a="1"/>
  <c r="CV219" i="4" s="1"/>
  <c r="CV223" i="4" a="1"/>
  <c r="CV223" i="4" s="1"/>
  <c r="CV227" i="4" a="1"/>
  <c r="CV227" i="4" s="1"/>
  <c r="CV231" i="4" a="1"/>
  <c r="CV231" i="4" s="1"/>
  <c r="CV235" i="4" a="1"/>
  <c r="CV235" i="4" s="1"/>
  <c r="CV238" i="4" a="1"/>
  <c r="CV238" i="4" s="1"/>
  <c r="CZ243" i="4" a="1"/>
  <c r="CZ243" i="4" s="1"/>
  <c r="CV246" i="4" a="1"/>
  <c r="CV246" i="4" s="1"/>
  <c r="CW248" i="4" a="1"/>
  <c r="CW248" i="4" s="1"/>
  <c r="CX256" i="4" a="1"/>
  <c r="CX256" i="4" s="1"/>
  <c r="CX260" i="4" a="1"/>
  <c r="CX260" i="4" s="1"/>
  <c r="CU2" i="4" a="1"/>
  <c r="CU2" i="4" s="1"/>
  <c r="CV4" i="4" a="1"/>
  <c r="CV4" i="4" s="1"/>
  <c r="CV6" i="4" a="1"/>
  <c r="CV6" i="4" s="1"/>
  <c r="CV8" i="4" a="1"/>
  <c r="CV8" i="4" s="1"/>
  <c r="CV10" i="4" a="1"/>
  <c r="CV10" i="4" s="1"/>
  <c r="CV14" i="4" a="1"/>
  <c r="CV14" i="4" s="1"/>
  <c r="CV16" i="4" a="1"/>
  <c r="CV16" i="4" s="1"/>
  <c r="CV18" i="4" a="1"/>
  <c r="CV18" i="4" s="1"/>
  <c r="CV20" i="4" a="1"/>
  <c r="CV20" i="4" s="1"/>
  <c r="CV22" i="4" a="1"/>
  <c r="CV22" i="4" s="1"/>
  <c r="CV26" i="4" a="1"/>
  <c r="CV26" i="4" s="1"/>
  <c r="CU30" i="4" a="1"/>
  <c r="CU30" i="4" s="1"/>
  <c r="CU34" i="4" a="1"/>
  <c r="CU34" i="4" s="1"/>
  <c r="CU38" i="4" a="1"/>
  <c r="CU38" i="4" s="1"/>
  <c r="CU40" i="4" a="1"/>
  <c r="CU40" i="4" s="1"/>
  <c r="CU42" i="4" a="1"/>
  <c r="CU42" i="4" s="1"/>
  <c r="CZ48" i="4" a="1"/>
  <c r="CZ48" i="4" s="1"/>
  <c r="CZ51" i="4" a="1"/>
  <c r="CZ51" i="4" s="1"/>
  <c r="CZ55" i="4" a="1"/>
  <c r="CZ55" i="4" s="1"/>
  <c r="CZ59" i="4" a="1"/>
  <c r="CZ59" i="4" s="1"/>
  <c r="CW68" i="4" a="1"/>
  <c r="CW68" i="4" s="1"/>
  <c r="CY78" i="4" a="1"/>
  <c r="CY78" i="4" s="1"/>
  <c r="CW84" i="4" a="1"/>
  <c r="CW84" i="4" s="1"/>
  <c r="CW89" i="4" a="1"/>
  <c r="CW89" i="4" s="1"/>
  <c r="CW94" i="4" a="1"/>
  <c r="CW94" i="4" s="1"/>
  <c r="CY104" i="4" a="1"/>
  <c r="CY104" i="4" s="1"/>
  <c r="CY109" i="4" a="1"/>
  <c r="CY109" i="4" s="1"/>
  <c r="CY114" i="4" a="1"/>
  <c r="CY114" i="4" s="1"/>
  <c r="CW119" i="4" a="1"/>
  <c r="CW119" i="4" s="1"/>
  <c r="CU124" i="4" a="1"/>
  <c r="CU124" i="4" s="1"/>
  <c r="CY128" i="4" a="1"/>
  <c r="CY128" i="4" s="1"/>
  <c r="CW133" i="4" a="1"/>
  <c r="CW133" i="4" s="1"/>
  <c r="CW138" i="4" a="1"/>
  <c r="CW138" i="4" s="1"/>
  <c r="CU143" i="4" a="1"/>
  <c r="CU143" i="4" s="1"/>
  <c r="CU148" i="4" a="1"/>
  <c r="CU148" i="4" s="1"/>
  <c r="CW153" i="4" a="1"/>
  <c r="CW153" i="4" s="1"/>
  <c r="CY159" i="4" a="1"/>
  <c r="CY159" i="4" s="1"/>
  <c r="CW169" i="4" a="1"/>
  <c r="CW169" i="4" s="1"/>
  <c r="CY174" i="4" a="1"/>
  <c r="CY174" i="4" s="1"/>
  <c r="CW184" i="4" a="1"/>
  <c r="CW184" i="4" s="1"/>
  <c r="CY189" i="4" a="1"/>
  <c r="CY189" i="4" s="1"/>
  <c r="CZ198" i="4" a="1"/>
  <c r="CZ198" i="4" s="1"/>
  <c r="CZ202" i="4" a="1"/>
  <c r="CZ202" i="4" s="1"/>
  <c r="CX206" i="4" a="1"/>
  <c r="CX206" i="4" s="1"/>
  <c r="CX214" i="4" a="1"/>
  <c r="CX214" i="4" s="1"/>
  <c r="CV218" i="4" a="1"/>
  <c r="CV218" i="4" s="1"/>
  <c r="CV222" i="4" a="1"/>
  <c r="CV222" i="4" s="1"/>
  <c r="CV230" i="4" a="1"/>
  <c r="CV230" i="4" s="1"/>
  <c r="CV234" i="4" a="1"/>
  <c r="CV234" i="4" s="1"/>
  <c r="CW238" i="4" a="1"/>
  <c r="CW238" i="4" s="1"/>
  <c r="CV243" i="4" a="1"/>
  <c r="CV243" i="4" s="1"/>
  <c r="CW246" i="4" a="1"/>
  <c r="CW246" i="4" s="1"/>
  <c r="CT249" i="4" a="1"/>
  <c r="CT249" i="4" s="1"/>
  <c r="CT256" i="4" a="1"/>
  <c r="CT256" i="4" s="1"/>
  <c r="CT260" i="4" a="1"/>
  <c r="CT260" i="4" s="1"/>
  <c r="CX3" i="4" a="1"/>
  <c r="CX3" i="4" s="1"/>
  <c r="CT6" i="4" a="1"/>
  <c r="CT6" i="4" s="1"/>
  <c r="CW8" i="4" a="1"/>
  <c r="CW8" i="4" s="1"/>
  <c r="CX11" i="4" a="1"/>
  <c r="CX11" i="4" s="1"/>
  <c r="CT14" i="4" a="1"/>
  <c r="CT14" i="4" s="1"/>
  <c r="CW16" i="4" a="1"/>
  <c r="CW16" i="4" s="1"/>
  <c r="CX19" i="4" a="1"/>
  <c r="CX19" i="4" s="1"/>
  <c r="CT22" i="4" a="1"/>
  <c r="CT22" i="4" s="1"/>
  <c r="CX27" i="4" a="1"/>
  <c r="CX27" i="4" s="1"/>
  <c r="CV30" i="4" a="1"/>
  <c r="CV30" i="4" s="1"/>
  <c r="CW33" i="4" a="1"/>
  <c r="CW33" i="4" s="1"/>
  <c r="CV38" i="4" a="1"/>
  <c r="CV38" i="4" s="1"/>
  <c r="CW41" i="4" a="1"/>
  <c r="CW41" i="4" s="1"/>
  <c r="CZ43" i="4" a="1"/>
  <c r="CZ43" i="4" s="1"/>
  <c r="CU48" i="4" a="1"/>
  <c r="CU48" i="4" s="1"/>
  <c r="CU50" i="4" a="1"/>
  <c r="CU50" i="4" s="1"/>
  <c r="CX53" i="4" a="1"/>
  <c r="CX53" i="4" s="1"/>
  <c r="CX57" i="4" a="1"/>
  <c r="CX57" i="4" s="1"/>
  <c r="CX61" i="4" a="1"/>
  <c r="CX61" i="4" s="1"/>
  <c r="CY66" i="4" a="1"/>
  <c r="CY66" i="4" s="1"/>
  <c r="CU82" i="4" a="1"/>
  <c r="CU82" i="4" s="1"/>
  <c r="CY91" i="4" a="1"/>
  <c r="CY91" i="4" s="1"/>
  <c r="CU98" i="4" a="1"/>
  <c r="CU98" i="4" s="1"/>
  <c r="CU103" i="4" a="1"/>
  <c r="CU103" i="4" s="1"/>
  <c r="CU108" i="4" a="1"/>
  <c r="CU108" i="4" s="1"/>
  <c r="CW114" i="4" a="1"/>
  <c r="CW114" i="4" s="1"/>
  <c r="CW120" i="4" a="1"/>
  <c r="CW120" i="4" s="1"/>
  <c r="CU126" i="4" a="1"/>
  <c r="CU126" i="4" s="1"/>
  <c r="CW135" i="4" a="1"/>
  <c r="CW135" i="4" s="1"/>
  <c r="CY140" i="4" a="1"/>
  <c r="CY140" i="4" s="1"/>
  <c r="CU149" i="4" a="1"/>
  <c r="CU149" i="4" s="1"/>
  <c r="CW154" i="4" a="1"/>
  <c r="CW154" i="4" s="1"/>
  <c r="CW159" i="4" a="1"/>
  <c r="CW159" i="4" s="1"/>
  <c r="CY171" i="4" a="1"/>
  <c r="CY171" i="4" s="1"/>
  <c r="CW176" i="4" a="1"/>
  <c r="CW176" i="4" s="1"/>
  <c r="CU188" i="4" a="1"/>
  <c r="CU188" i="4" s="1"/>
  <c r="CX192" i="4" a="1"/>
  <c r="CX192" i="4" s="1"/>
  <c r="CX196" i="4" a="1"/>
  <c r="CX196" i="4" s="1"/>
  <c r="CX200" i="4" a="1"/>
  <c r="CX200" i="4" s="1"/>
  <c r="CX204" i="4" a="1"/>
  <c r="CX204" i="4" s="1"/>
  <c r="CV208" i="4" a="1"/>
  <c r="CV208" i="4" s="1"/>
  <c r="CV212" i="4" a="1"/>
  <c r="CV212" i="4" s="1"/>
  <c r="CV216" i="4" a="1"/>
  <c r="CV216" i="4" s="1"/>
  <c r="CT220" i="4" a="1"/>
  <c r="CT220" i="4" s="1"/>
  <c r="CT224" i="4" a="1"/>
  <c r="CT224" i="4" s="1"/>
  <c r="CT228" i="4" a="1"/>
  <c r="CT228" i="4" s="1"/>
  <c r="CT232" i="4" a="1"/>
  <c r="CT232" i="4" s="1"/>
  <c r="CT236" i="4" a="1"/>
  <c r="CT236" i="4" s="1"/>
  <c r="CX238" i="4" a="1"/>
  <c r="CX238" i="4" s="1"/>
  <c r="CX244" i="4" a="1"/>
  <c r="CX244" i="4" s="1"/>
  <c r="CX246" i="4" a="1"/>
  <c r="CX246" i="4" s="1"/>
  <c r="CY248" i="4" a="1"/>
  <c r="CY248" i="4" s="1"/>
  <c r="CX251" i="4" a="1"/>
  <c r="CX251" i="4" s="1"/>
  <c r="CV255" i="4" a="1"/>
  <c r="CV255" i="4" s="1"/>
  <c r="CV259" i="4" a="1"/>
  <c r="CV259" i="4" s="1"/>
  <c r="CT263" i="4" a="1"/>
  <c r="CT263" i="4" s="1"/>
  <c r="CW53" i="4" a="1"/>
  <c r="CW53" i="4" s="1"/>
  <c r="CY54" i="4" a="1"/>
  <c r="CY54" i="4" s="1"/>
  <c r="CU56" i="4" a="1"/>
  <c r="CU56" i="4" s="1"/>
  <c r="CW57" i="4" a="1"/>
  <c r="CW57" i="4" s="1"/>
  <c r="CY58" i="4" a="1"/>
  <c r="CY58" i="4" s="1"/>
  <c r="CU60" i="4" a="1"/>
  <c r="CU60" i="4" s="1"/>
  <c r="CW61" i="4" a="1"/>
  <c r="CW61" i="4" s="1"/>
  <c r="CX62" i="4" a="1"/>
  <c r="CX62" i="4" s="1"/>
  <c r="CX64" i="4" a="1"/>
  <c r="CX64" i="4" s="1"/>
  <c r="CX65" i="4" a="1"/>
  <c r="CX65" i="4" s="1"/>
  <c r="CX66" i="4" a="1"/>
  <c r="CX66" i="4" s="1"/>
  <c r="CX67" i="4" a="1"/>
  <c r="CX67" i="4" s="1"/>
  <c r="CX68" i="4" a="1"/>
  <c r="CX68" i="4" s="1"/>
  <c r="CX69" i="4" a="1"/>
  <c r="CX69" i="4" s="1"/>
  <c r="CX70" i="4" a="1"/>
  <c r="CX70" i="4" s="1"/>
  <c r="CX72" i="4" a="1"/>
  <c r="CX72" i="4" s="1"/>
  <c r="CX78" i="4" a="1"/>
  <c r="CX78" i="4" s="1"/>
  <c r="CX80" i="4" a="1"/>
  <c r="CX80" i="4" s="1"/>
  <c r="CX81" i="4" a="1"/>
  <c r="CX81" i="4" s="1"/>
  <c r="CX82" i="4" a="1"/>
  <c r="CX82" i="4" s="1"/>
  <c r="CX84" i="4" a="1"/>
  <c r="CX84" i="4" s="1"/>
  <c r="CX85" i="4" a="1"/>
  <c r="CX85" i="4" s="1"/>
  <c r="CX87" i="4" a="1"/>
  <c r="CX87" i="4" s="1"/>
  <c r="CX88" i="4" a="1"/>
  <c r="CX88" i="4" s="1"/>
  <c r="CX89" i="4" a="1"/>
  <c r="CX89" i="4" s="1"/>
  <c r="CX90" i="4" a="1"/>
  <c r="CX90" i="4" s="1"/>
  <c r="CX91" i="4" a="1"/>
  <c r="CX91" i="4" s="1"/>
  <c r="CX93" i="4" a="1"/>
  <c r="CX93" i="4" s="1"/>
  <c r="CX94" i="4" a="1"/>
  <c r="CX94" i="4" s="1"/>
  <c r="CX95" i="4" a="1"/>
  <c r="CX95" i="4" s="1"/>
  <c r="CX96" i="4" a="1"/>
  <c r="CX96" i="4" s="1"/>
  <c r="CX97" i="4" a="1"/>
  <c r="CX97" i="4" s="1"/>
  <c r="CX98" i="4" a="1"/>
  <c r="CX98" i="4" s="1"/>
  <c r="CX100" i="4" a="1"/>
  <c r="CX100" i="4" s="1"/>
  <c r="CX102" i="4" a="1"/>
  <c r="CX102" i="4" s="1"/>
  <c r="CX103" i="4" a="1"/>
  <c r="CX103" i="4" s="1"/>
  <c r="CX104" i="4" a="1"/>
  <c r="CX104" i="4" s="1"/>
  <c r="CX105" i="4" a="1"/>
  <c r="CX105" i="4" s="1"/>
  <c r="CX106" i="4" a="1"/>
  <c r="CX106" i="4" s="1"/>
  <c r="CX107" i="4" a="1"/>
  <c r="CX107" i="4" s="1"/>
  <c r="CX108" i="4" a="1"/>
  <c r="CX108" i="4" s="1"/>
  <c r="CX109" i="4" a="1"/>
  <c r="CX109" i="4" s="1"/>
  <c r="CX113" i="4" a="1"/>
  <c r="CX113" i="4" s="1"/>
  <c r="CX114" i="4" a="1"/>
  <c r="CX114" i="4" s="1"/>
  <c r="CX115" i="4" a="1"/>
  <c r="CX115" i="4" s="1"/>
  <c r="CX116" i="4" a="1"/>
  <c r="CX116" i="4" s="1"/>
  <c r="CX117" i="4" a="1"/>
  <c r="CX117" i="4" s="1"/>
  <c r="CX118" i="4" a="1"/>
  <c r="CX118" i="4" s="1"/>
  <c r="CX119" i="4" a="1"/>
  <c r="CX119" i="4" s="1"/>
  <c r="CX120" i="4" a="1"/>
  <c r="CX120" i="4" s="1"/>
  <c r="CX121" i="4" a="1"/>
  <c r="CX121" i="4" s="1"/>
  <c r="CX122" i="4" a="1"/>
  <c r="CX122" i="4" s="1"/>
  <c r="CX123" i="4" a="1"/>
  <c r="CX123" i="4" s="1"/>
  <c r="CX124" i="4" a="1"/>
  <c r="CX124" i="4" s="1"/>
  <c r="CX126" i="4" a="1"/>
  <c r="CX126" i="4" s="1"/>
  <c r="CX127" i="4" a="1"/>
  <c r="CX127" i="4" s="1"/>
  <c r="CX128" i="4" a="1"/>
  <c r="CX128" i="4" s="1"/>
  <c r="CX129" i="4" a="1"/>
  <c r="CX129" i="4" s="1"/>
  <c r="CX131" i="4" a="1"/>
  <c r="CX131" i="4" s="1"/>
  <c r="CX132" i="4" a="1"/>
  <c r="CX132" i="4" s="1"/>
  <c r="CX133" i="4" a="1"/>
  <c r="CX133" i="4" s="1"/>
  <c r="CX134" i="4" a="1"/>
  <c r="CX134" i="4" s="1"/>
  <c r="CX135" i="4" a="1"/>
  <c r="CX135" i="4" s="1"/>
  <c r="CX136" i="4" a="1"/>
  <c r="CX136" i="4" s="1"/>
  <c r="CX138" i="4" a="1"/>
  <c r="CX138" i="4" s="1"/>
  <c r="CX139" i="4" a="1"/>
  <c r="CX139" i="4" s="1"/>
  <c r="CX140" i="4" a="1"/>
  <c r="CX140" i="4" s="1"/>
  <c r="CX141" i="4" a="1"/>
  <c r="CX141" i="4" s="1"/>
  <c r="CX143" i="4" a="1"/>
  <c r="CX143" i="4" s="1"/>
  <c r="CX144" i="4" a="1"/>
  <c r="CX144" i="4" s="1"/>
  <c r="CX145" i="4" a="1"/>
  <c r="CX145" i="4" s="1"/>
  <c r="CX148" i="4" a="1"/>
  <c r="CX148" i="4" s="1"/>
  <c r="CX149" i="4" a="1"/>
  <c r="CX149" i="4" s="1"/>
  <c r="CX150" i="4" a="1"/>
  <c r="CX150" i="4" s="1"/>
  <c r="CX151" i="4" a="1"/>
  <c r="CX151" i="4" s="1"/>
  <c r="CX152" i="4" a="1"/>
  <c r="CX152" i="4" s="1"/>
  <c r="CX153" i="4" a="1"/>
  <c r="CX153" i="4" s="1"/>
  <c r="CX154" i="4" a="1"/>
  <c r="CX154" i="4" s="1"/>
  <c r="CX156" i="4" a="1"/>
  <c r="CX156" i="4" s="1"/>
  <c r="CX158" i="4" a="1"/>
  <c r="CX158" i="4" s="1"/>
  <c r="CX159" i="4" a="1"/>
  <c r="CX159" i="4" s="1"/>
  <c r="CX160" i="4" a="1"/>
  <c r="CX160" i="4" s="1"/>
  <c r="CX162" i="4" a="1"/>
  <c r="CX162" i="4" s="1"/>
  <c r="CX168" i="4" a="1"/>
  <c r="CX168" i="4" s="1"/>
  <c r="CX169" i="4" a="1"/>
  <c r="CX169" i="4" s="1"/>
  <c r="CX170" i="4" a="1"/>
  <c r="CX170" i="4" s="1"/>
  <c r="CX171" i="4" a="1"/>
  <c r="CX171" i="4" s="1"/>
  <c r="CX172" i="4" a="1"/>
  <c r="CX172" i="4" s="1"/>
  <c r="CX174" i="4" a="1"/>
  <c r="CX174" i="4" s="1"/>
  <c r="CX175" i="4" a="1"/>
  <c r="CX175" i="4" s="1"/>
  <c r="CX176" i="4" a="1"/>
  <c r="CX176" i="4" s="1"/>
  <c r="CX178" i="4" a="1"/>
  <c r="CX178" i="4" s="1"/>
  <c r="CX179" i="4" a="1"/>
  <c r="CX179" i="4" s="1"/>
  <c r="CX181" i="4" a="1"/>
  <c r="CX181" i="4" s="1"/>
  <c r="CX184" i="4" a="1"/>
  <c r="CX184" i="4" s="1"/>
  <c r="CX185" i="4" a="1"/>
  <c r="CX185" i="4" s="1"/>
  <c r="CX186" i="4" a="1"/>
  <c r="CX186" i="4" s="1"/>
  <c r="CX187" i="4" a="1"/>
  <c r="CX187" i="4" s="1"/>
  <c r="CX188" i="4" a="1"/>
  <c r="CX188" i="4" s="1"/>
  <c r="CX189" i="4" a="1"/>
  <c r="CX189" i="4" s="1"/>
  <c r="CX190" i="4" a="1"/>
  <c r="CX190" i="4" s="1"/>
  <c r="CU193" i="4" a="1"/>
  <c r="CU193" i="4" s="1"/>
  <c r="CW198" i="4" a="1"/>
  <c r="CW198" i="4" s="1"/>
  <c r="CY199" i="4" a="1"/>
  <c r="CY199" i="4" s="1"/>
  <c r="CU201" i="4" a="1"/>
  <c r="CU201" i="4" s="1"/>
  <c r="CW202" i="4" a="1"/>
  <c r="CW202" i="4" s="1"/>
  <c r="CU205" i="4" a="1"/>
  <c r="CU205" i="4" s="1"/>
  <c r="CW206" i="4" a="1"/>
  <c r="CW206" i="4" s="1"/>
  <c r="CY207" i="4" a="1"/>
  <c r="CY207" i="4" s="1"/>
  <c r="CU209" i="4" a="1"/>
  <c r="CU209" i="4" s="1"/>
  <c r="CY211" i="4" a="1"/>
  <c r="CY211" i="4" s="1"/>
  <c r="CU213" i="4" a="1"/>
  <c r="CU213" i="4" s="1"/>
  <c r="CW214" i="4" a="1"/>
  <c r="CW214" i="4" s="1"/>
  <c r="CY215" i="4" a="1"/>
  <c r="CY215" i="4" s="1"/>
  <c r="CU217" i="4" a="1"/>
  <c r="CU217" i="4" s="1"/>
  <c r="CW218" i="4" a="1"/>
  <c r="CW218" i="4" s="1"/>
  <c r="CY219" i="4" a="1"/>
  <c r="CY219" i="4" s="1"/>
  <c r="CU221" i="4" a="1"/>
  <c r="CU221" i="4" s="1"/>
  <c r="CW222" i="4" a="1"/>
  <c r="CW222" i="4" s="1"/>
  <c r="CY223" i="4" a="1"/>
  <c r="CY223" i="4" s="1"/>
  <c r="CU225" i="4" a="1"/>
  <c r="CU225" i="4" s="1"/>
  <c r="CY227" i="4" a="1"/>
  <c r="CY227" i="4" s="1"/>
  <c r="CW230" i="4" a="1"/>
  <c r="CW230" i="4" s="1"/>
  <c r="CY231" i="4" a="1"/>
  <c r="CY231" i="4" s="1"/>
  <c r="CU233" i="4" a="1"/>
  <c r="CU233" i="4" s="1"/>
  <c r="CW234" i="4" a="1"/>
  <c r="CW234" i="4" s="1"/>
  <c r="CY235" i="4" a="1"/>
  <c r="CY235" i="4" s="1"/>
  <c r="CU250" i="4" a="1"/>
  <c r="CU250" i="4" s="1"/>
  <c r="CW251" i="4" a="1"/>
  <c r="CW251" i="4" s="1"/>
  <c r="CU254" i="4" a="1"/>
  <c r="CU254" i="4" s="1"/>
  <c r="CW255" i="4" a="1"/>
  <c r="CW255" i="4" s="1"/>
  <c r="CY256" i="4" a="1"/>
  <c r="CY256" i="4" s="1"/>
  <c r="CU258" i="4" a="1"/>
  <c r="CU258" i="4" s="1"/>
  <c r="CW259" i="4" a="1"/>
  <c r="CW259" i="4" s="1"/>
  <c r="CY260" i="4" a="1"/>
  <c r="CY260" i="4" s="1"/>
  <c r="CU262" i="4" a="1"/>
  <c r="CU262" i="4" s="1"/>
  <c r="CW263" i="4" a="1"/>
  <c r="CW26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Z1" authorId="0" shapeId="0" xr:uid="{00000000-0006-0000-0300-000001000000}">
      <text>
        <r>
          <rPr>
            <sz val="10"/>
            <color rgb="FF000000"/>
            <rFont val="Arial"/>
            <scheme val="minor"/>
          </rPr>
          <t>This column is needed by the copyDown Add-on</t>
        </r>
      </text>
    </comment>
    <comment ref="M3" authorId="0" shapeId="0" xr:uid="{00000000-0006-0000-0300-00000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E5" authorId="0" shapeId="0" xr:uid="{00000000-0006-0000-0300-00000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5" authorId="0" shapeId="0" xr:uid="{00000000-0006-0000-0300-00000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8" authorId="0" shapeId="0" xr:uid="{00000000-0006-0000-0300-00000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9" authorId="0" shapeId="0" xr:uid="{00000000-0006-0000-0300-00000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10" authorId="0" shapeId="0" xr:uid="{00000000-0006-0000-0300-00000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12" authorId="0" shapeId="0" xr:uid="{00000000-0006-0000-0300-00000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17" authorId="0" shapeId="0" xr:uid="{00000000-0006-0000-0300-00000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18" authorId="0" shapeId="0" xr:uid="{00000000-0006-0000-0300-00000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21" authorId="0" shapeId="0" xr:uid="{00000000-0006-0000-0300-00000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24" authorId="0" shapeId="0" xr:uid="{00000000-0006-0000-0300-00000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27" authorId="0" shapeId="0" xr:uid="{00000000-0006-0000-0300-00000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32" authorId="0" shapeId="0" xr:uid="{00000000-0006-0000-0300-00000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Y32" authorId="0" shapeId="0" xr:uid="{00000000-0006-0000-0300-00000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K32" authorId="0" shapeId="0" xr:uid="{00000000-0006-0000-0300-00001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33" authorId="0" shapeId="0" xr:uid="{00000000-0006-0000-0300-00001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34" authorId="0" shapeId="0" xr:uid="{00000000-0006-0000-0300-00001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34" authorId="0" shapeId="0" xr:uid="{00000000-0006-0000-0300-00001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34" authorId="0" shapeId="0" xr:uid="{00000000-0006-0000-0300-00001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W34" authorId="0" shapeId="0" xr:uid="{00000000-0006-0000-0300-00001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D34" authorId="0" shapeId="0" xr:uid="{00000000-0006-0000-0300-00001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H34" authorId="0" shapeId="0" xr:uid="{00000000-0006-0000-0300-00001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W34" authorId="0" shapeId="0" xr:uid="{00000000-0006-0000-0300-00001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X34" authorId="0" shapeId="0" xr:uid="{00000000-0006-0000-0300-00001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Y34" authorId="0" shapeId="0" xr:uid="{00000000-0006-0000-0300-00001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Z34" authorId="0" shapeId="0" xr:uid="{00000000-0006-0000-0300-00001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A34" authorId="0" shapeId="0" xr:uid="{00000000-0006-0000-0300-00001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I34" authorId="0" shapeId="0" xr:uid="{00000000-0006-0000-0300-00001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M34" authorId="0" shapeId="0" xr:uid="{00000000-0006-0000-0300-00001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P34" authorId="0" shapeId="0" xr:uid="{00000000-0006-0000-0300-00001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X34" authorId="0" shapeId="0" xr:uid="{00000000-0006-0000-0300-00002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Y34" authorId="0" shapeId="0" xr:uid="{00000000-0006-0000-0300-00002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Z34" authorId="0" shapeId="0" xr:uid="{00000000-0006-0000-0300-00002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C34" authorId="0" shapeId="0" xr:uid="{00000000-0006-0000-0300-00002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E34" authorId="0" shapeId="0" xr:uid="{00000000-0006-0000-0300-00002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G34" authorId="0" shapeId="0" xr:uid="{00000000-0006-0000-0300-00002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L34" authorId="0" shapeId="0" xr:uid="{00000000-0006-0000-0300-00002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36" authorId="0" shapeId="0" xr:uid="{00000000-0006-0000-0300-00002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39" authorId="0" shapeId="0" xr:uid="{00000000-0006-0000-0300-00002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40" authorId="0" shapeId="0" xr:uid="{00000000-0006-0000-0300-00002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40" authorId="0" shapeId="0" xr:uid="{00000000-0006-0000-0300-00002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W40" authorId="0" shapeId="0" xr:uid="{00000000-0006-0000-0300-00002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A40" authorId="0" shapeId="0" xr:uid="{00000000-0006-0000-0300-00002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B40" authorId="0" shapeId="0" xr:uid="{00000000-0006-0000-0300-00002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C40" authorId="0" shapeId="0" xr:uid="{00000000-0006-0000-0300-00002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D40" authorId="0" shapeId="0" xr:uid="{00000000-0006-0000-0300-00002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E40" authorId="0" shapeId="0" xr:uid="{00000000-0006-0000-0300-00003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F40" authorId="0" shapeId="0" xr:uid="{00000000-0006-0000-0300-00003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G40" authorId="0" shapeId="0" xr:uid="{00000000-0006-0000-0300-00003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H40" authorId="0" shapeId="0" xr:uid="{00000000-0006-0000-0300-00003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I40" authorId="0" shapeId="0" xr:uid="{00000000-0006-0000-0300-00003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J40" authorId="0" shapeId="0" xr:uid="{00000000-0006-0000-0300-00003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K40" authorId="0" shapeId="0" xr:uid="{00000000-0006-0000-0300-00003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N40" authorId="0" shapeId="0" xr:uid="{00000000-0006-0000-0300-00003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O40" authorId="0" shapeId="0" xr:uid="{00000000-0006-0000-0300-00003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S40" authorId="0" shapeId="0" xr:uid="{00000000-0006-0000-0300-00003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T40" authorId="0" shapeId="0" xr:uid="{00000000-0006-0000-0300-00003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V40" authorId="0" shapeId="0" xr:uid="{00000000-0006-0000-0300-00003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W40" authorId="0" shapeId="0" xr:uid="{00000000-0006-0000-0300-00003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X40" authorId="0" shapeId="0" xr:uid="{00000000-0006-0000-0300-00003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Y40" authorId="0" shapeId="0" xr:uid="{00000000-0006-0000-0300-00003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Z40" authorId="0" shapeId="0" xr:uid="{00000000-0006-0000-0300-00003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A40" authorId="0" shapeId="0" xr:uid="{00000000-0006-0000-0300-00004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B40" authorId="0" shapeId="0" xr:uid="{00000000-0006-0000-0300-00004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G40" authorId="0" shapeId="0" xr:uid="{00000000-0006-0000-0300-00004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H40" authorId="0" shapeId="0" xr:uid="{00000000-0006-0000-0300-00004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I40" authorId="0" shapeId="0" xr:uid="{00000000-0006-0000-0300-00004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M40" authorId="0" shapeId="0" xr:uid="{00000000-0006-0000-0300-00004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S40" authorId="0" shapeId="0" xr:uid="{00000000-0006-0000-0300-00004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T40" authorId="0" shapeId="0" xr:uid="{00000000-0006-0000-0300-00004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W40" authorId="0" shapeId="0" xr:uid="{00000000-0006-0000-0300-00004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Y40" authorId="0" shapeId="0" xr:uid="{00000000-0006-0000-0300-00004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A40" authorId="0" shapeId="0" xr:uid="{00000000-0006-0000-0300-00004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D40" authorId="0" shapeId="0" xr:uid="{00000000-0006-0000-0300-00004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L40" authorId="0" shapeId="0" xr:uid="{00000000-0006-0000-0300-00004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44" authorId="0" shapeId="0" xr:uid="{00000000-0006-0000-0300-00004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46" authorId="0" shapeId="0" xr:uid="{00000000-0006-0000-0300-00004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51" authorId="0" shapeId="0" xr:uid="{00000000-0006-0000-0300-00004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52" authorId="0" shapeId="0" xr:uid="{00000000-0006-0000-0300-00005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M56" authorId="0" shapeId="0" xr:uid="{00000000-0006-0000-0300-00005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Z56" authorId="0" shapeId="0" xr:uid="{00000000-0006-0000-0300-00005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A56" authorId="0" shapeId="0" xr:uid="{00000000-0006-0000-0300-00005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B56" authorId="0" shapeId="0" xr:uid="{00000000-0006-0000-0300-00005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C56" authorId="0" shapeId="0" xr:uid="{00000000-0006-0000-0300-00005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E56" authorId="0" shapeId="0" xr:uid="{00000000-0006-0000-0300-00005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F56" authorId="0" shapeId="0" xr:uid="{00000000-0006-0000-0300-00005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H56" authorId="0" shapeId="0" xr:uid="{00000000-0006-0000-0300-00005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N65" authorId="0" shapeId="0" xr:uid="{00000000-0006-0000-0300-00005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68" authorId="0" shapeId="0" xr:uid="{00000000-0006-0000-0300-00005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A68" authorId="0" shapeId="0" xr:uid="{00000000-0006-0000-0300-00005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D68" authorId="0" shapeId="0" xr:uid="{00000000-0006-0000-0300-00005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F68" authorId="0" shapeId="0" xr:uid="{00000000-0006-0000-0300-00005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H68" authorId="0" shapeId="0" xr:uid="{00000000-0006-0000-0300-00005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L68" authorId="0" shapeId="0" xr:uid="{00000000-0006-0000-0300-00005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M68" authorId="0" shapeId="0" xr:uid="{00000000-0006-0000-0300-00006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N68" authorId="0" shapeId="0" xr:uid="{00000000-0006-0000-0300-00006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O68" authorId="0" shapeId="0" xr:uid="{00000000-0006-0000-0300-00006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S68" authorId="0" shapeId="0" xr:uid="{00000000-0006-0000-0300-00006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V68" authorId="0" shapeId="0" xr:uid="{00000000-0006-0000-0300-00006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W68" authorId="0" shapeId="0" xr:uid="{00000000-0006-0000-0300-00006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X68" authorId="0" shapeId="0" xr:uid="{00000000-0006-0000-0300-00006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Y68" authorId="0" shapeId="0" xr:uid="{00000000-0006-0000-0300-00006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D68" authorId="0" shapeId="0" xr:uid="{00000000-0006-0000-0300-00006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E68" authorId="0" shapeId="0" xr:uid="{00000000-0006-0000-0300-00006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I68" authorId="0" shapeId="0" xr:uid="{00000000-0006-0000-0300-00006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M68" authorId="0" shapeId="0" xr:uid="{00000000-0006-0000-0300-00006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X68" authorId="0" shapeId="0" xr:uid="{00000000-0006-0000-0300-00006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Y68" authorId="0" shapeId="0" xr:uid="{00000000-0006-0000-0300-00006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Z68" authorId="0" shapeId="0" xr:uid="{00000000-0006-0000-0300-00006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A68" authorId="0" shapeId="0" xr:uid="{00000000-0006-0000-0300-00006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E68" authorId="0" shapeId="0" xr:uid="{00000000-0006-0000-0300-00007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L68" authorId="0" shapeId="0" xr:uid="{00000000-0006-0000-0300-00007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Q68" authorId="0" shapeId="0" xr:uid="{00000000-0006-0000-0300-00007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R68" authorId="0" shapeId="0" xr:uid="{00000000-0006-0000-0300-00007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D75" authorId="0" shapeId="0" xr:uid="{00000000-0006-0000-0300-00007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K75" authorId="0" shapeId="0" xr:uid="{00000000-0006-0000-0300-00007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P75" authorId="0" shapeId="0" xr:uid="{00000000-0006-0000-0300-00007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E77" authorId="0" shapeId="0" xr:uid="{00000000-0006-0000-0300-00007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77" authorId="0" shapeId="0" xr:uid="{00000000-0006-0000-0300-00007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W77" authorId="0" shapeId="0" xr:uid="{00000000-0006-0000-0300-00007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Y77" authorId="0" shapeId="0" xr:uid="{00000000-0006-0000-0300-00007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D77" authorId="0" shapeId="0" xr:uid="{00000000-0006-0000-0300-00007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E77" authorId="0" shapeId="0" xr:uid="{00000000-0006-0000-0300-00007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F77" authorId="0" shapeId="0" xr:uid="{00000000-0006-0000-0300-00007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H77" authorId="0" shapeId="0" xr:uid="{00000000-0006-0000-0300-00007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N77" authorId="0" shapeId="0" xr:uid="{00000000-0006-0000-0300-00007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W77" authorId="0" shapeId="0" xr:uid="{00000000-0006-0000-0300-00008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I77" authorId="0" shapeId="0" xr:uid="{00000000-0006-0000-0300-00008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M77" authorId="0" shapeId="0" xr:uid="{00000000-0006-0000-0300-00008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W77" authorId="0" shapeId="0" xr:uid="{00000000-0006-0000-0300-00008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A77" authorId="0" shapeId="0" xr:uid="{00000000-0006-0000-0300-00008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C77" authorId="0" shapeId="0" xr:uid="{00000000-0006-0000-0300-00008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L77" authorId="0" shapeId="0" xr:uid="{00000000-0006-0000-0300-00008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K78" authorId="0" shapeId="0" xr:uid="{00000000-0006-0000-0300-00008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M78" authorId="0" shapeId="0" xr:uid="{00000000-0006-0000-0300-00008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H82" authorId="0" shapeId="0" xr:uid="{00000000-0006-0000-0300-00008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E88" authorId="0" shapeId="0" xr:uid="{00000000-0006-0000-0300-00008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F88" authorId="0" shapeId="0" xr:uid="{00000000-0006-0000-0300-00008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G88" authorId="0" shapeId="0" xr:uid="{00000000-0006-0000-0300-00008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I88" authorId="0" shapeId="0" xr:uid="{00000000-0006-0000-0300-00008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M88" authorId="0" shapeId="0" xr:uid="{00000000-0006-0000-0300-00008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N88" authorId="0" shapeId="0" xr:uid="{00000000-0006-0000-0300-00008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Y88" authorId="0" shapeId="0" xr:uid="{00000000-0006-0000-0300-00009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Z88" authorId="0" shapeId="0" xr:uid="{00000000-0006-0000-0300-00009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A88" authorId="0" shapeId="0" xr:uid="{00000000-0006-0000-0300-00009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B88" authorId="0" shapeId="0" xr:uid="{00000000-0006-0000-0300-00009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C88" authorId="0" shapeId="0" xr:uid="{00000000-0006-0000-0300-00009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F88" authorId="0" shapeId="0" xr:uid="{00000000-0006-0000-0300-00009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H88" authorId="0" shapeId="0" xr:uid="{00000000-0006-0000-0300-00009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105" authorId="0" shapeId="0" xr:uid="{00000000-0006-0000-0300-00009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105" authorId="0" shapeId="0" xr:uid="{00000000-0006-0000-0300-00009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E105" authorId="0" shapeId="0" xr:uid="{00000000-0006-0000-0300-00009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J105" authorId="0" shapeId="0" xr:uid="{00000000-0006-0000-0300-00009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108" authorId="0" shapeId="0" xr:uid="{00000000-0006-0000-0300-00009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108" authorId="0" shapeId="0" xr:uid="{00000000-0006-0000-0300-00009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H108" authorId="0" shapeId="0" xr:uid="{00000000-0006-0000-0300-00009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J108" authorId="0" shapeId="0" xr:uid="{00000000-0006-0000-0300-00009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S108" authorId="0" shapeId="0" xr:uid="{00000000-0006-0000-0300-00009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W108" authorId="0" shapeId="0" xr:uid="{00000000-0006-0000-0300-0000A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Y108" authorId="0" shapeId="0" xr:uid="{00000000-0006-0000-0300-0000A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D108" authorId="0" shapeId="0" xr:uid="{00000000-0006-0000-0300-0000A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F108" authorId="0" shapeId="0" xr:uid="{00000000-0006-0000-0300-0000A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H108" authorId="0" shapeId="0" xr:uid="{00000000-0006-0000-0300-0000A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I108" authorId="0" shapeId="0" xr:uid="{00000000-0006-0000-0300-0000A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L108" authorId="0" shapeId="0" xr:uid="{00000000-0006-0000-0300-0000A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M108" authorId="0" shapeId="0" xr:uid="{00000000-0006-0000-0300-0000A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N108" authorId="0" shapeId="0" xr:uid="{00000000-0006-0000-0300-0000A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R108" authorId="0" shapeId="0" xr:uid="{00000000-0006-0000-0300-0000A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S108" authorId="0" shapeId="0" xr:uid="{00000000-0006-0000-0300-0000A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T108" authorId="0" shapeId="0" xr:uid="{00000000-0006-0000-0300-0000A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U108" authorId="0" shapeId="0" xr:uid="{00000000-0006-0000-0300-0000A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W108" authorId="0" shapeId="0" xr:uid="{00000000-0006-0000-0300-0000A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X108" authorId="0" shapeId="0" xr:uid="{00000000-0006-0000-0300-0000A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Z108" authorId="0" shapeId="0" xr:uid="{00000000-0006-0000-0300-0000A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A108" authorId="0" shapeId="0" xr:uid="{00000000-0006-0000-0300-0000B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C108" authorId="0" shapeId="0" xr:uid="{00000000-0006-0000-0300-0000B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D108" authorId="0" shapeId="0" xr:uid="{00000000-0006-0000-0300-0000B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E108" authorId="0" shapeId="0" xr:uid="{00000000-0006-0000-0300-0000B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F108" authorId="0" shapeId="0" xr:uid="{00000000-0006-0000-0300-0000B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G108" authorId="0" shapeId="0" xr:uid="{00000000-0006-0000-0300-0000B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H108" authorId="0" shapeId="0" xr:uid="{00000000-0006-0000-0300-0000B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I108" authorId="0" shapeId="0" xr:uid="{00000000-0006-0000-0300-0000B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M108" authorId="0" shapeId="0" xr:uid="{00000000-0006-0000-0300-0000B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O108" authorId="0" shapeId="0" xr:uid="{00000000-0006-0000-0300-0000B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X108" authorId="0" shapeId="0" xr:uid="{00000000-0006-0000-0300-0000B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Y108" authorId="0" shapeId="0" xr:uid="{00000000-0006-0000-0300-0000B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Z108" authorId="0" shapeId="0" xr:uid="{00000000-0006-0000-0300-0000B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A108" authorId="0" shapeId="0" xr:uid="{00000000-0006-0000-0300-0000B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C108" authorId="0" shapeId="0" xr:uid="{00000000-0006-0000-0300-0000B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D108" authorId="0" shapeId="0" xr:uid="{00000000-0006-0000-0300-0000B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E108" authorId="0" shapeId="0" xr:uid="{00000000-0006-0000-0300-0000C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L108" authorId="0" shapeId="0" xr:uid="{00000000-0006-0000-0300-0000C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M108" authorId="0" shapeId="0" xr:uid="{00000000-0006-0000-0300-0000C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Q108" authorId="0" shapeId="0" xr:uid="{00000000-0006-0000-0300-0000C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R108" authorId="0" shapeId="0" xr:uid="{00000000-0006-0000-0300-0000C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114" authorId="0" shapeId="0" xr:uid="{00000000-0006-0000-0300-0000C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K114" authorId="0" shapeId="0" xr:uid="{00000000-0006-0000-0300-0000C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D114" authorId="0" shapeId="0" xr:uid="{00000000-0006-0000-0300-0000C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H114" authorId="0" shapeId="0" xr:uid="{00000000-0006-0000-0300-0000C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W114" authorId="0" shapeId="0" xr:uid="{00000000-0006-0000-0300-0000C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Z114" authorId="0" shapeId="0" xr:uid="{00000000-0006-0000-0300-0000C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C114" authorId="0" shapeId="0" xr:uid="{00000000-0006-0000-0300-0000C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H114" authorId="0" shapeId="0" xr:uid="{00000000-0006-0000-0300-0000C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I114" authorId="0" shapeId="0" xr:uid="{00000000-0006-0000-0300-0000C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M114" authorId="0" shapeId="0" xr:uid="{00000000-0006-0000-0300-0000C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U114" authorId="0" shapeId="0" xr:uid="{00000000-0006-0000-0300-0000C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Y114" authorId="0" shapeId="0" xr:uid="{00000000-0006-0000-0300-0000D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A114" authorId="0" shapeId="0" xr:uid="{00000000-0006-0000-0300-0000D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L114" authorId="0" shapeId="0" xr:uid="{00000000-0006-0000-0300-0000D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Q114" authorId="0" shapeId="0" xr:uid="{00000000-0006-0000-0300-0000D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R114" authorId="0" shapeId="0" xr:uid="{00000000-0006-0000-0300-0000D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E125" authorId="0" shapeId="0" xr:uid="{00000000-0006-0000-0300-0000D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F125" authorId="0" shapeId="0" xr:uid="{00000000-0006-0000-0300-0000D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G125" authorId="0" shapeId="0" xr:uid="{00000000-0006-0000-0300-0000D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I125" authorId="0" shapeId="0" xr:uid="{00000000-0006-0000-0300-0000D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L125" authorId="0" shapeId="0" xr:uid="{00000000-0006-0000-0300-0000D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M125" authorId="0" shapeId="0" xr:uid="{00000000-0006-0000-0300-0000D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N125" authorId="0" shapeId="0" xr:uid="{00000000-0006-0000-0300-0000D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O125" authorId="0" shapeId="0" xr:uid="{00000000-0006-0000-0300-0000D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P125" authorId="0" shapeId="0" xr:uid="{00000000-0006-0000-0300-0000D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138" authorId="0" shapeId="0" xr:uid="{00000000-0006-0000-0300-0000D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W138" authorId="0" shapeId="0" xr:uid="{00000000-0006-0000-0300-0000D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E138" authorId="0" shapeId="0" xr:uid="{00000000-0006-0000-0300-0000E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F138" authorId="0" shapeId="0" xr:uid="{00000000-0006-0000-0300-0000E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G138" authorId="0" shapeId="0" xr:uid="{00000000-0006-0000-0300-0000E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H138" authorId="0" shapeId="0" xr:uid="{00000000-0006-0000-0300-0000E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I138" authorId="0" shapeId="0" xr:uid="{00000000-0006-0000-0300-0000E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K138" authorId="0" shapeId="0" xr:uid="{00000000-0006-0000-0300-0000E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L138" authorId="0" shapeId="0" xr:uid="{00000000-0006-0000-0300-0000E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M138" authorId="0" shapeId="0" xr:uid="{00000000-0006-0000-0300-0000E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N138" authorId="0" shapeId="0" xr:uid="{00000000-0006-0000-0300-0000E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O138" authorId="0" shapeId="0" xr:uid="{00000000-0006-0000-0300-0000E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P138" authorId="0" shapeId="0" xr:uid="{00000000-0006-0000-0300-0000E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Q138" authorId="0" shapeId="0" xr:uid="{00000000-0006-0000-0300-0000E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R138" authorId="0" shapeId="0" xr:uid="{00000000-0006-0000-0300-0000E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S138" authorId="0" shapeId="0" xr:uid="{00000000-0006-0000-0300-0000E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T138" authorId="0" shapeId="0" xr:uid="{00000000-0006-0000-0300-0000E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V138" authorId="0" shapeId="0" xr:uid="{00000000-0006-0000-0300-0000E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W138" authorId="0" shapeId="0" xr:uid="{00000000-0006-0000-0300-0000F0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Y138" authorId="0" shapeId="0" xr:uid="{00000000-0006-0000-0300-0000F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Z138" authorId="0" shapeId="0" xr:uid="{00000000-0006-0000-0300-0000F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A138" authorId="0" shapeId="0" xr:uid="{00000000-0006-0000-0300-0000F3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B138" authorId="0" shapeId="0" xr:uid="{00000000-0006-0000-0300-0000F4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C138" authorId="0" shapeId="0" xr:uid="{00000000-0006-0000-0300-0000F5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D138" authorId="0" shapeId="0" xr:uid="{00000000-0006-0000-0300-0000F6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E138" authorId="0" shapeId="0" xr:uid="{00000000-0006-0000-0300-0000F7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F138" authorId="0" shapeId="0" xr:uid="{00000000-0006-0000-0300-0000F8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H138" authorId="0" shapeId="0" xr:uid="{00000000-0006-0000-0300-0000F9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I138" authorId="0" shapeId="0" xr:uid="{00000000-0006-0000-0300-0000FA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K138" authorId="0" shapeId="0" xr:uid="{00000000-0006-0000-0300-0000FB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A138" authorId="0" shapeId="0" xr:uid="{00000000-0006-0000-0300-0000FC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B138" authorId="0" shapeId="0" xr:uid="{00000000-0006-0000-0300-0000FD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L138" authorId="0" shapeId="0" xr:uid="{00000000-0006-0000-0300-0000FE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R138" authorId="0" shapeId="0" xr:uid="{00000000-0006-0000-0300-0000FF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Y153" authorId="0" shapeId="0" xr:uid="{00000000-0006-0000-0300-000000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175" authorId="0" shapeId="0" xr:uid="{00000000-0006-0000-0300-000001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175" authorId="0" shapeId="0" xr:uid="{00000000-0006-0000-0300-000002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W175" authorId="0" shapeId="0" xr:uid="{00000000-0006-0000-0300-000003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D175" authorId="0" shapeId="0" xr:uid="{00000000-0006-0000-0300-000004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E175" authorId="0" shapeId="0" xr:uid="{00000000-0006-0000-0300-000005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F175" authorId="0" shapeId="0" xr:uid="{00000000-0006-0000-0300-000006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G175" authorId="0" shapeId="0" xr:uid="{00000000-0006-0000-0300-000007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H175" authorId="0" shapeId="0" xr:uid="{00000000-0006-0000-0300-000008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I175" authorId="0" shapeId="0" xr:uid="{00000000-0006-0000-0300-000009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K175" authorId="0" shapeId="0" xr:uid="{00000000-0006-0000-0300-00000A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L175" authorId="0" shapeId="0" xr:uid="{00000000-0006-0000-0300-00000B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M175" authorId="0" shapeId="0" xr:uid="{00000000-0006-0000-0300-00000C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N175" authorId="0" shapeId="0" xr:uid="{00000000-0006-0000-0300-00000D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O175" authorId="0" shapeId="0" xr:uid="{00000000-0006-0000-0300-00000E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P175" authorId="0" shapeId="0" xr:uid="{00000000-0006-0000-0300-00000F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Q175" authorId="0" shapeId="0" xr:uid="{00000000-0006-0000-0300-000010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R175" authorId="0" shapeId="0" xr:uid="{00000000-0006-0000-0300-000011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T175" authorId="0" shapeId="0" xr:uid="{00000000-0006-0000-0300-000012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V175" authorId="0" shapeId="0" xr:uid="{00000000-0006-0000-0300-000013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W175" authorId="0" shapeId="0" xr:uid="{00000000-0006-0000-0300-000014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A175" authorId="0" shapeId="0" xr:uid="{00000000-0006-0000-0300-000015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C175" authorId="0" shapeId="0" xr:uid="{00000000-0006-0000-0300-000016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H175" authorId="0" shapeId="0" xr:uid="{00000000-0006-0000-0300-000017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I175" authorId="0" shapeId="0" xr:uid="{00000000-0006-0000-0300-000018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Y175" authorId="0" shapeId="0" xr:uid="{00000000-0006-0000-0300-000019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D175" authorId="0" shapeId="0" xr:uid="{00000000-0006-0000-0300-00001A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E175" authorId="0" shapeId="0" xr:uid="{00000000-0006-0000-0300-00001B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L175" authorId="0" shapeId="0" xr:uid="{00000000-0006-0000-0300-00001C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Q175" authorId="0" shapeId="0" xr:uid="{00000000-0006-0000-0300-00001D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187" authorId="0" shapeId="0" xr:uid="{00000000-0006-0000-0300-00001E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187" authorId="0" shapeId="0" xr:uid="{00000000-0006-0000-0300-00001F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187" authorId="0" shapeId="0" xr:uid="{00000000-0006-0000-0300-000020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K187" authorId="0" shapeId="0" xr:uid="{00000000-0006-0000-0300-000021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W187" authorId="0" shapeId="0" xr:uid="{00000000-0006-0000-0300-000022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Y187" authorId="0" shapeId="0" xr:uid="{00000000-0006-0000-0300-000023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C187" authorId="0" shapeId="0" xr:uid="{00000000-0006-0000-0300-000024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D187" authorId="0" shapeId="0" xr:uid="{00000000-0006-0000-0300-000025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F187" authorId="0" shapeId="0" xr:uid="{00000000-0006-0000-0300-000026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H187" authorId="0" shapeId="0" xr:uid="{00000000-0006-0000-0300-000027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J187" authorId="0" shapeId="0" xr:uid="{00000000-0006-0000-0300-000028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M187" authorId="0" shapeId="0" xr:uid="{00000000-0006-0000-0300-000029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N187" authorId="0" shapeId="0" xr:uid="{00000000-0006-0000-0300-00002A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O187" authorId="0" shapeId="0" xr:uid="{00000000-0006-0000-0300-00002B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U187" authorId="0" shapeId="0" xr:uid="{00000000-0006-0000-0300-00002C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W187" authorId="0" shapeId="0" xr:uid="{00000000-0006-0000-0300-00002D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X187" authorId="0" shapeId="0" xr:uid="{00000000-0006-0000-0300-00002E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Y187" authorId="0" shapeId="0" xr:uid="{00000000-0006-0000-0300-00002F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Z187" authorId="0" shapeId="0" xr:uid="{00000000-0006-0000-0300-000030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A187" authorId="0" shapeId="0" xr:uid="{00000000-0006-0000-0300-000031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C187" authorId="0" shapeId="0" xr:uid="{00000000-0006-0000-0300-000032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D187" authorId="0" shapeId="0" xr:uid="{00000000-0006-0000-0300-000033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E187" authorId="0" shapeId="0" xr:uid="{00000000-0006-0000-0300-000034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I187" authorId="0" shapeId="0" xr:uid="{00000000-0006-0000-0300-000035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L187" authorId="0" shapeId="0" xr:uid="{00000000-0006-0000-0300-000036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X187" authorId="0" shapeId="0" xr:uid="{00000000-0006-0000-0300-000037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C187" authorId="0" shapeId="0" xr:uid="{00000000-0006-0000-0300-000038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D187" authorId="0" shapeId="0" xr:uid="{00000000-0006-0000-0300-000039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G187" authorId="0" shapeId="0" xr:uid="{00000000-0006-0000-0300-00003A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L187" authorId="0" shapeId="0" xr:uid="{00000000-0006-0000-0300-00003B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Y191" authorId="0" shapeId="0" xr:uid="{00000000-0006-0000-0300-00003C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200" authorId="0" shapeId="0" xr:uid="{00000000-0006-0000-0300-00003D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K200" authorId="0" shapeId="0" xr:uid="{00000000-0006-0000-0300-00003E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C200" authorId="0" shapeId="0" xr:uid="{00000000-0006-0000-0300-00003F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D200" authorId="0" shapeId="0" xr:uid="{00000000-0006-0000-0300-000040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H200" authorId="0" shapeId="0" xr:uid="{00000000-0006-0000-0300-000041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O200" authorId="0" shapeId="0" xr:uid="{00000000-0006-0000-0300-000042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Q200" authorId="0" shapeId="0" xr:uid="{00000000-0006-0000-0300-000043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S200" authorId="0" shapeId="0" xr:uid="{00000000-0006-0000-0300-000044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W200" authorId="0" shapeId="0" xr:uid="{00000000-0006-0000-0300-000045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X200" authorId="0" shapeId="0" xr:uid="{00000000-0006-0000-0300-000046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E200" authorId="0" shapeId="0" xr:uid="{00000000-0006-0000-0300-000047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I200" authorId="0" shapeId="0" xr:uid="{00000000-0006-0000-0300-000048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W200" authorId="0" shapeId="0" xr:uid="{00000000-0006-0000-0300-000049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C200" authorId="0" shapeId="0" xr:uid="{00000000-0006-0000-0300-00004A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L200" authorId="0" shapeId="0" xr:uid="{00000000-0006-0000-0300-00004B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R200" authorId="0" shapeId="0" xr:uid="{00000000-0006-0000-0300-00004C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W201" authorId="0" shapeId="0" xr:uid="{00000000-0006-0000-0300-00004D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212" authorId="0" shapeId="0" xr:uid="{00000000-0006-0000-0300-00004E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212" authorId="0" shapeId="0" xr:uid="{00000000-0006-0000-0300-00004F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212" authorId="0" shapeId="0" xr:uid="{00000000-0006-0000-0300-000050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J212" authorId="0" shapeId="0" xr:uid="{00000000-0006-0000-0300-000051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K212" authorId="0" shapeId="0" xr:uid="{00000000-0006-0000-0300-000052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W212" authorId="0" shapeId="0" xr:uid="{00000000-0006-0000-0300-000053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Y212" authorId="0" shapeId="0" xr:uid="{00000000-0006-0000-0300-000054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D212" authorId="0" shapeId="0" xr:uid="{00000000-0006-0000-0300-000055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E212" authorId="0" shapeId="0" xr:uid="{00000000-0006-0000-0300-000056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F212" authorId="0" shapeId="0" xr:uid="{00000000-0006-0000-0300-000057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H212" authorId="0" shapeId="0" xr:uid="{00000000-0006-0000-0300-000058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I212" authorId="0" shapeId="0" xr:uid="{00000000-0006-0000-0300-000059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J212" authorId="0" shapeId="0" xr:uid="{00000000-0006-0000-0300-00005A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K212" authorId="0" shapeId="0" xr:uid="{00000000-0006-0000-0300-00005B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M212" authorId="0" shapeId="0" xr:uid="{00000000-0006-0000-0300-00005C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O212" authorId="0" shapeId="0" xr:uid="{00000000-0006-0000-0300-00005D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Q212" authorId="0" shapeId="0" xr:uid="{00000000-0006-0000-0300-00005E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S212" authorId="0" shapeId="0" xr:uid="{00000000-0006-0000-0300-00005F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T212" authorId="0" shapeId="0" xr:uid="{00000000-0006-0000-0300-000060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U212" authorId="0" shapeId="0" xr:uid="{00000000-0006-0000-0300-000061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V212" authorId="0" shapeId="0" xr:uid="{00000000-0006-0000-0300-000062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W212" authorId="0" shapeId="0" xr:uid="{00000000-0006-0000-0300-000063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Z212" authorId="0" shapeId="0" xr:uid="{00000000-0006-0000-0300-000064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A212" authorId="0" shapeId="0" xr:uid="{00000000-0006-0000-0300-000065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B212" authorId="0" shapeId="0" xr:uid="{00000000-0006-0000-0300-000066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C212" authorId="0" shapeId="0" xr:uid="{00000000-0006-0000-0300-000067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E212" authorId="0" shapeId="0" xr:uid="{00000000-0006-0000-0300-000068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F212" authorId="0" shapeId="0" xr:uid="{00000000-0006-0000-0300-000069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G212" authorId="0" shapeId="0" xr:uid="{00000000-0006-0000-0300-00006A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H212" authorId="0" shapeId="0" xr:uid="{00000000-0006-0000-0300-00006B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I212" authorId="0" shapeId="0" xr:uid="{00000000-0006-0000-0300-00006C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L212" authorId="0" shapeId="0" xr:uid="{00000000-0006-0000-0300-00006D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M212" authorId="0" shapeId="0" xr:uid="{00000000-0006-0000-0300-00006E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N212" authorId="0" shapeId="0" xr:uid="{00000000-0006-0000-0300-00006F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S212" authorId="0" shapeId="0" xr:uid="{00000000-0006-0000-0300-000070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T212" authorId="0" shapeId="0" xr:uid="{00000000-0006-0000-0300-000071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W212" authorId="0" shapeId="0" xr:uid="{00000000-0006-0000-0300-000072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X212" authorId="0" shapeId="0" xr:uid="{00000000-0006-0000-0300-000073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Y212" authorId="0" shapeId="0" xr:uid="{00000000-0006-0000-0300-000074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Z212" authorId="0" shapeId="0" xr:uid="{00000000-0006-0000-0300-000075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C212" authorId="0" shapeId="0" xr:uid="{00000000-0006-0000-0300-000076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D212" authorId="0" shapeId="0" xr:uid="{00000000-0006-0000-0300-000077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E212" authorId="0" shapeId="0" xr:uid="{00000000-0006-0000-0300-000078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G212" authorId="0" shapeId="0" xr:uid="{00000000-0006-0000-0300-000079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L212" authorId="0" shapeId="0" xr:uid="{00000000-0006-0000-0300-00007A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R212" authorId="0" shapeId="0" xr:uid="{00000000-0006-0000-0300-00007B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E222" authorId="0" shapeId="0" xr:uid="{00000000-0006-0000-0300-00007C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F222" authorId="0" shapeId="0" xr:uid="{00000000-0006-0000-0300-00007D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G222" authorId="0" shapeId="0" xr:uid="{00000000-0006-0000-0300-00007E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I222" authorId="0" shapeId="0" xr:uid="{00000000-0006-0000-0300-00007F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K222" authorId="0" shapeId="0" xr:uid="{00000000-0006-0000-0300-000080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U222" authorId="0" shapeId="0" xr:uid="{00000000-0006-0000-0300-000081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X222" authorId="0" shapeId="0" xr:uid="{00000000-0006-0000-0300-000082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Z222" authorId="0" shapeId="0" xr:uid="{00000000-0006-0000-0300-000083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A222" authorId="0" shapeId="0" xr:uid="{00000000-0006-0000-0300-000084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B222" authorId="0" shapeId="0" xr:uid="{00000000-0006-0000-0300-000085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C222" authorId="0" shapeId="0" xr:uid="{00000000-0006-0000-0300-000086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F222" authorId="0" shapeId="0" xr:uid="{00000000-0006-0000-0300-000087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G222" authorId="0" shapeId="0" xr:uid="{00000000-0006-0000-0300-000088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H222" authorId="0" shapeId="0" xr:uid="{00000000-0006-0000-0300-000089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E225" authorId="0" shapeId="0" xr:uid="{00000000-0006-0000-0300-00008A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F225" authorId="0" shapeId="0" xr:uid="{00000000-0006-0000-0300-00008B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237" authorId="0" shapeId="0" xr:uid="{00000000-0006-0000-0300-00008C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E237" authorId="0" shapeId="0" xr:uid="{00000000-0006-0000-0300-00008D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237" authorId="0" shapeId="0" xr:uid="{00000000-0006-0000-0300-00008E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K237" authorId="0" shapeId="0" xr:uid="{00000000-0006-0000-0300-00008F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T237" authorId="0" shapeId="0" xr:uid="{00000000-0006-0000-0300-000090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W237" authorId="0" shapeId="0" xr:uid="{00000000-0006-0000-0300-000091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D237" authorId="0" shapeId="0" xr:uid="{00000000-0006-0000-0300-000092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E237" authorId="0" shapeId="0" xr:uid="{00000000-0006-0000-0300-000093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F237" authorId="0" shapeId="0" xr:uid="{00000000-0006-0000-0300-000094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H237" authorId="0" shapeId="0" xr:uid="{00000000-0006-0000-0300-000095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I237" authorId="0" shapeId="0" xr:uid="{00000000-0006-0000-0300-000096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J237" authorId="0" shapeId="0" xr:uid="{00000000-0006-0000-0300-000097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L237" authorId="0" shapeId="0" xr:uid="{00000000-0006-0000-0300-000098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M237" authorId="0" shapeId="0" xr:uid="{00000000-0006-0000-0300-000099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N237" authorId="0" shapeId="0" xr:uid="{00000000-0006-0000-0300-00009A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O237" authorId="0" shapeId="0" xr:uid="{00000000-0006-0000-0300-00009B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Q237" authorId="0" shapeId="0" xr:uid="{00000000-0006-0000-0300-00009C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W237" authorId="0" shapeId="0" xr:uid="{00000000-0006-0000-0300-00009D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X237" authorId="0" shapeId="0" xr:uid="{00000000-0006-0000-0300-00009E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Z237" authorId="0" shapeId="0" xr:uid="{00000000-0006-0000-0300-00009F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A237" authorId="0" shapeId="0" xr:uid="{00000000-0006-0000-0300-0000A0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C237" authorId="0" shapeId="0" xr:uid="{00000000-0006-0000-0300-0000A1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D237" authorId="0" shapeId="0" xr:uid="{00000000-0006-0000-0300-0000A2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E237" authorId="0" shapeId="0" xr:uid="{00000000-0006-0000-0300-0000A3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G237" authorId="0" shapeId="0" xr:uid="{00000000-0006-0000-0300-0000A4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I237" authorId="0" shapeId="0" xr:uid="{00000000-0006-0000-0300-0000A5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M237" authorId="0" shapeId="0" xr:uid="{00000000-0006-0000-0300-0000A6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N237" authorId="0" shapeId="0" xr:uid="{00000000-0006-0000-0300-0000A7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P237" authorId="0" shapeId="0" xr:uid="{00000000-0006-0000-0300-0000A8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S237" authorId="0" shapeId="0" xr:uid="{00000000-0006-0000-0300-0000A9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T237" authorId="0" shapeId="0" xr:uid="{00000000-0006-0000-0300-0000AA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X237" authorId="0" shapeId="0" xr:uid="{00000000-0006-0000-0300-0000AB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A237" authorId="0" shapeId="0" xr:uid="{00000000-0006-0000-0300-0000AC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C237" authorId="0" shapeId="0" xr:uid="{00000000-0006-0000-0300-0000AD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L237" authorId="0" shapeId="0" xr:uid="{00000000-0006-0000-0300-0000AE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Q237" authorId="0" shapeId="0" xr:uid="{00000000-0006-0000-0300-0000AF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R237" authorId="0" shapeId="0" xr:uid="{00000000-0006-0000-0300-0000B0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V258" authorId="0" shapeId="0" xr:uid="{00000000-0006-0000-0300-0000B1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E261" authorId="0" shapeId="0" xr:uid="{00000000-0006-0000-0300-0000B2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E262" authorId="0" shapeId="0" xr:uid="{00000000-0006-0000-0300-0000B3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G262" authorId="0" shapeId="0" xr:uid="{00000000-0006-0000-0300-0000B4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W262" authorId="0" shapeId="0" xr:uid="{00000000-0006-0000-0300-0000B5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D262" authorId="0" shapeId="0" xr:uid="{00000000-0006-0000-0300-0000B6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H262" authorId="0" shapeId="0" xr:uid="{00000000-0006-0000-0300-0000B7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L262" authorId="0" shapeId="0" xr:uid="{00000000-0006-0000-0300-0000B8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N262" authorId="0" shapeId="0" xr:uid="{00000000-0006-0000-0300-0000B9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O262" authorId="0" shapeId="0" xr:uid="{00000000-0006-0000-0300-0000BA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Q262" authorId="0" shapeId="0" xr:uid="{00000000-0006-0000-0300-0000BB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W262" authorId="0" shapeId="0" xr:uid="{00000000-0006-0000-0300-0000BC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AZ262" authorId="0" shapeId="0" xr:uid="{00000000-0006-0000-0300-0000BD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A262" authorId="0" shapeId="0" xr:uid="{00000000-0006-0000-0300-0000BE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E262" authorId="0" shapeId="0" xr:uid="{00000000-0006-0000-0300-0000BF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I262" authorId="0" shapeId="0" xr:uid="{00000000-0006-0000-0300-0000C0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L262" authorId="0" shapeId="0" xr:uid="{00000000-0006-0000-0300-0000C1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Y262" authorId="0" shapeId="0" xr:uid="{00000000-0006-0000-0300-0000C2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A262" authorId="0" shapeId="0" xr:uid="{00000000-0006-0000-0300-0000C3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D262" authorId="0" shapeId="0" xr:uid="{00000000-0006-0000-0300-0000C4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E262" authorId="0" shapeId="0" xr:uid="{00000000-0006-0000-0300-0000C5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L262" authorId="0" shapeId="0" xr:uid="{00000000-0006-0000-0300-0000C6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M262" authorId="0" shapeId="0" xr:uid="{00000000-0006-0000-0300-0000C7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Q262" authorId="0" shapeId="0" xr:uid="{00000000-0006-0000-0300-0000C8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R262" authorId="0" shapeId="0" xr:uid="{00000000-0006-0000-0300-0000C901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<sst xmlns="http://schemas.openxmlformats.org/spreadsheetml/2006/main" count="18062" uniqueCount="7398">
  <si>
    <t>Marca temporal</t>
  </si>
  <si>
    <t>Dirección de correo electrónico</t>
  </si>
  <si>
    <t>Formula Copy Down Status</t>
  </si>
  <si>
    <t>gabrielvazquez@cetis57.edu.mx</t>
  </si>
  <si>
    <t>Master formula row. Do not sort.</t>
  </si>
  <si>
    <t>22-moguelmartinez.kerenberenice@cetis57.edu.mx</t>
  </si>
  <si>
    <t>22-martinezrocha.zoeangelica@cetis57.edu.mx</t>
  </si>
  <si>
    <t>22-santananieto.saasilasereth@cetis57.edu.mx</t>
  </si>
  <si>
    <t>22-maldonadogarcia.ikerjorel@cetis57.edu.mx</t>
  </si>
  <si>
    <t>21-lopezjuarez.lindajoanna@cetis57.edu.mx</t>
  </si>
  <si>
    <t>22-hernandezcortes.guadalupeyareli@cetis57.edu.mx</t>
  </si>
  <si>
    <t>22-alvarezfernandez.jazmin@cetis57.edu.mx</t>
  </si>
  <si>
    <t>21-torrescid.brianacarol@cetis57.edu.mx</t>
  </si>
  <si>
    <t>22-sanchezhernandez.luisangel@cetis57.edu.mx</t>
  </si>
  <si>
    <t>22-diazgarcia.fernandaedith@cetis57.edu.mx</t>
  </si>
  <si>
    <t>22-sanchezreyes.danielamaritza@cetis57.edu.mx</t>
  </si>
  <si>
    <t>21-hernandezperez.sergioisaac@cetis57.edu.mx</t>
  </si>
  <si>
    <t>21-gallegosfarias.stephanie@cetis57.edu.mx</t>
  </si>
  <si>
    <t>22-olmosfortiz.americapaola@cetis57.edu.mx</t>
  </si>
  <si>
    <t>22-alcantaradeolmos.erikamontserrat@cetis57.edu.mx</t>
  </si>
  <si>
    <t>22-marquezencarnacion.alejandraguadalupe@cetis57.edu.mx</t>
  </si>
  <si>
    <t>22-sanchezvelazquez.brandonyubeg@cetis57.edu.mx</t>
  </si>
  <si>
    <t>22-perezhernandez.veronicaitzel@cetis57.edu.mx</t>
  </si>
  <si>
    <t>22-osoriolopez.fernandaoddet@cetis57.edu.mx</t>
  </si>
  <si>
    <t>22-dominguezdiaz.esdrasantonio@cetis57.edu.mx</t>
  </si>
  <si>
    <t>22-gonzalezreynoso.mariafernanda@cetis57.edu.mx</t>
  </si>
  <si>
    <t>21-medinabarajas.tania@cetis57.edu.mx</t>
  </si>
  <si>
    <t>22-calvohernandez.emanuel@cetis57.edu.mx</t>
  </si>
  <si>
    <t>21-sanchezortega.mayconalexis@cetis57.edu.mx</t>
  </si>
  <si>
    <t>21-mendozamendez.joseantonio@cetis57.edu.mx</t>
  </si>
  <si>
    <t>21-cortestorres.daniela@cetis57.edu.mx</t>
  </si>
  <si>
    <t>21-galindoromero.yaretzijudith@cetis57.edu.mx</t>
  </si>
  <si>
    <t>22-moravega.valeriayaquelin@cetis57.edu.mx</t>
  </si>
  <si>
    <t>22-cruznapoleon.nahomilinnet@cetis57.edu.mx</t>
  </si>
  <si>
    <t>21-salinasregino.edgaralejandro@cetis57.edu.mx</t>
  </si>
  <si>
    <t>22-badillogutierrez.maytedaniela@cetis57.edu.mx</t>
  </si>
  <si>
    <t>22-valdezflores.rafael@cetis57.edu.mx</t>
  </si>
  <si>
    <t>21-maldonadolopez.jimena@cetis57.edu.mx</t>
  </si>
  <si>
    <t>22-quezadacastillo.rodrigodamian@cetis57.edu.mx</t>
  </si>
  <si>
    <t>21-gilenriquez.naomyyazmin@cetis57.edu.mx</t>
  </si>
  <si>
    <t>22-ramoszosayas.guadalupemichelle@cetis57.edu.mx</t>
  </si>
  <si>
    <t>21-lopezcalderon.fatimadoralyn@cetis57.edu.mx</t>
  </si>
  <si>
    <t>22-perezquintero.damariszurisaday@cetis57.edu.mx</t>
  </si>
  <si>
    <t>21-suarezhernandez.gabrielalizbeth@cetis57.edu.mx</t>
  </si>
  <si>
    <t>22-caballerocrespo.isaacemmanuel@cetis57.edu.mx</t>
  </si>
  <si>
    <t>21-garciaserna.lizeth@cetis57.edu.mx</t>
  </si>
  <si>
    <t>22-martinezrodriguez.fernanda@cetis57.edu.mx</t>
  </si>
  <si>
    <t>22-rodriguezpena.jennifernaomi@cetis57.edu.mx</t>
  </si>
  <si>
    <t>21-paulinlopez.karlabelen@cetis57.edu.mx</t>
  </si>
  <si>
    <t>22-gonzalezsantos.sarafabiola@cetis57.edu.mx</t>
  </si>
  <si>
    <t>22-martinezramirez.briseidajisel@cetis57.edu.mx</t>
  </si>
  <si>
    <t>21-andresagama.mariafernanda@cetis57.edu.mx</t>
  </si>
  <si>
    <t>22-jacintohernandez.carloscaleb@cetis57.edu.mx</t>
  </si>
  <si>
    <t>21-andrademena.miriamguadalupe@cetis57.edu.mx</t>
  </si>
  <si>
    <t>21-martinezmedina.axelaaron@cetis57.edu.mx</t>
  </si>
  <si>
    <t>22-moragarcia.valeriaitzel@cetis57.edu.mx</t>
  </si>
  <si>
    <t>21-santiagohernandez.dafnecitlalli@cetis57.edu.mx</t>
  </si>
  <si>
    <t>22-marinmartinez.gustavoemiliano@cetis57.edu.mx</t>
  </si>
  <si>
    <t>21-juarezrangel.nataliamichell@cetis57.edu.mx</t>
  </si>
  <si>
    <t>21-villanuevagarcia.almaceleste@cetis57.edu.mx</t>
  </si>
  <si>
    <t>22-ruizgarcia.guadalupedelosangeles@cetis57.edu.mx</t>
  </si>
  <si>
    <t>22-martinezvazquez.luzdelfina@cetis57.edu.mx</t>
  </si>
  <si>
    <t>21-dioniciomoreno.andrea@cetis57.edu.mx</t>
  </si>
  <si>
    <t>21-jimenezmendoza.andreabelen@cetis57.edu.mx</t>
  </si>
  <si>
    <t>22-nicialoyola.david@cetis57.edu.mx</t>
  </si>
  <si>
    <t>21-cruzsoto.estefania@cetis57.edu.mx</t>
  </si>
  <si>
    <t>22-zaratemagana.michelyoselin@cetis57.edu.mx</t>
  </si>
  <si>
    <t>21-floressuarez.anaalondra@cetis57.edu.mx</t>
  </si>
  <si>
    <t>22-garciaromero.gabrielaldebaran@cetis57.edu.mx</t>
  </si>
  <si>
    <t>22-garciabautista.fatimaharumy@cetis57.edu.mx</t>
  </si>
  <si>
    <t>21-escamillabucio.emmanuelalejandro@cetis57.edu.mx</t>
  </si>
  <si>
    <t>22-lopeztorres.cristianantony@cetis57.edu.mx</t>
  </si>
  <si>
    <t>22-martinezabonce.kellyjebenuhi@cetis57.edu.mx</t>
  </si>
  <si>
    <t>21-gonzalezsuarez.omar@cetis57.edu.mx</t>
  </si>
  <si>
    <t>22-torreshernandez.brayanarath@cetis57.edu.mx</t>
  </si>
  <si>
    <t>22-vargasrivera.christianalexander@cetis57.edu.mx</t>
  </si>
  <si>
    <t>22-francoguevara.victorjosue@cetis57.edu.mx</t>
  </si>
  <si>
    <t>22-mayenmonroy.dorian@cetis57.edu.mx</t>
  </si>
  <si>
    <t>21-rodriguezgarcia.rodrigoivan@cetis57.edu.mx</t>
  </si>
  <si>
    <t>CURP</t>
  </si>
  <si>
    <t>IMPORTE</t>
  </si>
  <si>
    <t>DIA</t>
  </si>
  <si>
    <t>MES</t>
  </si>
  <si>
    <t>AÑO</t>
  </si>
  <si>
    <t>REFERENCIA</t>
  </si>
  <si>
    <t>CANTIDAD CON LETRA</t>
  </si>
  <si>
    <t>FECHA DE EMISION</t>
  </si>
  <si>
    <t>AUTORIZACION ESCOLARES</t>
  </si>
  <si>
    <t>Apellido paterno</t>
  </si>
  <si>
    <t>Apellido materno</t>
  </si>
  <si>
    <t>Nombre(S)</t>
  </si>
  <si>
    <t xml:space="preserve">Sexo </t>
  </si>
  <si>
    <t xml:space="preserve">Foto </t>
  </si>
  <si>
    <t xml:space="preserve">Fecha de nacimiento </t>
  </si>
  <si>
    <t>Edad</t>
  </si>
  <si>
    <t>Numero celular del estudiante</t>
  </si>
  <si>
    <t xml:space="preserve">Numero de control </t>
  </si>
  <si>
    <t>ULTIMO SEMESTRE CURSADO</t>
  </si>
  <si>
    <t>Turno</t>
  </si>
  <si>
    <t>Grupo</t>
  </si>
  <si>
    <t>Especialidad</t>
  </si>
  <si>
    <t>¿Actualmente eres beneficiado de la beca benito juarez de media superior?</t>
  </si>
  <si>
    <t>¿Trabajas?</t>
  </si>
  <si>
    <t>La secundaria la cursaste en escuela:</t>
  </si>
  <si>
    <t>Municipio de la secundaria de procedencia</t>
  </si>
  <si>
    <t>Eres hablante de alguna lengua indigena</t>
  </si>
  <si>
    <t>Domicilio del alumno</t>
  </si>
  <si>
    <t>Municipio</t>
  </si>
  <si>
    <t>Entidad Federativa de tu vivienda</t>
  </si>
  <si>
    <t>Código postal</t>
  </si>
  <si>
    <t>Número exterior</t>
  </si>
  <si>
    <t>Número interior</t>
  </si>
  <si>
    <t>Descripción de la ubicación</t>
  </si>
  <si>
    <t xml:space="preserve">Foto del INE </t>
  </si>
  <si>
    <t>¿VIVES CON TUS PAPÁS?</t>
  </si>
  <si>
    <t>En caso de que tu respuesta sea no con quien vives</t>
  </si>
  <si>
    <t>Estatura:</t>
  </si>
  <si>
    <t>Peso:</t>
  </si>
  <si>
    <t>¿Actualmente cuenta con algún tipo de servicio de salud?</t>
  </si>
  <si>
    <t>¿Actualmente te encuentras bajo algún tratamiento médico?</t>
  </si>
  <si>
    <t>En caso afirmativo ¿Cuál?</t>
  </si>
  <si>
    <t>¿Tiene alguna discapacidad?</t>
  </si>
  <si>
    <t>¿Cuentas con una aptitud sobresaliente?</t>
  </si>
  <si>
    <t>En caso afirmativo ¿Cuál aptitud?</t>
  </si>
  <si>
    <t>¿Has asistido o asistes a tratamiento psicológico o psiquiátrico?</t>
  </si>
  <si>
    <t>En caso de ser afirmativo en alguna de las preguntas anteriores enexar documento comprobatorio en PDF</t>
  </si>
  <si>
    <t>Tipo de transporte que utilizas</t>
  </si>
  <si>
    <t>Tiempo estimado de ida y vuelta a tu casa en minutos</t>
  </si>
  <si>
    <t>Costo de trasporte de ida y vuelta semanal</t>
  </si>
  <si>
    <t>¿Cuál es el nombre de la escuela a nivel superior donde quisieras seguir estudiando?</t>
  </si>
  <si>
    <t>Que carrera te gustaría estudiar en el nivel superior</t>
  </si>
  <si>
    <t>Estado de la escuela en la que piensas cursar la universidad</t>
  </si>
  <si>
    <t>Alcaldía o municipio el que se encuentra la universidad</t>
  </si>
  <si>
    <t>Promedio de gasto en útiles</t>
  </si>
  <si>
    <t>Promedio de gasto en uniformes</t>
  </si>
  <si>
    <t>Tienes internet en casa</t>
  </si>
  <si>
    <t xml:space="preserve">En caso de que respuesta sea si desde que dispositivo te puedes conectar </t>
  </si>
  <si>
    <t>Firma del alumno</t>
  </si>
  <si>
    <t>Firma del padre o tutor</t>
  </si>
  <si>
    <t>VIGENCIA DEL SEGURO</t>
  </si>
  <si>
    <t>NUMERO DE SEGURO SOCIAL</t>
  </si>
  <si>
    <t>Localidad o Colonia</t>
  </si>
  <si>
    <t>Numero de casa del estudiante</t>
  </si>
  <si>
    <t>ERES RECURSADOR DE MATERIAS</t>
  </si>
  <si>
    <t xml:space="preserve">PRIMERA MATERIA A RECURSAR </t>
  </si>
  <si>
    <t>SEGUNDA MATERIA A RECURSAR</t>
  </si>
  <si>
    <t>SEMESTRE REAL</t>
  </si>
  <si>
    <t>GRUPO REAL</t>
  </si>
  <si>
    <t>TURNO REAL</t>
  </si>
  <si>
    <t>NO CONTROL REAL</t>
  </si>
  <si>
    <t>CARRERA REAL</t>
  </si>
  <si>
    <t>GRADO GRUPO</t>
  </si>
  <si>
    <t>FOLDER TUTO</t>
  </si>
  <si>
    <t>INSCRITOS</t>
  </si>
  <si>
    <t>FOTO FINAL</t>
  </si>
  <si>
    <t>M1</t>
  </si>
  <si>
    <t>M2</t>
  </si>
  <si>
    <t>M3</t>
  </si>
  <si>
    <t>M4</t>
  </si>
  <si>
    <t>M5</t>
  </si>
  <si>
    <t>M6</t>
  </si>
  <si>
    <t>M7</t>
  </si>
  <si>
    <t>E1</t>
  </si>
  <si>
    <t>E2</t>
  </si>
  <si>
    <t>E3</t>
  </si>
  <si>
    <t>E4</t>
  </si>
  <si>
    <t>E5</t>
  </si>
  <si>
    <t>E6</t>
  </si>
  <si>
    <t>E7</t>
  </si>
  <si>
    <t>G1</t>
  </si>
  <si>
    <t>G2</t>
  </si>
  <si>
    <t>G3</t>
  </si>
  <si>
    <t>G4</t>
  </si>
  <si>
    <t>G5</t>
  </si>
  <si>
    <t>G6</t>
  </si>
  <si>
    <t>G7</t>
  </si>
  <si>
    <t>DIA1</t>
  </si>
  <si>
    <t>MES1</t>
  </si>
  <si>
    <t>AÑO1</t>
  </si>
  <si>
    <t>REFERENCIA1</t>
  </si>
  <si>
    <t>IMPORTE1</t>
  </si>
  <si>
    <t>CANTIDAD CON LETRA1</t>
  </si>
  <si>
    <t>FECHA DE EMISION1</t>
  </si>
  <si>
    <t>DIA2</t>
  </si>
  <si>
    <t>MES2</t>
  </si>
  <si>
    <t>AÑO2</t>
  </si>
  <si>
    <t>REFERENCIA2</t>
  </si>
  <si>
    <t>IMPORTE2</t>
  </si>
  <si>
    <t>CANTIDAD CON LETRA2</t>
  </si>
  <si>
    <t>FECHA DE EMISION2</t>
  </si>
  <si>
    <t>DIA3</t>
  </si>
  <si>
    <t>MES3</t>
  </si>
  <si>
    <t>AÑO3</t>
  </si>
  <si>
    <t>REFERENCIA3</t>
  </si>
  <si>
    <t>IMPORTE3</t>
  </si>
  <si>
    <t>CANTIDAD CON LETRA3</t>
  </si>
  <si>
    <t>FECHA DE EMISION3</t>
  </si>
  <si>
    <t>DIA4</t>
  </si>
  <si>
    <t>MES4</t>
  </si>
  <si>
    <t>AÑO4</t>
  </si>
  <si>
    <t>REFERENCIA4</t>
  </si>
  <si>
    <t>IMPORTE4</t>
  </si>
  <si>
    <t>CANTIDAD CON LETRA4</t>
  </si>
  <si>
    <t>FECHA DE EMISION4</t>
  </si>
  <si>
    <t>DIA5</t>
  </si>
  <si>
    <t>MES5</t>
  </si>
  <si>
    <t>AÑO5</t>
  </si>
  <si>
    <t>REFERENCIA5</t>
  </si>
  <si>
    <t>IMPORTE5</t>
  </si>
  <si>
    <t>CANTIDAD CON LETRA5</t>
  </si>
  <si>
    <t>FECHA DE EMISION5</t>
  </si>
  <si>
    <t>DIA6</t>
  </si>
  <si>
    <t>MES6</t>
  </si>
  <si>
    <t>AÑO6</t>
  </si>
  <si>
    <t>REFERENCIA6</t>
  </si>
  <si>
    <t>IMPORTE6</t>
  </si>
  <si>
    <t>CANTIDAD CON LETRA6</t>
  </si>
  <si>
    <t>FECHA DE EMISION6</t>
  </si>
  <si>
    <t>Merged Doc ID - 1 REINSCRIPCIÓN 2021-1</t>
  </si>
  <si>
    <t>Merged Doc URL - 1 REINSCRIPCIÓN 2021-1</t>
  </si>
  <si>
    <t>Link to merged Doc - 1 REINSCRIPCIÓN 2021-1</t>
  </si>
  <si>
    <t>Document Merge Status - 1 REINSCRIPCIÓN 2021-1</t>
  </si>
  <si>
    <t xml:space="preserve">MUÑOZ </t>
  </si>
  <si>
    <t>Mujer</t>
  </si>
  <si>
    <t>5°</t>
  </si>
  <si>
    <t>VESPERTINO</t>
  </si>
  <si>
    <t>B</t>
  </si>
  <si>
    <t>Enfermería general</t>
  </si>
  <si>
    <t>No</t>
  </si>
  <si>
    <t>General</t>
  </si>
  <si>
    <t>Chalco</t>
  </si>
  <si>
    <t>México</t>
  </si>
  <si>
    <t>MUÑOZ</t>
  </si>
  <si>
    <t xml:space="preserve">AMA DE CASA </t>
  </si>
  <si>
    <t xml:space="preserve">PEREZ </t>
  </si>
  <si>
    <t>OBRERO</t>
  </si>
  <si>
    <t>Sí</t>
  </si>
  <si>
    <t>NINGUNA</t>
  </si>
  <si>
    <t>Microbús y combis</t>
  </si>
  <si>
    <t>Ingeniería Electromecánica</t>
  </si>
  <si>
    <t>Ciudad de México</t>
  </si>
  <si>
    <t>TLALPAN</t>
  </si>
  <si>
    <t>Celular</t>
  </si>
  <si>
    <t>he leído y acepto los derechos y obligaciones en el reglamento escolar vigente</t>
  </si>
  <si>
    <t>HERNANDEZ</t>
  </si>
  <si>
    <t>LOPEZ</t>
  </si>
  <si>
    <t>3°</t>
  </si>
  <si>
    <t>MATUTINO</t>
  </si>
  <si>
    <t>Laboratorista clínico</t>
  </si>
  <si>
    <t>Iztapalapa</t>
  </si>
  <si>
    <t>09570</t>
  </si>
  <si>
    <t>SERRANO</t>
  </si>
  <si>
    <t>PEREZ</t>
  </si>
  <si>
    <t>UNAM</t>
  </si>
  <si>
    <t>Licenciatura en Química</t>
  </si>
  <si>
    <t>COYOACAN</t>
  </si>
  <si>
    <t>Laptop</t>
  </si>
  <si>
    <t>SANTA MARIA AZTAHUACAN</t>
  </si>
  <si>
    <t>21-martinezsereno.franciscoesteban@cetis57.edu.mx</t>
  </si>
  <si>
    <t xml:space="preserve">MARTINEZ </t>
  </si>
  <si>
    <t>SERENO</t>
  </si>
  <si>
    <t xml:space="preserve">FRANCISCO ESTEBAN </t>
  </si>
  <si>
    <t>Hombre</t>
  </si>
  <si>
    <t>Laboratorista químico</t>
  </si>
  <si>
    <t>Nezahualcóyotl</t>
  </si>
  <si>
    <t>MADRE</t>
  </si>
  <si>
    <t>ESPINOSA</t>
  </si>
  <si>
    <t>EMPLEADA</t>
  </si>
  <si>
    <t>AGUILAR</t>
  </si>
  <si>
    <t>eduardoaguilar103@gmail.com</t>
  </si>
  <si>
    <t>NINGUNO</t>
  </si>
  <si>
    <t>S.Creativa (Capacidad de generar un gran numero de ideas diferentes entre sí)</t>
  </si>
  <si>
    <t>Metro</t>
  </si>
  <si>
    <t>Ingeniería Química</t>
  </si>
  <si>
    <t xml:space="preserve">IZTAPALAPA </t>
  </si>
  <si>
    <t>BENITO JUAREZ</t>
  </si>
  <si>
    <t xml:space="preserve">TREJO </t>
  </si>
  <si>
    <t>1°</t>
  </si>
  <si>
    <t>A</t>
  </si>
  <si>
    <t>ABUELA</t>
  </si>
  <si>
    <t xml:space="preserve">ENFERMERA </t>
  </si>
  <si>
    <t xml:space="preserve">GOMEZ </t>
  </si>
  <si>
    <t xml:space="preserve">MIGUEL ANGEL </t>
  </si>
  <si>
    <t>CHOFER</t>
  </si>
  <si>
    <t xml:space="preserve">FES ZARAGOZA </t>
  </si>
  <si>
    <t>21-martinezramirez.luisfernando@cetis57.edu.mx</t>
  </si>
  <si>
    <t xml:space="preserve">RAMIREZ </t>
  </si>
  <si>
    <t xml:space="preserve">LUIS FERNANDO </t>
  </si>
  <si>
    <t>MARL060423HDFRMSA0</t>
  </si>
  <si>
    <t>Ixtapaluca</t>
  </si>
  <si>
    <t>MZ46</t>
  </si>
  <si>
    <t xml:space="preserve">PAPA </t>
  </si>
  <si>
    <t>martinezluisfernando578@gmail.com</t>
  </si>
  <si>
    <t xml:space="preserve">RAMON </t>
  </si>
  <si>
    <t xml:space="preserve">HOGAR </t>
  </si>
  <si>
    <t xml:space="preserve">TORRES </t>
  </si>
  <si>
    <t xml:space="preserve">FERNANDO </t>
  </si>
  <si>
    <t xml:space="preserve">NINGUNO </t>
  </si>
  <si>
    <t xml:space="preserve">UNAM </t>
  </si>
  <si>
    <t>Licenciatura en Bioquímica</t>
  </si>
  <si>
    <t xml:space="preserve">COYOACAN </t>
  </si>
  <si>
    <t>55 5118 7395</t>
  </si>
  <si>
    <t>CASTILLO</t>
  </si>
  <si>
    <t>ESTUDIANTE</t>
  </si>
  <si>
    <t>GARCIA</t>
  </si>
  <si>
    <t>LEYVA</t>
  </si>
  <si>
    <t>EMPLEADO</t>
  </si>
  <si>
    <t>RTP</t>
  </si>
  <si>
    <t xml:space="preserve">LOPEZ </t>
  </si>
  <si>
    <t>Chicoloapan</t>
  </si>
  <si>
    <t>.</t>
  </si>
  <si>
    <t>21-hernandezolvera.ivan@cetis57.edu.mx</t>
  </si>
  <si>
    <t>OLVERA</t>
  </si>
  <si>
    <t>IVAN</t>
  </si>
  <si>
    <t>C</t>
  </si>
  <si>
    <t>Prótesis y asistente dental</t>
  </si>
  <si>
    <t>CASA ROJA SAGUAN NEGRO</t>
  </si>
  <si>
    <t>MARIA CRISTINA OLVERA BEDOLLA</t>
  </si>
  <si>
    <t>BEDOLLA</t>
  </si>
  <si>
    <t>MARIA CRISTINA</t>
  </si>
  <si>
    <t>Ama de casa</t>
  </si>
  <si>
    <t>ODONTOLOGIA</t>
  </si>
  <si>
    <t>IZTAPALAPA</t>
  </si>
  <si>
    <t>Computadora</t>
  </si>
  <si>
    <t>09210672888</t>
  </si>
  <si>
    <t>BLANCO</t>
  </si>
  <si>
    <t>RAMOS</t>
  </si>
  <si>
    <t>Chimalhuacán</t>
  </si>
  <si>
    <t>AMA DE CASA</t>
  </si>
  <si>
    <t>HERRERA</t>
  </si>
  <si>
    <t>CON MI MADRE</t>
  </si>
  <si>
    <t>S.Intelectual (Nivel elevado de recursos cognitivos para adquirir y manejar contenidos verbales, lógicos, numéricos, espaciales figurativos) (alumnos talento)</t>
  </si>
  <si>
    <t>21-castilloramirez.ianyamili@cetis57.edu.mx</t>
  </si>
  <si>
    <t>RAMIREZ</t>
  </si>
  <si>
    <t>IAN YAMILI</t>
  </si>
  <si>
    <t>CARI050110MDFSMNA1</t>
  </si>
  <si>
    <t xml:space="preserve">TIA </t>
  </si>
  <si>
    <t>HURTADO</t>
  </si>
  <si>
    <t>TECNICO RADIOLOGO</t>
  </si>
  <si>
    <t>radiobrey78@gmail.com</t>
  </si>
  <si>
    <t>TORRES</t>
  </si>
  <si>
    <t xml:space="preserve">ALFREDO SIMON </t>
  </si>
  <si>
    <t>spart@hotmail.es</t>
  </si>
  <si>
    <t>Licenciatura en Enfermería  (Título Intermedio de Enfermera/o Universitaria/o)</t>
  </si>
  <si>
    <t>LA PERLA</t>
  </si>
  <si>
    <t>Particular</t>
  </si>
  <si>
    <t>09208</t>
  </si>
  <si>
    <t>LETICIA</t>
  </si>
  <si>
    <t>V.BAJA VISIÓN</t>
  </si>
  <si>
    <t>Metrobús</t>
  </si>
  <si>
    <t>Odontologia</t>
  </si>
  <si>
    <t xml:space="preserve">VARGAS </t>
  </si>
  <si>
    <t xml:space="preserve">IXTAPALUCA </t>
  </si>
  <si>
    <t>21-solorzanobadillo.leonardodaniel@cetis57.edu.mx</t>
  </si>
  <si>
    <t xml:space="preserve">SOLORZANO </t>
  </si>
  <si>
    <t xml:space="preserve">BADILLO </t>
  </si>
  <si>
    <t xml:space="preserve">LEONARDO DANIEL </t>
  </si>
  <si>
    <t>SOBL041130HDFLDNA4</t>
  </si>
  <si>
    <t>09100</t>
  </si>
  <si>
    <t xml:space="preserve">ABUELA </t>
  </si>
  <si>
    <t xml:space="preserve">ROQUE </t>
  </si>
  <si>
    <t xml:space="preserve">ARACELI VIOLETA </t>
  </si>
  <si>
    <t xml:space="preserve">EMPLEADA </t>
  </si>
  <si>
    <t xml:space="preserve">ARNULFO </t>
  </si>
  <si>
    <t xml:space="preserve">JUBILADO </t>
  </si>
  <si>
    <t xml:space="preserve">Medicina </t>
  </si>
  <si>
    <t>01210422976</t>
  </si>
  <si>
    <t xml:space="preserve">JUAN ESCUTIA </t>
  </si>
  <si>
    <t>22-lunaalvarado.jesusarmando@cetis57.edu.mx</t>
  </si>
  <si>
    <t>LUNA</t>
  </si>
  <si>
    <t>ALVARADO</t>
  </si>
  <si>
    <t xml:space="preserve">JESUS ARMANDO </t>
  </si>
  <si>
    <t>LUAJ050908HDFNLSA1</t>
  </si>
  <si>
    <t>09560</t>
  </si>
  <si>
    <t xml:space="preserve">ALVARADO </t>
  </si>
  <si>
    <t xml:space="preserve">JOSEFINA </t>
  </si>
  <si>
    <t xml:space="preserve">Ama de casa </t>
  </si>
  <si>
    <t xml:space="preserve">VALENCIA </t>
  </si>
  <si>
    <t xml:space="preserve">ARMANDO </t>
  </si>
  <si>
    <t>Licenciatura en Kinesiología y Fisiatría</t>
  </si>
  <si>
    <t>Hidalgo</t>
  </si>
  <si>
    <t xml:space="preserve">PARAJE ZACATEPEC </t>
  </si>
  <si>
    <t>REYES</t>
  </si>
  <si>
    <t xml:space="preserve">Ninguno </t>
  </si>
  <si>
    <t>Licenciatura en Psicología</t>
  </si>
  <si>
    <t>AVILA</t>
  </si>
  <si>
    <t>09229</t>
  </si>
  <si>
    <t>PS.Depresión</t>
  </si>
  <si>
    <t>Taxi</t>
  </si>
  <si>
    <t>00000</t>
  </si>
  <si>
    <t xml:space="preserve">GARCIA </t>
  </si>
  <si>
    <t xml:space="preserve">LIZBETH </t>
  </si>
  <si>
    <t xml:space="preserve">HERNANDEZ </t>
  </si>
  <si>
    <t>Iztacalco</t>
  </si>
  <si>
    <t>La Paz</t>
  </si>
  <si>
    <t>No hay</t>
  </si>
  <si>
    <t>GALINDO</t>
  </si>
  <si>
    <t>RIOS</t>
  </si>
  <si>
    <t>PEÑA</t>
  </si>
  <si>
    <t>CESAR</t>
  </si>
  <si>
    <t xml:space="preserve">Dentista </t>
  </si>
  <si>
    <t>LOS REYES LA PAZ</t>
  </si>
  <si>
    <t>WENDY</t>
  </si>
  <si>
    <t>HERMANO</t>
  </si>
  <si>
    <t>DAVID</t>
  </si>
  <si>
    <t>TRANSPORTISTA</t>
  </si>
  <si>
    <t>FES ZARAGOZA</t>
  </si>
  <si>
    <t>PAVON</t>
  </si>
  <si>
    <t>22-gutierrezlopez.saramichel@cetis57.edu.mx</t>
  </si>
  <si>
    <t xml:space="preserve">GUTIERREZ </t>
  </si>
  <si>
    <t>GULS070713MDFTPRA4</t>
  </si>
  <si>
    <t>Técnica</t>
  </si>
  <si>
    <t>08100</t>
  </si>
  <si>
    <t>203 A</t>
  </si>
  <si>
    <t>carmen.lopez.v42@gmail.com</t>
  </si>
  <si>
    <t>vikgl20@gmail.com</t>
  </si>
  <si>
    <t>CDMX</t>
  </si>
  <si>
    <t>09220753850</t>
  </si>
  <si>
    <t xml:space="preserve">MIRANDA </t>
  </si>
  <si>
    <t xml:space="preserve">QUEZADA </t>
  </si>
  <si>
    <t>PAPA</t>
  </si>
  <si>
    <t>GONZALEZ</t>
  </si>
  <si>
    <t xml:space="preserve">APARICIO </t>
  </si>
  <si>
    <t>04510</t>
  </si>
  <si>
    <t>0001</t>
  </si>
  <si>
    <t>ANDRES</t>
  </si>
  <si>
    <t xml:space="preserve">AGAMA </t>
  </si>
  <si>
    <t xml:space="preserve">MARIA FERNANDA </t>
  </si>
  <si>
    <t>09210</t>
  </si>
  <si>
    <t>andresagama100@gmail.com</t>
  </si>
  <si>
    <t>01210635270</t>
  </si>
  <si>
    <t xml:space="preserve">TEPALCATES </t>
  </si>
  <si>
    <t>JUAREZ</t>
  </si>
  <si>
    <t>MARTINEZ</t>
  </si>
  <si>
    <t>Valle de Chalco Solidaridad</t>
  </si>
  <si>
    <t>PADRE</t>
  </si>
  <si>
    <t>ERIKA</t>
  </si>
  <si>
    <t>NO</t>
  </si>
  <si>
    <t>JUAN</t>
  </si>
  <si>
    <t>CIRUJANO DENTISTA</t>
  </si>
  <si>
    <t xml:space="preserve">FLORES </t>
  </si>
  <si>
    <t xml:space="preserve">SUAREZ </t>
  </si>
  <si>
    <t xml:space="preserve">ANA ALONDRA </t>
  </si>
  <si>
    <t>FOSA061019MDFLRNA7</t>
  </si>
  <si>
    <t xml:space="preserve">CLAUDIA IVON SUAREZ MIRANDA </t>
  </si>
  <si>
    <t xml:space="preserve">MADRE </t>
  </si>
  <si>
    <t>claudiia195y67@hotmail.com</t>
  </si>
  <si>
    <t xml:space="preserve">AVILA </t>
  </si>
  <si>
    <t xml:space="preserve">LUIS ANTONIO </t>
  </si>
  <si>
    <t xml:space="preserve">GUARDIA DE SEGURIDAD </t>
  </si>
  <si>
    <t xml:space="preserve">NINGUNA </t>
  </si>
  <si>
    <t>BARRIENTOS</t>
  </si>
  <si>
    <t>CORTES</t>
  </si>
  <si>
    <t>TIO</t>
  </si>
  <si>
    <t>HOGAR</t>
  </si>
  <si>
    <t>BERNAL</t>
  </si>
  <si>
    <t>ALBAÑIL</t>
  </si>
  <si>
    <t>S.Artística (Danza, música, pintura, artes visuales)</t>
  </si>
  <si>
    <t>IPN</t>
  </si>
  <si>
    <t>CIUDAD DE MEXICO</t>
  </si>
  <si>
    <t>09578</t>
  </si>
  <si>
    <t>MAMA</t>
  </si>
  <si>
    <t>S.Socioafectiva (Capacidad de establecer relaciones adecuadas con otros y comprender contenidos sociales)</t>
  </si>
  <si>
    <t xml:space="preserve">EJERCITO DE AGUA PRIETA </t>
  </si>
  <si>
    <t xml:space="preserve">LEON </t>
  </si>
  <si>
    <t xml:space="preserve">SORIANO </t>
  </si>
  <si>
    <t>TUTOR</t>
  </si>
  <si>
    <t xml:space="preserve">MARTÍNEZ </t>
  </si>
  <si>
    <t>Licenciatura en Ciencias Biológicas</t>
  </si>
  <si>
    <t xml:space="preserve">REYES </t>
  </si>
  <si>
    <t xml:space="preserve">VALERIA </t>
  </si>
  <si>
    <t>Xochimilco</t>
  </si>
  <si>
    <t>S/N</t>
  </si>
  <si>
    <t xml:space="preserve">MILPA ALTA </t>
  </si>
  <si>
    <t>CRUZ</t>
  </si>
  <si>
    <t>09300</t>
  </si>
  <si>
    <t>COCINERA</t>
  </si>
  <si>
    <t>VICTOR HUGO</t>
  </si>
  <si>
    <t>UAM</t>
  </si>
  <si>
    <t>Tecnicatura Universitaria en Laboratorios Biológicos</t>
  </si>
  <si>
    <t>CASTRO</t>
  </si>
  <si>
    <t>Tláhuac</t>
  </si>
  <si>
    <t>CAMPOS</t>
  </si>
  <si>
    <t>PATRICIA</t>
  </si>
  <si>
    <t>XOCHIMILCO</t>
  </si>
  <si>
    <t>DIAZ</t>
  </si>
  <si>
    <t xml:space="preserve">RODRIGUEZ </t>
  </si>
  <si>
    <t>CLAUDIA</t>
  </si>
  <si>
    <t xml:space="preserve">HERMANA </t>
  </si>
  <si>
    <t>RODRIGUEZ</t>
  </si>
  <si>
    <t>MENDEZ</t>
  </si>
  <si>
    <t>ALVAREZ</t>
  </si>
  <si>
    <t>09310</t>
  </si>
  <si>
    <t>TIA</t>
  </si>
  <si>
    <t>NAVARRETE</t>
  </si>
  <si>
    <t>ALEJANDRA</t>
  </si>
  <si>
    <t>FERNANDO</t>
  </si>
  <si>
    <t>IZTACALCO</t>
  </si>
  <si>
    <t>LEYES DE REFORMA</t>
  </si>
  <si>
    <t>MONROY</t>
  </si>
  <si>
    <t>09000</t>
  </si>
  <si>
    <t>GOMEZ</t>
  </si>
  <si>
    <t>ARACELI</t>
  </si>
  <si>
    <t>MORALES</t>
  </si>
  <si>
    <t xml:space="preserve">JIMENEZ </t>
  </si>
  <si>
    <t xml:space="preserve">PADRASTRO </t>
  </si>
  <si>
    <t>JAZMIN</t>
  </si>
  <si>
    <t>JIMENEZ</t>
  </si>
  <si>
    <t>RANGEL</t>
  </si>
  <si>
    <t>Licenciatura en Turismo</t>
  </si>
  <si>
    <t xml:space="preserve">MELANIE </t>
  </si>
  <si>
    <t xml:space="preserve">CARMEN </t>
  </si>
  <si>
    <t xml:space="preserve">CHOFER </t>
  </si>
  <si>
    <t>CHAVEZ</t>
  </si>
  <si>
    <t>ALDO</t>
  </si>
  <si>
    <t>OSCAR</t>
  </si>
  <si>
    <t>LA ESTACION</t>
  </si>
  <si>
    <t>TRABAJADOR</t>
  </si>
  <si>
    <t>FEZ ZARAGOZA</t>
  </si>
  <si>
    <t>Venustiano Carranza</t>
  </si>
  <si>
    <t>NO APLICA</t>
  </si>
  <si>
    <t>MAESTRA</t>
  </si>
  <si>
    <t>EL SOL</t>
  </si>
  <si>
    <t>Lt 6</t>
  </si>
  <si>
    <t>ABUELO</t>
  </si>
  <si>
    <t>FLORES</t>
  </si>
  <si>
    <t xml:space="preserve">SERVIDORA PUBLICA </t>
  </si>
  <si>
    <t>JORGE</t>
  </si>
  <si>
    <t>PENCIONADO</t>
  </si>
  <si>
    <t xml:space="preserve">MORALES </t>
  </si>
  <si>
    <t>09230</t>
  </si>
  <si>
    <t>MEDINA</t>
  </si>
  <si>
    <t xml:space="preserve">VENTAS </t>
  </si>
  <si>
    <t>21-roblesflores.barbaraitzel@cetis57.edu.mx</t>
  </si>
  <si>
    <t>ROBLES</t>
  </si>
  <si>
    <t>BARBARA ITZEL</t>
  </si>
  <si>
    <t>ROFB060621MDFBLRA3</t>
  </si>
  <si>
    <t>AV. VERGEL 335 COL. FRANCISCO VILLA</t>
  </si>
  <si>
    <t>09720</t>
  </si>
  <si>
    <t>silviafrojas59@gmail.com</t>
  </si>
  <si>
    <t>IVETH ARANZAZU</t>
  </si>
  <si>
    <t>ivetharanzazu28@gmail.com</t>
  </si>
  <si>
    <t>FRANCISCO VILLA</t>
  </si>
  <si>
    <t>SOTO</t>
  </si>
  <si>
    <t>MACIAS</t>
  </si>
  <si>
    <t>SALAZAR</t>
  </si>
  <si>
    <t>COMERCIANTE</t>
  </si>
  <si>
    <t>AUN NO LO SE</t>
  </si>
  <si>
    <t>09630</t>
  </si>
  <si>
    <t>CON MIS PADRES</t>
  </si>
  <si>
    <t>MEDICO CIRUJANO</t>
  </si>
  <si>
    <t>SUSANA</t>
  </si>
  <si>
    <t>CAMACHO</t>
  </si>
  <si>
    <t>SUAREZ</t>
  </si>
  <si>
    <t>FERNANDEZ</t>
  </si>
  <si>
    <t>09700</t>
  </si>
  <si>
    <t>OBRERA</t>
  </si>
  <si>
    <t>Licenciatura en Nutrición</t>
  </si>
  <si>
    <t>22-sierragonzalez.perlafabiola@cetis57.edu.mx</t>
  </si>
  <si>
    <t xml:space="preserve">SIERRA </t>
  </si>
  <si>
    <t xml:space="preserve">GONZALEZ </t>
  </si>
  <si>
    <t xml:space="preserve">PERLA FABIOLA </t>
  </si>
  <si>
    <t>2°</t>
  </si>
  <si>
    <t>09180</t>
  </si>
  <si>
    <t xml:space="preserve">ENTRE PONCE DE LEON </t>
  </si>
  <si>
    <t>benjasm71@hotmail.com</t>
  </si>
  <si>
    <t>-</t>
  </si>
  <si>
    <t xml:space="preserve">UNIDAD HABITACIONAL ERMITA ZARAGOZA </t>
  </si>
  <si>
    <t>HEPS060119HDFRRRA2</t>
  </si>
  <si>
    <t>09620</t>
  </si>
  <si>
    <t>PEREZ LOPEZ MARCELINA LUCIA</t>
  </si>
  <si>
    <t>avhp13@gmail.com</t>
  </si>
  <si>
    <t>09210675683</t>
  </si>
  <si>
    <t xml:space="preserve">LOMAS DE ZARAGOZA </t>
  </si>
  <si>
    <t>ROSAS</t>
  </si>
  <si>
    <t>09500</t>
  </si>
  <si>
    <t>ALCALA</t>
  </si>
  <si>
    <t>FES ZARAGOZA UNAM</t>
  </si>
  <si>
    <t xml:space="preserve">CORTEZ </t>
  </si>
  <si>
    <t xml:space="preserve">COSTURERA </t>
  </si>
  <si>
    <t xml:space="preserve">MAMA </t>
  </si>
  <si>
    <t xml:space="preserve">CIUDAD DE MEXICO </t>
  </si>
  <si>
    <t xml:space="preserve">JORGE </t>
  </si>
  <si>
    <t>Universidad Nacional Autónoma de México</t>
  </si>
  <si>
    <t xml:space="preserve">SAN MIGUEL TEOTONGO </t>
  </si>
  <si>
    <t>SANCHEZ</t>
  </si>
  <si>
    <t>HERMANA</t>
  </si>
  <si>
    <t xml:space="preserve">SANCHEZ </t>
  </si>
  <si>
    <t xml:space="preserve">VENUSTIANO CARRANZA </t>
  </si>
  <si>
    <t>21-hernandezchavira.david@cetis57.edu.mx</t>
  </si>
  <si>
    <t>HECD060925HDFRHVA6</t>
  </si>
  <si>
    <t>09648</t>
  </si>
  <si>
    <t>CHAVIRA</t>
  </si>
  <si>
    <t>SILVIA</t>
  </si>
  <si>
    <t>0000000000</t>
  </si>
  <si>
    <t>09210644051</t>
  </si>
  <si>
    <t xml:space="preserve">ORTIZ </t>
  </si>
  <si>
    <t xml:space="preserve">CORTES </t>
  </si>
  <si>
    <t>Ninguno</t>
  </si>
  <si>
    <t>COLONIA</t>
  </si>
  <si>
    <t>RUIZ</t>
  </si>
  <si>
    <t>SAN MIGUEL TEOTONGO</t>
  </si>
  <si>
    <t>09220</t>
  </si>
  <si>
    <t xml:space="preserve">SALINAS </t>
  </si>
  <si>
    <t xml:space="preserve">DIAZ </t>
  </si>
  <si>
    <t>VENTAS</t>
  </si>
  <si>
    <t>21-melocastro.marialuisamelany@cetis57.edu.mx</t>
  </si>
  <si>
    <t>MELO</t>
  </si>
  <si>
    <t>MARIALUISA MELANY</t>
  </si>
  <si>
    <t>MECM060929MDFLSRA4</t>
  </si>
  <si>
    <t>cmoni2877@gmail.com</t>
  </si>
  <si>
    <t>ROJAS</t>
  </si>
  <si>
    <t xml:space="preserve">NO HAY </t>
  </si>
  <si>
    <t>ALEJANDRO</t>
  </si>
  <si>
    <t>CARPINTERO</t>
  </si>
  <si>
    <t xml:space="preserve">MEDICO CIRUJANO </t>
  </si>
  <si>
    <t>URIBE</t>
  </si>
  <si>
    <t>VAZQUEZ</t>
  </si>
  <si>
    <t>ANTONIO</t>
  </si>
  <si>
    <t>ANA LAURA</t>
  </si>
  <si>
    <t>AYUDANTE GENERAL</t>
  </si>
  <si>
    <t>UNIVERSIDAD NACIONAL AUTONOMA DE MEXICO</t>
  </si>
  <si>
    <t>MARAVILLAS</t>
  </si>
  <si>
    <t>VENTURA</t>
  </si>
  <si>
    <t xml:space="preserve">PRIMO </t>
  </si>
  <si>
    <t>Contador Público Nacional</t>
  </si>
  <si>
    <t>COLONIA JUAREZ PANTITLAN</t>
  </si>
  <si>
    <t xml:space="preserve">MEDINA </t>
  </si>
  <si>
    <t>ANA LILIA</t>
  </si>
  <si>
    <t>AURELIO</t>
  </si>
  <si>
    <t>HERRERO</t>
  </si>
  <si>
    <t xml:space="preserve">TLALPAN </t>
  </si>
  <si>
    <t>LT11</t>
  </si>
  <si>
    <t>JOSE</t>
  </si>
  <si>
    <t>RUGG070216MMCZRDA3</t>
  </si>
  <si>
    <t>RUIZ GARCIA LUIS FERNANDO</t>
  </si>
  <si>
    <t>fernandorg262@gmail.com</t>
  </si>
  <si>
    <t>NAVA</t>
  </si>
  <si>
    <t>chona210468@gmail.com</t>
  </si>
  <si>
    <t>ASUNCION</t>
  </si>
  <si>
    <t>NEZAHUALCOYOTL</t>
  </si>
  <si>
    <t>MORA</t>
  </si>
  <si>
    <t xml:space="preserve">VALERIA ITZEL </t>
  </si>
  <si>
    <t>MOGV070706MMCRRLA4</t>
  </si>
  <si>
    <t>SONIA JASSO OLIVA</t>
  </si>
  <si>
    <t>jassoolivasonia268@gmail.com</t>
  </si>
  <si>
    <t>JASSO</t>
  </si>
  <si>
    <t>ANGELA PAOLA</t>
  </si>
  <si>
    <t>angela.jasso29@gmail.com</t>
  </si>
  <si>
    <t>armora.perez34@gmail.com</t>
  </si>
  <si>
    <t xml:space="preserve">PADRE </t>
  </si>
  <si>
    <t>ORTEGA</t>
  </si>
  <si>
    <t xml:space="preserve">Odontología </t>
  </si>
  <si>
    <t xml:space="preserve">EJERCITO DE ORIENTE </t>
  </si>
  <si>
    <t>09510</t>
  </si>
  <si>
    <t>GALLEGOS</t>
  </si>
  <si>
    <t>LORENA</t>
  </si>
  <si>
    <t>Transporte contratado a través de Aplicaciones Móviles</t>
  </si>
  <si>
    <t>FIGUEROA</t>
  </si>
  <si>
    <t>00</t>
  </si>
  <si>
    <t>octaviopacheco404@gmail.com</t>
  </si>
  <si>
    <t>GUTIERREZ</t>
  </si>
  <si>
    <t>GALICIA</t>
  </si>
  <si>
    <t xml:space="preserve">COMERCIANTE </t>
  </si>
  <si>
    <t xml:space="preserve">GALICIA </t>
  </si>
  <si>
    <t xml:space="preserve">AGUA AZUL </t>
  </si>
  <si>
    <t xml:space="preserve">FAJARDO </t>
  </si>
  <si>
    <t xml:space="preserve">FERNANDA </t>
  </si>
  <si>
    <t>09708</t>
  </si>
  <si>
    <t>CARMEN</t>
  </si>
  <si>
    <t xml:space="preserve">IZTACALCO </t>
  </si>
  <si>
    <t>VEGA</t>
  </si>
  <si>
    <t>PRIMA</t>
  </si>
  <si>
    <t>MEDICINA</t>
  </si>
  <si>
    <t>EJERCITO DE ORIENTE</t>
  </si>
  <si>
    <t>ITZEL</t>
  </si>
  <si>
    <t>09780</t>
  </si>
  <si>
    <t>DIEGO</t>
  </si>
  <si>
    <t>TAXISTA</t>
  </si>
  <si>
    <t>Trolebús</t>
  </si>
  <si>
    <t>VILLA</t>
  </si>
  <si>
    <t>09730</t>
  </si>
  <si>
    <t xml:space="preserve">VILLA </t>
  </si>
  <si>
    <t xml:space="preserve">JUAREZ </t>
  </si>
  <si>
    <t>REFORMA POLITICA</t>
  </si>
  <si>
    <t xml:space="preserve">GABRIELA LIZBETH </t>
  </si>
  <si>
    <t>Telesecundaria</t>
  </si>
  <si>
    <t>grisss1995@gmail.com</t>
  </si>
  <si>
    <t>NO HAY</t>
  </si>
  <si>
    <t>COCINERO</t>
  </si>
  <si>
    <t>REFORMA</t>
  </si>
  <si>
    <t xml:space="preserve">CAMACHO </t>
  </si>
  <si>
    <t>09640</t>
  </si>
  <si>
    <t>XALPA</t>
  </si>
  <si>
    <t>RESENDIZ</t>
  </si>
  <si>
    <t xml:space="preserve">ROSALES </t>
  </si>
  <si>
    <t xml:space="preserve">MARIA DE LOS ANGELES </t>
  </si>
  <si>
    <t>22-quintanillalopez.soanycristal@cetis57.edu.mx</t>
  </si>
  <si>
    <t>QULS070615MDFNPNA9</t>
  </si>
  <si>
    <t xml:space="preserve">ZAGUAN AZUL </t>
  </si>
  <si>
    <t>magdalenadeleon071@gmail.com</t>
  </si>
  <si>
    <t>MARIA MAGDALENA</t>
  </si>
  <si>
    <t>CARLOS</t>
  </si>
  <si>
    <t>quintanillav346@gmail.com</t>
  </si>
  <si>
    <t xml:space="preserve">IBARRA </t>
  </si>
  <si>
    <t xml:space="preserve">MIGUEL HIDALGO </t>
  </si>
  <si>
    <t xml:space="preserve">LEYES DE REFORMA </t>
  </si>
  <si>
    <t>08500</t>
  </si>
  <si>
    <t xml:space="preserve">AGRICOLA ORIENTAL </t>
  </si>
  <si>
    <t>NIEVES</t>
  </si>
  <si>
    <t>HILDA</t>
  </si>
  <si>
    <t>09690</t>
  </si>
  <si>
    <t>DOMINGUEZ</t>
  </si>
  <si>
    <t>N/A</t>
  </si>
  <si>
    <t>SALAS</t>
  </si>
  <si>
    <t>DESARROLLO URBANO QUETZALCOATL</t>
  </si>
  <si>
    <t>09637</t>
  </si>
  <si>
    <t>CERVANTES</t>
  </si>
  <si>
    <t>CAMPESTRE POTRERO</t>
  </si>
  <si>
    <t xml:space="preserve">ABONCE </t>
  </si>
  <si>
    <t xml:space="preserve">KELLY JEBENUHI </t>
  </si>
  <si>
    <t>MAAK070324MDFRBLA0</t>
  </si>
  <si>
    <t xml:space="preserve">ESPINOZA </t>
  </si>
  <si>
    <t xml:space="preserve">ROJAS </t>
  </si>
  <si>
    <t xml:space="preserve">VICTOR </t>
  </si>
  <si>
    <t xml:space="preserve">TAXISTA </t>
  </si>
  <si>
    <t>02210707176</t>
  </si>
  <si>
    <t xml:space="preserve">AGUILAR </t>
  </si>
  <si>
    <t>Ecatepec de Morelos</t>
  </si>
  <si>
    <t xml:space="preserve">TRABAJADOR </t>
  </si>
  <si>
    <t>CHRISTIAN</t>
  </si>
  <si>
    <t>ACUITLAPILCO</t>
  </si>
  <si>
    <t>MZ3 LT5</t>
  </si>
  <si>
    <t>Abogacía</t>
  </si>
  <si>
    <t xml:space="preserve">MORENO </t>
  </si>
  <si>
    <t>09696</t>
  </si>
  <si>
    <t xml:space="preserve">FRANCISCO </t>
  </si>
  <si>
    <t>SANTIAGO</t>
  </si>
  <si>
    <t xml:space="preserve">GRISELDA </t>
  </si>
  <si>
    <t xml:space="preserve">EMPLEADO </t>
  </si>
  <si>
    <t>SAN PABLO</t>
  </si>
  <si>
    <t>BEATRIZ</t>
  </si>
  <si>
    <t xml:space="preserve">RAMOS </t>
  </si>
  <si>
    <t xml:space="preserve">Chofer </t>
  </si>
  <si>
    <t>ANGELICA</t>
  </si>
  <si>
    <t>C.U.</t>
  </si>
  <si>
    <t>LEON</t>
  </si>
  <si>
    <t>GREGORIO</t>
  </si>
  <si>
    <t>Odontología</t>
  </si>
  <si>
    <t>DAFNE CITLALLI</t>
  </si>
  <si>
    <t>ANGELICA HERNANDEZ RAMIREZ</t>
  </si>
  <si>
    <t>angie301085@gmail.com</t>
  </si>
  <si>
    <t>5511460890ara@gmail.com</t>
  </si>
  <si>
    <t>MARQUEZ</t>
  </si>
  <si>
    <t>NO LO SE</t>
  </si>
  <si>
    <t>NO SE</t>
  </si>
  <si>
    <t>Coyoacán</t>
  </si>
  <si>
    <t>s/n</t>
  </si>
  <si>
    <t xml:space="preserve">HERMANO </t>
  </si>
  <si>
    <t xml:space="preserve">ARELLANO </t>
  </si>
  <si>
    <t xml:space="preserve">LIZETH </t>
  </si>
  <si>
    <t xml:space="preserve">SANDOVAL </t>
  </si>
  <si>
    <t xml:space="preserve">DAVID </t>
  </si>
  <si>
    <t xml:space="preserve">NOSE </t>
  </si>
  <si>
    <t>09638</t>
  </si>
  <si>
    <t xml:space="preserve">UNITEC </t>
  </si>
  <si>
    <t>ESTADO DE MEXICO</t>
  </si>
  <si>
    <t xml:space="preserve">EMILIANO ZAPATA </t>
  </si>
  <si>
    <t>21-barradasserna.diego@cetis57.edu.mx</t>
  </si>
  <si>
    <t>BASD060725HMCRRGA1</t>
  </si>
  <si>
    <t>ferbarradas07@gmail.com</t>
  </si>
  <si>
    <t>ROMERO</t>
  </si>
  <si>
    <t>maryserna.2000@gmail.com</t>
  </si>
  <si>
    <t>04210600880</t>
  </si>
  <si>
    <t xml:space="preserve">CABALLERO </t>
  </si>
  <si>
    <t>EJIDOS DE SANTA MARIA AZTAHUACAN</t>
  </si>
  <si>
    <t>DANIEL</t>
  </si>
  <si>
    <t xml:space="preserve">ODONTOLOGIA </t>
  </si>
  <si>
    <t>21-gonzalezfernandez.carla@cetis57.edu.mx</t>
  </si>
  <si>
    <t>CARLA</t>
  </si>
  <si>
    <t>GOFC050901MMCNRRA1</t>
  </si>
  <si>
    <t>C IGNACIO ZARAGOZA MZ 48 LT 25 COL XALTIPAC 56346 CHIMALHUACAN, MEX</t>
  </si>
  <si>
    <t>MZ 48</t>
  </si>
  <si>
    <t>LT 25</t>
  </si>
  <si>
    <t>QUINTERO</t>
  </si>
  <si>
    <t>nf1684379@gmail.com</t>
  </si>
  <si>
    <t>Analista Químico</t>
  </si>
  <si>
    <t xml:space="preserve">VELAZQUEZ </t>
  </si>
  <si>
    <t xml:space="preserve">SANTIAGO </t>
  </si>
  <si>
    <t xml:space="preserve">ARACELI </t>
  </si>
  <si>
    <t>NOHEMI</t>
  </si>
  <si>
    <t xml:space="preserve">INSTITUTO POLITÉCNICO NACIONAL </t>
  </si>
  <si>
    <t xml:space="preserve">SERNA </t>
  </si>
  <si>
    <t>GASL060628MDFRRZA0</t>
  </si>
  <si>
    <t>09280</t>
  </si>
  <si>
    <t xml:space="preserve">GARCIA SERNA ALDO </t>
  </si>
  <si>
    <t>galdo7998@gmail.com</t>
  </si>
  <si>
    <t>mariadg.capri@gmail.com</t>
  </si>
  <si>
    <t xml:space="preserve">ISMAEL </t>
  </si>
  <si>
    <t>ig600469@gmail.com</t>
  </si>
  <si>
    <t xml:space="preserve">JACARANDAS </t>
  </si>
  <si>
    <t>PABLO</t>
  </si>
  <si>
    <t>MOVV070526MMCRGLA8</t>
  </si>
  <si>
    <t xml:space="preserve">CAPORAL </t>
  </si>
  <si>
    <t>mora.alima@hotmail.com</t>
  </si>
  <si>
    <t xml:space="preserve">ENRIQUEZ </t>
  </si>
  <si>
    <t>MENDOZA</t>
  </si>
  <si>
    <t>21-martinezventura.araluz@cetis57.edu.mx</t>
  </si>
  <si>
    <t>ARALUZ</t>
  </si>
  <si>
    <t>MAVA060726MDFRNRA0</t>
  </si>
  <si>
    <t>ROSAURA ARACELI VENTURA RAMIREZ</t>
  </si>
  <si>
    <t>araventura13@yahoo.com</t>
  </si>
  <si>
    <t>LUIS GERARDO</t>
  </si>
  <si>
    <t>admoncontabyfiscal_1@yahoo.com</t>
  </si>
  <si>
    <t>UNITEC</t>
  </si>
  <si>
    <t>22-mendozaaguilar.alexaquetzalli@cetis57.edu.mx</t>
  </si>
  <si>
    <t xml:space="preserve">ALEXA QUETZALLI </t>
  </si>
  <si>
    <t>MEAA070420MDFNGLA2</t>
  </si>
  <si>
    <t>edith.191981@gmail.com</t>
  </si>
  <si>
    <t xml:space="preserve">BAUTISTA </t>
  </si>
  <si>
    <t>FABIAN</t>
  </si>
  <si>
    <t>CAMILA</t>
  </si>
  <si>
    <t>GUSTAVO A MADERO</t>
  </si>
  <si>
    <t xml:space="preserve">EL SOL </t>
  </si>
  <si>
    <t>MARISOL</t>
  </si>
  <si>
    <t xml:space="preserve">PUEBLO DE SANTA MARTHA ACATITLA </t>
  </si>
  <si>
    <t>CALDERON</t>
  </si>
  <si>
    <t>VALDEZ</t>
  </si>
  <si>
    <t>RAFAEL</t>
  </si>
  <si>
    <t>VAFR071123HMCLLFA7</t>
  </si>
  <si>
    <t>MIREYA</t>
  </si>
  <si>
    <t>mmirey62@gmail.com</t>
  </si>
  <si>
    <t>ZAVALA</t>
  </si>
  <si>
    <t>SEGURIDAD PRIVADA</t>
  </si>
  <si>
    <t>22-lagosruiz.valeria@cetis57.edu.mx</t>
  </si>
  <si>
    <t>LAGOS</t>
  </si>
  <si>
    <t>LARV070527MDFGZLA1</t>
  </si>
  <si>
    <t>CASA VERDE</t>
  </si>
  <si>
    <t>moniicaa.lagosruiz26@gmail.com</t>
  </si>
  <si>
    <t>luluflaquita@yahoo.com.mx</t>
  </si>
  <si>
    <t>VALLE</t>
  </si>
  <si>
    <t>GALARZA</t>
  </si>
  <si>
    <t xml:space="preserve">SERVIDOR PUBLICO </t>
  </si>
  <si>
    <t xml:space="preserve">SAN AGUSTIN </t>
  </si>
  <si>
    <t xml:space="preserve">NATALIA MICHELL </t>
  </si>
  <si>
    <t>JURN051019MDFRNTA1</t>
  </si>
  <si>
    <t>FRAGOSO</t>
  </si>
  <si>
    <t>Ingeniería en Alimentos</t>
  </si>
  <si>
    <t>01210570535</t>
  </si>
  <si>
    <t>21-martinezgonzalez.fidelricardo@cetis57.edu.mx</t>
  </si>
  <si>
    <t xml:space="preserve">FIDEL RICARDO </t>
  </si>
  <si>
    <t>MAGF060121HDFRNDA7</t>
  </si>
  <si>
    <t>Sn</t>
  </si>
  <si>
    <t xml:space="preserve">RIVERA </t>
  </si>
  <si>
    <t>TRABAJO</t>
  </si>
  <si>
    <t>PADRES</t>
  </si>
  <si>
    <t>BECERRIL</t>
  </si>
  <si>
    <t>MIGUEL ANGEL</t>
  </si>
  <si>
    <t xml:space="preserve">Cirujano Dentista </t>
  </si>
  <si>
    <t>ISLAS</t>
  </si>
  <si>
    <t xml:space="preserve">SOTO </t>
  </si>
  <si>
    <t>21-diazhernandez.andreaaraceli@cetis57.edu.mx</t>
  </si>
  <si>
    <t>DIHA061025MMCZRNA0</t>
  </si>
  <si>
    <t xml:space="preserve">HERNANDEZ LOPEZ MARICELA </t>
  </si>
  <si>
    <t>Puebla</t>
  </si>
  <si>
    <t xml:space="preserve">No tengo </t>
  </si>
  <si>
    <t>JUANA</t>
  </si>
  <si>
    <t xml:space="preserve">RAUL </t>
  </si>
  <si>
    <t xml:space="preserve">Trabaja </t>
  </si>
  <si>
    <t xml:space="preserve">ALVAREZ </t>
  </si>
  <si>
    <t xml:space="preserve">MARCO ANTONIO </t>
  </si>
  <si>
    <t>21-buendiaalonso.natalymayte@cetis57.edu.mx</t>
  </si>
  <si>
    <t xml:space="preserve">ALONSO </t>
  </si>
  <si>
    <t>BUAN060428MDFNLTB8</t>
  </si>
  <si>
    <t>ARMANDA ROSA HERNANDEZ VELAIZ</t>
  </si>
  <si>
    <t xml:space="preserve">ABUELA MATERNA </t>
  </si>
  <si>
    <t>ALONSO</t>
  </si>
  <si>
    <t xml:space="preserve">KARINA </t>
  </si>
  <si>
    <t>karisma1731@gmail.com</t>
  </si>
  <si>
    <t>BUENDIA</t>
  </si>
  <si>
    <t xml:space="preserve">CASTILLO </t>
  </si>
  <si>
    <t xml:space="preserve">OCTAVIO </t>
  </si>
  <si>
    <t>obc203@hotmail.com</t>
  </si>
  <si>
    <t>04210619674</t>
  </si>
  <si>
    <t>ACOSTA</t>
  </si>
  <si>
    <t xml:space="preserve">Sin número </t>
  </si>
  <si>
    <t xml:space="preserve">RODRÍGUEZ </t>
  </si>
  <si>
    <t xml:space="preserve">EJERCITO CONSTITUCIONALISTA </t>
  </si>
  <si>
    <t xml:space="preserve">ESPINOSA </t>
  </si>
  <si>
    <t>FRANCISCO JAVIER</t>
  </si>
  <si>
    <t xml:space="preserve">CIRUJANO DENTISTA </t>
  </si>
  <si>
    <t>21-gallardoramos.jonathan@cetis57.edu.mx</t>
  </si>
  <si>
    <t>GALLARDO</t>
  </si>
  <si>
    <t xml:space="preserve">JONATHAN </t>
  </si>
  <si>
    <t>GARJ901015HDFLMN07</t>
  </si>
  <si>
    <t>08300</t>
  </si>
  <si>
    <t>statusjhon18@gmail.com</t>
  </si>
  <si>
    <t>JONATHAN</t>
  </si>
  <si>
    <t>SANTA ANITA</t>
  </si>
  <si>
    <t>JOSE ANTONIO</t>
  </si>
  <si>
    <t>MEMA060416HMCNNNA0</t>
  </si>
  <si>
    <t>SANTOS</t>
  </si>
  <si>
    <t xml:space="preserve">NIETO </t>
  </si>
  <si>
    <t xml:space="preserve">ANDREA </t>
  </si>
  <si>
    <t xml:space="preserve">GALLEGOS </t>
  </si>
  <si>
    <t>ORTIZ</t>
  </si>
  <si>
    <t>FACULTAD DE ESTUDIOS SUPERIORES ZARAGOZA UNAM CAMPUS I</t>
  </si>
  <si>
    <t>ABUELA MATERNA</t>
  </si>
  <si>
    <t>SOLANO</t>
  </si>
  <si>
    <t>NO TENGO</t>
  </si>
  <si>
    <t>LOTE 3</t>
  </si>
  <si>
    <t>BADILLO</t>
  </si>
  <si>
    <t>09698</t>
  </si>
  <si>
    <t>ROMAN</t>
  </si>
  <si>
    <t>RODRIGO</t>
  </si>
  <si>
    <t>22-diosdadocuevas.zoedanae@cetis57.edu.mx</t>
  </si>
  <si>
    <t xml:space="preserve">DIOSDADO </t>
  </si>
  <si>
    <t xml:space="preserve">ZOE DANAE </t>
  </si>
  <si>
    <t>DICZ071128MMCSVXA5</t>
  </si>
  <si>
    <t>cuevasnohemi69@gmail.com</t>
  </si>
  <si>
    <t>06220758889</t>
  </si>
  <si>
    <t>no</t>
  </si>
  <si>
    <t>ANDREA</t>
  </si>
  <si>
    <t xml:space="preserve">No hay </t>
  </si>
  <si>
    <t>MORENO</t>
  </si>
  <si>
    <t xml:space="preserve">ANGELES </t>
  </si>
  <si>
    <t>ARQUITECTO</t>
  </si>
  <si>
    <t xml:space="preserve">QUIJANO </t>
  </si>
  <si>
    <t xml:space="preserve">VAZQUEZ </t>
  </si>
  <si>
    <t>PAPAS</t>
  </si>
  <si>
    <t>09880</t>
  </si>
  <si>
    <t>I.Trastorno por déficit de atención (TDA)</t>
  </si>
  <si>
    <t xml:space="preserve">MARIBEL </t>
  </si>
  <si>
    <t xml:space="preserve">ENFERMERIA </t>
  </si>
  <si>
    <t>SALINAS</t>
  </si>
  <si>
    <t>REGINO</t>
  </si>
  <si>
    <t>SARE061019HDFLGDA4</t>
  </si>
  <si>
    <t>alejandro.se760717@gmail.com</t>
  </si>
  <si>
    <t>LUCIA</t>
  </si>
  <si>
    <t>ESQUIVEL</t>
  </si>
  <si>
    <t>21-memetlamaldonado.erandiceleste@cetis57.edu.mx</t>
  </si>
  <si>
    <t xml:space="preserve">MALDONADO </t>
  </si>
  <si>
    <t xml:space="preserve">ERANDY CELESTE </t>
  </si>
  <si>
    <t>MEME060110MMCMLRA5</t>
  </si>
  <si>
    <t xml:space="preserve">MALDONADO SANCHEZ SARA YANELY </t>
  </si>
  <si>
    <t xml:space="preserve">SARA YANELY </t>
  </si>
  <si>
    <t>SERVICIOS-GMM@OUTLOOK.ES</t>
  </si>
  <si>
    <t xml:space="preserve">MEMETLA </t>
  </si>
  <si>
    <t xml:space="preserve">OCAMPO </t>
  </si>
  <si>
    <t xml:space="preserve">PEDRO MANUEL </t>
  </si>
  <si>
    <t xml:space="preserve">CONTRATISTA </t>
  </si>
  <si>
    <t>03220627628</t>
  </si>
  <si>
    <t xml:space="preserve">CAMPESTRE POTRERO </t>
  </si>
  <si>
    <t>21-barcolopez.melany@cetis57.edu.mx</t>
  </si>
  <si>
    <t xml:space="preserve">BARCO </t>
  </si>
  <si>
    <t xml:space="preserve">MELANY </t>
  </si>
  <si>
    <t>BALM060118MDFRPLA1</t>
  </si>
  <si>
    <t>09680</t>
  </si>
  <si>
    <t>barcoviridiana01@gmail.com</t>
  </si>
  <si>
    <t>lopeznancy.0201@gmail.com</t>
  </si>
  <si>
    <t>MAGAÑA</t>
  </si>
  <si>
    <t>ANGEL</t>
  </si>
  <si>
    <t>21-abelleyrapinal.jacqueline@cetis57.edu.mx</t>
  </si>
  <si>
    <t>ABELLEYRA</t>
  </si>
  <si>
    <t>PINAL</t>
  </si>
  <si>
    <t>JACQUELINE</t>
  </si>
  <si>
    <t>AEPJ060617MMCBNCA9</t>
  </si>
  <si>
    <t>09200</t>
  </si>
  <si>
    <t xml:space="preserve">ABUELITA </t>
  </si>
  <si>
    <t>dpinalhernandez@gmail.com</t>
  </si>
  <si>
    <t xml:space="preserve">JUAN CARLOS </t>
  </si>
  <si>
    <t xml:space="preserve">CON MIS ABUELITOS </t>
  </si>
  <si>
    <t>01210645063</t>
  </si>
  <si>
    <t>22-camacholopez.mariadelrosario@cetis57.edu.mx</t>
  </si>
  <si>
    <t xml:space="preserve">MARIA DEL ROSARIO </t>
  </si>
  <si>
    <t>CALR070402MDFMPSA7</t>
  </si>
  <si>
    <t>madejesus2514@gmail.com</t>
  </si>
  <si>
    <t>ZARAZUA</t>
  </si>
  <si>
    <t>VELAZQUEZ</t>
  </si>
  <si>
    <t>ADAN</t>
  </si>
  <si>
    <t xml:space="preserve">PEQUEÑO COMERCIANTE </t>
  </si>
  <si>
    <t>04220756763</t>
  </si>
  <si>
    <t>21-pablobautista.azuljazmin@cetis57.edu.mx</t>
  </si>
  <si>
    <t xml:space="preserve">AZUL JAZMIN </t>
  </si>
  <si>
    <t>PABA051209MDFBTZA6</t>
  </si>
  <si>
    <t>09900</t>
  </si>
  <si>
    <t>plohino98@gmail.com</t>
  </si>
  <si>
    <t xml:space="preserve">PABLO </t>
  </si>
  <si>
    <t xml:space="preserve">ROGELIO </t>
  </si>
  <si>
    <t>04210502813</t>
  </si>
  <si>
    <t>22-hernandezesparragoza.valeria@cetis57.edu.mx</t>
  </si>
  <si>
    <t xml:space="preserve">ESPARRAGOZA </t>
  </si>
  <si>
    <t>HEEV060219MPLRSLA8</t>
  </si>
  <si>
    <t>esparragozavegacarmen@gmail.com</t>
  </si>
  <si>
    <t xml:space="preserve">WILLIBALDO </t>
  </si>
  <si>
    <t>01220634412</t>
  </si>
  <si>
    <t>KAREN</t>
  </si>
  <si>
    <t xml:space="preserve">MENDOZA </t>
  </si>
  <si>
    <t>JUAN CARLOS</t>
  </si>
  <si>
    <t>LAS AGUILAS</t>
  </si>
  <si>
    <t>MERINO</t>
  </si>
  <si>
    <t>09608</t>
  </si>
  <si>
    <t>MZ 22</t>
  </si>
  <si>
    <t>LT 2</t>
  </si>
  <si>
    <t>UNAM FES ZARAGOZA</t>
  </si>
  <si>
    <t>medicina</t>
  </si>
  <si>
    <t>LOMAS DE SAN SEBASTIAN</t>
  </si>
  <si>
    <t>09209</t>
  </si>
  <si>
    <t>Mz1</t>
  </si>
  <si>
    <t>AMPLIACION LA MAGDALENA</t>
  </si>
  <si>
    <t>21-sanchezaragon.brendacitlalli@cetis57.edu.mx</t>
  </si>
  <si>
    <t>ARAGON</t>
  </si>
  <si>
    <t>SAAB990609MMCNRR00</t>
  </si>
  <si>
    <t>YO</t>
  </si>
  <si>
    <t xml:space="preserve">ARAGON </t>
  </si>
  <si>
    <t xml:space="preserve">NOEMI JUDITH </t>
  </si>
  <si>
    <t>TRABAJADORA</t>
  </si>
  <si>
    <t xml:space="preserve">BRENDA CITLALLI </t>
  </si>
  <si>
    <t>URIEL</t>
  </si>
  <si>
    <t>HIJA</t>
  </si>
  <si>
    <t>SERVIDOR PUBLICO</t>
  </si>
  <si>
    <t>21-galiciatrejo.sofia@cetis57.edu.mx</t>
  </si>
  <si>
    <t>TREJO</t>
  </si>
  <si>
    <t>SOFIA</t>
  </si>
  <si>
    <t>GATS061020MMCLRFA3</t>
  </si>
  <si>
    <t>gregoriogaliciaaburto@gmail.com</t>
  </si>
  <si>
    <t>FARO</t>
  </si>
  <si>
    <t>erika.faro0206@yahoo.com.mx</t>
  </si>
  <si>
    <t>ABURTO</t>
  </si>
  <si>
    <t>07210667130</t>
  </si>
  <si>
    <t xml:space="preserve">CARLOS HANK GONZALEZ </t>
  </si>
  <si>
    <t>21-lozanomoreno.paolaalejandra@cetis57.edu.mx</t>
  </si>
  <si>
    <t>LOZANO</t>
  </si>
  <si>
    <t>PAOLA ALEJANDRA</t>
  </si>
  <si>
    <t>LOMP060301MDFZRLA3</t>
  </si>
  <si>
    <t>09800</t>
  </si>
  <si>
    <t>MARTHA MORENO CONTRERAS</t>
  </si>
  <si>
    <t>martha.mm98@gmail.com</t>
  </si>
  <si>
    <t>CONTRERAS</t>
  </si>
  <si>
    <t>MARTHA</t>
  </si>
  <si>
    <t>VENDEDORA</t>
  </si>
  <si>
    <t>lsofiaa9@gmail.com</t>
  </si>
  <si>
    <t>UAM IZTAPALAPA</t>
  </si>
  <si>
    <t>FUEGO NUEVO</t>
  </si>
  <si>
    <t xml:space="preserve">ESTUDIANTE </t>
  </si>
  <si>
    <t xml:space="preserve">LOMAS DE SAN SEBASTIAN </t>
  </si>
  <si>
    <t xml:space="preserve">CERVANTES </t>
  </si>
  <si>
    <t>ANDRADE</t>
  </si>
  <si>
    <t xml:space="preserve">MIRIAM </t>
  </si>
  <si>
    <t>GONZALES</t>
  </si>
  <si>
    <t xml:space="preserve">BENITO JUAREZ </t>
  </si>
  <si>
    <t>CONTRATISTA</t>
  </si>
  <si>
    <t xml:space="preserve">SALAS </t>
  </si>
  <si>
    <t>MECANICO</t>
  </si>
  <si>
    <t>Licenciatura en Ciencia y Tecnología de los Alimentos</t>
  </si>
  <si>
    <t>PANTITLAN</t>
  </si>
  <si>
    <t xml:space="preserve">VILLANUEVA </t>
  </si>
  <si>
    <t xml:space="preserve">GUADALUPE </t>
  </si>
  <si>
    <t xml:space="preserve">JACINTO </t>
  </si>
  <si>
    <t xml:space="preserve">EMPLEADO FEDERAL </t>
  </si>
  <si>
    <t>22-hernandezhernandez.daniel@cetis57.edu.mx</t>
  </si>
  <si>
    <t>HEHD070728HMCRRNA6</t>
  </si>
  <si>
    <t>ah6546145@gmail.com</t>
  </si>
  <si>
    <t>alhernandezz09@gmail.com</t>
  </si>
  <si>
    <t>ROSALES</t>
  </si>
  <si>
    <t xml:space="preserve">DAVID OCTAVIO </t>
  </si>
  <si>
    <t xml:space="preserve">EMPLEADO DE GOBIERNO </t>
  </si>
  <si>
    <t>dohernandezr@gmail.com</t>
  </si>
  <si>
    <t>LT23</t>
  </si>
  <si>
    <t>ABUELITA</t>
  </si>
  <si>
    <t>POLITECNICO</t>
  </si>
  <si>
    <t>MIGUEL HIDALGO</t>
  </si>
  <si>
    <t>21-neriacruz.melanyyamilet@cetis57.edu.mx</t>
  </si>
  <si>
    <t xml:space="preserve">NERIA </t>
  </si>
  <si>
    <t xml:space="preserve">CRUZ </t>
  </si>
  <si>
    <t xml:space="preserve">MELANY YAMILET </t>
  </si>
  <si>
    <t>NECM060703MDFRRLA2</t>
  </si>
  <si>
    <t xml:space="preserve">AVENIDA 4 PONIENTE MANZANA 18 LOTE 15 COLONIA RENOVACIÓN </t>
  </si>
  <si>
    <t>neria.luis.1bv@gmail.com</t>
  </si>
  <si>
    <t xml:space="preserve">GREGORIO </t>
  </si>
  <si>
    <t>gnn101@hotmail.com</t>
  </si>
  <si>
    <t xml:space="preserve">XOCHIMILCO </t>
  </si>
  <si>
    <t xml:space="preserve">CISNEROS </t>
  </si>
  <si>
    <t xml:space="preserve">ODONTOLOGÍA </t>
  </si>
  <si>
    <t>PRIETO</t>
  </si>
  <si>
    <t xml:space="preserve">GONZALES </t>
  </si>
  <si>
    <t xml:space="preserve">ESTILISTA </t>
  </si>
  <si>
    <t>22-bernalbabines.wendy@cetis57.edu.mx</t>
  </si>
  <si>
    <t xml:space="preserve">BERNAL </t>
  </si>
  <si>
    <t>BEBW070928MMCRBNA6</t>
  </si>
  <si>
    <t>BABINES</t>
  </si>
  <si>
    <t>CORONA</t>
  </si>
  <si>
    <t>almabc_13@hotmail.com</t>
  </si>
  <si>
    <t>VILLAFAÑA</t>
  </si>
  <si>
    <t xml:space="preserve">FELIPE </t>
  </si>
  <si>
    <t>04220709317</t>
  </si>
  <si>
    <t xml:space="preserve">HERRERA </t>
  </si>
  <si>
    <t>S/n</t>
  </si>
  <si>
    <t>CASA</t>
  </si>
  <si>
    <t>RICARDO</t>
  </si>
  <si>
    <t>RADIOLOGO</t>
  </si>
  <si>
    <t>ARENAS</t>
  </si>
  <si>
    <t xml:space="preserve">ZOSAYAS </t>
  </si>
  <si>
    <t xml:space="preserve">GUADALUPE MICHELLE </t>
  </si>
  <si>
    <t>kari17edd140619@gmail.com</t>
  </si>
  <si>
    <t xml:space="preserve">FILOMENA </t>
  </si>
  <si>
    <t>filomenaz6h@gmail.com</t>
  </si>
  <si>
    <t xml:space="preserve">OBRERO </t>
  </si>
  <si>
    <t>4°</t>
  </si>
  <si>
    <t>AUN NO SE</t>
  </si>
  <si>
    <t>FARIAS</t>
  </si>
  <si>
    <t>STEPHANIE</t>
  </si>
  <si>
    <t>GAFS061224MMNLRTA4</t>
  </si>
  <si>
    <t>Atizapán de Zaragoza</t>
  </si>
  <si>
    <t>suefarias2020@gmail.com</t>
  </si>
  <si>
    <t>ALATORRE</t>
  </si>
  <si>
    <t>SUE</t>
  </si>
  <si>
    <t>JULIAN</t>
  </si>
  <si>
    <t>09140</t>
  </si>
  <si>
    <t>VERA</t>
  </si>
  <si>
    <t xml:space="preserve">ANGEL </t>
  </si>
  <si>
    <t xml:space="preserve">SANTA MARTHA ACATITLA </t>
  </si>
  <si>
    <t>21-perezfigueroa.ricardo@cetis57.edu.mx</t>
  </si>
  <si>
    <t xml:space="preserve">FIGUEROA </t>
  </si>
  <si>
    <t xml:space="preserve">RICARDO </t>
  </si>
  <si>
    <t>PEFR060623HDFRGCA6</t>
  </si>
  <si>
    <t>foxmania_gtz.91@hotmail.com</t>
  </si>
  <si>
    <t>09830</t>
  </si>
  <si>
    <t>Cetis</t>
  </si>
  <si>
    <t>F</t>
  </si>
  <si>
    <t xml:space="preserve">PANTOJA </t>
  </si>
  <si>
    <t>Medicina</t>
  </si>
  <si>
    <t>NA</t>
  </si>
  <si>
    <t>MANUEL</t>
  </si>
  <si>
    <t>PENSIONADO</t>
  </si>
  <si>
    <t>PAULIN</t>
  </si>
  <si>
    <t>KARLA BELEN</t>
  </si>
  <si>
    <t>PALK060713MMCLPRA9</t>
  </si>
  <si>
    <t>JAZMIN YESENIA</t>
  </si>
  <si>
    <t>jazlopez560@gmail.com</t>
  </si>
  <si>
    <t>CORTE LA PALMA</t>
  </si>
  <si>
    <t>21-escobarsantos.luisafernanda@cetis57.edu.mx</t>
  </si>
  <si>
    <t xml:space="preserve">ESCOBAR </t>
  </si>
  <si>
    <t xml:space="preserve">SANTOS </t>
  </si>
  <si>
    <t>EOSL050616MMCSNSA3</t>
  </si>
  <si>
    <t>brendatenda34@gmail.com</t>
  </si>
  <si>
    <t xml:space="preserve">TLATELOLCO </t>
  </si>
  <si>
    <t>01210538771</t>
  </si>
  <si>
    <t xml:space="preserve">DE LA LUZ </t>
  </si>
  <si>
    <t xml:space="preserve">LUIS </t>
  </si>
  <si>
    <t xml:space="preserve">ALBAÑIL </t>
  </si>
  <si>
    <t>LARA</t>
  </si>
  <si>
    <t>MESERO</t>
  </si>
  <si>
    <t>21-calderonvargas.valeriarubi@cetis57.edu.mx</t>
  </si>
  <si>
    <t xml:space="preserve">VALERIA RUBI </t>
  </si>
  <si>
    <t>Mz102</t>
  </si>
  <si>
    <t>Lt5</t>
  </si>
  <si>
    <t>candyfajardop88@gmail.com</t>
  </si>
  <si>
    <t>04210677656</t>
  </si>
  <si>
    <t>OSORIO</t>
  </si>
  <si>
    <t>FERNANDA ODDET</t>
  </si>
  <si>
    <t>OOLF060927MDFSPRA4</t>
  </si>
  <si>
    <t>caro.tar66@gmail.com</t>
  </si>
  <si>
    <t>mercedeslopez240986@gmail.com</t>
  </si>
  <si>
    <t>BALDERAS</t>
  </si>
  <si>
    <t>ANGELES</t>
  </si>
  <si>
    <t>MANCILLA</t>
  </si>
  <si>
    <t>Educacion para Adultos</t>
  </si>
  <si>
    <t xml:space="preserve">ROSAS </t>
  </si>
  <si>
    <t>Licenciatura en Biología Molecular</t>
  </si>
  <si>
    <t>MARIA DE LOS ANGELES</t>
  </si>
  <si>
    <t>CIUDAD UNIVERSITARIA UNAM</t>
  </si>
  <si>
    <t>21-lopezhernandez.fatimayamileth@cetis57.edu.mx</t>
  </si>
  <si>
    <t xml:space="preserve">FATIMA YAMILETH </t>
  </si>
  <si>
    <t>LOHF060526MDFPRTA4</t>
  </si>
  <si>
    <t>08400</t>
  </si>
  <si>
    <t xml:space="preserve">NORMA ARACELI HERNANDEZ JIMENEZ </t>
  </si>
  <si>
    <t>araherjim21@gmail.com</t>
  </si>
  <si>
    <t>jonny.lh26@gmail.com</t>
  </si>
  <si>
    <t>ESTUDIANTE Y TRABAJADORA</t>
  </si>
  <si>
    <t>21-capistrangalarza.floryaretzi@cetis57.edu.mx</t>
  </si>
  <si>
    <t xml:space="preserve">CAPISTRAN </t>
  </si>
  <si>
    <t xml:space="preserve">FLOR YARETZI </t>
  </si>
  <si>
    <t>CAGF051014MMCPLLA1</t>
  </si>
  <si>
    <t>Atenco</t>
  </si>
  <si>
    <t>CETIS 57</t>
  </si>
  <si>
    <t xml:space="preserve">Odontologia </t>
  </si>
  <si>
    <t>GABRIEL ALDEBARAN</t>
  </si>
  <si>
    <t>GARG070430HDFRMBA1</t>
  </si>
  <si>
    <t>mireyarom28@gmail.com</t>
  </si>
  <si>
    <t xml:space="preserve">SILVA </t>
  </si>
  <si>
    <t xml:space="preserve">Hogar </t>
  </si>
  <si>
    <t>SANDOVAL</t>
  </si>
  <si>
    <t xml:space="preserve">LOMAS DE LA ESTANCIA </t>
  </si>
  <si>
    <t xml:space="preserve">NUÑEZ </t>
  </si>
  <si>
    <t>MOGUEL</t>
  </si>
  <si>
    <t>KEREN BERENICE</t>
  </si>
  <si>
    <t>MOMK071113MMCGRRA8</t>
  </si>
  <si>
    <t>lourdesabundiocruz@gmail.com</t>
  </si>
  <si>
    <t>NATALY</t>
  </si>
  <si>
    <t>COVARRUBIAS</t>
  </si>
  <si>
    <t>maricruzcobarrubias0@gmail.com</t>
  </si>
  <si>
    <t>02220707620</t>
  </si>
  <si>
    <t>21-galindohernandez.heidicristal@cetis57.edu.mx</t>
  </si>
  <si>
    <t xml:space="preserve">GALINDO </t>
  </si>
  <si>
    <t>GAHH060203MDFLRDA5</t>
  </si>
  <si>
    <t>olgavh46@gmail.com</t>
  </si>
  <si>
    <t>21-hernandezsalgado.cynthiaitzel@cetis57.edu.mx</t>
  </si>
  <si>
    <t xml:space="preserve">SALGADO </t>
  </si>
  <si>
    <t xml:space="preserve">CYNTHIA ITZEL </t>
  </si>
  <si>
    <t>HESC060214MMCRLYA5</t>
  </si>
  <si>
    <t>victor_lagunas24@hotmail.com</t>
  </si>
  <si>
    <t xml:space="preserve">ANGELICA MARIA </t>
  </si>
  <si>
    <t>salgadobonillaa162@gmail.com</t>
  </si>
  <si>
    <t xml:space="preserve">LAGUNAS </t>
  </si>
  <si>
    <t xml:space="preserve">LUIS SAMUEL </t>
  </si>
  <si>
    <t>grako5377@gmail.com</t>
  </si>
  <si>
    <t xml:space="preserve">UNION ANTORCHISTA </t>
  </si>
  <si>
    <t>ZAMORA</t>
  </si>
  <si>
    <t>MALDONADO</t>
  </si>
  <si>
    <t>JOSE LUIS</t>
  </si>
  <si>
    <t>ZEPEDA</t>
  </si>
  <si>
    <t xml:space="preserve">NOLASCO </t>
  </si>
  <si>
    <t>LT 7</t>
  </si>
  <si>
    <t xml:space="preserve">PEDRO </t>
  </si>
  <si>
    <t>GAM</t>
  </si>
  <si>
    <t>LUIS ANGEL</t>
  </si>
  <si>
    <t>SAHL071010HDFNRSA7</t>
  </si>
  <si>
    <t>TIA PATERNA</t>
  </si>
  <si>
    <t>jgsh7@hotmail.com</t>
  </si>
  <si>
    <t>MIRANDA</t>
  </si>
  <si>
    <t>FES-ZARAGOZA</t>
  </si>
  <si>
    <t>21-perezluna.andreajocelyn@cetis57.edu.mx</t>
  </si>
  <si>
    <t xml:space="preserve">ANDREA JOCELYN </t>
  </si>
  <si>
    <t xml:space="preserve">CANCHOLA </t>
  </si>
  <si>
    <t xml:space="preserve">VICTOR HUGO </t>
  </si>
  <si>
    <t xml:space="preserve">CARPINTERO </t>
  </si>
  <si>
    <t>andy120perez@gmail.com</t>
  </si>
  <si>
    <t xml:space="preserve">CABRERA </t>
  </si>
  <si>
    <t>FACULTAD DE ODONTOLOGIA</t>
  </si>
  <si>
    <t xml:space="preserve">LOMA BONITA </t>
  </si>
  <si>
    <t>MEJIA</t>
  </si>
  <si>
    <t xml:space="preserve">COLONIA BUENAVISTA </t>
  </si>
  <si>
    <t xml:space="preserve">CALVILLO </t>
  </si>
  <si>
    <t>22-granadosgonzalez.luisarmando@cetis57.edu.mx</t>
  </si>
  <si>
    <t>GRANADOS</t>
  </si>
  <si>
    <t>LUIS ARMANDO</t>
  </si>
  <si>
    <t>GAGL071105HDFRNSA6</t>
  </si>
  <si>
    <t>irismarg81@gmail.com</t>
  </si>
  <si>
    <t>gonzalezramirezmariaantonia31@gmail.com</t>
  </si>
  <si>
    <t>edgranadosrin388@gmail.com</t>
  </si>
  <si>
    <t xml:space="preserve">ALEJANDRA </t>
  </si>
  <si>
    <t xml:space="preserve">ALEJANDRO </t>
  </si>
  <si>
    <t>22-ramalesmartinez.noeliyamile@cetis57.edu.mx</t>
  </si>
  <si>
    <t>RAMN070811MMCMRLA4</t>
  </si>
  <si>
    <t>estrellanaomiatenea1xd@gmail.com</t>
  </si>
  <si>
    <t>marysolguadarrama85@gmail.com</t>
  </si>
  <si>
    <t>ABRIZ</t>
  </si>
  <si>
    <t>GERMAN</t>
  </si>
  <si>
    <t>speina24@gmail.com</t>
  </si>
  <si>
    <t xml:space="preserve">EVELYN </t>
  </si>
  <si>
    <t xml:space="preserve">ABUELITO </t>
  </si>
  <si>
    <t>MAGALI</t>
  </si>
  <si>
    <t xml:space="preserve">ZARAGOZA </t>
  </si>
  <si>
    <t>22-sanchezdelgado.melanie@cetis57.edu.mx</t>
  </si>
  <si>
    <t>DELGADO</t>
  </si>
  <si>
    <t>SADM070905MMCNLLA1</t>
  </si>
  <si>
    <t xml:space="preserve">EDELIA </t>
  </si>
  <si>
    <t xml:space="preserve">OFICINISTA </t>
  </si>
  <si>
    <t>DELGADO.MOZ26@HOTMAIL.COM</t>
  </si>
  <si>
    <t xml:space="preserve">MARCOS EDER </t>
  </si>
  <si>
    <t>MARCOSKB8@HOTMAIL.COM</t>
  </si>
  <si>
    <t xml:space="preserve">VALLE DE LOS REYES </t>
  </si>
  <si>
    <t>VARGAS</t>
  </si>
  <si>
    <t xml:space="preserve">MEDICINA </t>
  </si>
  <si>
    <t xml:space="preserve">VELASCO </t>
  </si>
  <si>
    <t xml:space="preserve">MONTESINOS </t>
  </si>
  <si>
    <t>08</t>
  </si>
  <si>
    <t>MONTESINOS</t>
  </si>
  <si>
    <t>MARIA LUCIA</t>
  </si>
  <si>
    <t>JESUS</t>
  </si>
  <si>
    <t xml:space="preserve">LOS HEROES </t>
  </si>
  <si>
    <t xml:space="preserve">MARQUEZ </t>
  </si>
  <si>
    <t xml:space="preserve">MEXICO </t>
  </si>
  <si>
    <t>GUZMAN</t>
  </si>
  <si>
    <t xml:space="preserve">Con mis papás </t>
  </si>
  <si>
    <t xml:space="preserve">TIA MATERNA </t>
  </si>
  <si>
    <t>COMERCIO</t>
  </si>
  <si>
    <t>VIRGENCITAS</t>
  </si>
  <si>
    <t>22-jimenezolivo.abigail@cetis57.edu.mx</t>
  </si>
  <si>
    <t>OLIVO</t>
  </si>
  <si>
    <t>ABIGAIL</t>
  </si>
  <si>
    <t>JIOA070625MDFMLBA6</t>
  </si>
  <si>
    <t>eve181836@gmail.com</t>
  </si>
  <si>
    <t>ferjipa37@gmail.com</t>
  </si>
  <si>
    <t>CUÑADA</t>
  </si>
  <si>
    <t xml:space="preserve">CASTRO </t>
  </si>
  <si>
    <t>22-hernandezfrias.jannetmaribel@cetis57.edu.mx</t>
  </si>
  <si>
    <t>FRIAS</t>
  </si>
  <si>
    <t>JANNET MARIBEL</t>
  </si>
  <si>
    <t>HEFJ070206MDFRRNA6</t>
  </si>
  <si>
    <t>MZ2</t>
  </si>
  <si>
    <t>LT14</t>
  </si>
  <si>
    <t>ERIC</t>
  </si>
  <si>
    <t>09220780598</t>
  </si>
  <si>
    <t>21-colinarriaga.emilioadrian@cetis57.edu.mx</t>
  </si>
  <si>
    <t>COLIN</t>
  </si>
  <si>
    <t>ARRIAGA</t>
  </si>
  <si>
    <t xml:space="preserve">EMILIO ADRIAN </t>
  </si>
  <si>
    <t>COAE060919HMCLRMA6</t>
  </si>
  <si>
    <t xml:space="preserve">SITUADA ENTRE AV CHIMALHUACAN Y CALLE CIELITO LINDO </t>
  </si>
  <si>
    <t>MARIA DEL ROSARIO COLIN ARRIAGA</t>
  </si>
  <si>
    <t>colinma93@gmail.com</t>
  </si>
  <si>
    <t>21-sanchezhernandez.nicole@cetis57.edu.mx</t>
  </si>
  <si>
    <t>SAHN061224MDFNRCA3</t>
  </si>
  <si>
    <t>MESERA</t>
  </si>
  <si>
    <t xml:space="preserve">SANTANA </t>
  </si>
  <si>
    <t xml:space="preserve">DESARROLLO URBANO QUETZALCOATL </t>
  </si>
  <si>
    <t xml:space="preserve">ROMERO </t>
  </si>
  <si>
    <t>PROFESORA</t>
  </si>
  <si>
    <t xml:space="preserve">LOS HEROES CHALCO </t>
  </si>
  <si>
    <t>22-rodriguezsoriano.andreasherline@cetis57.edu.mx</t>
  </si>
  <si>
    <t>SORIANO</t>
  </si>
  <si>
    <t>ROSA070104MMCDRNA1</t>
  </si>
  <si>
    <t>marlenekaorirs@gmail.com</t>
  </si>
  <si>
    <t>VELAZCO</t>
  </si>
  <si>
    <t xml:space="preserve">GUZMAN </t>
  </si>
  <si>
    <t>CRISTIAN ANTONY</t>
  </si>
  <si>
    <t>09609</t>
  </si>
  <si>
    <t>torresjanet306@gmail.com</t>
  </si>
  <si>
    <t>ivanjamatoga1981@gmail.com</t>
  </si>
  <si>
    <t>08210705557</t>
  </si>
  <si>
    <t>Mz 1</t>
  </si>
  <si>
    <t>21-hernandezmontesinos.franciscouriel@cetis57.edu.mx</t>
  </si>
  <si>
    <t>MARIA LUCIA MONTESINOS FABIAN</t>
  </si>
  <si>
    <t xml:space="preserve">FEST ZARAGOZA </t>
  </si>
  <si>
    <t>MARIN</t>
  </si>
  <si>
    <t>LIZBETH</t>
  </si>
  <si>
    <t xml:space="preserve">. </t>
  </si>
  <si>
    <t>CID</t>
  </si>
  <si>
    <t>TOCB060327MDFRDRA1</t>
  </si>
  <si>
    <t>jessicacid25@hotmail.com</t>
  </si>
  <si>
    <t xml:space="preserve">BUSTOS </t>
  </si>
  <si>
    <t xml:space="preserve">JUAREZ PANTITLAN </t>
  </si>
  <si>
    <t xml:space="preserve">GRACIELA </t>
  </si>
  <si>
    <t xml:space="preserve">ELECTRICISTA </t>
  </si>
  <si>
    <t>ENRIQUE</t>
  </si>
  <si>
    <t>ABUELA PATERNA</t>
  </si>
  <si>
    <t xml:space="preserve">INSTITUTO POLITECNICO NACIONAL </t>
  </si>
  <si>
    <t>NERI</t>
  </si>
  <si>
    <t>Licenciatura en Administración</t>
  </si>
  <si>
    <t xml:space="preserve">GUEVARA </t>
  </si>
  <si>
    <t>lt.12</t>
  </si>
  <si>
    <t>0000</t>
  </si>
  <si>
    <t xml:space="preserve">ABUELO </t>
  </si>
  <si>
    <t>ENFERMERA</t>
  </si>
  <si>
    <t>CHINAMPAC DE JUAREZ</t>
  </si>
  <si>
    <t>BRAYAN ARATH</t>
  </si>
  <si>
    <t>TOHB061123HDFRRRA7</t>
  </si>
  <si>
    <t>hernanmonlet@gmail.com</t>
  </si>
  <si>
    <t>ALBERTO</t>
  </si>
  <si>
    <t>POLICIA</t>
  </si>
  <si>
    <t>sayayinpolice@gmail.com</t>
  </si>
  <si>
    <t>SEGUNDA AMPLIACION SANTIAGO ACAHUALTEPEC</t>
  </si>
  <si>
    <t>22-guerreromartinez.sandra@cetis57.edu.mx</t>
  </si>
  <si>
    <t xml:space="preserve">GUERRERO </t>
  </si>
  <si>
    <t xml:space="preserve">SANDRA </t>
  </si>
  <si>
    <t>GUMS070324MDFRRNA0</t>
  </si>
  <si>
    <t>09220756556</t>
  </si>
  <si>
    <t xml:space="preserve">SARA FABIOLA </t>
  </si>
  <si>
    <t>GOSS070321MTCNNRA6</t>
  </si>
  <si>
    <t>leodegario_1@outlook.es</t>
  </si>
  <si>
    <t>sarasantosalegria@gmail.com</t>
  </si>
  <si>
    <t xml:space="preserve">PAREDES </t>
  </si>
  <si>
    <t xml:space="preserve">SEGURA </t>
  </si>
  <si>
    <t xml:space="preserve">FRANCO </t>
  </si>
  <si>
    <t xml:space="preserve">ABUELOS </t>
  </si>
  <si>
    <t xml:space="preserve">REY IZCOATL </t>
  </si>
  <si>
    <t xml:space="preserve">MAMA Y HERMANO </t>
  </si>
  <si>
    <t xml:space="preserve">GUADALUPE DEL MORAL </t>
  </si>
  <si>
    <t>Licenciatura en Ciencias de la Educación</t>
  </si>
  <si>
    <t xml:space="preserve">VICENTE GUERRERO </t>
  </si>
  <si>
    <t>Lt 18</t>
  </si>
  <si>
    <t>DODE070506HMCMZSA0</t>
  </si>
  <si>
    <t>galicialaura099@gmail.com</t>
  </si>
  <si>
    <t xml:space="preserve">MARIANA MONSERRAT </t>
  </si>
  <si>
    <t>diazpeques@gmail.com</t>
  </si>
  <si>
    <t>tonydova8@gmail.com</t>
  </si>
  <si>
    <t>06220768011</t>
  </si>
  <si>
    <t>MANZANA 4</t>
  </si>
  <si>
    <t xml:space="preserve">OMAR </t>
  </si>
  <si>
    <t>GOSO060402HDFNRMA8</t>
  </si>
  <si>
    <t xml:space="preserve">GONZALEZ SUAREZ RODRIGO </t>
  </si>
  <si>
    <t>BIKTARVY</t>
  </si>
  <si>
    <t xml:space="preserve">GUADALUPANA </t>
  </si>
  <si>
    <t xml:space="preserve">LUIS ANGEL </t>
  </si>
  <si>
    <t xml:space="preserve">LUCERO </t>
  </si>
  <si>
    <t>Profesorado en Psicología</t>
  </si>
  <si>
    <t>Ixtlahuaca</t>
  </si>
  <si>
    <t xml:space="preserve">CIUDAD UNIVERSITARIA </t>
  </si>
  <si>
    <t xml:space="preserve">Cirujano dentista </t>
  </si>
  <si>
    <t>JAIME</t>
  </si>
  <si>
    <t>21-martinezhernandez.diego@cetis57.edu.mx</t>
  </si>
  <si>
    <t>MAHD060225HDFRRGA5</t>
  </si>
  <si>
    <t>ZARZA</t>
  </si>
  <si>
    <t>22-floresjimenez.liliaedith@cetis57.edu.mx</t>
  </si>
  <si>
    <t>FOJL070422MMCLMLA5</t>
  </si>
  <si>
    <t>lila07j@gmail.com</t>
  </si>
  <si>
    <t xml:space="preserve">OJEDA </t>
  </si>
  <si>
    <t>05210716485</t>
  </si>
  <si>
    <t>YAZMIN</t>
  </si>
  <si>
    <t xml:space="preserve">OSCAR </t>
  </si>
  <si>
    <t>PSICOLOGA</t>
  </si>
  <si>
    <t>ROBERTO</t>
  </si>
  <si>
    <t>Licenciatura en Ciencias Matemáticas</t>
  </si>
  <si>
    <t>TENORIOS</t>
  </si>
  <si>
    <t xml:space="preserve">UNAM FES ZARAGOZA </t>
  </si>
  <si>
    <t>UVM</t>
  </si>
  <si>
    <t>CARRILLO</t>
  </si>
  <si>
    <t>ADELA</t>
  </si>
  <si>
    <t>RIVERA</t>
  </si>
  <si>
    <t>MARCO ANTONIO</t>
  </si>
  <si>
    <t>DANIELA MARITZA</t>
  </si>
  <si>
    <t>SARD070715MDFNYNA1</t>
  </si>
  <si>
    <t>AVENIDA TLAHUAC 6504</t>
  </si>
  <si>
    <t>MARIA</t>
  </si>
  <si>
    <t>meryrem@yahoo.com.mx</t>
  </si>
  <si>
    <t>AGUSTIN</t>
  </si>
  <si>
    <t>agustinrey53@yahoo.com.mx</t>
  </si>
  <si>
    <t>LA CONCHITA ZAPOTITLAN</t>
  </si>
  <si>
    <t xml:space="preserve">CONTRERAS </t>
  </si>
  <si>
    <t>AMPLIACION EMILIANO ZAPATA</t>
  </si>
  <si>
    <t>22-saldanafernandez.angeljesus@cetis57.edu.mx</t>
  </si>
  <si>
    <t xml:space="preserve">SALDAÑA </t>
  </si>
  <si>
    <t xml:space="preserve">FERNANDEZ </t>
  </si>
  <si>
    <t xml:space="preserve">ANGEL JESUS </t>
  </si>
  <si>
    <t>SAFA071005HMCLRNA2</t>
  </si>
  <si>
    <t>david.uf75@gmail.com</t>
  </si>
  <si>
    <t xml:space="preserve">CUEVAS </t>
  </si>
  <si>
    <t>ADRIANA</t>
  </si>
  <si>
    <t>arletfernandez4@hotmail.com</t>
  </si>
  <si>
    <t xml:space="preserve">BALDERAS </t>
  </si>
  <si>
    <t xml:space="preserve">NEZAHUALCOYOTL </t>
  </si>
  <si>
    <t xml:space="preserve">CALDERON </t>
  </si>
  <si>
    <t>VALERIA</t>
  </si>
  <si>
    <t>DOCENTE</t>
  </si>
  <si>
    <t>ELIZABETH</t>
  </si>
  <si>
    <t>NEGRETE</t>
  </si>
  <si>
    <t>NAYELI</t>
  </si>
  <si>
    <t xml:space="preserve">RAQUEL </t>
  </si>
  <si>
    <t>09760</t>
  </si>
  <si>
    <t xml:space="preserve">heroico colegio militar </t>
  </si>
  <si>
    <t>MAYEN</t>
  </si>
  <si>
    <t>DORIAN</t>
  </si>
  <si>
    <t>MAMD070520HMCYNRA8</t>
  </si>
  <si>
    <t>meredithmayen@gmail.com</t>
  </si>
  <si>
    <t>ESTEFANIA</t>
  </si>
  <si>
    <t>CUSE061011MMCRTSA5</t>
  </si>
  <si>
    <t>MZ23</t>
  </si>
  <si>
    <t>LT29</t>
  </si>
  <si>
    <t xml:space="preserve">AUSENCIA HERRERA MEZA </t>
  </si>
  <si>
    <t>ADRIANA NATALY</t>
  </si>
  <si>
    <t>natalysoto9@gmail.com</t>
  </si>
  <si>
    <t>ISRAEL</t>
  </si>
  <si>
    <t>NEGOCIOS INTERNACIONALES</t>
  </si>
  <si>
    <t>MZ1</t>
  </si>
  <si>
    <t>VETERINARIO</t>
  </si>
  <si>
    <t>22-zaraterodriguez.karolguadalupe@cetis57.edu.mx</t>
  </si>
  <si>
    <t>ZARATE</t>
  </si>
  <si>
    <t>ZARK071010MDFRDRB6</t>
  </si>
  <si>
    <t xml:space="preserve">SELENE JAZMIN </t>
  </si>
  <si>
    <t>jazminyalberto2009@gmail.com</t>
  </si>
  <si>
    <t>JUBILADA</t>
  </si>
  <si>
    <t>21-arenashernandez.viridiana@cetis57.edu.mx</t>
  </si>
  <si>
    <t>AEHV900305MDFRRR03</t>
  </si>
  <si>
    <t>ANTONIO HERNANDEZ OCAMPO</t>
  </si>
  <si>
    <t>RUEDA</t>
  </si>
  <si>
    <t>CARMONA</t>
  </si>
  <si>
    <t>21-pachucavalle.mildredmargarita@cetis57.edu.mx</t>
  </si>
  <si>
    <t>PACHUCA</t>
  </si>
  <si>
    <t>PAVM060922MMCCLLA6</t>
  </si>
  <si>
    <t>mildredvans03@gmail.com</t>
  </si>
  <si>
    <t>Jesus-pachuca@hotmail.com</t>
  </si>
  <si>
    <t>21-carmonatierrablanca.erikaalin@cetis57.edu.mx</t>
  </si>
  <si>
    <t>TIERRABLANCA</t>
  </si>
  <si>
    <t>ERIKA ALIN</t>
  </si>
  <si>
    <t>CATE060217MDFRRRA8</t>
  </si>
  <si>
    <t>LUENGAS</t>
  </si>
  <si>
    <t>YECIKA ALINNE</t>
  </si>
  <si>
    <t>BAZAN</t>
  </si>
  <si>
    <t>EJIDOS DE SAN AGUSTIN</t>
  </si>
  <si>
    <t>21-costenogarcia.elizbeth@cetis57.edu.mx</t>
  </si>
  <si>
    <t xml:space="preserve">COSTEÑO </t>
  </si>
  <si>
    <t xml:space="preserve">ELIZBETH </t>
  </si>
  <si>
    <t>CXGE060618MMCSRLA2</t>
  </si>
  <si>
    <t xml:space="preserve">LIZETTE COSTEÑO GARCIA </t>
  </si>
  <si>
    <t>mendiolaelizabeth299@gmail.com</t>
  </si>
  <si>
    <t>elizabethjulianita@gmail.com</t>
  </si>
  <si>
    <t>06210636335</t>
  </si>
  <si>
    <t>09660</t>
  </si>
  <si>
    <t>CAZARES</t>
  </si>
  <si>
    <t>TRABAJA</t>
  </si>
  <si>
    <t>LOS REYES ACAQUILPAN</t>
  </si>
  <si>
    <t>Cuauhtémoc</t>
  </si>
  <si>
    <t>21-morenoperez.evelynalondra@cetis57.edu.mx</t>
  </si>
  <si>
    <t xml:space="preserve">EVELYN ALONDRA </t>
  </si>
  <si>
    <t xml:space="preserve">FOTO ESTUDIO </t>
  </si>
  <si>
    <t>albejom@gmail.com</t>
  </si>
  <si>
    <t xml:space="preserve">TERESA JAZMIN </t>
  </si>
  <si>
    <t xml:space="preserve">LUNA </t>
  </si>
  <si>
    <t>LOJL060912MDFPRNA5</t>
  </si>
  <si>
    <t>henri10@live.com.mx</t>
  </si>
  <si>
    <t>yaz205610@gmail.com</t>
  </si>
  <si>
    <t xml:space="preserve">MIGUEL </t>
  </si>
  <si>
    <t>enri5173@gmail.com</t>
  </si>
  <si>
    <t>AGRICOLA ORIENTAL</t>
  </si>
  <si>
    <t xml:space="preserve">TLAHUAC </t>
  </si>
  <si>
    <t>FACULTAD DE ESTUDIOS SUPERIORES ZARAGOZA UNAM</t>
  </si>
  <si>
    <t xml:space="preserve">BARAJAS </t>
  </si>
  <si>
    <t>MEBT061107MDFDRNA3</t>
  </si>
  <si>
    <t xml:space="preserve">LAURA ESTELA </t>
  </si>
  <si>
    <t xml:space="preserve">REVOLUCION </t>
  </si>
  <si>
    <t>22-lararodales.isabellarenata@cetis57.edu.mx</t>
  </si>
  <si>
    <t>RODALES</t>
  </si>
  <si>
    <t xml:space="preserve">ISABELLA RENATA </t>
  </si>
  <si>
    <t>LARI061201MDFRDSA7</t>
  </si>
  <si>
    <t xml:space="preserve">LABORATORISTA CLINICA </t>
  </si>
  <si>
    <t>veross.arviss@gmail.com</t>
  </si>
  <si>
    <t>MEZA</t>
  </si>
  <si>
    <t>22-rodriguezespinosa.dafnelynette@cetis57.edu.mx</t>
  </si>
  <si>
    <t>LT 6</t>
  </si>
  <si>
    <t>alexramirez.240472@gmail.com</t>
  </si>
  <si>
    <t>nayeliesvi1985@gmail.com</t>
  </si>
  <si>
    <t xml:space="preserve">LA ESTACION </t>
  </si>
  <si>
    <t>09750</t>
  </si>
  <si>
    <t>ROBERTO CARLOS</t>
  </si>
  <si>
    <t xml:space="preserve">TRABAJO </t>
  </si>
  <si>
    <t>000</t>
  </si>
  <si>
    <t xml:space="preserve">GRANADOS </t>
  </si>
  <si>
    <t xml:space="preserve">UNIVERSIDAD NACIONAL AUTONOMA DE MEXICO </t>
  </si>
  <si>
    <t>MARIA DE JESUS</t>
  </si>
  <si>
    <t xml:space="preserve">GIL </t>
  </si>
  <si>
    <t xml:space="preserve">NAOMY YAZMIN </t>
  </si>
  <si>
    <t>GIEN061007MDFLNMA4</t>
  </si>
  <si>
    <t>claudia-s85@hotmail.com</t>
  </si>
  <si>
    <t>pelon-s84@hotmail.com</t>
  </si>
  <si>
    <t xml:space="preserve">DISTRITO FEDERAL </t>
  </si>
  <si>
    <t xml:space="preserve">ZAMORA </t>
  </si>
  <si>
    <t>SOSA</t>
  </si>
  <si>
    <t xml:space="preserve">CARRILLO </t>
  </si>
  <si>
    <t>CON MIS PAPAS</t>
  </si>
  <si>
    <t xml:space="preserve">SILVIA </t>
  </si>
  <si>
    <t>OREA</t>
  </si>
  <si>
    <t>CUIDAD UNIVERSITARIA</t>
  </si>
  <si>
    <t xml:space="preserve">ZARATE </t>
  </si>
  <si>
    <t>21-cordovaperez.karlabelen@cetis57.edu.mx</t>
  </si>
  <si>
    <t>COPK041122MDFRRRA7</t>
  </si>
  <si>
    <t>mariaperezvega22@gmail.com</t>
  </si>
  <si>
    <t>RICARDO DE JESUS</t>
  </si>
  <si>
    <t>01210406326</t>
  </si>
  <si>
    <t xml:space="preserve">VALDOVINOS </t>
  </si>
  <si>
    <t xml:space="preserve">VERONICA </t>
  </si>
  <si>
    <t xml:space="preserve">MONTERO </t>
  </si>
  <si>
    <t>ESTELA</t>
  </si>
  <si>
    <t>SIMON</t>
  </si>
  <si>
    <t>22-martinezavila.zulyyearim@cetis57.edu.mx</t>
  </si>
  <si>
    <t>garcia.avila.jhovanny@gmail.com</t>
  </si>
  <si>
    <t>reyna.20101972.avila@gmail.com</t>
  </si>
  <si>
    <t>angelicaavila071217@gmail.com</t>
  </si>
  <si>
    <t>21-rojasorea.jaqueline@cetis57.edu.mx</t>
  </si>
  <si>
    <t xml:space="preserve">JAQUELINE </t>
  </si>
  <si>
    <t>ROOJ060428MDFJRQA7</t>
  </si>
  <si>
    <t xml:space="preserve">ROJAS ZAHUANTITLA GABRIEL </t>
  </si>
  <si>
    <t xml:space="preserve">ZAHUANTITLA </t>
  </si>
  <si>
    <t xml:space="preserve">GABRIEL </t>
  </si>
  <si>
    <t xml:space="preserve">VENDEDOR </t>
  </si>
  <si>
    <t>SAMUEL</t>
  </si>
  <si>
    <t>22-varelaaguilar.ingridfernanda@cetis57.edu.mx</t>
  </si>
  <si>
    <t>VARELA</t>
  </si>
  <si>
    <t>INGRID FERNANDA</t>
  </si>
  <si>
    <t>VAAI061122MMCRGNA0</t>
  </si>
  <si>
    <t>TIENDA EN LA ESQUINA</t>
  </si>
  <si>
    <t>ROSALIA</t>
  </si>
  <si>
    <t>REYNOSO</t>
  </si>
  <si>
    <t>TEPENEPANTLA</t>
  </si>
  <si>
    <t>BENITEZ</t>
  </si>
  <si>
    <t>IGNACIO ALLENDE</t>
  </si>
  <si>
    <t>22-martinezolmos.almendramaciel@cetis57.edu.mx</t>
  </si>
  <si>
    <t xml:space="preserve">OLMOS </t>
  </si>
  <si>
    <t>MAOA070430MDFRLLA5</t>
  </si>
  <si>
    <t>dulceanallelit@gmail.com</t>
  </si>
  <si>
    <t>leobardomartinezruiz951@gmail.com</t>
  </si>
  <si>
    <t>MIS PAPAS</t>
  </si>
  <si>
    <t>TEPALCATES</t>
  </si>
  <si>
    <t>SANTA CRUZ TLAPACOYA</t>
  </si>
  <si>
    <t>21-garciamedina.mariaelena@cetis57.edu.mx</t>
  </si>
  <si>
    <t xml:space="preserve">MARIA ELENA </t>
  </si>
  <si>
    <t>GAME060122MDFRDLA1</t>
  </si>
  <si>
    <t>jaimewero4@gmail.com</t>
  </si>
  <si>
    <t>KARINA ARACELI</t>
  </si>
  <si>
    <t>Karinamedina1078@gmail.com</t>
  </si>
  <si>
    <t>garciajaime94339@gmail.com</t>
  </si>
  <si>
    <t>22-alcalapacheco.danielamichelle@cetis57.edu.mx</t>
  </si>
  <si>
    <t xml:space="preserve">PACHECO </t>
  </si>
  <si>
    <t xml:space="preserve">DANIELA MICHELLE </t>
  </si>
  <si>
    <t>AAPD071009MDFLCNA6</t>
  </si>
  <si>
    <t>08930</t>
  </si>
  <si>
    <t xml:space="preserve">ALCALA ZAVALA DANIEL </t>
  </si>
  <si>
    <t>avilesangelica15@gmail.com</t>
  </si>
  <si>
    <t xml:space="preserve">ALCALA </t>
  </si>
  <si>
    <t xml:space="preserve">ALFREDO DANIEL </t>
  </si>
  <si>
    <t>elcachorro3212@gmail.com</t>
  </si>
  <si>
    <t>AV. INSURGENTES SUR</t>
  </si>
  <si>
    <t>09210732450</t>
  </si>
  <si>
    <t xml:space="preserve">CAMPAMENTO 2 DE OCTUBRE </t>
  </si>
  <si>
    <t xml:space="preserve">FEZ ZARAGOZA </t>
  </si>
  <si>
    <t>IKER JOREL</t>
  </si>
  <si>
    <t>MAGI070214HDFLRKA5</t>
  </si>
  <si>
    <t xml:space="preserve">CALLE VICTORIA </t>
  </si>
  <si>
    <t>09520</t>
  </si>
  <si>
    <t>ROY HAZAEL MALDONADO GARCIA</t>
  </si>
  <si>
    <t>MARMOLEJO</t>
  </si>
  <si>
    <t>ODIZZ_MAR@HOTMAIL.COM</t>
  </si>
  <si>
    <t>RAUL101017@HOTMAIL.COM</t>
  </si>
  <si>
    <t>Profesorado Universitario en Música Popular Latinoamericana</t>
  </si>
  <si>
    <t>EL EDEN</t>
  </si>
  <si>
    <t>PIÑA</t>
  </si>
  <si>
    <t>NEGOCIO PROPIO</t>
  </si>
  <si>
    <t xml:space="preserve">UNIVERSIDAD </t>
  </si>
  <si>
    <t xml:space="preserve">CUAHUTEMOC </t>
  </si>
  <si>
    <t>BLANCA</t>
  </si>
  <si>
    <t>09709</t>
  </si>
  <si>
    <t xml:space="preserve">ESTRADA </t>
  </si>
  <si>
    <t>GERARDO</t>
  </si>
  <si>
    <t>AAFJ071028MMCLRZA3</t>
  </si>
  <si>
    <t xml:space="preserve">Jubilado </t>
  </si>
  <si>
    <t>01220708596</t>
  </si>
  <si>
    <t>DANIELA</t>
  </si>
  <si>
    <t xml:space="preserve">DULCE ALEJANDRA </t>
  </si>
  <si>
    <t xml:space="preserve">VILCHIS </t>
  </si>
  <si>
    <t>ALCANTARA</t>
  </si>
  <si>
    <t>ALCALDIA DE COYOACAN</t>
  </si>
  <si>
    <t>#64</t>
  </si>
  <si>
    <t xml:space="preserve">IZTAPALA </t>
  </si>
  <si>
    <t>ESTEBAN</t>
  </si>
  <si>
    <t>NICIA</t>
  </si>
  <si>
    <t>LOYOLA</t>
  </si>
  <si>
    <t>NILD071204HMCCYVA0</t>
  </si>
  <si>
    <t>edernicia@hotmail.es</t>
  </si>
  <si>
    <t>gemma01loyola@gmail.com</t>
  </si>
  <si>
    <t>COSTURERO</t>
  </si>
  <si>
    <t>davidnicia45@gmail.com</t>
  </si>
  <si>
    <t>Mz. 5</t>
  </si>
  <si>
    <t>NORMA</t>
  </si>
  <si>
    <t>22-reyespena.jenifernicole@cetis57.edu.mx</t>
  </si>
  <si>
    <t>mariadelrosariom238@gmail.com</t>
  </si>
  <si>
    <t xml:space="preserve">PASCUAL </t>
  </si>
  <si>
    <t>veronicapascual18@gmail.com</t>
  </si>
  <si>
    <t>ar1650927@gmail.com</t>
  </si>
  <si>
    <t>06130736082</t>
  </si>
  <si>
    <t xml:space="preserve">MICHEL YOSELIN </t>
  </si>
  <si>
    <t xml:space="preserve">CUÑADA </t>
  </si>
  <si>
    <t>jhossanna3110@gmail.com</t>
  </si>
  <si>
    <t>amaliamagsan@gmail.com</t>
  </si>
  <si>
    <t>zarateramirezjavier@gmail.com</t>
  </si>
  <si>
    <t>#3</t>
  </si>
  <si>
    <t>PUEBLO DE SANTA CRUZ MEYEHUALCO</t>
  </si>
  <si>
    <t>09839</t>
  </si>
  <si>
    <t>TERRAZAS</t>
  </si>
  <si>
    <t>PARAJE SAN JUAN</t>
  </si>
  <si>
    <t>22-garciacruz.dorian@cetis57.edu.mx</t>
  </si>
  <si>
    <t>GACD070807HDFRRRA0</t>
  </si>
  <si>
    <t>TINOCO</t>
  </si>
  <si>
    <t>AGRARISTA</t>
  </si>
  <si>
    <t>VERONICA ITZEL</t>
  </si>
  <si>
    <t>PEHV070704MMCRRRA0</t>
  </si>
  <si>
    <t>karl84164@gmail.com</t>
  </si>
  <si>
    <t>FERIA</t>
  </si>
  <si>
    <t>erika75hf@hotmail.com</t>
  </si>
  <si>
    <t>CARLOS AURELIO</t>
  </si>
  <si>
    <t>08210781137</t>
  </si>
  <si>
    <t>COTD060620MMCRRNA7</t>
  </si>
  <si>
    <t>BRENDA ALEJANDRA CORTES TORRES</t>
  </si>
  <si>
    <t>BARCENAS</t>
  </si>
  <si>
    <t xml:space="preserve">SAN MARCOS HUIXTOCO </t>
  </si>
  <si>
    <t>21-cortezsilva.jessicaliliana@cetis57.edu.mx</t>
  </si>
  <si>
    <t xml:space="preserve">JESSICA LILIANA </t>
  </si>
  <si>
    <t>COSJ060908MMCRLSA8</t>
  </si>
  <si>
    <t xml:space="preserve">PURIFICADORA </t>
  </si>
  <si>
    <t xml:space="preserve">LLAGUNO </t>
  </si>
  <si>
    <t xml:space="preserve">ALBERTO </t>
  </si>
  <si>
    <t>06210608219</t>
  </si>
  <si>
    <t>CORREA</t>
  </si>
  <si>
    <t xml:space="preserve">ZAVALA </t>
  </si>
  <si>
    <t>REY IZCOATL</t>
  </si>
  <si>
    <t>PAOLA</t>
  </si>
  <si>
    <t>EMPELADO</t>
  </si>
  <si>
    <t>NOSE</t>
  </si>
  <si>
    <t>MAMG050421HDFRRSA8</t>
  </si>
  <si>
    <t>VILLA FRECHOS MZ8 LT9</t>
  </si>
  <si>
    <t>LT9</t>
  </si>
  <si>
    <t>MZ8</t>
  </si>
  <si>
    <t>EMILIANO</t>
  </si>
  <si>
    <t>01220515173</t>
  </si>
  <si>
    <t>22-ramirezgutierrez.lauraalondra@cetis57.edu.mx</t>
  </si>
  <si>
    <t>RAGL070314MDFMTRA4</t>
  </si>
  <si>
    <t xml:space="preserve">METROPOLITANA </t>
  </si>
  <si>
    <t>EMPLEADO FEDERAL</t>
  </si>
  <si>
    <t>22-carinoresendiz.emanuelfroylan@cetis57.edu.mx</t>
  </si>
  <si>
    <t>CARIÑO</t>
  </si>
  <si>
    <t>EMANUEL FROYLAN</t>
  </si>
  <si>
    <t>CARE070801HMCRSMA4</t>
  </si>
  <si>
    <t>itzari32box@gmail.com</t>
  </si>
  <si>
    <t>FROYLAN</t>
  </si>
  <si>
    <t>froylancarino@gmail.com</t>
  </si>
  <si>
    <t>04220773610</t>
  </si>
  <si>
    <t>LAS FUENTES</t>
  </si>
  <si>
    <t>22-angelesmedina.daniela@cetis57.edu.mx</t>
  </si>
  <si>
    <t xml:space="preserve">CAYETANO ANDRADE </t>
  </si>
  <si>
    <t>#66</t>
  </si>
  <si>
    <t>lizmedinacasasola@gmail.com</t>
  </si>
  <si>
    <t>haydeemedinacasasola@gmail.com</t>
  </si>
  <si>
    <t>01220741233</t>
  </si>
  <si>
    <t xml:space="preserve">MARCIAL </t>
  </si>
  <si>
    <t>TLAHUAC</t>
  </si>
  <si>
    <t xml:space="preserve">CON MIS PAPÁS </t>
  </si>
  <si>
    <t xml:space="preserve">SAASIL ASERETH </t>
  </si>
  <si>
    <t>SANS070419MMCNTSA5</t>
  </si>
  <si>
    <t>jenniferlizbethsantananieto@gmail.com</t>
  </si>
  <si>
    <t xml:space="preserve">JOSE ALEJANDRO </t>
  </si>
  <si>
    <t>Ingeniería Mecatrónica</t>
  </si>
  <si>
    <t xml:space="preserve">JARDINES DE ACUITLAPILCO </t>
  </si>
  <si>
    <t>PADRASTRO</t>
  </si>
  <si>
    <t xml:space="preserve">MARILU </t>
  </si>
  <si>
    <t>21-moralesbernal.eduardodamian@cetis57.edu.mx</t>
  </si>
  <si>
    <t xml:space="preserve">EDUARDO DAMIAN </t>
  </si>
  <si>
    <t>MOBE060911HMCRRDA4</t>
  </si>
  <si>
    <t xml:space="preserve">JUAN EMANUEL </t>
  </si>
  <si>
    <t>YOLANDA</t>
  </si>
  <si>
    <t>22-tlapamunoz.barbaraivonne@cetis57.edu.mx</t>
  </si>
  <si>
    <t xml:space="preserve">TLAPA </t>
  </si>
  <si>
    <t xml:space="preserve">BARBARA IVONNE </t>
  </si>
  <si>
    <t xml:space="preserve">MARISELA IRIGOYEN ANAYA </t>
  </si>
  <si>
    <t>mariselairigoyen414@gmail.com</t>
  </si>
  <si>
    <t xml:space="preserve">IRIGOYEN </t>
  </si>
  <si>
    <t>21-ruizsoto.silvana@cetis57.edu.mx</t>
  </si>
  <si>
    <t xml:space="preserve">SILVANA </t>
  </si>
  <si>
    <t>RUSS060411MDFZTLA9</t>
  </si>
  <si>
    <t xml:space="preserve">MARIA ISABEL SOTO VALDOVINOS </t>
  </si>
  <si>
    <t>isabelsoto871@gmail.com</t>
  </si>
  <si>
    <t xml:space="preserve">VALENTIN </t>
  </si>
  <si>
    <t>MOISES</t>
  </si>
  <si>
    <t xml:space="preserve">UNIVERSIDAD  NACIONAL AUTONOMA DE MEXICO </t>
  </si>
  <si>
    <t>DARIO MARTINEZ PRIMERA SECCION</t>
  </si>
  <si>
    <t>MAYCON ALEXIS</t>
  </si>
  <si>
    <t>SAOM050324HMCNRYA0</t>
  </si>
  <si>
    <t>JARDINES DE CHALCO</t>
  </si>
  <si>
    <t>21-floreszamora.brayan@cetis57.edu.mx</t>
  </si>
  <si>
    <t>FOZB060112HMCLMRA8</t>
  </si>
  <si>
    <t>REMIGIO</t>
  </si>
  <si>
    <t>BONIFACIO</t>
  </si>
  <si>
    <t>07210611385</t>
  </si>
  <si>
    <t>PEDRO</t>
  </si>
  <si>
    <t>GORF070509MDFNYRA1</t>
  </si>
  <si>
    <t>MONICA</t>
  </si>
  <si>
    <t>08210733930</t>
  </si>
  <si>
    <t>21-cruzvargas.miriampatricia@cetis57.edu.mx</t>
  </si>
  <si>
    <t>MIRIAM PATRICIA</t>
  </si>
  <si>
    <t>CUVM060909MMCRRRA9</t>
  </si>
  <si>
    <t>AVENIDA GABRIEL LEYVA 42</t>
  </si>
  <si>
    <t>MANZANA 1</t>
  </si>
  <si>
    <t>LOTE 4</t>
  </si>
  <si>
    <t>danimauri150@gmail.com</t>
  </si>
  <si>
    <t>rous594260@gmail.com</t>
  </si>
  <si>
    <t>ALBINO</t>
  </si>
  <si>
    <t>MAURILIO</t>
  </si>
  <si>
    <t>mauro5942@gmail.com</t>
  </si>
  <si>
    <t>UNIVERSIDAD AUTONOMA DEL ESTADO DE MEXICO</t>
  </si>
  <si>
    <t>06210633464</t>
  </si>
  <si>
    <t xml:space="preserve">RUIZ </t>
  </si>
  <si>
    <t>ORTOPEDICO</t>
  </si>
  <si>
    <t xml:space="preserve">PALACIOS </t>
  </si>
  <si>
    <t xml:space="preserve">OLIVIA </t>
  </si>
  <si>
    <t>AGUIRRE</t>
  </si>
  <si>
    <t xml:space="preserve">AYUDANTE GENERAL </t>
  </si>
  <si>
    <t>OROPEZA</t>
  </si>
  <si>
    <t>OLIVA</t>
  </si>
  <si>
    <t>SANTA MARTHA ACATITLA SUR</t>
  </si>
  <si>
    <t>22-zepedalopez.fridavalentina@cetis57.edu.mx</t>
  </si>
  <si>
    <t>ZELF051116MMCPPRA1</t>
  </si>
  <si>
    <t>ALVARO OBREGON</t>
  </si>
  <si>
    <t>NAVARRO</t>
  </si>
  <si>
    <t>ABOGADA</t>
  </si>
  <si>
    <t xml:space="preserve">MANANTIALES </t>
  </si>
  <si>
    <t>MAESTRO ALBAÑIL</t>
  </si>
  <si>
    <t>CABALLERO</t>
  </si>
  <si>
    <t>CRESPO</t>
  </si>
  <si>
    <t>ISAAC EMMANUEL</t>
  </si>
  <si>
    <t>CACI070616HMCBRSA5</t>
  </si>
  <si>
    <t>loboestepario1085@gmail.com</t>
  </si>
  <si>
    <t>rociocm1207@gmail.com</t>
  </si>
  <si>
    <t>04220736930</t>
  </si>
  <si>
    <t>PROVIDENCIA</t>
  </si>
  <si>
    <t>Manzana 6</t>
  </si>
  <si>
    <t>VICENTE GUERRERO</t>
  </si>
  <si>
    <t xml:space="preserve">ISLAS </t>
  </si>
  <si>
    <t xml:space="preserve">PINEDA </t>
  </si>
  <si>
    <t>RUTH</t>
  </si>
  <si>
    <t>Lt19</t>
  </si>
  <si>
    <t xml:space="preserve">RAYMUNDO </t>
  </si>
  <si>
    <t>22-martinezperez.taisdanae@cetis57.edu.mx</t>
  </si>
  <si>
    <t>MAPT070825MDFRRSA8</t>
  </si>
  <si>
    <t>Miguel Hidalgo</t>
  </si>
  <si>
    <t xml:space="preserve">GENERAL SOSTENES ROCHA </t>
  </si>
  <si>
    <t>monseestrada88@gmail.com</t>
  </si>
  <si>
    <t>MIGUEL</t>
  </si>
  <si>
    <t>miguelvilchisdeperez11@gmail.com</t>
  </si>
  <si>
    <t>05210799051</t>
  </si>
  <si>
    <t xml:space="preserve">EDUARDO </t>
  </si>
  <si>
    <t>MILLAN</t>
  </si>
  <si>
    <t>22-jaureguiespinosa.jennifer@cetis57.edu.mx</t>
  </si>
  <si>
    <t>JAEJ070505MDFRSNA6</t>
  </si>
  <si>
    <t xml:space="preserve">EDIFICIO 3 </t>
  </si>
  <si>
    <t>LETRA D</t>
  </si>
  <si>
    <t>METROBUS TEPALCATES</t>
  </si>
  <si>
    <t>JENNY ESPINOSA LUNA</t>
  </si>
  <si>
    <t>COLONIA AGUA AZUL</t>
  </si>
  <si>
    <t>CARRASCO</t>
  </si>
  <si>
    <t xml:space="preserve">GEOVANNY </t>
  </si>
  <si>
    <t>UNA TIENDA EN LA ESQUINA</t>
  </si>
  <si>
    <t>LT 9</t>
  </si>
  <si>
    <t>ZUÑIGA</t>
  </si>
  <si>
    <t>MARISELA</t>
  </si>
  <si>
    <t xml:space="preserve">ELIZONDO </t>
  </si>
  <si>
    <t xml:space="preserve">REYNA </t>
  </si>
  <si>
    <t xml:space="preserve">UNIDAD ERMITA ZARAGOZA </t>
  </si>
  <si>
    <t xml:space="preserve">JOSE </t>
  </si>
  <si>
    <t>21-garciamorales.jadeesmeralda@cetis57.edu.mx</t>
  </si>
  <si>
    <t>GAMJ050218MTCRRDA7</t>
  </si>
  <si>
    <t>09837</t>
  </si>
  <si>
    <t>CLAUDIA GUADALUPE MORALES MARUN</t>
  </si>
  <si>
    <t>MARUN</t>
  </si>
  <si>
    <t>EMMANUEL</t>
  </si>
  <si>
    <t>emmanuel_same@hotmail.com</t>
  </si>
  <si>
    <t xml:space="preserve">TAQUERO </t>
  </si>
  <si>
    <t xml:space="preserve">COCINA </t>
  </si>
  <si>
    <t xml:space="preserve">NIÑOS HEROES </t>
  </si>
  <si>
    <t>ESPINOZA</t>
  </si>
  <si>
    <t>MAMA061019HDFRDXA0</t>
  </si>
  <si>
    <t>karlita.esmeraldita.martinez.009@gmail.com</t>
  </si>
  <si>
    <t>pmg290471@gmail.com</t>
  </si>
  <si>
    <t>ASMA</t>
  </si>
  <si>
    <t xml:space="preserve">OCHOA </t>
  </si>
  <si>
    <t xml:space="preserve">NAPOLEON </t>
  </si>
  <si>
    <t>PRIVADA DE MIGUEL HIDALGO MZ 29 LT13</t>
  </si>
  <si>
    <t xml:space="preserve">PARQUE LA PISTA </t>
  </si>
  <si>
    <t xml:space="preserve">MARIO ALBERTO </t>
  </si>
  <si>
    <t>21-castellanosvitela.darianelizabet@cetis57.edu.mx</t>
  </si>
  <si>
    <t xml:space="preserve">CASTELLANOS </t>
  </si>
  <si>
    <t>DARIAN ELIZABET</t>
  </si>
  <si>
    <t>CAVD060108MDFSTRA0</t>
  </si>
  <si>
    <t xml:space="preserve">BLANCA ESTELA VITELA ROSAS </t>
  </si>
  <si>
    <t xml:space="preserve">BLANCA ESTELA </t>
  </si>
  <si>
    <t xml:space="preserve">EFRAIN </t>
  </si>
  <si>
    <t>MZ.9</t>
  </si>
  <si>
    <t>MEDICO CIRUJANO PARTERO</t>
  </si>
  <si>
    <t xml:space="preserve">CRISTINA </t>
  </si>
  <si>
    <t>DE OLMOS</t>
  </si>
  <si>
    <t xml:space="preserve">ERIKA MONTSERRAT </t>
  </si>
  <si>
    <t>AAOE050123MDFLLRB5</t>
  </si>
  <si>
    <t xml:space="preserve">ENTRE BATALLA DE CASA BLANCA Y BATALLA DE CALPULALPAN </t>
  </si>
  <si>
    <t>erikaalcant123@gmail.com</t>
  </si>
  <si>
    <t>QUIROZ</t>
  </si>
  <si>
    <t>EPIFANIA</t>
  </si>
  <si>
    <t>06200545397</t>
  </si>
  <si>
    <t>MAMA Y PAPA</t>
  </si>
  <si>
    <t>SECRETARIA</t>
  </si>
  <si>
    <t>JUBILADO</t>
  </si>
  <si>
    <t>21-sancheztrejo.yareli@cetis57.edu.mx</t>
  </si>
  <si>
    <t>SATY061203MDFNRRA6</t>
  </si>
  <si>
    <t>VIDAL</t>
  </si>
  <si>
    <t>PERALTA</t>
  </si>
  <si>
    <t xml:space="preserve">PERALTA </t>
  </si>
  <si>
    <t>MALJ061126MMCLPMA1</t>
  </si>
  <si>
    <t>erikalopezl583@gmail.com</t>
  </si>
  <si>
    <t>more_log@hotmail.com</t>
  </si>
  <si>
    <t xml:space="preserve">LOMAS DE SAN LORENZO </t>
  </si>
  <si>
    <t>FATIMA</t>
  </si>
  <si>
    <t>JAHC071018HMCCRRA3</t>
  </si>
  <si>
    <t xml:space="preserve">CARLOS </t>
  </si>
  <si>
    <t>calebjacintohernandez@gmail.com</t>
  </si>
  <si>
    <t>RODRIGO IVAN</t>
  </si>
  <si>
    <t>ROGR061108HDFDRDA9</t>
  </si>
  <si>
    <t>22-ramirezgutierrez.ximenasheline@cetis57.edu.mx</t>
  </si>
  <si>
    <t>RAGX070921MMCMTMA3</t>
  </si>
  <si>
    <t>xishe1705@hotmail.com</t>
  </si>
  <si>
    <t>CAPTURISTA</t>
  </si>
  <si>
    <t>ESCAMILLA</t>
  </si>
  <si>
    <t>05210736038</t>
  </si>
  <si>
    <t>22-perezsolano.montserratguadalupe@cetis57.edu.mx</t>
  </si>
  <si>
    <t xml:space="preserve">MONTSERRAT GUADALUPE </t>
  </si>
  <si>
    <t>PESM071116MMCRLNA7</t>
  </si>
  <si>
    <t>virisola8013@gmail.com</t>
  </si>
  <si>
    <t>casetasponderosa0224@gmail.com</t>
  </si>
  <si>
    <t xml:space="preserve">Licenciatura en médico cirujano </t>
  </si>
  <si>
    <t>GLORIA</t>
  </si>
  <si>
    <t>21-garciatorres.victoreduardo@cetis57.edu.mx</t>
  </si>
  <si>
    <t xml:space="preserve">VICTOR EDUARDO </t>
  </si>
  <si>
    <t>GATV061221HDFRRCA6</t>
  </si>
  <si>
    <t xml:space="preserve">GUADALUPE TORRES REYES </t>
  </si>
  <si>
    <t>gtr.nle@gmail.com</t>
  </si>
  <si>
    <t>07210667239</t>
  </si>
  <si>
    <t>21-vazquezcarrillo.christian@cetis57.edu.mx</t>
  </si>
  <si>
    <t xml:space="preserve">CHRISTIAN </t>
  </si>
  <si>
    <t>VACC060823HDFZRHA9</t>
  </si>
  <si>
    <t>sara2304vaz@gmail.com</t>
  </si>
  <si>
    <t>CHEF</t>
  </si>
  <si>
    <t xml:space="preserve">QUIMICO </t>
  </si>
  <si>
    <t xml:space="preserve">SANTIAGO ACAHUALTEPEC </t>
  </si>
  <si>
    <t xml:space="preserve">DISEÑO GRÁFICO </t>
  </si>
  <si>
    <t>CITLALLI</t>
  </si>
  <si>
    <t xml:space="preserve">VENDEDORA </t>
  </si>
  <si>
    <t xml:space="preserve">ZAGUAN NEGRO </t>
  </si>
  <si>
    <t xml:space="preserve">NO APLICA </t>
  </si>
  <si>
    <t>PLATA</t>
  </si>
  <si>
    <t>21-ramosvera.miguelangel@cetis57.edu.mx</t>
  </si>
  <si>
    <t>RAVM760305HDFMRG03</t>
  </si>
  <si>
    <t>SOLO</t>
  </si>
  <si>
    <t>IXTLAHUACAN</t>
  </si>
  <si>
    <t xml:space="preserve">BRANDON YUBEG </t>
  </si>
  <si>
    <t xml:space="preserve">OROZCO </t>
  </si>
  <si>
    <t xml:space="preserve">JULIO CARLOS </t>
  </si>
  <si>
    <t>BUENAVISTA</t>
  </si>
  <si>
    <t xml:space="preserve">BARRADAS </t>
  </si>
  <si>
    <t>ESCUELA SUPERIOR DE MEDICINA IPN</t>
  </si>
  <si>
    <t>RAZO</t>
  </si>
  <si>
    <t>21-contrerasplata.fernandamichelle@cetis57.edu.mx</t>
  </si>
  <si>
    <t xml:space="preserve">PLATA </t>
  </si>
  <si>
    <t xml:space="preserve">FERNANDA MICHELLE </t>
  </si>
  <si>
    <t>COPF060107MMCNLRA1</t>
  </si>
  <si>
    <t xml:space="preserve">DULCE LIZETH </t>
  </si>
  <si>
    <t xml:space="preserve">GUSTAVO A. MADERO </t>
  </si>
  <si>
    <t>21-romerosainz.katianaomy@cetis57.edu.mx</t>
  </si>
  <si>
    <t>SAINZ</t>
  </si>
  <si>
    <t xml:space="preserve">KATIA NAOMY </t>
  </si>
  <si>
    <t>ROSK060610MDFMNTA4</t>
  </si>
  <si>
    <t>JOSEFINA</t>
  </si>
  <si>
    <t>jossg561@gmail.com</t>
  </si>
  <si>
    <t>URBANO</t>
  </si>
  <si>
    <t xml:space="preserve">SAN ISIDRO </t>
  </si>
  <si>
    <t xml:space="preserve">QUINTANILLA </t>
  </si>
  <si>
    <t xml:space="preserve">SERRANO </t>
  </si>
  <si>
    <t>21-cruzboyzo.renatavalentina@cetis57.edu.mx</t>
  </si>
  <si>
    <t>BOYZO</t>
  </si>
  <si>
    <t>RENATA VALENTINA</t>
  </si>
  <si>
    <t>CUBR051206MDFRYNA2</t>
  </si>
  <si>
    <t xml:space="preserve">S/N </t>
  </si>
  <si>
    <t>DENISEANDREA0314@GMAIL.COM</t>
  </si>
  <si>
    <t>BASILIA</t>
  </si>
  <si>
    <t>REANVA@HOTMAIL.COM</t>
  </si>
  <si>
    <t>FISIOTERAPEUTA</t>
  </si>
  <si>
    <t>ABUELOS</t>
  </si>
  <si>
    <t>Tecnicatura Universitaria en Producción Musical</t>
  </si>
  <si>
    <t>JENNIFER NAOMI</t>
  </si>
  <si>
    <t>ROPJ070521MMCDXNA3</t>
  </si>
  <si>
    <t>MIXCOATL</t>
  </si>
  <si>
    <t>edyrouse2107@gmail.com</t>
  </si>
  <si>
    <t>ROSALBA EDITH</t>
  </si>
  <si>
    <t xml:space="preserve">CETIS 57 IGNACIO ALLENDE </t>
  </si>
  <si>
    <t>22-cocoletzihernandez.yazmin@cetis57.edu.mx</t>
  </si>
  <si>
    <t>COCOLETZI</t>
  </si>
  <si>
    <t>COHY071007MMCCRZA4</t>
  </si>
  <si>
    <t>02210764201</t>
  </si>
  <si>
    <t xml:space="preserve">FACULTAD DE ESTUDIOS SUPERIORES ZARAGOZA </t>
  </si>
  <si>
    <t>AVALOS</t>
  </si>
  <si>
    <t>LOTE 8</t>
  </si>
  <si>
    <t>PANADERO</t>
  </si>
  <si>
    <t>21-ramirezmartinez.josealfredo@cetis57.edu.mx</t>
  </si>
  <si>
    <t xml:space="preserve">JOSE ALFREDO </t>
  </si>
  <si>
    <t>RAMA060722HMCMRLA4</t>
  </si>
  <si>
    <t>irmagallardo335@gmail.com</t>
  </si>
  <si>
    <t>geyra@live.com.mx</t>
  </si>
  <si>
    <t>mtoor@live.com.mx</t>
  </si>
  <si>
    <t>PATIÑO</t>
  </si>
  <si>
    <t>21-cortesperez.michel@cetis57.edu.mx</t>
  </si>
  <si>
    <t>COPM060527HMCRRCA7</t>
  </si>
  <si>
    <t>cortesperezkaleb@gmail.com</t>
  </si>
  <si>
    <t>sarayperezcalderon@gmail.com</t>
  </si>
  <si>
    <t>06210604481</t>
  </si>
  <si>
    <t>22-ortizaranda.aylinceleste@cetis57.edu.mx</t>
  </si>
  <si>
    <t xml:space="preserve">ARANDA </t>
  </si>
  <si>
    <t xml:space="preserve">AYLIN CELESTE </t>
  </si>
  <si>
    <t>OIAA070625MDFRRYA8</t>
  </si>
  <si>
    <t xml:space="preserve">BLANCA NORA CONTRERAS TORRES </t>
  </si>
  <si>
    <t xml:space="preserve">MARLEM IVETTE </t>
  </si>
  <si>
    <t>marlemaranda06@gmail.com</t>
  </si>
  <si>
    <t>Ingeniería Agronómica</t>
  </si>
  <si>
    <t xml:space="preserve">TEXCOCO </t>
  </si>
  <si>
    <t>ARTURO</t>
  </si>
  <si>
    <t xml:space="preserve">ALEJANDRA GUADALUPE </t>
  </si>
  <si>
    <t>karenjhade@hotmail.com</t>
  </si>
  <si>
    <t>21-arandeaquino.marieliaidee@cetis57.edu.mx</t>
  </si>
  <si>
    <t xml:space="preserve">DE AQUINO </t>
  </si>
  <si>
    <t xml:space="preserve">MARIELI AIDEE </t>
  </si>
  <si>
    <t>AAAM060131MDFRQRA3</t>
  </si>
  <si>
    <t xml:space="preserve">MZ 76A </t>
  </si>
  <si>
    <t xml:space="preserve">PAPELERIA EL CAMPO </t>
  </si>
  <si>
    <t xml:space="preserve">SILVESTRE </t>
  </si>
  <si>
    <t>anayelideaquinosilvestres@gmail.com</t>
  </si>
  <si>
    <t>01210606198</t>
  </si>
  <si>
    <t>FES ZARAGOZA - UNAM</t>
  </si>
  <si>
    <t xml:space="preserve">ZAGUAN BLANCO </t>
  </si>
  <si>
    <t>22-lopezruiz.valeriayemaya@cetis57.edu.mx</t>
  </si>
  <si>
    <t>VALERIA YEMAYA</t>
  </si>
  <si>
    <t>LORV070812MDFPZLA8</t>
  </si>
  <si>
    <t>ZERMEÑO</t>
  </si>
  <si>
    <t>analiliavale1311@gmail.com</t>
  </si>
  <si>
    <t>GABRIEL</t>
  </si>
  <si>
    <t>gabriel_lopez_gmx@hotmail.com</t>
  </si>
  <si>
    <t xml:space="preserve">HERMANA MAYOR </t>
  </si>
  <si>
    <t>ROCHA</t>
  </si>
  <si>
    <t>ABUELO MATERNO</t>
  </si>
  <si>
    <t>AVILES</t>
  </si>
  <si>
    <t xml:space="preserve">ANDRES </t>
  </si>
  <si>
    <t>DAMARIS ZURISADAY</t>
  </si>
  <si>
    <t>PEQD071121MDFRNMA9</t>
  </si>
  <si>
    <t>OPERADOR</t>
  </si>
  <si>
    <t>IZTAPALA</t>
  </si>
  <si>
    <t>09210740750</t>
  </si>
  <si>
    <t>Huehuetoca</t>
  </si>
  <si>
    <t>NO TIENE</t>
  </si>
  <si>
    <t>LA ERA</t>
  </si>
  <si>
    <t>21-saavedraneri.camila@cetis57.edu.mx</t>
  </si>
  <si>
    <t>SANC060426MDFVRMA9</t>
  </si>
  <si>
    <t>EJE 5 SUR 850 UNIDAD HABITACIONAL HACIENDA LAS FLORES</t>
  </si>
  <si>
    <t>Edificio R3</t>
  </si>
  <si>
    <t>ESTEFES</t>
  </si>
  <si>
    <t xml:space="preserve">ESCUELA NACIONAL DE ENFERMERIA Y OBSTETRICIA </t>
  </si>
  <si>
    <t xml:space="preserve">CHRISTIAN ALEXANDER </t>
  </si>
  <si>
    <t>VARC070110HMCRVHA3</t>
  </si>
  <si>
    <t>espiriacuatico131@gmail.com</t>
  </si>
  <si>
    <t xml:space="preserve">ADRIAN </t>
  </si>
  <si>
    <t>22-lopezjimenez.arianageraldine@cetis57.edu.mx</t>
  </si>
  <si>
    <t>LOJA070212MMCPMRA8</t>
  </si>
  <si>
    <t>ARIEL</t>
  </si>
  <si>
    <t>FE ZARAGOZA</t>
  </si>
  <si>
    <t>22-jimenezflores.dorismar@cetis57.edu.mx</t>
  </si>
  <si>
    <t xml:space="preserve">ISRAEL </t>
  </si>
  <si>
    <t xml:space="preserve">SAN RAFAEL ATLIXCO Y PINO SUAREZ </t>
  </si>
  <si>
    <t>22-martinezloreto.edwinulises@cetis57.edu.mx</t>
  </si>
  <si>
    <t xml:space="preserve">LORETO </t>
  </si>
  <si>
    <t xml:space="preserve">EDWIN ULISES </t>
  </si>
  <si>
    <t>MALE060405HDFRRDA3</t>
  </si>
  <si>
    <t>Mz 131</t>
  </si>
  <si>
    <t>Lt 10</t>
  </si>
  <si>
    <t>edwardmeraz05@gmail.com</t>
  </si>
  <si>
    <t xml:space="preserve">MARIA GUADALUPE </t>
  </si>
  <si>
    <t>ANDREA BELEN</t>
  </si>
  <si>
    <t>JIMA060616MDFMNNA4</t>
  </si>
  <si>
    <t>MZ.17</t>
  </si>
  <si>
    <t>LT.18</t>
  </si>
  <si>
    <t>alvarin.2073@gmail.com</t>
  </si>
  <si>
    <t xml:space="preserve">JUBILADA </t>
  </si>
  <si>
    <t xml:space="preserve">SAMANTHA </t>
  </si>
  <si>
    <t xml:space="preserve">NIEVES </t>
  </si>
  <si>
    <t xml:space="preserve">VICENTE VILLADA </t>
  </si>
  <si>
    <t xml:space="preserve">CIUDAD DE MÉXICO </t>
  </si>
  <si>
    <t xml:space="preserve">REFORMA POLITICA </t>
  </si>
  <si>
    <t>22-guzmanyahutentzi.melanieailyn@cetis57.edu.mx</t>
  </si>
  <si>
    <t xml:space="preserve">MELANIE AILYN </t>
  </si>
  <si>
    <t>GUYM070523MMCZHLA9</t>
  </si>
  <si>
    <t>jazminyahutentzi1@gmail.com</t>
  </si>
  <si>
    <t xml:space="preserve">JULIO ALBERTO </t>
  </si>
  <si>
    <t>manuelguzmanalbertojulio@gmail.com</t>
  </si>
  <si>
    <t>09220764956</t>
  </si>
  <si>
    <t>BAGM070601MMCDTYA8</t>
  </si>
  <si>
    <t>maricruzgutierrezhernandez@gmail.com</t>
  </si>
  <si>
    <t>ROSA</t>
  </si>
  <si>
    <t>21-ruedafajardo.helennmassiel@cetis57.edu.mx</t>
  </si>
  <si>
    <t xml:space="preserve">HELENN MASSIEL </t>
  </si>
  <si>
    <t>RUFH060202MDFDJLA5</t>
  </si>
  <si>
    <t>karlafajardoarriaga@gmail.com</t>
  </si>
  <si>
    <t>LUCIO</t>
  </si>
  <si>
    <t xml:space="preserve">NAHOMI LINNET </t>
  </si>
  <si>
    <t>CUNN071209MMCRPHA1</t>
  </si>
  <si>
    <t>06220739954</t>
  </si>
  <si>
    <t>22-zaragozapozos.gustavo@cetis57.edu.mx</t>
  </si>
  <si>
    <t xml:space="preserve">GUSTAVO </t>
  </si>
  <si>
    <t>ZAPG070610HMCRZSA6</t>
  </si>
  <si>
    <t>yuridiazaragoza30@gmail.com</t>
  </si>
  <si>
    <t xml:space="preserve">POZOS </t>
  </si>
  <si>
    <t>LUIS FERNANDO</t>
  </si>
  <si>
    <t>GUEVARA</t>
  </si>
  <si>
    <t>FRANCO</t>
  </si>
  <si>
    <t>LABORATORISTA CLINICO</t>
  </si>
  <si>
    <t xml:space="preserve">JUAN JOSE </t>
  </si>
  <si>
    <t>21-espinosasanchez.camila@cetis57.edu.mx</t>
  </si>
  <si>
    <t>EISC061208MMCSNMA9</t>
  </si>
  <si>
    <t xml:space="preserve">A UN COSTADO DE CENTROS ADMINISTRATIVOS </t>
  </si>
  <si>
    <t>lupitas2099@gmail.com</t>
  </si>
  <si>
    <t>ce202651@gmail.com</t>
  </si>
  <si>
    <t>06210675093</t>
  </si>
  <si>
    <t>SIERRA</t>
  </si>
  <si>
    <t>09239</t>
  </si>
  <si>
    <t>21-jimenezparedes.islamercedes@cetis57.edu.mx</t>
  </si>
  <si>
    <t>PAREDES</t>
  </si>
  <si>
    <t xml:space="preserve">ISLA MERCEDES </t>
  </si>
  <si>
    <t>JIPI910924MDFMRS06</t>
  </si>
  <si>
    <t xml:space="preserve">SOY MAYOR DE EDAD </t>
  </si>
  <si>
    <t>ismercedespa@gmail.com</t>
  </si>
  <si>
    <t>BARRERA</t>
  </si>
  <si>
    <t xml:space="preserve">CAROLINA </t>
  </si>
  <si>
    <t xml:space="preserve">JAVIER </t>
  </si>
  <si>
    <t>LIRA</t>
  </si>
  <si>
    <t>FACULTAD DE ESTUDIOS SUPERIORES ZARAGOZA</t>
  </si>
  <si>
    <t>No se</t>
  </si>
  <si>
    <t>22-islasarcos.sharonjocelyn@cetis57.edu.mx</t>
  </si>
  <si>
    <t>ARCOS</t>
  </si>
  <si>
    <t>IAAS070116MDFSRHA0</t>
  </si>
  <si>
    <t>SUPER MANZANA 1,MANZANA 4,EDIFICIO 1,DEPARTAMENTO H</t>
  </si>
  <si>
    <t>SUPER MANZANA 1</t>
  </si>
  <si>
    <t>EVELYN ARCOS PEREZ</t>
  </si>
  <si>
    <t>MAESTRA DE PREESCOLAR</t>
  </si>
  <si>
    <t>POLI</t>
  </si>
  <si>
    <t>EVELYN</t>
  </si>
  <si>
    <t>GUADARRAMA</t>
  </si>
  <si>
    <t xml:space="preserve">OSORIO </t>
  </si>
  <si>
    <t xml:space="preserve">FORTIZ </t>
  </si>
  <si>
    <t xml:space="preserve">AMERICA PAOLA </t>
  </si>
  <si>
    <t>OOFA070420MDFLRMA0</t>
  </si>
  <si>
    <t>blindado81@hotmail.com</t>
  </si>
  <si>
    <t xml:space="preserve">ALATRISTE </t>
  </si>
  <si>
    <t xml:space="preserve">NANCY MARIANA </t>
  </si>
  <si>
    <t>chispscapri95@gmail.com</t>
  </si>
  <si>
    <t xml:space="preserve">DAVID ALEJANDRO </t>
  </si>
  <si>
    <t xml:space="preserve">ROCHA </t>
  </si>
  <si>
    <t xml:space="preserve">FATIMA HARUMY </t>
  </si>
  <si>
    <t>GABF070105MDFRTTA7</t>
  </si>
  <si>
    <t>melyr678@gmail.com</t>
  </si>
  <si>
    <t>keniabautista57450411@gmail.com</t>
  </si>
  <si>
    <t xml:space="preserve">OSCAR ADRIAN </t>
  </si>
  <si>
    <t>gg77132485@gmail.com</t>
  </si>
  <si>
    <t>07220740877</t>
  </si>
  <si>
    <t>ODONTOLÓGIA</t>
  </si>
  <si>
    <t xml:space="preserve">Arquitectura </t>
  </si>
  <si>
    <t xml:space="preserve">RODOLFO </t>
  </si>
  <si>
    <t>22-juarezgarcia.jaimeeduardo@cetis57.edu.mx</t>
  </si>
  <si>
    <t>JUGJ070906HDFRRMA1</t>
  </si>
  <si>
    <t xml:space="preserve">TIO </t>
  </si>
  <si>
    <t>YOSEFINGARCIA_@HOTMAIL.COM</t>
  </si>
  <si>
    <t xml:space="preserve">LABORATORISTA CLINICO </t>
  </si>
  <si>
    <t>juarezvalerde@gmail.com</t>
  </si>
  <si>
    <t>CASA AMARILLA</t>
  </si>
  <si>
    <t>CONTADOR</t>
  </si>
  <si>
    <t>MARF070116MDFRDRA2</t>
  </si>
  <si>
    <t>06130705764</t>
  </si>
  <si>
    <t xml:space="preserve">LOMAS DE SANTA CRUZ </t>
  </si>
  <si>
    <t>22-ramireztorres.abraham@cetis57.edu.mx</t>
  </si>
  <si>
    <t>RXTA060315HMCMRBA5</t>
  </si>
  <si>
    <t>MANZANA 22</t>
  </si>
  <si>
    <t xml:space="preserve">EN LA CALLE DE LA LECHERIA LICONSA </t>
  </si>
  <si>
    <t>abrahamramirezgonzalez@hotmail.com</t>
  </si>
  <si>
    <t xml:space="preserve">ESCOBEDO </t>
  </si>
  <si>
    <t xml:space="preserve">ABRAHAM </t>
  </si>
  <si>
    <t>22-dominguezgranados.samantha@cetis57.edu.mx</t>
  </si>
  <si>
    <t>SAMANTHA</t>
  </si>
  <si>
    <t>DOGS070827MMCMRMA8</t>
  </si>
  <si>
    <t>MICHELLE EVELYN DOMINGUEZ GRANADOS</t>
  </si>
  <si>
    <t>JURADO</t>
  </si>
  <si>
    <t>CONTADORA</t>
  </si>
  <si>
    <t>lizgj82@gmail.com</t>
  </si>
  <si>
    <t>byktor44@hotmail.com</t>
  </si>
  <si>
    <t>06220768920</t>
  </si>
  <si>
    <t xml:space="preserve">MELENDEZ </t>
  </si>
  <si>
    <t>MIGUEL DE LA MADRID</t>
  </si>
  <si>
    <t>MARTIN</t>
  </si>
  <si>
    <t>LUIS ENRIQUE</t>
  </si>
  <si>
    <t xml:space="preserve">ABOGADO </t>
  </si>
  <si>
    <t>22-marquezarreola.germainsantiago@cetis57.edu.mx</t>
  </si>
  <si>
    <t>ARREOLA</t>
  </si>
  <si>
    <t>GERMAIN SANTIAGO</t>
  </si>
  <si>
    <t>MAAG070725HMCRRRA3</t>
  </si>
  <si>
    <t>rosalesfelipe2@gmail.com</t>
  </si>
  <si>
    <t>arreolasandra62@gmail.com</t>
  </si>
  <si>
    <t>05210761895</t>
  </si>
  <si>
    <t>ANA KAREN</t>
  </si>
  <si>
    <t xml:space="preserve">TRUJILLO </t>
  </si>
  <si>
    <t>MAESTRO</t>
  </si>
  <si>
    <t xml:space="preserve">JESUS </t>
  </si>
  <si>
    <t>CALVO</t>
  </si>
  <si>
    <t>EMANUEL</t>
  </si>
  <si>
    <t>CAHE070627HDFLRMA2</t>
  </si>
  <si>
    <t>emahdz27@gmail.com</t>
  </si>
  <si>
    <t>ESCOBEDO</t>
  </si>
  <si>
    <t>04220750337</t>
  </si>
  <si>
    <t>INDEPENDENCIA</t>
  </si>
  <si>
    <t>22-cervantessanchez.regina@cetis57.edu.mx</t>
  </si>
  <si>
    <t xml:space="preserve">REGINA </t>
  </si>
  <si>
    <t>CESR071101MMCRNGA7</t>
  </si>
  <si>
    <t xml:space="preserve">CESAR CERVANTES CALDERON </t>
  </si>
  <si>
    <t>miri_sam07@hotmail.com</t>
  </si>
  <si>
    <t xml:space="preserve">BOSQUES DE LA MAGDALENA </t>
  </si>
  <si>
    <t>LEONARDO</t>
  </si>
  <si>
    <t>CONCEPCION</t>
  </si>
  <si>
    <t xml:space="preserve">SARA </t>
  </si>
  <si>
    <t xml:space="preserve">CARDENAS </t>
  </si>
  <si>
    <t>Farmacia</t>
  </si>
  <si>
    <t>22-ocampocastillo.anetmichelle@cetis57.edu.mx</t>
  </si>
  <si>
    <t>OACA070304MDFCSNA6</t>
  </si>
  <si>
    <t>08000</t>
  </si>
  <si>
    <t>castillosandraivonne@gmail.com</t>
  </si>
  <si>
    <t>castillo_sarahi@yahoo.com</t>
  </si>
  <si>
    <t xml:space="preserve">LICENCIATURA EN ODONTOLOGÍA </t>
  </si>
  <si>
    <t xml:space="preserve">GABRIEL RAMOS MILLAN </t>
  </si>
  <si>
    <t>21-leonnieves.irvinabraham@cetis57.edu.mx</t>
  </si>
  <si>
    <t>LENI060615HDFNVRA3</t>
  </si>
  <si>
    <t>berna.pasindo@gmail.com</t>
  </si>
  <si>
    <t>PASINDO</t>
  </si>
  <si>
    <t>BERNARDA</t>
  </si>
  <si>
    <t>No tengo</t>
  </si>
  <si>
    <t>PRIMO</t>
  </si>
  <si>
    <t xml:space="preserve">UNIDAD EJERCITO CONSTITUCIONALISTA </t>
  </si>
  <si>
    <t>21-estradagarcia.joseenrique@cetis57.edu.mx</t>
  </si>
  <si>
    <t xml:space="preserve">JOSE ENRIQUE </t>
  </si>
  <si>
    <t>EAGE060624HDFSRNA9</t>
  </si>
  <si>
    <t xml:space="preserve">BEATRIZ </t>
  </si>
  <si>
    <t>0621066128</t>
  </si>
  <si>
    <t>angel910.mx@gmail.com</t>
  </si>
  <si>
    <t>AYOTLA</t>
  </si>
  <si>
    <t xml:space="preserve">DIONICIO </t>
  </si>
  <si>
    <t xml:space="preserve">CALLE FLOR DE AZAHARES </t>
  </si>
  <si>
    <t xml:space="preserve">CASA VERDE </t>
  </si>
  <si>
    <t>clauyayita86@gmail.com</t>
  </si>
  <si>
    <t xml:space="preserve">ASCENCION </t>
  </si>
  <si>
    <t>06210646763</t>
  </si>
  <si>
    <t xml:space="preserve">GUSTAVO A MADERO </t>
  </si>
  <si>
    <t xml:space="preserve">BRIONES </t>
  </si>
  <si>
    <t xml:space="preserve">ASALARIADO </t>
  </si>
  <si>
    <t xml:space="preserve">OPERADOR </t>
  </si>
  <si>
    <t xml:space="preserve">MARIA DE LOURDES </t>
  </si>
  <si>
    <t>MENA</t>
  </si>
  <si>
    <t>AAMM061227MGTNNRA4</t>
  </si>
  <si>
    <t>yoldulisa@gmail.com</t>
  </si>
  <si>
    <t>01210622914</t>
  </si>
  <si>
    <t xml:space="preserve">STEPHANIE </t>
  </si>
  <si>
    <t>BENJAMIN</t>
  </si>
  <si>
    <t>VENDEDOR</t>
  </si>
  <si>
    <t>Baja California Sur</t>
  </si>
  <si>
    <t>KARINA</t>
  </si>
  <si>
    <t>21-garciameza.mariafernanda@cetis57.edu.mx</t>
  </si>
  <si>
    <t>mgarciameza271@gmail.com</t>
  </si>
  <si>
    <t xml:space="preserve">MARIA DEL CARMEN </t>
  </si>
  <si>
    <t xml:space="preserve">IBAÑEZ </t>
  </si>
  <si>
    <t>mark198233@gmail.com</t>
  </si>
  <si>
    <t xml:space="preserve">No se </t>
  </si>
  <si>
    <t>BUSTOS</t>
  </si>
  <si>
    <t xml:space="preserve">ENFERMERO </t>
  </si>
  <si>
    <t>22-suarezpatino.alexis@cetis57.edu.mx</t>
  </si>
  <si>
    <t>ALEXIS</t>
  </si>
  <si>
    <t>SUPA070203HDFRTLA5</t>
  </si>
  <si>
    <t xml:space="preserve">TERRAZA </t>
  </si>
  <si>
    <t>patitopatino08291@gmail.com</t>
  </si>
  <si>
    <t xml:space="preserve">VICTOR ANTONIO </t>
  </si>
  <si>
    <t xml:space="preserve">ESCUELA NAVAL </t>
  </si>
  <si>
    <t xml:space="preserve">ARBOLEDAS </t>
  </si>
  <si>
    <t>SOLA</t>
  </si>
  <si>
    <t>21-elizondomartinez.emilyamairiany@cetis57.edu.mx</t>
  </si>
  <si>
    <t xml:space="preserve">EMILY AMAIRIANY </t>
  </si>
  <si>
    <t>EIME061202MMCLRMA5</t>
  </si>
  <si>
    <t>monse100say@gmail.com</t>
  </si>
  <si>
    <t xml:space="preserve">JONATHAN JEFFERSON </t>
  </si>
  <si>
    <t>06210672520</t>
  </si>
  <si>
    <t xml:space="preserve">SAAVEDRA </t>
  </si>
  <si>
    <t>SIN NUMERO</t>
  </si>
  <si>
    <t>MZ 2</t>
  </si>
  <si>
    <t>22-leonconde.osmarnoe@cetis57.edu.mx</t>
  </si>
  <si>
    <t xml:space="preserve">OSMAR NOE </t>
  </si>
  <si>
    <t>LECO071229HMCNNSA5</t>
  </si>
  <si>
    <t xml:space="preserve">MARLENE AMAIRANI LEON CONDE </t>
  </si>
  <si>
    <t>08210742121</t>
  </si>
  <si>
    <t>MARIA ELENA</t>
  </si>
  <si>
    <t>FLORENTINO</t>
  </si>
  <si>
    <t xml:space="preserve">MARIA LUCIA </t>
  </si>
  <si>
    <t xml:space="preserve">AYALA </t>
  </si>
  <si>
    <t xml:space="preserve">SECRETARIA </t>
  </si>
  <si>
    <t>CRISOSTOMO</t>
  </si>
  <si>
    <t>SARABIA</t>
  </si>
  <si>
    <t xml:space="preserve">COPALERA </t>
  </si>
  <si>
    <t>22-urbanoguzman.gabrielaloreley@cetis57.edu.mx</t>
  </si>
  <si>
    <t>UAGG070718MMCRZBA7</t>
  </si>
  <si>
    <t>MARIA JOVANA GUZMAN FRANCO</t>
  </si>
  <si>
    <t>frankojovana@gmail.com</t>
  </si>
  <si>
    <t>ALEMAN</t>
  </si>
  <si>
    <t>02170704874</t>
  </si>
  <si>
    <t>LEMUS</t>
  </si>
  <si>
    <t>21-herreranieto.britanymarian@cetis57.edu.mx</t>
  </si>
  <si>
    <t>BRITANY MARIAN</t>
  </si>
  <si>
    <t>HENB060908MDFRTRA3</t>
  </si>
  <si>
    <t xml:space="preserve">AMAYRANI NIETO CERVANTES </t>
  </si>
  <si>
    <t>herreramarian75@gmail.com</t>
  </si>
  <si>
    <t>09210671427</t>
  </si>
  <si>
    <t>RODRIGO DAMIAN</t>
  </si>
  <si>
    <t>QUCR071003HDFZSDA3</t>
  </si>
  <si>
    <t>MZ.28</t>
  </si>
  <si>
    <t>LT.1B</t>
  </si>
  <si>
    <t>marillo3912@gmail.com</t>
  </si>
  <si>
    <t>TECNICO DENTAL</t>
  </si>
  <si>
    <t>JUDITH</t>
  </si>
  <si>
    <t xml:space="preserve">LAS PEÑAS </t>
  </si>
  <si>
    <t xml:space="preserve">JUAN MANUEL </t>
  </si>
  <si>
    <t>AXEL</t>
  </si>
  <si>
    <t>MAVL070307MGRRZZA2</t>
  </si>
  <si>
    <t xml:space="preserve">ADOLFO LOPEZ MATEOS </t>
  </si>
  <si>
    <t>PALOMO</t>
  </si>
  <si>
    <t xml:space="preserve">FATIMA DORALYN </t>
  </si>
  <si>
    <t>LOCF050822MMCPLTA3</t>
  </si>
  <si>
    <t xml:space="preserve">FAUSTA LOPEZ CALDERON </t>
  </si>
  <si>
    <t>fatidory2205@gmail.com</t>
  </si>
  <si>
    <t xml:space="preserve">MARTHA </t>
  </si>
  <si>
    <t xml:space="preserve">ISIDRA </t>
  </si>
  <si>
    <t>OJOS</t>
  </si>
  <si>
    <t>JUAN JOSE</t>
  </si>
  <si>
    <t>MZ 51</t>
  </si>
  <si>
    <t>21-gonzalezcruz.miguelangel@cetis57.edu.mx</t>
  </si>
  <si>
    <t>GOCM871012HDFNRG00</t>
  </si>
  <si>
    <t xml:space="preserve">ENTRE COMBATE DE CELAYA Y TERCERA DE LUIS ARAIZA </t>
  </si>
  <si>
    <t xml:space="preserve">MARTHA CRUZ GARCIA </t>
  </si>
  <si>
    <t>ZARCO</t>
  </si>
  <si>
    <t>VENDEDORA DE MOSTRADOR</t>
  </si>
  <si>
    <t>MZ 1</t>
  </si>
  <si>
    <t>ELIAS</t>
  </si>
  <si>
    <t xml:space="preserve">CORTE LA PALMA </t>
  </si>
  <si>
    <t>21-rosastiburcio.areliquetzally@cetis57.edu.mx</t>
  </si>
  <si>
    <t>TIBURCIO</t>
  </si>
  <si>
    <t>ARELI QUETZALLY</t>
  </si>
  <si>
    <t>ROTA060627MDFSBRA4</t>
  </si>
  <si>
    <t>romanr4@live.com.mx</t>
  </si>
  <si>
    <t>FAVIAN</t>
  </si>
  <si>
    <t>livafav@gmail.com</t>
  </si>
  <si>
    <t>angeles.rosas10@gmail.com</t>
  </si>
  <si>
    <t>06130638262</t>
  </si>
  <si>
    <t>FILARMONICO</t>
  </si>
  <si>
    <t xml:space="preserve">POLITÉCNICO </t>
  </si>
  <si>
    <t xml:space="preserve">PORFIRIO DIAZ </t>
  </si>
  <si>
    <t xml:space="preserve">MIS PAPAS </t>
  </si>
  <si>
    <t xml:space="preserve">MARTIN </t>
  </si>
  <si>
    <t>UNIVERSIDAD AUTONOMA DE MEXICO</t>
  </si>
  <si>
    <t>BUCIO</t>
  </si>
  <si>
    <t>EMMANUEL ALEJANDRO</t>
  </si>
  <si>
    <t>EABE061219HDFSCMA3</t>
  </si>
  <si>
    <t>lulybucio@gmail.com</t>
  </si>
  <si>
    <t>AFILADOR</t>
  </si>
  <si>
    <t>06210659667</t>
  </si>
  <si>
    <t>22-zavalacuachitl.vanessamichelle@cetis57.edu.mx</t>
  </si>
  <si>
    <t xml:space="preserve">CUACHITL </t>
  </si>
  <si>
    <t xml:space="preserve">VANESSA MICHELLE </t>
  </si>
  <si>
    <t>josefinacuachitl@gmail.com</t>
  </si>
  <si>
    <t>luiszavalag1972@gmail.com</t>
  </si>
  <si>
    <t>ANGEL RAUL</t>
  </si>
  <si>
    <t xml:space="preserve">Diseño gráfico </t>
  </si>
  <si>
    <t xml:space="preserve">EDGAR ALEJANDRO </t>
  </si>
  <si>
    <t xml:space="preserve">CALLE CLAVEL </t>
  </si>
  <si>
    <t xml:space="preserve">OLVERA </t>
  </si>
  <si>
    <t xml:space="preserve">PRIMA </t>
  </si>
  <si>
    <t>22-seguraluna.andreaalejandra@cetis57.edu.mx</t>
  </si>
  <si>
    <t xml:space="preserve">ANDREA ALEJANDRA </t>
  </si>
  <si>
    <t>SELA070424MDFGNNA5</t>
  </si>
  <si>
    <t xml:space="preserve">DIANITA MAGDALENA </t>
  </si>
  <si>
    <t>lunaayaladiana@gmail.com</t>
  </si>
  <si>
    <t xml:space="preserve">YARETZI JUDITH </t>
  </si>
  <si>
    <t xml:space="preserve">NO TENGO </t>
  </si>
  <si>
    <t>LT 16</t>
  </si>
  <si>
    <t>ROMANO</t>
  </si>
  <si>
    <t xml:space="preserve">CARMONA </t>
  </si>
  <si>
    <t>LA PAZ</t>
  </si>
  <si>
    <t xml:space="preserve">MARIA DEL PILAR </t>
  </si>
  <si>
    <t>21-santiagocontreras.karenitzel@cetis57.edu.mx</t>
  </si>
  <si>
    <t xml:space="preserve">KAREN ITZEL </t>
  </si>
  <si>
    <t>SACK061020MDFNNRA8</t>
  </si>
  <si>
    <t xml:space="preserve">NANCI MATILDE CONTRERAS MARIN </t>
  </si>
  <si>
    <t xml:space="preserve">LICED ARIANA </t>
  </si>
  <si>
    <t>22-palomoquijada.damiayoali@cetis57.edu.mx</t>
  </si>
  <si>
    <t>QUIJADA</t>
  </si>
  <si>
    <t>DAMIA YOALI</t>
  </si>
  <si>
    <t xml:space="preserve">ABUELA PATERNA </t>
  </si>
  <si>
    <t>22-martinezruiz.alanmoises@cetis57.edu.mx</t>
  </si>
  <si>
    <t>ALAN MOISES</t>
  </si>
  <si>
    <t>MARA060103HDFRZLA6</t>
  </si>
  <si>
    <t>ANGELA MILDRED</t>
  </si>
  <si>
    <t>MORELOS</t>
  </si>
  <si>
    <t xml:space="preserve">JUAN </t>
  </si>
  <si>
    <t>21-hernandezterrazas.naomiaolani@cetis57.edu.mx</t>
  </si>
  <si>
    <t xml:space="preserve">TERRAZAS </t>
  </si>
  <si>
    <t xml:space="preserve">NAOMI AOLANI </t>
  </si>
  <si>
    <t>HETN061022MDFRRMA8</t>
  </si>
  <si>
    <t>CALLE CASCADA LOTE 3 MANZANA 41</t>
  </si>
  <si>
    <t>HERNANDEZ YESCAS HECTOR ABRAHAM</t>
  </si>
  <si>
    <t>Jordanyescas77@hotmail.com</t>
  </si>
  <si>
    <t>CARREÑO</t>
  </si>
  <si>
    <t xml:space="preserve">JUANA ELIZABETH </t>
  </si>
  <si>
    <t>lipsis-doxoe@hotmail.com</t>
  </si>
  <si>
    <t xml:space="preserve">YESCAS </t>
  </si>
  <si>
    <t xml:space="preserve">HECTOR ABRAHAM </t>
  </si>
  <si>
    <t xml:space="preserve">MÉDICO CIRUJANA </t>
  </si>
  <si>
    <t xml:space="preserve">SANTA CRUZ TLAPACOYA </t>
  </si>
  <si>
    <t xml:space="preserve">LAS CRUCES </t>
  </si>
  <si>
    <t xml:space="preserve">RUBEN </t>
  </si>
  <si>
    <t xml:space="preserve">VICTOR JOSUE </t>
  </si>
  <si>
    <t>FAGV060319HDFRVCA1</t>
  </si>
  <si>
    <t xml:space="preserve">TIA POLITICA </t>
  </si>
  <si>
    <t xml:space="preserve">PARAMEDICO </t>
  </si>
  <si>
    <t>mnse870427@gmail.com</t>
  </si>
  <si>
    <t>sixdiego41@gmail.com</t>
  </si>
  <si>
    <t>01220622409</t>
  </si>
  <si>
    <t>22-perezpalacios.miguelali@cetis57.edu.mx</t>
  </si>
  <si>
    <t>MIGUEL ALI</t>
  </si>
  <si>
    <t>PEPM070317HDFRLGA2</t>
  </si>
  <si>
    <t>02200728901</t>
  </si>
  <si>
    <t>RIVAS</t>
  </si>
  <si>
    <t>TIENDA</t>
  </si>
  <si>
    <t xml:space="preserve">ACUAUTLA </t>
  </si>
  <si>
    <t>22-trujillocruz.carolina@cetis57.edu.mx</t>
  </si>
  <si>
    <t>TUCC070527MDFRRRA9</t>
  </si>
  <si>
    <t>ELVIRA</t>
  </si>
  <si>
    <t>22-retizdiaz.josuegamaliel@cetis57.edu.mx</t>
  </si>
  <si>
    <t>RETIZ</t>
  </si>
  <si>
    <t xml:space="preserve">RETIZ </t>
  </si>
  <si>
    <t>22-damasmorales.angelivan@cetis57.edu.mx</t>
  </si>
  <si>
    <t xml:space="preserve">DAMAS </t>
  </si>
  <si>
    <t>letyciamorales290783@gmail.com</t>
  </si>
  <si>
    <t xml:space="preserve">BLANCA LETICIA </t>
  </si>
  <si>
    <t xml:space="preserve">BLANCA LETICIA MORALES SANCHEZ </t>
  </si>
  <si>
    <t>09210791449</t>
  </si>
  <si>
    <t>MARB070122MMCRMRA7</t>
  </si>
  <si>
    <t>MANZANA 3</t>
  </si>
  <si>
    <t>PAULINA</t>
  </si>
  <si>
    <t>22-diazquijano.wendyabigail@cetis57.edu.mx</t>
  </si>
  <si>
    <t xml:space="preserve">WENDY ABIGAIL </t>
  </si>
  <si>
    <t>DIQW071020MDFZJNA8</t>
  </si>
  <si>
    <t>moises.diaz.quijano@gmail.com</t>
  </si>
  <si>
    <t xml:space="preserve">RONQUILLO </t>
  </si>
  <si>
    <t>alba.quijano.ronquillo@gmail.com</t>
  </si>
  <si>
    <t xml:space="preserve">MOISES </t>
  </si>
  <si>
    <t>02187797036</t>
  </si>
  <si>
    <t>21-martinezgarcia.dannaruth@cetis57.edu.mx</t>
  </si>
  <si>
    <t>karomgarcia1511@gmail.com</t>
  </si>
  <si>
    <t>01210580823</t>
  </si>
  <si>
    <t>TECNICO EN MANTENIMIENTO</t>
  </si>
  <si>
    <t xml:space="preserve">LIMPIEZA </t>
  </si>
  <si>
    <t>21-eliaspantoja.alejandro@cetis57.edu.mx</t>
  </si>
  <si>
    <t>EIPA060614HMCLNLA4</t>
  </si>
  <si>
    <t>alejandropantoja709@gmail.com</t>
  </si>
  <si>
    <t>06210673577</t>
  </si>
  <si>
    <t>CADENA</t>
  </si>
  <si>
    <t>21-juarezacuautla.emilyximena@cetis57.edu.mx</t>
  </si>
  <si>
    <t>EMILY</t>
  </si>
  <si>
    <t>JUAE060516MDFRCMA3</t>
  </si>
  <si>
    <t xml:space="preserve">GUADALUPE ACUAUTLA ROMERO </t>
  </si>
  <si>
    <t xml:space="preserve">HEROICA ESCUELA NAVAL MILITAR </t>
  </si>
  <si>
    <t>AMALIA</t>
  </si>
  <si>
    <t xml:space="preserve">ALONDRA </t>
  </si>
  <si>
    <t>Zacatecas</t>
  </si>
  <si>
    <t>21-pinaruiz.fatimalizbeth@cetis57.edu.mx</t>
  </si>
  <si>
    <t xml:space="preserve">FATIMA LIZBETH </t>
  </si>
  <si>
    <t>PIRF041023MDFXZTA1</t>
  </si>
  <si>
    <t>ruizlizbeth075@gmail.com</t>
  </si>
  <si>
    <t xml:space="preserve">FACULTAD DE ESTUDIOS SUPERIORES </t>
  </si>
  <si>
    <t>LOTE 11</t>
  </si>
  <si>
    <t>JIMENA</t>
  </si>
  <si>
    <t>4 DE DICIEMBRE DE 1860</t>
  </si>
  <si>
    <t>ROSA MARIA</t>
  </si>
  <si>
    <t xml:space="preserve">ALCALDIA MIGUEL HIDALGO </t>
  </si>
  <si>
    <t>CARREON</t>
  </si>
  <si>
    <t xml:space="preserve">RENOVACION </t>
  </si>
  <si>
    <t>SERGIO</t>
  </si>
  <si>
    <t>22-romualdocamacho.enrique@cetis57.edu.mx</t>
  </si>
  <si>
    <t>ROMUALDO</t>
  </si>
  <si>
    <t>ROCE000204HMCMMNA2</t>
  </si>
  <si>
    <t>Donato Guerra</t>
  </si>
  <si>
    <t>PAOLA CAMACHO SIMON</t>
  </si>
  <si>
    <t>paoc2672@hotmail.com</t>
  </si>
  <si>
    <t xml:space="preserve">CARGADOR </t>
  </si>
  <si>
    <t>21-lopezdelgado.alina@cetis57.edu.mx</t>
  </si>
  <si>
    <t>ALINA</t>
  </si>
  <si>
    <t>LODA971208MDFPLL02</t>
  </si>
  <si>
    <t>delgadoanakay@gmail.com</t>
  </si>
  <si>
    <t xml:space="preserve">IXTLAHUACAN </t>
  </si>
  <si>
    <t>22-martinezmartinez.joeldavid@cetis57.edu.mx</t>
  </si>
  <si>
    <t>MAMJ061003HDFRRLA8</t>
  </si>
  <si>
    <t>martinezmartinezkarenareli@gmail.com</t>
  </si>
  <si>
    <t>AMELIA</t>
  </si>
  <si>
    <t>joelssjunu@gmail.com</t>
  </si>
  <si>
    <t>22-riverareyes.miriamitzel@cetis57.edu.mx</t>
  </si>
  <si>
    <t>RIRM061226MDFVYRA5</t>
  </si>
  <si>
    <t>Isrra.rivera.5575@gmail.com</t>
  </si>
  <si>
    <t>jorge.riveracuevas.5575@gmail.com</t>
  </si>
  <si>
    <t>21-uballaramiro.mitzybrillanthy@cetis57.edu.mx</t>
  </si>
  <si>
    <t xml:space="preserve">UBALLA </t>
  </si>
  <si>
    <t xml:space="preserve">RAMIRO </t>
  </si>
  <si>
    <t>MITZY BRILLANTHY</t>
  </si>
  <si>
    <t>UARM060612MDFBMTA2</t>
  </si>
  <si>
    <t>iedwin90@hotmail.com</t>
  </si>
  <si>
    <t>mariaeugeniaramirorolon18@gmail.com</t>
  </si>
  <si>
    <t>CECILIA</t>
  </si>
  <si>
    <t>EL MANTO</t>
  </si>
  <si>
    <t>LOS REYES</t>
  </si>
  <si>
    <t>PAREJA</t>
  </si>
  <si>
    <t>angel.be.es.1967@gmail.com</t>
  </si>
  <si>
    <t>aureliopaty1978@gmail.com</t>
  </si>
  <si>
    <t>RUBEN JARAMILLO</t>
  </si>
  <si>
    <t>EMPLEADO GENERAL</t>
  </si>
  <si>
    <t xml:space="preserve">MANRIQUE </t>
  </si>
  <si>
    <t xml:space="preserve">TENORIOS </t>
  </si>
  <si>
    <t xml:space="preserve">AILYN </t>
  </si>
  <si>
    <t xml:space="preserve">ALCALDIA COYOACAN </t>
  </si>
  <si>
    <t xml:space="preserve">AMPLIACION VICENTE VILLADA </t>
  </si>
  <si>
    <t xml:space="preserve">ZAGUAN CAFE </t>
  </si>
  <si>
    <t>22-aguilarrodriguez.josefinmaylin@cetis57.edu.mx</t>
  </si>
  <si>
    <t>AURJ070308MMCGDSA3</t>
  </si>
  <si>
    <t>01220779951</t>
  </si>
  <si>
    <t>Mz 3</t>
  </si>
  <si>
    <t xml:space="preserve">METROPOLITANA PRIMERA SECCION </t>
  </si>
  <si>
    <t>22-becerrilcastro.lilianaabril@cetis57.edu.mx</t>
  </si>
  <si>
    <t>BECL070516MDFCSLA1</t>
  </si>
  <si>
    <t xml:space="preserve">AURELIO </t>
  </si>
  <si>
    <t>05130743148</t>
  </si>
  <si>
    <t>21-carrascoaguilar.kaorisameyaly@cetis57.edu.mx</t>
  </si>
  <si>
    <t>KAORIS AMEYALY</t>
  </si>
  <si>
    <t>CAAK050526MMCRGRA0</t>
  </si>
  <si>
    <t xml:space="preserve">TRABAJA </t>
  </si>
  <si>
    <t xml:space="preserve">ESCAMILLA </t>
  </si>
  <si>
    <t>22-tocaolvera.carenalesandra@cetis57.edu.mx</t>
  </si>
  <si>
    <t xml:space="preserve">TOCA </t>
  </si>
  <si>
    <t xml:space="preserve">CAREN ALESANDRA </t>
  </si>
  <si>
    <t>ara.chirrin@gmail.com</t>
  </si>
  <si>
    <t xml:space="preserve">TRABAJADORA DOMESTICA </t>
  </si>
  <si>
    <t>EL MOLINO</t>
  </si>
  <si>
    <t xml:space="preserve">CALLE PIRUL </t>
  </si>
  <si>
    <t>21-lozanolopez.alondra@cetis57.edu.mx</t>
  </si>
  <si>
    <t>LOLA060613MDFZPLA6</t>
  </si>
  <si>
    <t>marigololinet@gmail.com</t>
  </si>
  <si>
    <t xml:space="preserve">ROLANDO </t>
  </si>
  <si>
    <t xml:space="preserve">POLICIA </t>
  </si>
  <si>
    <t>22-hernandezgarcia.evelyn@cetis57.edu.mx</t>
  </si>
  <si>
    <t>HEGE070213MMCRRVA0</t>
  </si>
  <si>
    <t>anahi15her@gmail.com</t>
  </si>
  <si>
    <t>juanhe1215@gmail.com</t>
  </si>
  <si>
    <t>09220783212</t>
  </si>
  <si>
    <t>AMANDA</t>
  </si>
  <si>
    <t xml:space="preserve">IPN </t>
  </si>
  <si>
    <t>Lote 9</t>
  </si>
  <si>
    <t>21-riosrodriguez.christian@cetis57.edu.mx</t>
  </si>
  <si>
    <t>RIRC060507HPLSDHB2</t>
  </si>
  <si>
    <t xml:space="preserve">PELON </t>
  </si>
  <si>
    <t xml:space="preserve">LAURA VIRIDIANA </t>
  </si>
  <si>
    <t xml:space="preserve">LT 4 </t>
  </si>
  <si>
    <t xml:space="preserve">PANADERO </t>
  </si>
  <si>
    <t>bekahdz@hotmail.com</t>
  </si>
  <si>
    <t>22-villaislas.kevinenrique@cetis57.edu.mx</t>
  </si>
  <si>
    <t xml:space="preserve">KEVIN ENRIQUE </t>
  </si>
  <si>
    <t>VIIK070701HMCLSVA4</t>
  </si>
  <si>
    <t xml:space="preserve">AREVALO </t>
  </si>
  <si>
    <t>22-perezparedes.ailyn@cetis57.edu.mx</t>
  </si>
  <si>
    <t>PEPA071124MDFRRLA6</t>
  </si>
  <si>
    <t>karinapm54@gmail.com</t>
  </si>
  <si>
    <t>ailynytadeo@gmail.com</t>
  </si>
  <si>
    <t>22-segundoestrada.nadiaayde@cetis57.edu.mx</t>
  </si>
  <si>
    <t xml:space="preserve">SEGUNDO </t>
  </si>
  <si>
    <t xml:space="preserve">NADIA AYDE </t>
  </si>
  <si>
    <t>SEEN070918MDFGSDA7</t>
  </si>
  <si>
    <t>estradaalamillaclaudia@gmail.com</t>
  </si>
  <si>
    <t>LT.6</t>
  </si>
  <si>
    <t xml:space="preserve">LOZANO </t>
  </si>
  <si>
    <t xml:space="preserve">BETANCOURT </t>
  </si>
  <si>
    <t xml:space="preserve">CASA BLANCA </t>
  </si>
  <si>
    <t>ALMA CELESTE</t>
  </si>
  <si>
    <t>VIGA060906MDFLRLA4</t>
  </si>
  <si>
    <t>ALMA ELIZABETH GARCIA CASTRO</t>
  </si>
  <si>
    <t xml:space="preserve">MOCTEZUMA </t>
  </si>
  <si>
    <t xml:space="preserve">CARLOS ALEJANDRO </t>
  </si>
  <si>
    <t>CASAS</t>
  </si>
  <si>
    <t>22-lopezperez.angelasaray@cetis57.edu.mx</t>
  </si>
  <si>
    <t>ANGELA SARAY</t>
  </si>
  <si>
    <t>LOPA070930MDFPRNA3</t>
  </si>
  <si>
    <t>mirnasulema.perezalv@gmail.com</t>
  </si>
  <si>
    <t>harry.lopez.090678@gmail.com</t>
  </si>
  <si>
    <t>22-zarcohernandez.jenniferhally@cetis57.edu.mx</t>
  </si>
  <si>
    <t>JENNIFER HALLY</t>
  </si>
  <si>
    <t>ZAHJ070525MDFRRNA6</t>
  </si>
  <si>
    <t>ZEDLY ANTONIO YONTE</t>
  </si>
  <si>
    <t>z.edly@hotmail.com</t>
  </si>
  <si>
    <t>21-costillamaldonado.mariafernanda@cetis57.edu.mx</t>
  </si>
  <si>
    <t>COMF060128MDFSLRA1</t>
  </si>
  <si>
    <t xml:space="preserve">GABRIELA MALDONADO AMEZCUA </t>
  </si>
  <si>
    <t>gabrielamalme@gmail.com</t>
  </si>
  <si>
    <t xml:space="preserve">PADRES </t>
  </si>
  <si>
    <t>MANZANA 41</t>
  </si>
  <si>
    <t>21-martinezcebrero.lorena@cetis57.edu.mx</t>
  </si>
  <si>
    <t>CEBRERO</t>
  </si>
  <si>
    <t>MACL930810MDFRBR09</t>
  </si>
  <si>
    <t>MARIA ALEJANDRINA</t>
  </si>
  <si>
    <t xml:space="preserve">AV.CANAL DEL MORAL </t>
  </si>
  <si>
    <t>PANADERA</t>
  </si>
  <si>
    <t xml:space="preserve">ALCANTARA </t>
  </si>
  <si>
    <t>Mz 11</t>
  </si>
  <si>
    <t>LOTE 30</t>
  </si>
  <si>
    <t>21-vanegasgonzalez.yamiletjoselin@cetis57.edu.mx</t>
  </si>
  <si>
    <t>VANEGAS</t>
  </si>
  <si>
    <t>VAGY061020MDFNNSA2</t>
  </si>
  <si>
    <t>babyzhow.9@gmail.com</t>
  </si>
  <si>
    <t>21-perezprieto.miriamarlet@cetis57.edu.mx</t>
  </si>
  <si>
    <t>PEPM060127MDFRRRA3</t>
  </si>
  <si>
    <t>LOTE 18</t>
  </si>
  <si>
    <t>elena083@hotmail.com</t>
  </si>
  <si>
    <t>aldopc@live.com</t>
  </si>
  <si>
    <t xml:space="preserve">EDGAR </t>
  </si>
  <si>
    <t xml:space="preserve">JUAN EDGAR </t>
  </si>
  <si>
    <t>Tecnicatura Universitaria en Gestión Turística</t>
  </si>
  <si>
    <t>ALMA ROSA</t>
  </si>
  <si>
    <t>22-cruzmiranda.mariafernanda@cetis57.edu.mx</t>
  </si>
  <si>
    <t>CUMF070203MDFRRRA7</t>
  </si>
  <si>
    <t>MZ 137</t>
  </si>
  <si>
    <t>angelicamirandamejia@gmail.com</t>
  </si>
  <si>
    <t>cruzramirezoscar342@gmail.com</t>
  </si>
  <si>
    <t xml:space="preserve">CALLE MIGUEL HIDALGO </t>
  </si>
  <si>
    <t xml:space="preserve">MAMA Y HERMANOS </t>
  </si>
  <si>
    <t xml:space="preserve">SANTA MARTA ACATITLA NORTE </t>
  </si>
  <si>
    <t xml:space="preserve">ANA MARIA </t>
  </si>
  <si>
    <t>21-marcialreyes.itzel@cetis57.edu.mx</t>
  </si>
  <si>
    <t xml:space="preserve">ITZEL </t>
  </si>
  <si>
    <t>MARI060127MDFRYTA7</t>
  </si>
  <si>
    <t>2DA CERRADA DE MONTEBELLO MZ351 LT49</t>
  </si>
  <si>
    <t xml:space="preserve">PUERTA GRIS </t>
  </si>
  <si>
    <t>22-lopezcruz.laurayoseline@cetis57.edu.mx</t>
  </si>
  <si>
    <t>LAURA YOSELINE</t>
  </si>
  <si>
    <t>LOCL070907MDFPRRA4</t>
  </si>
  <si>
    <t xml:space="preserve">CALLE NOGAL </t>
  </si>
  <si>
    <t>cruzlauro84@yahoo.com</t>
  </si>
  <si>
    <t>lauracru1576@gmail.com</t>
  </si>
  <si>
    <t xml:space="preserve">FACHADA ROJA PUERTA BLANCA </t>
  </si>
  <si>
    <t xml:space="preserve">PARAISO </t>
  </si>
  <si>
    <t xml:space="preserve">JUAN DANIEL </t>
  </si>
  <si>
    <t>21-pinedamontoya.irvinggamaliel@cetis57.edu.mx</t>
  </si>
  <si>
    <t xml:space="preserve">MONTOYA </t>
  </si>
  <si>
    <t xml:space="preserve">IRVING GAMALIEL </t>
  </si>
  <si>
    <t>PIMI060318HMCNNRA8</t>
  </si>
  <si>
    <t xml:space="preserve">SARA MARGARITA </t>
  </si>
  <si>
    <t>CONYUGE</t>
  </si>
  <si>
    <t>DANA PAOLA</t>
  </si>
  <si>
    <t>GONZALO</t>
  </si>
  <si>
    <t>DEPTO 102</t>
  </si>
  <si>
    <t>22-castillocruz.sebastianmauricio@cetis57.edu.mx</t>
  </si>
  <si>
    <t>CACS070414HDFSRBA9</t>
  </si>
  <si>
    <t xml:space="preserve">CARMELA CRUZ SANTIAGO </t>
  </si>
  <si>
    <t>karcruz@gmail.com</t>
  </si>
  <si>
    <t>niza39669@gmail.com</t>
  </si>
  <si>
    <t>ESPOSO E HIJOS</t>
  </si>
  <si>
    <t>DIGF070925MDFZRRA1</t>
  </si>
  <si>
    <t>sofygarcia1226@gmail.com</t>
  </si>
  <si>
    <t>edithferny07@gmail.com</t>
  </si>
  <si>
    <t>fernyedith2@gmail.com</t>
  </si>
  <si>
    <t>05210750674</t>
  </si>
  <si>
    <t xml:space="preserve">GUSTAVO MADERO </t>
  </si>
  <si>
    <t>LT 18</t>
  </si>
  <si>
    <t>CRISTINA</t>
  </si>
  <si>
    <t xml:space="preserve">SANTIAGO ZAPOTITLAN </t>
  </si>
  <si>
    <t>CALLE PINO</t>
  </si>
  <si>
    <t xml:space="preserve">ALVARO </t>
  </si>
  <si>
    <t>22-coriacalvillo.mayracarolina@cetis57.edu.mx</t>
  </si>
  <si>
    <t>CORIA</t>
  </si>
  <si>
    <t xml:space="preserve">MAYRA CAROLINA </t>
  </si>
  <si>
    <t>COCM060712MDFRLYA8</t>
  </si>
  <si>
    <t>lupitacoria32@gmail.com</t>
  </si>
  <si>
    <t>01220615692</t>
  </si>
  <si>
    <t xml:space="preserve">MATAMOROS </t>
  </si>
  <si>
    <t>22-alcalapacheco.adamaryaydee@cetis57.edu.mx</t>
  </si>
  <si>
    <t>AAPA061019MDFLCDA4</t>
  </si>
  <si>
    <t>22-carreonmartinez.adelitamayte@cetis57.edu.mx</t>
  </si>
  <si>
    <t>ADELITA MAYTE</t>
  </si>
  <si>
    <t>CAMA070907MMCRRDA6</t>
  </si>
  <si>
    <t>04220758314</t>
  </si>
  <si>
    <t>22-gomezsalas.katherinemichelle@cetis57.edu.mx</t>
  </si>
  <si>
    <t xml:space="preserve">KATHERINE MICHELLE </t>
  </si>
  <si>
    <t>GOSK070423MMCMLTA5</t>
  </si>
  <si>
    <t>08620</t>
  </si>
  <si>
    <t>SANDRA MONICA</t>
  </si>
  <si>
    <t>kanosack@gmail.com</t>
  </si>
  <si>
    <t xml:space="preserve">CAMILA </t>
  </si>
  <si>
    <t xml:space="preserve">COMERCIO </t>
  </si>
  <si>
    <t xml:space="preserve">GUADALUPE YARELI </t>
  </si>
  <si>
    <t>HECG071120MDFRRDA2</t>
  </si>
  <si>
    <t>NIEVA</t>
  </si>
  <si>
    <t>rostty.06@gmail.com</t>
  </si>
  <si>
    <t>GRANJAS MEXICO</t>
  </si>
  <si>
    <t>TECHACHALTITLA</t>
  </si>
  <si>
    <t>ÁLGEBRA</t>
  </si>
  <si>
    <t>QUÍMICA I</t>
  </si>
  <si>
    <t>EL ARENAL</t>
  </si>
  <si>
    <t>22-ramirezmiranda.aylin@cetis57.edu.mx</t>
  </si>
  <si>
    <t>AYLIN</t>
  </si>
  <si>
    <t>RAMA050918MDFMRYA4</t>
  </si>
  <si>
    <t>juanafigueroa1583@gmail.com</t>
  </si>
  <si>
    <t xml:space="preserve">Laboratorista clínico </t>
  </si>
  <si>
    <t>04210513257</t>
  </si>
  <si>
    <t>EJERCITO DE AGUAPRIETA</t>
  </si>
  <si>
    <t>20-lemussanchez.omaralexis@cetis57.edu.mx</t>
  </si>
  <si>
    <t>LESO050330HDFMNMA2</t>
  </si>
  <si>
    <t>SILES</t>
  </si>
  <si>
    <t>NORMA PATRICIA</t>
  </si>
  <si>
    <t>04130576400</t>
  </si>
  <si>
    <t>LT 38</t>
  </si>
  <si>
    <t>21-romeroruedas.erikivan@cetis57.edu.mx</t>
  </si>
  <si>
    <t>RUEDAS</t>
  </si>
  <si>
    <t>ERIK IVAN</t>
  </si>
  <si>
    <t>RORE021123HDFMDRA4</t>
  </si>
  <si>
    <t>OBLE</t>
  </si>
  <si>
    <t>JESSICA ORLANDA</t>
  </si>
  <si>
    <t>02190229134</t>
  </si>
  <si>
    <t>Niguno</t>
  </si>
  <si>
    <t>20-hernandeznavarrete.jesusefrain@cetis57.edu.mx</t>
  </si>
  <si>
    <t>HENJ050525HMCRVSA1</t>
  </si>
  <si>
    <t>borutoshipuden485@gmail.com</t>
  </si>
  <si>
    <t>si</t>
  </si>
  <si>
    <t>19-rivasruiz.jocelynailine@cetis57.edu.mx</t>
  </si>
  <si>
    <t>JOCELYN AILINE</t>
  </si>
  <si>
    <t>RIRJ041213MDFVZCA7</t>
  </si>
  <si>
    <t>MZ 39</t>
  </si>
  <si>
    <t>LT 433</t>
  </si>
  <si>
    <t>MICHEL</t>
  </si>
  <si>
    <t>21-hernandezhernandez.susana@cetis57.edu.mx</t>
  </si>
  <si>
    <t xml:space="preserve">REPARTIDOR </t>
  </si>
  <si>
    <t xml:space="preserve">TALLER DE COSTURA </t>
  </si>
  <si>
    <t>21-floresmorales.ayerimavellaneda@cetis57.edu.mx</t>
  </si>
  <si>
    <t xml:space="preserve">AYERIM AVELLANEDA </t>
  </si>
  <si>
    <t>FOMA060226MDFLRYA0</t>
  </si>
  <si>
    <t xml:space="preserve">LUZ MARIA MORALES BELLO </t>
  </si>
  <si>
    <t>07210603234</t>
  </si>
  <si>
    <t xml:space="preserve">SI VIVO CON ELLOS </t>
  </si>
  <si>
    <t>FILIBERTA</t>
  </si>
  <si>
    <t>LICENCIATURA EN CIRUJANO DENTISTA</t>
  </si>
  <si>
    <t xml:space="preserve">JAUREGUI </t>
  </si>
  <si>
    <t xml:space="preserve">RAMSES </t>
  </si>
  <si>
    <t>LICENCIATURA EN CIENCIAS FORENSES</t>
  </si>
  <si>
    <t xml:space="preserve">JULIO CESAR </t>
  </si>
  <si>
    <t>CONDE</t>
  </si>
  <si>
    <t xml:space="preserve">CELIA </t>
  </si>
  <si>
    <t>YADIRA</t>
  </si>
  <si>
    <t>LT 30</t>
  </si>
  <si>
    <t>21-munozherrera.dianalaura@cetis57.edu.mx</t>
  </si>
  <si>
    <t xml:space="preserve">DIANA LAURA </t>
  </si>
  <si>
    <t>jorgeherreraperalta110655@gmail.com</t>
  </si>
  <si>
    <t>munozdiana260@gmail.com</t>
  </si>
  <si>
    <t>21-garcianavarro.angelraul@cetis57.edu.mx</t>
  </si>
  <si>
    <t>GANA060214HDFRVNA4</t>
  </si>
  <si>
    <t xml:space="preserve">VERA </t>
  </si>
  <si>
    <t>PUERTA NEGRA</t>
  </si>
  <si>
    <t>MANZANA 32</t>
  </si>
  <si>
    <t>M1S1 PREPARA SOLUCIONES PARA LAS OPERACIONES BÁSICAS DEL LABORATORIO</t>
  </si>
  <si>
    <t>NIÑERA</t>
  </si>
  <si>
    <t xml:space="preserve">FINADO </t>
  </si>
  <si>
    <t>GEOMETRÍA ANALÍTICA</t>
  </si>
  <si>
    <t>M1S3 UTILIZA TÉCNICAS DE SEPARACIÓN Y PURIFICACIÓN CON BASE A PROCEDIMIENTOS ESTANDARIZADOS</t>
  </si>
  <si>
    <t>GEOMETRÍA Y TRIGONOMETRÍA</t>
  </si>
  <si>
    <t>22-ramireznegrete.melisaastrid@cetis57.edu.mx</t>
  </si>
  <si>
    <t>RANM060330MMCMGLA8</t>
  </si>
  <si>
    <t>elzabn@gmail.com</t>
  </si>
  <si>
    <t>ANICETO</t>
  </si>
  <si>
    <t>SERAFIN</t>
  </si>
  <si>
    <t>Redesymicrosdeloriente@hotmail.com</t>
  </si>
  <si>
    <t>22-rochachavez.alondrasaciht@cetis57.edu.mx</t>
  </si>
  <si>
    <t xml:space="preserve">ALONDRA SACIHT </t>
  </si>
  <si>
    <t>ROCA061026MMNCHLA6</t>
  </si>
  <si>
    <t>03200614802</t>
  </si>
  <si>
    <t>cheliyaar12@gmail.com</t>
  </si>
  <si>
    <t>LECTURA, EXPRESIÓN ORAL Y ESCRITA II</t>
  </si>
  <si>
    <t>07</t>
  </si>
  <si>
    <t>CECILIO</t>
  </si>
  <si>
    <t>Mz9</t>
  </si>
  <si>
    <t>PAREJA DE MI MAMA</t>
  </si>
  <si>
    <t>21-sandovalromero.leonardo@cetis57.edu.mx</t>
  </si>
  <si>
    <t>SARL061009HDFNMNA5</t>
  </si>
  <si>
    <t>rs264128@gmail.com</t>
  </si>
  <si>
    <t>everomero1463@gmail.com</t>
  </si>
  <si>
    <t>oscarsg082@gmail.com</t>
  </si>
  <si>
    <t>21-truebaibarra.joanna@cetis57.edu.mx</t>
  </si>
  <si>
    <t>TRUEBA</t>
  </si>
  <si>
    <t>TUIJ061118MMCRBNA2</t>
  </si>
  <si>
    <t>juliocesa132@gmail.com</t>
  </si>
  <si>
    <t>Veterinaria</t>
  </si>
  <si>
    <t>Nombre completo del primer tutor</t>
  </si>
  <si>
    <t>Parentesco del primer tutor</t>
  </si>
  <si>
    <t>Edad del primer tutor</t>
  </si>
  <si>
    <t>Número telefónico celular del primer tutor</t>
  </si>
  <si>
    <t>Numero telefónico del primer tutor (casa)</t>
  </si>
  <si>
    <t>Correo electrónico del primer tutor</t>
  </si>
  <si>
    <t xml:space="preserve">Apellido paterno del segundo tutor </t>
  </si>
  <si>
    <t>Apellido materno del segundo tutor</t>
  </si>
  <si>
    <t>Nombre(s) del segundo tutor</t>
  </si>
  <si>
    <t>Parentesco del segundo tutor</t>
  </si>
  <si>
    <t>Edad del segundo tutor</t>
  </si>
  <si>
    <t xml:space="preserve">Ocupación del segundo tutor </t>
  </si>
  <si>
    <t>Horario laboral del segundo tutor  (INICIO)</t>
  </si>
  <si>
    <t>Horario laboral del segundo tutor (FINAL)</t>
  </si>
  <si>
    <t>Numero telefónico del segundo tutor</t>
  </si>
  <si>
    <t>Numero telefónico del segundo tutor (casa)</t>
  </si>
  <si>
    <t>Correo del segundo tutor</t>
  </si>
  <si>
    <t>Agrega una foto del INE del segundo tutor</t>
  </si>
  <si>
    <t>Apellido paterno del tercer tutor</t>
  </si>
  <si>
    <t>Apellido materno del tercer tutor</t>
  </si>
  <si>
    <t>Nombre(s) del tercer tutor</t>
  </si>
  <si>
    <t>Parentesco del tercer tutor</t>
  </si>
  <si>
    <t xml:space="preserve">Edad </t>
  </si>
  <si>
    <t>ocupación del  tercer tutor</t>
  </si>
  <si>
    <t>horario laboral  tercer tutor  (INICIO)</t>
  </si>
  <si>
    <t>horario laboral  tercer tutor  (FINAL)</t>
  </si>
  <si>
    <t>Numero telefónico del tercer tutor</t>
  </si>
  <si>
    <t xml:space="preserve">Numero telefónico del  tercer tutor (casa) </t>
  </si>
  <si>
    <t>Correo del tercer tutor</t>
  </si>
  <si>
    <t>Agrega una foto del INE del  tercer tutor</t>
  </si>
  <si>
    <t>Alumno: leer el reglamento en el enlace  https://drive.google.com/file/d/1rKMRX4tKiVQ4_XLAR7ozB8ekodmq8O09/view?usp=sharing</t>
  </si>
  <si>
    <t>Padre o tutor: leer el reglamento en el enlace  https://drive.google.com/file/d/1rKMRX4tKiVQ4_XLAR7ozB8ekodmq8O09/view?usp=sharing</t>
  </si>
  <si>
    <t>Horario laboral del primer tutor(INICIO)</t>
  </si>
  <si>
    <t>Horario laboral del primer tutor(FIN)</t>
  </si>
  <si>
    <t>@</t>
  </si>
  <si>
    <t>INE TUTOR1</t>
  </si>
  <si>
    <t>INE TUTOR2</t>
  </si>
  <si>
    <t>INE TUTOR3</t>
  </si>
  <si>
    <t>Merged Doc ID - 1 REINSCRIPCION 2023-1</t>
  </si>
  <si>
    <t>Merged Doc URL - 1 REINSCRIPCION 2023-1</t>
  </si>
  <si>
    <t>Link to merged Doc - 1 REINSCRIPCION 2023-1</t>
  </si>
  <si>
    <t>Document Merge Status - 1 REINSCRIPCION 2023-1</t>
  </si>
  <si>
    <t>PRUEBA</t>
  </si>
  <si>
    <t>PRUBA</t>
  </si>
  <si>
    <t>https://drive.google.com/open?id=1UiYxkXqwqXaDF7a7BsrNfJeCsYEbQmXR</t>
  </si>
  <si>
    <t>FELIPE ANGELES MZ 69 LT 18</t>
  </si>
  <si>
    <t>STA MA AZTAHUACAN</t>
  </si>
  <si>
    <t>IGNACIA</t>
  </si>
  <si>
    <t>https://drive.google.com/open?id=1clCcRsGNiPvMvueSM7afdipyK8u1PRyG</t>
  </si>
  <si>
    <t>APELLIDO SEGUNDO TUTOR</t>
  </si>
  <si>
    <t>SEGUNDO TUTOR</t>
  </si>
  <si>
    <t>MARCOS SEGUNDO TUTOT</t>
  </si>
  <si>
    <t>prueba@cetis57.edu.mx</t>
  </si>
  <si>
    <t>https://drive.google.com/open?id=1f1tuO8zO1BR9yaWSzxCeTgWSBxqrCuUR</t>
  </si>
  <si>
    <t>PATERNO PRUEBA 3</t>
  </si>
  <si>
    <t>MATERNO PRUEBA 3</t>
  </si>
  <si>
    <t>NOMBR EPRUEBA 3</t>
  </si>
  <si>
    <t>TERCERTUTRO@PRUEBA.COM</t>
  </si>
  <si>
    <t>https://drive.google.com/open?id=199-Zevta_7-yFu0RZwuvT7SQWBGKGAw2</t>
  </si>
  <si>
    <t>Toda la información que he capturado en el presente formulario es verdadera y correcta, ademas estoy de acuerdo con la reglamentación vigente del plantel, por lo que es mi deseo mi reinscripción para el semestre 2023_1. Firmo con mi consentimiento</t>
  </si>
  <si>
    <t>https://drive.google.com/open?id=1F9ynQw10cqa0nnDbKAXmxGjioyEGSbo-</t>
  </si>
  <si>
    <t>https://drive.google.com/open?id=1sBZ3Ket9DrmCONOY8FfJUao6WlboyCR0</t>
  </si>
  <si>
    <t>CALLE 1 MZ 14 LT 6 COLONIA VALLE DE LOS REYES LA PAZ</t>
  </si>
  <si>
    <t>MZ 14</t>
  </si>
  <si>
    <t>ZAGUAN GRIS</t>
  </si>
  <si>
    <t>MALDONADO LEYVA ABEL</t>
  </si>
  <si>
    <t>https://drive.google.com/open?id=1jLLiTNhHg85iNLEZn-4qT4GlcU5vDDax</t>
  </si>
  <si>
    <t>paulinamaldonado5553@gmail.com</t>
  </si>
  <si>
    <t>https://drive.google.com/open?id=1IKf0w54jThlSrQ5hlOibz2NHHfJiCFXG</t>
  </si>
  <si>
    <t>https://drive.google.com/open?id=1hnTkGcb9emqpIlFnHL42aERmwAvdlcP6</t>
  </si>
  <si>
    <t>https://drive.google.com/open?id=1YZEhUTyPnSVa9TMUKqTe45aTJoZvOJru</t>
  </si>
  <si>
    <t>Copied down all formats, and formulas from row 2 in columns CT-DF, DH-GA</t>
  </si>
  <si>
    <t>1sdQcTKDcWr2XZyg31v270it_-7MrnT79</t>
  </si>
  <si>
    <t>https://drive.google.com/file/d/1sdQcTKDcWr2XZyg31v270it_-7MrnT79/view?usp=drivesdk</t>
  </si>
  <si>
    <t>Document successfully created; Document successfully merged; PDF created; Emails Sent: [To: 21-maldonadolopez.jimena@cetis57.edu.mx; no-reply: true]; Run via form trigger as gabrielvazquez@cetis57.edu.mx; Timestamp: Aug 2 2023 12:30 AM</t>
  </si>
  <si>
    <t>1w7oC-PYx5RffbMdqv_7P1POHsgvgIdZ4</t>
  </si>
  <si>
    <t>https://drive.google.com/file/d/1w7oC-PYx5RffbMdqv_7P1POHsgvgIdZ4/view?usp=drivesdk</t>
  </si>
  <si>
    <t>Document successfully created; Document successfully merged; PDF created; Emails Sent: [To: 21-maldonadolopez.jimena@cetis57.edu.mx; no-reply: true]; Run via form trigger as gabrielvazquez@cetis57.edu.mx; Timestamp: Aug 2 2023 12:32 AM</t>
  </si>
  <si>
    <t>https://drive.google.com/open?id=1ZQtgBLUHsXT9LCo_M3cxEIHLDg4PuJis</t>
  </si>
  <si>
    <t xml:space="preserve">MZ46 LT36 COL REY IZCOATL 2DA SECCION </t>
  </si>
  <si>
    <t xml:space="preserve">LT36 </t>
  </si>
  <si>
    <t xml:space="preserve">ATRAS DE EL BILLAR FAMILIAR </t>
  </si>
  <si>
    <t xml:space="preserve">ELVIA RAMIREZ RAMON </t>
  </si>
  <si>
    <t>https://drive.google.com/open?id=18682IYp7sMu_JCAau-L9kq9V84TQm7RG</t>
  </si>
  <si>
    <t>https://drive.google.com/open?id=1smp80xrSRWAMMEi6whv9KkhpV7iW88E0</t>
  </si>
  <si>
    <t>ELVIA</t>
  </si>
  <si>
    <t>https://drive.google.com/open?id=1xBKlqNFyQxTdlWjicjU0vhpe72EWa71A</t>
  </si>
  <si>
    <t>https://drive.google.com/open?id=1S9GtoPvcUdKZZPqbmChD9dn-KRao0tSC</t>
  </si>
  <si>
    <t>1iqAZj77rNM5GlUt-VtyronGyQkz8NvAc</t>
  </si>
  <si>
    <t>https://drive.google.com/file/d/1iqAZj77rNM5GlUt-VtyronGyQkz8NvAc/view?usp=drivesdk</t>
  </si>
  <si>
    <t>Document successfully created; Document successfully merged; PDF created; Emails Sent: [To: 21-martinezramirez.luisfernando@cetis57.edu.mx; no-reply: true]; Run via form trigger as gabrielvazquez@cetis57.edu.mx; Timestamp: Aug 2 2023 12:32 AM</t>
  </si>
  <si>
    <t>120hTZ2ThPqbhpofu3gmnzsf1GmBgcHEb</t>
  </si>
  <si>
    <t>https://drive.google.com/file/d/120hTZ2ThPqbhpofu3gmnzsf1GmBgcHEb/view?usp=drivesdk</t>
  </si>
  <si>
    <t>Document successfully created; Document successfully merged; PDF created; Emails Sent: [To: 21-martinezramirez.luisfernando@cetis57.edu.mx; no-reply: true]; Run via form trigger as gabrielvazquez@cetis57.edu.mx; Timestamp: Aug 2 2023 12:33 AM</t>
  </si>
  <si>
    <t>https://drive.google.com/open?id=1FH9UHRGwPtLgSnB4FrRAtseWOJWuBy9E</t>
  </si>
  <si>
    <t>55 8989 3326</t>
  </si>
  <si>
    <t>Calle 2 de Luis Araiza 11</t>
  </si>
  <si>
    <t>https://drive.google.com/open?id=1Bl-Wc711dYu6Fauu2OyYV2u6VTh64ME-</t>
  </si>
  <si>
    <t xml:space="preserve">JOSE MIGUEL </t>
  </si>
  <si>
    <t>https://drive.google.com/open?id=1FQ5z7I_rMRgJPDfpGmcGrVnR-_I4kT57</t>
  </si>
  <si>
    <t>https://drive.google.com/open?id=1QMsFB0s4il5oS9ehEl9RkpzDEq6LiY1r</t>
  </si>
  <si>
    <t>https://drive.google.com/open?id=1hS8-JclVgg3hjesn-bySXKEvtcRGrUGA</t>
  </si>
  <si>
    <t>1HipcIPKgV3yNMB4CmPa6nfNtWiF_ZC6B</t>
  </si>
  <si>
    <t>https://drive.google.com/file/d/1HipcIPKgV3yNMB4CmPa6nfNtWiF_ZC6B/view?usp=drivesdk</t>
  </si>
  <si>
    <t>Document successfully created; Document successfully merged; PDF created; Emails Sent: [To: 21-gonzalezcruz.miguelangel@cetis57.edu.mx]; Manually run by gabrielvazquez@cetis57.edu.mx; Timestamp: Aug 4 2023 7:37 PM</t>
  </si>
  <si>
    <t>1NCdAOwMmg69oUlSbaXoBvJazavo7n5zB</t>
  </si>
  <si>
    <t>https://drive.google.com/file/d/1NCdAOwMmg69oUlSbaXoBvJazavo7n5zB/view?usp=drivesdk</t>
  </si>
  <si>
    <t>Document successfully created; Document successfully merged; PDF created; Emails Sent: [To: 21-gonzalezcruz.miguelangel@cetis57.edu.mx; no-reply: true]; Run via form trigger as gabrielvazquez@cetis57.edu.mx; Timestamp: Aug 2 2023 12:34 AM</t>
  </si>
  <si>
    <t>https://drive.google.com/open?id=1x0wPYIObqAYv92WT1_JsbtBqO3L-rU7O</t>
  </si>
  <si>
    <t>CALLE ORIENTE 4 MANZANA 10 LOTE 3</t>
  </si>
  <si>
    <t>EN LA ESQUINA SE ENCUENTRA UN PUESTO VERDE Y UNA RECAAUDERIA, UNA CALLE DESPUES DE LA PRIMARIA, UNA CALLE ANTES DE QUE EL PAVIMENTO TERMINE</t>
  </si>
  <si>
    <t>https://drive.google.com/open?id=1GqNuL16hRqbQllMAPXU1YlR99PreW7bs</t>
  </si>
  <si>
    <t>rodrigogonzalezsuarez6@gmail.com</t>
  </si>
  <si>
    <t>rodolfogs160994@gmail.com</t>
  </si>
  <si>
    <t>https://drive.google.com/open?id=1pH9GH3324bL90zL9ceccP9WjRCubd9pV</t>
  </si>
  <si>
    <t>gonzalezsuarezmariadelpilar04@gmail.com</t>
  </si>
  <si>
    <t>https://drive.google.com/open?id=1z9_qLyxhxX8Wgj8dxEhPEKxEa7qOmf2B</t>
  </si>
  <si>
    <t>https://drive.google.com/open?id=1nlmPkP-45l0RckkxkJ43NEhAWIefTJMJ</t>
  </si>
  <si>
    <t>0221061170</t>
  </si>
  <si>
    <t>1DdmKlKH877pz1__I8vSHIY3bSiZpXMpr</t>
  </si>
  <si>
    <t>https://drive.google.com/file/d/1DdmKlKH877pz1__I8vSHIY3bSiZpXMpr/view?usp=drivesdk</t>
  </si>
  <si>
    <t>Document successfully created; Document successfully merged; PDF created; Emails Sent: [To: 21-gonzalezsuarez.omar@cetis57.edu.mx; no-reply: true]; Run via form trigger as gabrielvazquez@cetis57.edu.mx; Timestamp: Aug 2 2023 12:34 AM</t>
  </si>
  <si>
    <t>13-Q9tEL-_NNrDQuFwOtlILNsX-1VyafO</t>
  </si>
  <si>
    <t>https://drive.google.com/file/d/13-Q9tEL-_NNrDQuFwOtlILNsX-1VyafO/view?usp=drivesdk</t>
  </si>
  <si>
    <t>https://drive.google.com/open?id=1dnpTjQ0un2XsePCSxmnYfFQglSCh9PBb</t>
  </si>
  <si>
    <t>Calle Roble Manza 39 Lote 20</t>
  </si>
  <si>
    <t>CASA DE 3 PISOS CON VENTANALES DE ESPEJO</t>
  </si>
  <si>
    <t>JUAN FRANCISCO MELO CASTRO</t>
  </si>
  <si>
    <t>https://drive.google.com/open?id=1DzWDYcGmDm-Y6qjj-rt4LsX43bOzak2R</t>
  </si>
  <si>
    <t>72735363e@gmail.com</t>
  </si>
  <si>
    <t>FRANCISCO SABAS</t>
  </si>
  <si>
    <t>https://drive.google.com/open?id=1IWIznNmz-zW6Osh7bIbbkrjzJrpFqwUi</t>
  </si>
  <si>
    <t>QUIROPRACTICO</t>
  </si>
  <si>
    <t>https://drive.google.com/open?id=10s84M67du01iIu2a_ZuUEMaFg23qJlgj</t>
  </si>
  <si>
    <t>https://drive.google.com/open?id=1QSXpoO1SGmVV1v5hxwsGqK8XMgTMxnhH</t>
  </si>
  <si>
    <t>1cu5bqT8RmVd4c3loZDgP_IbAUqxmwmIK</t>
  </si>
  <si>
    <t>https://drive.google.com/file/d/1cu5bqT8RmVd4c3loZDgP_IbAUqxmwmIK/view?usp=drivesdk</t>
  </si>
  <si>
    <t>Document successfully created; Document successfully merged; PDF created; Emails Sent: [To: 21-melocastro.marialuisamelany@cetis57.edu.mx; no-reply: true]; Run via form trigger as gabrielvazquez@cetis57.edu.mx; Timestamp: Aug 2 2023 12:34 AM</t>
  </si>
  <si>
    <t>1dIqBmK2vIH9U9g5Yd7fkEYraYSWGChQY</t>
  </si>
  <si>
    <t>https://drive.google.com/file/d/1dIqBmK2vIH9U9g5Yd7fkEYraYSWGChQY/view?usp=drivesdk</t>
  </si>
  <si>
    <t>Document successfully created; Document successfully merged; PDF created; Emails Sent: [To: 21-melocastro.marialuisamelany@cetis57.edu.mx; no-reply: true]; Run via form trigger as gabrielvazquez@cetis57.edu.mx; Timestamp: Aug 3 2023 10:00 AM</t>
  </si>
  <si>
    <t xml:space="preserve">FRIDA VALENTINA </t>
  </si>
  <si>
    <t>https://drive.google.com/open?id=1v8mCDEvvSESPC4daSvQ6CSuIoxIZNGba</t>
  </si>
  <si>
    <t>COLONIA SAN MIGUEL TEOTONGO, CALLE DIEGO RIVERA MZ. 13 LT. 5</t>
  </si>
  <si>
    <t>A UN COSTADO DE LA AV. BENITO JUAREZ, ATRAS DEL JARDIN DE NIÑOS "XOCOYOTL"</t>
  </si>
  <si>
    <t>SANDRA LOPEZ MACIAS</t>
  </si>
  <si>
    <t>https://drive.google.com/open?id=1kl3NvOqtd6zFs7B_bM_i8k1CteCI52Oc</t>
  </si>
  <si>
    <t>lopezsandybel34@gmail.com</t>
  </si>
  <si>
    <t>jz210580@gmail.com</t>
  </si>
  <si>
    <t>https://drive.google.com/open?id=13BJ7NUda1IlARICEGjQ7wZqpocBcoUaN</t>
  </si>
  <si>
    <t xml:space="preserve">ZEPEDA </t>
  </si>
  <si>
    <t xml:space="preserve">IVAN AH TZAB </t>
  </si>
  <si>
    <t>fridachikis124@gmail.com</t>
  </si>
  <si>
    <t>https://drive.google.com/open?id=1cU1CI8XuMZWEWHsJrFY4sCSd_ofwaRUw</t>
  </si>
  <si>
    <t xml:space="preserve">Licenciatura en ciencias forenses </t>
  </si>
  <si>
    <t>https://drive.google.com/open?id=1202KesyNw_AL_Ov80ZPx1_aItueJ-sdt</t>
  </si>
  <si>
    <t>1fOE-k6st4X1sLH9VwULe6CvIlBX11qgQ</t>
  </si>
  <si>
    <t>https://drive.google.com/file/d/1fOE-k6st4X1sLH9VwULe6CvIlBX11qgQ/view?usp=drivesdk</t>
  </si>
  <si>
    <t>Document successfully created; Document successfully merged; PDF created; Emails Sent: [To: 22-zepedalopez.fridavalentina@cetis57.edu.mx; no-reply: true]; Run via form trigger as gabrielvazquez@cetis57.edu.mx; Timestamp: Aug 2 2023 12:36 AM</t>
  </si>
  <si>
    <t>1Y_1cj_uQrSLH2f6bLA_qJi-4uwft_CnO</t>
  </si>
  <si>
    <t>https://drive.google.com/file/d/1Y_1cj_uQrSLH2f6bLA_qJi-4uwft_CnO/view?usp=drivesdk</t>
  </si>
  <si>
    <t>Document successfully created; Document successfully merged; PDF created; Emails Sent: [To: 22-zepedalopez.fridavalentina@cetis57.edu.mx; no-reply: true]; Run via form trigger as gabrielvazquez@cetis57.edu.mx; Timestamp: Aug 3 2023 10:01 AM</t>
  </si>
  <si>
    <t>https://drive.google.com/open?id=1uRHlwna4XUpSqBgXxgQQkdJy7Fn56ZwY</t>
  </si>
  <si>
    <t>SPM3 MZ18 LT18</t>
  </si>
  <si>
    <t>AV UNIVERSIDAD LEON LOYOLA</t>
  </si>
  <si>
    <t>SPM3</t>
  </si>
  <si>
    <t xml:space="preserve">CASA ROJO CON AZUL </t>
  </si>
  <si>
    <t>https://drive.google.com/open?id=1AldeIaj1YfnGtHCSpOUsVY3ZqD6E4EWH</t>
  </si>
  <si>
    <t>LAGUNA</t>
  </si>
  <si>
    <t xml:space="preserve">REYNA MARIA </t>
  </si>
  <si>
    <t>https://drive.google.com/open?id=1R184c4jpaDbwI3uRBEaCszTMBWPgG85x</t>
  </si>
  <si>
    <t>https://drive.google.com/open?id=1HEL3s8pxb8kOXNnpypNVt6D0Y9BLb6G_</t>
  </si>
  <si>
    <t>https://drive.google.com/open?id=1WFu5J47kpz3ch8Jv9IdTZdt7Ltbe6lcy</t>
  </si>
  <si>
    <t>17A-Oju2P-fRX8zWRe13li1ZDjzTd8VB6</t>
  </si>
  <si>
    <t>https://drive.google.com/file/d/17A-Oju2P-fRX8zWRe13li1ZDjzTd8VB6/view?usp=drivesdk</t>
  </si>
  <si>
    <t>Document successfully created; Document successfully merged; PDF created; Emails Sent: [To: 21-herreranieto.britanymarian@cetis57.edu.mx; no-reply: true]; Run via form trigger as gabrielvazquez@cetis57.edu.mx; Timestamp: Aug 2 2023 9:29 PM</t>
  </si>
  <si>
    <t>13O9zshvGyJVj_Mb_DZnFh4zOa4yt2I8A</t>
  </si>
  <si>
    <t>https://drive.google.com/file/d/13O9zshvGyJVj_Mb_DZnFh4zOa4yt2I8A/view?usp=drivesdk</t>
  </si>
  <si>
    <t>Document successfully created; Document successfully merged; PDF created; Emails Sent: [To: 21-herreranieto.britanymarian@cetis57.edu.mx; no-reply: true]; Run via form trigger as gabrielvazquez@cetis57.edu.mx; Timestamp: Aug 3 2023 10:02 AM</t>
  </si>
  <si>
    <t xml:space="preserve">SERENO </t>
  </si>
  <si>
    <t>https://drive.google.com/open?id=1CtSeAva0H_jWZwMZNR0SrmyM4vZth1eB</t>
  </si>
  <si>
    <t>MASF061025HMCRRRA2</t>
  </si>
  <si>
    <t xml:space="preserve">CALLE LAS MIXTECAS </t>
  </si>
  <si>
    <t>ENTRE LA CALE COSTEÑAS Y LAS ISABELES</t>
  </si>
  <si>
    <t xml:space="preserve">MARIA GUADALUPE SERENO ESPINOSA </t>
  </si>
  <si>
    <t>https://drive.google.com/open?id=12BQPDwMLoxeKUpUrsuMg-DdNRne9O-W8</t>
  </si>
  <si>
    <t>https://drive.google.com/open?id=1rD32GoSAR6sLceZ7L77an1xyDk2IMnSq</t>
  </si>
  <si>
    <t>https://drive.google.com/open?id=1V1YGh7M5aMVPrBV8h_2GnXk-gy8pGjwG</t>
  </si>
  <si>
    <t>https://drive.google.com/open?id=1dAm_g0J2zwXoyHs3PFPJ0AaywOAftkxo</t>
  </si>
  <si>
    <t>1rGLF2cMrPdoxFfQGUKnAU2-x5h2Nrj0L</t>
  </si>
  <si>
    <t>https://drive.google.com/file/d/1rGLF2cMrPdoxFfQGUKnAU2-x5h2Nrj0L/view?usp=drivesdk</t>
  </si>
  <si>
    <t>Document successfully created; Document successfully merged; PDF created; Emails Sent: [To: 21-martinezsereno.franciscoesteban@cetis57.edu.mx; no-reply: true]; Run via form trigger as gabrielvazquez@cetis57.edu.mx; Timestamp: Aug 2 2023 12:38 AM</t>
  </si>
  <si>
    <t>1OVzER_TfXNv6-8_D5L3soTOjZnKUMApr</t>
  </si>
  <si>
    <t>https://drive.google.com/file/d/1OVzER_TfXNv6-8_D5L3soTOjZnKUMApr/view?usp=drivesdk</t>
  </si>
  <si>
    <t>Document successfully created; Document successfully merged; PDF created; Emails Sent: [To: 21-martinezsereno.franciscoesteban@cetis57.edu.mx; no-reply: true]; Run via form trigger as gabrielvazquez@cetis57.edu.mx; Timestamp: Aug 3 2023 10:02 AM</t>
  </si>
  <si>
    <t>https://drive.google.com/open?id=1MZhb6o0Nk241Z100xKvSbCpnl1mGK1cb</t>
  </si>
  <si>
    <t>HUMBERTO G TAMAYO NO.19 MZ13 L10</t>
  </si>
  <si>
    <t xml:space="preserve">Mz13 </t>
  </si>
  <si>
    <t xml:space="preserve">ESTACIONAMIENTO,PANADERIA Y ROSTICERIA </t>
  </si>
  <si>
    <t>https://drive.google.com/open?id=1rPXUsiq8VsDSTOJDM4KLAHFf8yKZ3qeW</t>
  </si>
  <si>
    <t>almaegc17@gmail.com</t>
  </si>
  <si>
    <t>SANDRA ITZEL</t>
  </si>
  <si>
    <t>saanddvillanueva2510@gmail.com</t>
  </si>
  <si>
    <t>https://drive.google.com/open?id=1vhzq0mQXF7nTLIjy1OZmHEfkIr6-7vv3</t>
  </si>
  <si>
    <t>CABELLO</t>
  </si>
  <si>
    <t>https://drive.google.com/open?id=1JIFvKxJTbMK4I4EMBOPC3qOH5NedmmhW</t>
  </si>
  <si>
    <t>COYOACANE</t>
  </si>
  <si>
    <t>https://drive.google.com/open?id=1vRtPnPHZV45Lp23NaDULTlkqIjQmrjnl</t>
  </si>
  <si>
    <t>1Krbngcg3LevTmh8RK_u5DM-laACF9QbU</t>
  </si>
  <si>
    <t>https://drive.google.com/file/d/1Krbngcg3LevTmh8RK_u5DM-laACF9QbU/view?usp=drivesdk</t>
  </si>
  <si>
    <t>Document successfully created; Document successfully merged; PDF created; Emails Sent: [To: 21-villanuevagarcia.almaceleste@cetis57.edu.mx; no-reply: true]; Run via form trigger as gabrielvazquez@cetis57.edu.mx; Timestamp: Aug 2 2023 12:38 AM</t>
  </si>
  <si>
    <t>1TN-B2qrnvCaHsDesIwvKva2laj6hGrAC</t>
  </si>
  <si>
    <t>https://drive.google.com/file/d/1TN-B2qrnvCaHsDesIwvKva2laj6hGrAC/view?usp=drivesdk</t>
  </si>
  <si>
    <t>Document successfully created; Document successfully merged; PDF created; Emails Sent: [To: 21-villanuevagarcia.almaceleste@cetis57.edu.mx; no-reply: true]; Run via form trigger as gabrielvazquez@cetis57.edu.mx; Timestamp: Aug 3 2023 10:03 AM</t>
  </si>
  <si>
    <t>https://drive.google.com/open?id=1gsWtJq1v4Gyd39aPwAmcs-EgF_qiFD9u</t>
  </si>
  <si>
    <t>CHAPARRITA #111</t>
  </si>
  <si>
    <t>FRENTE UNA ESCUELA DE INGLES</t>
  </si>
  <si>
    <t>JOCELYN GEMMA LOYOLA VELAZQUEZ</t>
  </si>
  <si>
    <t>https://drive.google.com/open?id=1deze63Ewo8cUP2aAiF4EBJlcCPNUiDcn</t>
  </si>
  <si>
    <t>https://drive.google.com/open?id=10ebVrKBOdbfpspkcMIx-HPjZ903b1NxJ</t>
  </si>
  <si>
    <t>EDER</t>
  </si>
  <si>
    <t>https://drive.google.com/open?id=1nYOcGbXXlwiF4TgfGEGcgV1FcU1uSSrd</t>
  </si>
  <si>
    <t>https://drive.google.com/open?id=16G0GYuJPuq5Yv0EiEv5F-A5Rd3ZVYZn8</t>
  </si>
  <si>
    <t>113-RtzaYLkNHuvxYKqZ0LM-rtTFjeR4K</t>
  </si>
  <si>
    <t>https://drive.google.com/file/d/113-RtzaYLkNHuvxYKqZ0LM-rtTFjeR4K/view?usp=drivesdk</t>
  </si>
  <si>
    <t>Document successfully created; Document successfully merged; PDF created; Emails Sent: [To: 22-nicialoyola.david@cetis57.edu.mx; no-reply: true]; Run via form trigger as gabrielvazquez@cetis57.edu.mx; Timestamp: Aug 2 2023 12:39 AM</t>
  </si>
  <si>
    <t>1e6LHeynaNpJEdpLfvXbvE4yIAp1x0PcE</t>
  </si>
  <si>
    <t>https://drive.google.com/file/d/1e6LHeynaNpJEdpLfvXbvE4yIAp1x0PcE/view?usp=drivesdk</t>
  </si>
  <si>
    <t>Document successfully created; Document successfully merged; PDF created; Emails Sent: [To: 22-nicialoyola.david@cetis57.edu.mx; no-reply: true]; Run via form trigger as gabrielvazquez@cetis57.edu.mx; Timestamp: Aug 3 2023 1:17 PM</t>
  </si>
  <si>
    <t xml:space="preserve">ARIANA GERALDINE </t>
  </si>
  <si>
    <t>https://drive.google.com/open?id=1Ln4XykPO_0SmSYEaDTbvoAVfsL81cKs8</t>
  </si>
  <si>
    <t xml:space="preserve">CASA AZUL, SAGUAN BLANCO CON ESPEJOS </t>
  </si>
  <si>
    <t>ERIKA JIMENEZ CASTRO</t>
  </si>
  <si>
    <t>https://drive.google.com/open?id=1excuI6rgNqRlIc2TF9jDmOMivbT2VJva</t>
  </si>
  <si>
    <t>jimenezerika614@gmail.com</t>
  </si>
  <si>
    <t>sireno1981@gmail.com</t>
  </si>
  <si>
    <t>https://drive.google.com/open?id=1z22yxiABArZ5CRW_Wd1O0D9ESaspGDWw</t>
  </si>
  <si>
    <t>MIRA</t>
  </si>
  <si>
    <t>karimira124@gamil.com</t>
  </si>
  <si>
    <t>https://drive.google.com/open?id=14xAkhd4skYzkgdZdfuNhv0c1bBhDV0se</t>
  </si>
  <si>
    <t>DOCTORADO</t>
  </si>
  <si>
    <t>DOCTORA</t>
  </si>
  <si>
    <t xml:space="preserve">MUNICIPIO DE NEZAHUALCOYOTL </t>
  </si>
  <si>
    <t>https://drive.google.com/open?id=11Xp6831II-crniGUGaA-GKC8RTeW7JYd</t>
  </si>
  <si>
    <t>1lzlg0ns5WElJpQ4UcQ_AISEnLRafplV5</t>
  </si>
  <si>
    <t>https://drive.google.com/file/d/1lzlg0ns5WElJpQ4UcQ_AISEnLRafplV5/view?usp=drivesdk</t>
  </si>
  <si>
    <t>Document successfully created; Document successfully merged; PDF created; Emails Sent: [To: 22-lopezjimenez.arianageraldine@cetis57.edu.mx; no-reply: true]; Run via form trigger as gabrielvazquez@cetis57.edu.mx; Timestamp: Aug 2 2023 12:40 AM</t>
  </si>
  <si>
    <t>1kkTAd0htglpPvAOydIePCpVg65sY3l59</t>
  </si>
  <si>
    <t>https://drive.google.com/file/d/1kkTAd0htglpPvAOydIePCpVg65sY3l59/view?usp=drivesdk</t>
  </si>
  <si>
    <t>Document successfully created; Document successfully merged; PDF created; Emails Sent: [To: 22-lopezjimenez.arianageraldine@cetis57.edu.mx; no-reply: true]; Run via form trigger as gabrielvazquez@cetis57.edu.mx; Timestamp: Aug 3 2023 1:17 PM</t>
  </si>
  <si>
    <t>https://drive.google.com/open?id=1R_RcchBe5M4Czh0YyrUR2pPZLPzSywkl</t>
  </si>
  <si>
    <t xml:space="preserve">2DA DE DOMINGO RIOS </t>
  </si>
  <si>
    <t xml:space="preserve">FRENTE AL CHEDRAUI </t>
  </si>
  <si>
    <t xml:space="preserve">NACY MARIANA FORTIZ ALATRISTE </t>
  </si>
  <si>
    <t>https://drive.google.com/open?id=1_zTaRIcrsSW-h6JGOSlEacp3QvZKOWEJ</t>
  </si>
  <si>
    <t>https://drive.google.com/open?id=1PXoLUL6L0OJRSq3zSgINm5IGeGT5ccgE</t>
  </si>
  <si>
    <t>https://drive.google.com/open?id=18bB1r2dn6BJV8fXNeX0U-LoZlMjExrw_</t>
  </si>
  <si>
    <t>https://drive.google.com/open?id=1s6AmPWmJJ2zs2sLM3yDuJ0lamYb7dFrI</t>
  </si>
  <si>
    <t>M1S1 ASISTE AL ODONTÓLOGO DURANTE LA ATENCIÓN AL PACIENTE</t>
  </si>
  <si>
    <t>1SQN_5upJjY75Hdl59BWIcdniN4h4JZQ5</t>
  </si>
  <si>
    <t>https://drive.google.com/file/d/1SQN_5upJjY75Hdl59BWIcdniN4h4JZQ5/view?usp=drivesdk</t>
  </si>
  <si>
    <t>Document successfully created; Document successfully merged; PDF created; Emails Sent: [To: 22-olmosfortiz.americapaola@cetis57.edu.mx; no-reply: true]; Run via form trigger as gabrielvazquez@cetis57.edu.mx; Timestamp: Aug 2 2023 12:41 AM</t>
  </si>
  <si>
    <t>15IB0dc7Kn0mmjT7UiJqhbV_jdOkQr_fT</t>
  </si>
  <si>
    <t>https://drive.google.com/file/d/15IB0dc7Kn0mmjT7UiJqhbV_jdOkQr_fT/view?usp=drivesdk</t>
  </si>
  <si>
    <t>Document successfully created; Document successfully merged; PDF created; Emails Sent: [To: 22-olmosfortiz.americapaola@cetis57.edu.mx; no-reply: true]; Run via form trigger as gabrielvazquez@cetis57.edu.mx; Timestamp: Aug 3 2023 1:18 PM</t>
  </si>
  <si>
    <t>https://drive.google.com/open?id=1viI3N8olt5gtIUxDYRbzV4Ix6kqbjWac</t>
  </si>
  <si>
    <t xml:space="preserve">Calle popocateptl Mz11 Lt6 </t>
  </si>
  <si>
    <t>CERCA DE LA ESTACION QUETZALCOATL DEL CABLE BUS</t>
  </si>
  <si>
    <t xml:space="preserve">PEÑA HERNANDEZ ROSALBA EDITH </t>
  </si>
  <si>
    <t>https://drive.google.com/open?id=1fkpSyKnBMX5czfDlIFa5WheNr2lkmxHE</t>
  </si>
  <si>
    <t>ANDY ELOY</t>
  </si>
  <si>
    <t>https://drive.google.com/open?id=1Pl8Mix8B1doTUyNduFnISntDt7m9NHh4</t>
  </si>
  <si>
    <t>PEEÑA</t>
  </si>
  <si>
    <t>CONTABILIDAD</t>
  </si>
  <si>
    <t>https://drive.google.com/open?id=1oJYQjLFGR4BzzSbePkc8H-yArOTQC9Y1</t>
  </si>
  <si>
    <t>PEDREGAL SAN ANGEL</t>
  </si>
  <si>
    <t>https://drive.google.com/open?id=1r0ofIju4rCKpUj_5qGgFz1ijRS3KUL2M</t>
  </si>
  <si>
    <t>1-JrfomEFZz9hJEfy-0p42aeM2PJv5aJe</t>
  </si>
  <si>
    <t>https://drive.google.com/file/d/1-JrfomEFZz9hJEfy-0p42aeM2PJv5aJe/view?usp=drivesdk</t>
  </si>
  <si>
    <t>Document successfully created; Document successfully merged; PDF created; Emails Sent: [To: 22-rodriguezpena.jennifernaomi@cetis57.edu.mx; no-reply: true]; Run via form trigger as gabrielvazquez@cetis57.edu.mx; Timestamp: Aug 2 2023 12:44 AM</t>
  </si>
  <si>
    <t>165iTFmz24Q4N94OoU8EKD8B0DWVDesAf</t>
  </si>
  <si>
    <t>https://drive.google.com/file/d/165iTFmz24Q4N94OoU8EKD8B0DWVDesAf/view?usp=drivesdk</t>
  </si>
  <si>
    <t>Document successfully created; Document successfully merged; PDF created; Emails Sent: [To: 22-rodriguezpena.jennifernaomi@cetis57.edu.mx; no-reply: true]; Run via form trigger as gabrielvazquez@cetis57.edu.mx; Timestamp: Aug 3 2023 1:18 PM</t>
  </si>
  <si>
    <t>https://drive.google.com/open?id=1J1cxAjCOAsMPLMNV5Gmz8f81eKTH3C5h</t>
  </si>
  <si>
    <t>+52 55 6381 6580</t>
  </si>
  <si>
    <t xml:space="preserve">Calle 9 manzana 46 lote 10 Colonia Renovación </t>
  </si>
  <si>
    <t xml:space="preserve"> CASA COLOR ROSA </t>
  </si>
  <si>
    <t>https://drive.google.com/open?id=1CqfHoFtorNhIASxrtPdiu7Kg288kv2s9</t>
  </si>
  <si>
    <t>qiika22@gmail.com</t>
  </si>
  <si>
    <t>https://drive.google.com/open?id=1oTN7LyqV91xHobk_UFLlPA8oP-cjIUdO</t>
  </si>
  <si>
    <t xml:space="preserve">GUADALUPE NATALIA </t>
  </si>
  <si>
    <t>https://drive.google.com/open?id=1orMZUZ3NPLAcytkWwIm0KRVskwhD3BMF</t>
  </si>
  <si>
    <t>https://drive.google.com/open?id=113c7ToNfOq_POqhC3K7AHd2xwJi1cEBc</t>
  </si>
  <si>
    <t>16GI4a1J4mozdBgQt-gDmwFYmjN_ImM7U</t>
  </si>
  <si>
    <t>https://drive.google.com/file/d/16GI4a1J4mozdBgQt-gDmwFYmjN_ImM7U/view?usp=drivesdk</t>
  </si>
  <si>
    <t>Document successfully created; Document successfully merged; PDF created; Emails Sent: [To: 21-garciatorres.victoreduardo@cetis57.edu.mx; no-reply: true]; Run via form trigger as gabrielvazquez@cetis57.edu.mx; Timestamp: Aug 2 2023 11:47 PM</t>
  </si>
  <si>
    <t>1uC23-iugZbxRudD1qNFkzP-offoZVnDn</t>
  </si>
  <si>
    <t>https://drive.google.com/file/d/1uC23-iugZbxRudD1qNFkzP-offoZVnDn/view?usp=drivesdk</t>
  </si>
  <si>
    <t>Document successfully created; Document successfully merged; PDF created; Emails Sent: [To: 21-garciatorres.victoreduardo@cetis57.edu.mx; no-reply: true]; Run via form trigger as gabrielvazquez@cetis57.edu.mx; Timestamp: Aug 3 2023 1:37 PM</t>
  </si>
  <si>
    <t xml:space="preserve">AXEL AARON </t>
  </si>
  <si>
    <t>https://drive.google.com/open?id=1nhMYi4crW7GV854qKHGSdAAIpl3TpboK</t>
  </si>
  <si>
    <t>LAUREL MZ.5 N.1</t>
  </si>
  <si>
    <t xml:space="preserve">PRIMERA CALLE DEL METRO AGRICOLA </t>
  </si>
  <si>
    <t>ARGELIA YAZMIN MEDINA LARA</t>
  </si>
  <si>
    <t>https://drive.google.com/open?id=1Ic7OoTexi69pyYEpjLjaM-dNzFjiYrnE</t>
  </si>
  <si>
    <t>yazzzml@gmail.com</t>
  </si>
  <si>
    <t xml:space="preserve">GEFE ANDMINISTRATIVO </t>
  </si>
  <si>
    <t>https://drive.google.com/open?id=1CGHJoUEWs4QWSm16JdtPd5yrhWPzfo1I</t>
  </si>
  <si>
    <t xml:space="preserve">KARLA ESMERALDA </t>
  </si>
  <si>
    <t>https://drive.google.com/open?id=1SE-XQDLHMTog7jU4uOkGq4AmSA-BKRqw</t>
  </si>
  <si>
    <t>https://drive.google.com/open?id=1-_ecLS4gWqQzcvrVGT38HPzNldU0iUJp</t>
  </si>
  <si>
    <t>11dPT2egFVkf9O6bZc6f4MIrZlQrkwGNl</t>
  </si>
  <si>
    <t>https://drive.google.com/file/d/11dPT2egFVkf9O6bZc6f4MIrZlQrkwGNl/view?usp=drivesdk</t>
  </si>
  <si>
    <t>Document successfully created; Document successfully merged; PDF created; Emails Sent: [To: 21-martinezmedina.axelaaron@cetis57.edu.mx; no-reply: true]; Run via form trigger as gabrielvazquez@cetis57.edu.mx; Timestamp: Aug 2 2023 11:47 PM</t>
  </si>
  <si>
    <t>1vpI-PLPnph_UpG7KhZuaJet599F6a7Rj</t>
  </si>
  <si>
    <t>https://drive.google.com/file/d/1vpI-PLPnph_UpG7KhZuaJet599F6a7Rj/view?usp=drivesdk</t>
  </si>
  <si>
    <t>Document successfully created; Document successfully merged; PDF created; Emails Sent: [To: 21-martinezmedina.axelaaron@cetis57.edu.mx; no-reply: true]; Run via form trigger as gabrielvazquez@cetis57.edu.mx; Timestamp: Aug 3 2023 1:38 PM</t>
  </si>
  <si>
    <t xml:space="preserve">YARELI </t>
  </si>
  <si>
    <t>https://drive.google.com/open?id=1fYsRLyL264rhf2rZyMiE6iQyM7_7Gp5S</t>
  </si>
  <si>
    <t xml:space="preserve">GABRIEL TEPEPAN </t>
  </si>
  <si>
    <t>DEPARTAMENTO 102  EDIFICIO F</t>
  </si>
  <si>
    <t xml:space="preserve">DEPARTAMENTOS COLOR MORADO </t>
  </si>
  <si>
    <t xml:space="preserve">JOSE OSCAR SANCHEZ VSZQUEZ </t>
  </si>
  <si>
    <t>https://drive.google.com/open?id=1ysw_1oFEzOb2j46VMVp3sfwdDnaFX2SR</t>
  </si>
  <si>
    <t>shoktactic7@gmail.com</t>
  </si>
  <si>
    <t>aletrejosanchezO@gmail.com</t>
  </si>
  <si>
    <t>https://drive.google.com/open?id=1typA1sUaNS_4tiP6RM4EDEHhO56DadYF</t>
  </si>
  <si>
    <t>https://drive.google.com/open?id=13vjNv5sZhT6GFsul_qd-C0dlEBy8o95-</t>
  </si>
  <si>
    <t>https://drive.google.com/open?id=1NeHNERFMz2EoW1rd28CUB1zQ79osNYyk</t>
  </si>
  <si>
    <t>1L8OcV0M4DP2h41tgxrWX9LrFORZ-zAln</t>
  </si>
  <si>
    <t>https://drive.google.com/file/d/1L8OcV0M4DP2h41tgxrWX9LrFORZ-zAln/view?usp=drivesdk</t>
  </si>
  <si>
    <t>Document successfully created; Document successfully merged; PDF created; Emails Sent: [To: 21-sancheztrejo.yareli@cetis57.edu.mx; no-reply: true]; Run via form trigger as gabrielvazquez@cetis57.edu.mx; Timestamp: Aug 2 2023 12:46 AM</t>
  </si>
  <si>
    <t>1O0MaPgXXzVTtRW9VstMUOTH-azqkzpOO</t>
  </si>
  <si>
    <t>https://drive.google.com/file/d/1O0MaPgXXzVTtRW9VstMUOTH-azqkzpOO/view?usp=drivesdk</t>
  </si>
  <si>
    <t>Document successfully created; Document successfully merged; PDF created; Emails Sent: [To: 21-sancheztrejo.yareli@cetis57.edu.mx; no-reply: true]; Run via form trigger as gabrielvazquez@cetis57.edu.mx; Timestamp: Aug 3 2023 1:57 PM</t>
  </si>
  <si>
    <t>TANIA</t>
  </si>
  <si>
    <t>https://drive.google.com/open?id=1vTJY08BHo6pGnofgTCNPB_neKZqJuB0u</t>
  </si>
  <si>
    <t>CLL PLAN DE AYALA MZ31 LT11 REVOLUCION CHICOLOAPAN C.P56370</t>
  </si>
  <si>
    <t xml:space="preserve">FRENTE A LA PRIMARIA 20 DE NOVIEMBRE JUNTO A LA PAPELERIA MICHOACANA PORTON AZUL </t>
  </si>
  <si>
    <t xml:space="preserve">BARAJAS GUZMAN LAURA ESTELA </t>
  </si>
  <si>
    <t>https://drive.google.com/open?id=1s8kfj-UdxL3k40dDihKwivW4Kw0Yg1kN</t>
  </si>
  <si>
    <t>lauba7930@gmail.cim</t>
  </si>
  <si>
    <t xml:space="preserve">RAMCES </t>
  </si>
  <si>
    <t>b.unny85@hotmail.com</t>
  </si>
  <si>
    <t>https://drive.google.com/open?id=15G2IWyljjlXpGLIus6DInzcwGia-znTc</t>
  </si>
  <si>
    <t>https://drive.google.com/open?id=11lvkls76eLidtqR--C_3wCzi5Rs_R1JO</t>
  </si>
  <si>
    <t xml:space="preserve">CENTRO DE ESTUDIOS TECNOLOGICOS INDUSTRIAL Y DE SERVICIOS NO 57 IGNACIO ALLENDE </t>
  </si>
  <si>
    <t>https://drive.google.com/open?id=1ufUVZmW0-brGinYHed7YfOdVZz2xt0OE</t>
  </si>
  <si>
    <t>19hg2cu0N8XfqNpfBK8vip2Z6qiKNucIs</t>
  </si>
  <si>
    <t>https://drive.google.com/file/d/19hg2cu0N8XfqNpfBK8vip2Z6qiKNucIs/view?usp=drivesdk</t>
  </si>
  <si>
    <t>Document successfully created; Document successfully merged; PDF created; Emails Sent: [To: 21-medinabarajas.tania@cetis57.edu.mx; no-reply: true]; Run via form trigger as gabrielvazquez@cetis57.edu.mx; Timestamp: Aug 2 2023 12:46 AM</t>
  </si>
  <si>
    <t>1AqccRkIh6vRbNxvAXftMkZEoQ6nt7Vm6</t>
  </si>
  <si>
    <t>https://drive.google.com/file/d/1AqccRkIh6vRbNxvAXftMkZEoQ6nt7Vm6/view?usp=drivesdk</t>
  </si>
  <si>
    <t>Document successfully created; Document successfully merged; PDF created; Emails Sent: [To: 21-medinabarajas.tania@cetis57.edu.mx; no-reply: true]; Run via form trigger as gabrielvazquez@cetis57.edu.mx; Timestamp: Aug 3 2023 1:58 PM</t>
  </si>
  <si>
    <t>SHARON JOCELYN</t>
  </si>
  <si>
    <t>https://drive.google.com/open?id=1rQbfChOKmQVZOuE_GjR-k0YMVZnfSsWb</t>
  </si>
  <si>
    <t>EN LA ESQUINA UNA TIENDA LLAMADA "JORDAN"</t>
  </si>
  <si>
    <t>https://drive.google.com/open?id=1tROwPgmbMb2cuBSCsdNuzUbY8aNgjHnt</t>
  </si>
  <si>
    <t>EVELYN JAZMIN</t>
  </si>
  <si>
    <t>https://drive.google.com/open?id=1n_NuQRoSDt1wn0PxhGUAURJLmNqSIejd</t>
  </si>
  <si>
    <t>https://drive.google.com/open?id=1x_PBKmXLPPbwxFq-MSCmvwdmrzKliMK8</t>
  </si>
  <si>
    <t>https://drive.google.com/open?id=1JyP6RGdy6Fld4l7d16nmSTVnMCHkdfql</t>
  </si>
  <si>
    <t>1ntekj1QHuoySxssMo-8tqMAR3wmV--4M</t>
  </si>
  <si>
    <t>https://drive.google.com/file/d/1ntekj1QHuoySxssMo-8tqMAR3wmV--4M/view?usp=drivesdk</t>
  </si>
  <si>
    <t>Document successfully created; Document successfully merged; PDF created; Emails Sent: [To: 22-islasarcos.sharonjocelyn@cetis57.edu.mx; no-reply: true]; Run via form trigger as gabrielvazquez@cetis57.edu.mx; Timestamp: Aug 2 2023 12:47 AM</t>
  </si>
  <si>
    <t>14iIxMbmvn51JNwHVW3itjqDkinu8QRwo</t>
  </si>
  <si>
    <t>https://drive.google.com/file/d/14iIxMbmvn51JNwHVW3itjqDkinu8QRwo/view?usp=drivesdk</t>
  </si>
  <si>
    <t>Document successfully created; Document successfully merged; PDF created; Emails Sent: [To: 22-islasarcos.sharonjocelyn@cetis57.edu.mx; no-reply: true]; Run via form trigger as gabrielvazquez@cetis57.edu.mx; Timestamp: Aug 3 2023 1:58 PM</t>
  </si>
  <si>
    <t>https://drive.google.com/open?id=1iVXUHXYHQ7Oaa55anA1VvwiTNTWbWGbR</t>
  </si>
  <si>
    <t>Mz 179 Lt 18</t>
  </si>
  <si>
    <t xml:space="preserve">ORIENTE 38 MZ 179  LT 18 </t>
  </si>
  <si>
    <t>Mz 179</t>
  </si>
  <si>
    <t>FACHADA BLANCA</t>
  </si>
  <si>
    <t>EMMA IXCHEL MONROY LOPEZ</t>
  </si>
  <si>
    <t>https://drive.google.com/open?id=1jgQgPGGUqH6xrrfFOBEGXSeIyExBUmuZ</t>
  </si>
  <si>
    <t>LAURA EDITH</t>
  </si>
  <si>
    <t>laura_lopez9815@hotmail.com</t>
  </si>
  <si>
    <t>https://drive.google.com/open?id=1FfbLw-LMALfg_ABNRou7jbCK-N_LA9b4</t>
  </si>
  <si>
    <t xml:space="preserve">JORGE HERIBERTO </t>
  </si>
  <si>
    <t xml:space="preserve">INGENIERO MECANICO </t>
  </si>
  <si>
    <t>ing.jorge.mtz.o.90@gmail.com</t>
  </si>
  <si>
    <t>https://drive.google.com/open?id=1sEL0UAFBK-n6VR3i8WZBAVi030sFQYcg</t>
  </si>
  <si>
    <t>https://drive.google.com/open?id=1v6AtYPt7vRuRzhvRxD3YvxTs1m178u11</t>
  </si>
  <si>
    <t>1N8ipRAIi4uCLGTqAH32Xca29RdH1jM5q</t>
  </si>
  <si>
    <t>https://drive.google.com/file/d/1N8ipRAIi4uCLGTqAH32Xca29RdH1jM5q/view?usp=drivesdk</t>
  </si>
  <si>
    <t>Document successfully created; Document successfully merged; PDF created; Emails Sent: [To: 22-mayenmonroy.dorian@cetis57.edu.mx; no-reply: true]; Run via form trigger as gabrielvazquez@cetis57.edu.mx; Timestamp: Aug 2 2023 11:48 PM</t>
  </si>
  <si>
    <t>1Ropjzoj7wsOWW79v2cagVYlAUyc5MWbB</t>
  </si>
  <si>
    <t>https://drive.google.com/file/d/1Ropjzoj7wsOWW79v2cagVYlAUyc5MWbB/view?usp=drivesdk</t>
  </si>
  <si>
    <t>Document successfully created; Document successfully merged; PDF created; Emails Sent: [To: 22-mayenmonroy.dorian@cetis57.edu.mx; no-reply: true]; Run via form trigger as gabrielvazquez@cetis57.edu.mx; Timestamp: Aug 3 2023 1:59 PM</t>
  </si>
  <si>
    <t>LINDA JOANNA</t>
  </si>
  <si>
    <t>https://drive.google.com/open?id=1y2Ix0Do1Sw-dIuPf5PB3UC2tUDrwjN2G</t>
  </si>
  <si>
    <t>RETORNO 4 DE SUR12B</t>
  </si>
  <si>
    <t xml:space="preserve">ENRIQUE LOPEZ JUAREZ </t>
  </si>
  <si>
    <t>https://drive.google.com/open?id=1WBfLaFpol01jPNXLhIQvdG5aAjHHuAam</t>
  </si>
  <si>
    <t>JUAREZZ</t>
  </si>
  <si>
    <t xml:space="preserve">KARLA YAZMIN </t>
  </si>
  <si>
    <t>https://drive.google.com/open?id=1z2QVG5t8xwlMmbmufC4haV19gEL1cGFA</t>
  </si>
  <si>
    <t xml:space="preserve">ENRIQUE JUSTO </t>
  </si>
  <si>
    <t>https://drive.google.com/open?id=1ftnARZysR3Pe6y7_9b3-UP8UUqmFSZ2P</t>
  </si>
  <si>
    <t>https://drive.google.com/open?id=1WsgR_grPx5wORSlEdzIHBQKYCFRVdQQj</t>
  </si>
  <si>
    <t>19Bz34ZkOCWqFg7K5NVI4i8dJ_n0rkBnO</t>
  </si>
  <si>
    <t>https://drive.google.com/file/d/19Bz34ZkOCWqFg7K5NVI4i8dJ_n0rkBnO/view?usp=drivesdk</t>
  </si>
  <si>
    <t>Document successfully created; Document successfully merged; PDF created; Emails Sent: [To: 21-lopezjuarez.lindajoanna@cetis57.edu.mx; no-reply: true]; Run via form trigger as gabrielvazquez@cetis57.edu.mx; Timestamp: Aug 2 2023 12:50 AM</t>
  </si>
  <si>
    <t>13xSRcHhAw9cASMwENR5G46dR5gNznQFl</t>
  </si>
  <si>
    <t>https://drive.google.com/file/d/13xSRcHhAw9cASMwENR5G46dR5gNznQFl/view?usp=drivesdk</t>
  </si>
  <si>
    <t>Document successfully created; Document successfully merged; PDF created; Emails Sent: [To: 21-lopezjuarez.lindajoanna@cetis57.edu.mx; no-reply: true]; Run via form trigger as gabrielvazquez@cetis57.edu.mx; Timestamp: Aug 3 2023 2:00 PM</t>
  </si>
  <si>
    <t xml:space="preserve">PACHUCA </t>
  </si>
  <si>
    <t xml:space="preserve">MILDRED MARGARITA </t>
  </si>
  <si>
    <t>https://drive.google.com/open?id=13wvov6dqx-VDTZPvbrFcxiPOURYLJBKU</t>
  </si>
  <si>
    <t xml:space="preserve">LAGO ATITLAN NO.180,COL.AGUA AZUL </t>
  </si>
  <si>
    <t xml:space="preserve">ENTRE AV.CHIMALHUACAN Y AV.LAGUNA DE TERMINOS </t>
  </si>
  <si>
    <t xml:space="preserve">LUZ MARIA VALLE FLORES </t>
  </si>
  <si>
    <t>https://drive.google.com/open?id=1-DIHU2HEh34dAzGVxnruG_PFY7VF9vya</t>
  </si>
  <si>
    <t>REPRESENTANTE MEDICO</t>
  </si>
  <si>
    <t>https://drive.google.com/open?id=1u4Yr-XEJnck2KOXQBbhD12u4Szet-z1J</t>
  </si>
  <si>
    <t>BRYAN JESUS</t>
  </si>
  <si>
    <t xml:space="preserve">SUPERVISOR DE VENTAS </t>
  </si>
  <si>
    <t>bryanjesus7@gmail.com</t>
  </si>
  <si>
    <t>https://drive.google.com/open?id=154gNNgC4Ur-Kf9VBIHgbIu0aNolQQi7U</t>
  </si>
  <si>
    <t>https://drive.google.com/open?id=1iMiGsK0fDBHMW_s9t_WNUSCo5baVSxKd</t>
  </si>
  <si>
    <t>1rAul2psMOdRRwRlR8dKYOSmk5JTuHx8a</t>
  </si>
  <si>
    <t>https://drive.google.com/file/d/1rAul2psMOdRRwRlR8dKYOSmk5JTuHx8a/view?usp=drivesdk</t>
  </si>
  <si>
    <t>Document successfully created; Document successfully merged; PDF created; Emails Sent: [To: 21-pachucavalle.mildredmargarita@cetis57.edu.mx; no-reply: true]; Run via form trigger as gabrielvazquez@cetis57.edu.mx; Timestamp: Aug 2 2023 12:51 AM</t>
  </si>
  <si>
    <t>1eno_PGpivMOYu8YEbkhKw5wtXARlNivN</t>
  </si>
  <si>
    <t>https://drive.google.com/file/d/1eno_PGpivMOYu8YEbkhKw5wtXARlNivN/view?usp=drivesdk</t>
  </si>
  <si>
    <t>Document successfully created; Document successfully merged; PDF created; Emails Sent: [To: 21-pachucavalle.mildredmargarita@cetis57.edu.mx; no-reply: true]; Run via form trigger as gabrielvazquez@cetis57.edu.mx; Timestamp: Aug 3 2023 2:16 PM</t>
  </si>
  <si>
    <t xml:space="preserve">SOANY CRISTAL </t>
  </si>
  <si>
    <t>https://drive.google.com/open?id=1SVzg5j3FGDVfRXbX9PUiLmZMS5VWntOy</t>
  </si>
  <si>
    <t xml:space="preserve">CALLE 11 DE AGOSTO DE 1859 </t>
  </si>
  <si>
    <t xml:space="preserve">MARIA MAGDALENA LOPEZ DE LEON </t>
  </si>
  <si>
    <t>https://drive.google.com/open?id=1eud146im8yHDjfrFVexPMO3pY1I6aHAQ</t>
  </si>
  <si>
    <t>https://drive.google.com/open?id=1T46kAR_bdirlWNiBzhzMdAhkaQ5bGYF2</t>
  </si>
  <si>
    <t xml:space="preserve">DE LEON </t>
  </si>
  <si>
    <t>magdalenadelon071@gmail.com</t>
  </si>
  <si>
    <t>https://drive.google.com/open?id=1BSwBnVMDr81DgHG8FXNLfhXeViq7g5V2</t>
  </si>
  <si>
    <t xml:space="preserve">UNIVERSIDAD AUTÓNOMA DE MEXICO </t>
  </si>
  <si>
    <t>https://drive.google.com/open?id=13VqxYM0SZxBKrAnZlaizQ6RT2tfmZqwt</t>
  </si>
  <si>
    <t>1NfvREvYOqX5-ub6j00VdWR2llJFYWP-O</t>
  </si>
  <si>
    <t>https://drive.google.com/file/d/1NfvREvYOqX5-ub6j00VdWR2llJFYWP-O/view?usp=drivesdk</t>
  </si>
  <si>
    <t>Document successfully created; Document successfully merged; PDF created; Emails Sent: [To: 22-quintanillalopez.soanycristal@cetis57.edu.mx; no-reply: true]; Run via form trigger as gabrielvazquez@cetis57.edu.mx; Timestamp: Aug 2 2023 12:51 AM</t>
  </si>
  <si>
    <t>1lV_Ecc7aNct74yOpzPCM3u9qy5FCBKNs</t>
  </si>
  <si>
    <t>https://drive.google.com/file/d/1lV_Ecc7aNct74yOpzPCM3u9qy5FCBKNs/view?usp=drivesdk</t>
  </si>
  <si>
    <t>Document successfully created; Document successfully merged; PDF created; Emails Sent: [To: 22-quintanillalopez.soanycristal@cetis57.edu.mx; no-reply: true]; Run via form trigger as gabrielvazquez@cetis57.edu.mx; Timestamp: Aug 3 2023 2:16 PM</t>
  </si>
  <si>
    <t>https://drive.google.com/open?id=1n950eCdmH-_D5kpPKROjJVSPHQ_WkJQJ</t>
  </si>
  <si>
    <t>GARY060117MDFLMRA3</t>
  </si>
  <si>
    <t>CALLE 28 #3 COL. EL SOL</t>
  </si>
  <si>
    <t xml:space="preserve">SN </t>
  </si>
  <si>
    <t xml:space="preserve">ZAGUAN BLANDO  </t>
  </si>
  <si>
    <t xml:space="preserve">GUADALUPE ROMERO SANTIAGO </t>
  </si>
  <si>
    <t>https://drive.google.com/open?id=1JYvCy3PlLBrqpsb9zPYOPq4PCccDoFzp</t>
  </si>
  <si>
    <t>lupita12.romero@gmail.com</t>
  </si>
  <si>
    <t xml:space="preserve">GREGOERIO </t>
  </si>
  <si>
    <t>https://drive.google.com/open?id=1swEM5XxYDBct0aZ6-xe8mmx1HjwYXh6F</t>
  </si>
  <si>
    <t>https://drive.google.com/open?id=1UiurjWR3A82lKsQWM3i24DI7j9Bxa0SA</t>
  </si>
  <si>
    <t xml:space="preserve">MEDICO CITUJANO </t>
  </si>
  <si>
    <t>COYOACAN, CIUDAD DE MEXICO.</t>
  </si>
  <si>
    <t>https://drive.google.com/open?id=1wP8QOpN8nf0T6dPxAaGjnkXqjJxQiGNv</t>
  </si>
  <si>
    <t>1imidiT2QJzRLXhtxlYexEGMIDBlSYPWv</t>
  </si>
  <si>
    <t>https://drive.google.com/file/d/1imidiT2QJzRLXhtxlYexEGMIDBlSYPWv/view?usp=drivesdk</t>
  </si>
  <si>
    <t>Document successfully created; Document successfully merged; PDF created; Emails Sent: [To: 21-galindoromero.yaretzijudith@cetis57.edu.mx; no-reply: true]; Run via form trigger as gabrielvazquez@cetis57.edu.mx; Timestamp: Aug 2 2023 12:52 AM</t>
  </si>
  <si>
    <t>1QWPtd7mgqdGkx5L_EIGeA9AM9zbdBx7Z</t>
  </si>
  <si>
    <t>https://drive.google.com/file/d/1QWPtd7mgqdGkx5L_EIGeA9AM9zbdBx7Z/view?usp=drivesdk</t>
  </si>
  <si>
    <t>Document successfully created; Document successfully merged; PDF created; Emails Sent: [To: 21-galindoromero.yaretzijudith@cetis57.edu.mx; no-reply: true]; Run via form trigger as gabrielvazquez@cetis57.edu.mx; Timestamp: Aug 3 2023 2:17 PM</t>
  </si>
  <si>
    <t>https://drive.google.com/open?id=1rBvlyBB0WAQld6bOGSfg-GqFiQM4a_LA</t>
  </si>
  <si>
    <t>MARTIN DE PLATA, FUEGO NUEVO, IZTAPALAPA, CIUDAD DE MEXICO</t>
  </si>
  <si>
    <t>MANZANA 38</t>
  </si>
  <si>
    <t xml:space="preserve">EDIFICIO GRIS Y PORTON AZUL </t>
  </si>
  <si>
    <t>https://drive.google.com/open?id=1_IHldJdnkYAhR39AKd3iqyt5xjQCSGcH</t>
  </si>
  <si>
    <t>lsofiaa9@gmaill.com</t>
  </si>
  <si>
    <t>https://drive.google.com/open?id=1wogDRERdJoFFizwOwXKh2h8Kyt-6R7zh</t>
  </si>
  <si>
    <t>https://drive.google.com/open?id=1-0RyjljekbV7T1WpDFAfuoqg39gt1K_t</t>
  </si>
  <si>
    <t>sertralina  e hidroxicina</t>
  </si>
  <si>
    <t>https://drive.google.com/open?id=1wdF2GEgFx57fBYrurDPimnB0AypkQCnF</t>
  </si>
  <si>
    <t>https://drive.google.com/open?id=1EyZ9SUlmbm7iaXWOjo34CbrYdRWvvXLH</t>
  </si>
  <si>
    <t>1acL9BF_eCHsWAtMHd-sgqUefkKSRTVpE</t>
  </si>
  <si>
    <t>https://drive.google.com/file/d/1acL9BF_eCHsWAtMHd-sgqUefkKSRTVpE/view?usp=drivesdk</t>
  </si>
  <si>
    <t>Document successfully created; Document successfully merged; PDF created; Emails Sent: [To: 21-lozanomoreno.paolaalejandra@cetis57.edu.mx; no-reply: true]; Run via form trigger as gabrielvazquez@cetis57.edu.mx; Timestamp: Aug 2 2023 12:53 AM</t>
  </si>
  <si>
    <t>1R3po3tOV8w2wLZvtg4H__1rv8Rxwi3Y9</t>
  </si>
  <si>
    <t>https://drive.google.com/file/d/1R3po3tOV8w2wLZvtg4H__1rv8Rxwi3Y9/view?usp=drivesdk</t>
  </si>
  <si>
    <t>Document successfully created; Document successfully merged; PDF created; Emails Sent: [To: 21-lozanomoreno.paolaalejandra@cetis57.edu.mx; no-reply: true]; Run via form trigger as gabrielvazquez@cetis57.edu.mx; Timestamp: Aug 3 2023 2:18 PM</t>
  </si>
  <si>
    <t xml:space="preserve">SERGIO ISAAC </t>
  </si>
  <si>
    <t>https://drive.google.com/open?id=1ihWCGz6wILi5c4rPVsGZkCdm4RbE5jVO</t>
  </si>
  <si>
    <t>2DA CERRADA DE CALENDULA MZ531 LT36</t>
  </si>
  <si>
    <t xml:space="preserve">2 PISOS, PUERTA NEGRA, FACHADA NARANJA </t>
  </si>
  <si>
    <t>https://drive.google.com/open?id=1FtMtCOZX6VyHhvpO1qJNeE36YGqQ1Mw0</t>
  </si>
  <si>
    <t>ANDREA VANESSA</t>
  </si>
  <si>
    <t>https://drive.google.com/open?id=1dGgou2us4V2Hx3ty2aM52tvn2MhtTf74</t>
  </si>
  <si>
    <t>PAREZ</t>
  </si>
  <si>
    <t>https://drive.google.com/open?id=1fPxj3H-Z4bLK_S7a8xgXLKXpwMCo8DKC</t>
  </si>
  <si>
    <t>https://drive.google.com/open?id=1Q1fUs8NY9axCuzuZ8a1I0PfyQzMkQScI</t>
  </si>
  <si>
    <t>1VLo7oIUInAHebTzNBp-5W6yw_sXHR6GJ</t>
  </si>
  <si>
    <t>https://drive.google.com/file/d/1VLo7oIUInAHebTzNBp-5W6yw_sXHR6GJ/view?usp=drivesdk</t>
  </si>
  <si>
    <t>Document successfully created; Document successfully merged; PDF created; Emails Sent: [To: 21-hernandezperez.sergioisaac@cetis57.edu.mx; no-reply: true]; Run via form trigger as gabrielvazquez@cetis57.edu.mx; Timestamp: Aug 2 2023 12:54 AM</t>
  </si>
  <si>
    <t>1FAjAw4D9tCbdUZy9kt3ye13dxNn0UJIJ</t>
  </si>
  <si>
    <t>https://drive.google.com/file/d/1FAjAw4D9tCbdUZy9kt3ye13dxNn0UJIJ/view?usp=drivesdk</t>
  </si>
  <si>
    <t>Document successfully created; Document successfully merged; PDF created; Emails Sent: [To: 21-hernandezperez.sergioisaac@cetis57.edu.mx; no-reply: true]; Run via form trigger as gabrielvazquez@cetis57.edu.mx; Timestamp: Aug 3 2023 2:18 PM</t>
  </si>
  <si>
    <t>https://drive.google.com/open?id=1weZx4gqYFWZPvH1x6WUjgwzniHI87oMN</t>
  </si>
  <si>
    <t>CALLE CUAUTEMOC NUMERO 50 ESQUINA JUSTO SIERRA</t>
  </si>
  <si>
    <t>CASA VERDE LIMON CON COLIBRI PINTADO</t>
  </si>
  <si>
    <t>MARIA DE LOURDES RUIZ SANDOVAL</t>
  </si>
  <si>
    <t>https://drive.google.com/open?id=14BtpWi_V4UF7o508KGMp6si8hDbz8IL1</t>
  </si>
  <si>
    <t>https://drive.google.com/open?id=1Dyzk8gwU9eQzLaaNzPd8L9NsiMnspvKv</t>
  </si>
  <si>
    <t>moniicaa.lagosrui26@gmail.com</t>
  </si>
  <si>
    <t>https://drive.google.com/open?id=1cctZSH_3_JglbtI-seOSgIydRkZv5nYM</t>
  </si>
  <si>
    <t>BURSITIS</t>
  </si>
  <si>
    <t xml:space="preserve">FACULTAD DE ENFERMERIA Y OBSTETRICIA </t>
  </si>
  <si>
    <t>https://drive.google.com/open?id=1XmWK0Q3GJKRl9uMGTO2nQlFPGkIVxS_S</t>
  </si>
  <si>
    <t>1JwmUTeS4xIMahZ08l3Ex19AjqzB4JP0l</t>
  </si>
  <si>
    <t>https://drive.google.com/file/d/1JwmUTeS4xIMahZ08l3Ex19AjqzB4JP0l/view?usp=drivesdk</t>
  </si>
  <si>
    <t>Document successfully created; Document successfully merged; PDF created; Emails Sent: [To: 22-lagosruiz.valeria@cetis57.edu.mx; no-reply: true]; Run via form trigger as gabrielvazquez@cetis57.edu.mx; Timestamp: Aug 2 2023 12:57 AM</t>
  </si>
  <si>
    <t>1Lc15hJDBCQev2Ya2sODSRCd9dHLiJ3hy</t>
  </si>
  <si>
    <t>https://drive.google.com/file/d/1Lc15hJDBCQev2Ya2sODSRCd9dHLiJ3hy/view?usp=drivesdk</t>
  </si>
  <si>
    <t>Document successfully created; Document successfully merged; PDF created; Emails Sent: [To: 22-lagosruiz.valeria@cetis57.edu.mx; no-reply: true]; Run via form trigger as gabrielvazquez@cetis57.edu.mx; Timestamp: Aug 3 2023 2:19 PM</t>
  </si>
  <si>
    <t>21-torressalgado.fatimaceleste@cetis57.edu.mx</t>
  </si>
  <si>
    <t xml:space="preserve">FATIMA CELESTE </t>
  </si>
  <si>
    <t>https://drive.google.com/open?id=1tBEdUCFDwczl-VbZnzEd250dTa9tDhU-</t>
  </si>
  <si>
    <t>TOSF061216MMCRLTA4</t>
  </si>
  <si>
    <t xml:space="preserve">CALLE 14 MZ 113 LT 26 VALLE DE LOS REYES </t>
  </si>
  <si>
    <t xml:space="preserve">MARIA SANDRA MENDOZA SALGADO </t>
  </si>
  <si>
    <t>https://drive.google.com/open?id=1BZDqDZHccrnh1lUdYaZs841j2YT8Dd89</t>
  </si>
  <si>
    <t>21-fatimaceleste.torressalgado@cetis57.edu.mx</t>
  </si>
  <si>
    <t xml:space="preserve">CELESTINO </t>
  </si>
  <si>
    <t xml:space="preserve">GERENTE </t>
  </si>
  <si>
    <t>21-fatimaceleste.torressalgado@cetis57.edu.mc</t>
  </si>
  <si>
    <t>https://drive.google.com/open?id=1mBTyNvPBdS17Qe59HNXIC04hJpILzbDy</t>
  </si>
  <si>
    <t xml:space="preserve">JAIR </t>
  </si>
  <si>
    <t>https://drive.google.com/open?id=1Bsf72eJOsWiPN6J7wIei1BnZcoMxgqaR</t>
  </si>
  <si>
    <t xml:space="preserve">Azafata </t>
  </si>
  <si>
    <t>https://drive.google.com/open?id=1tNXxs2rsGoEwKfNuw0JzMdo64cwhRdoG</t>
  </si>
  <si>
    <t>06130651471</t>
  </si>
  <si>
    <t>INGLÉS II</t>
  </si>
  <si>
    <t>https://drive.google.com/open?id=13Dyy-TkLPdz_tHpY77h-vWYUKAUi1HhU</t>
  </si>
  <si>
    <t>55 7158 3729</t>
  </si>
  <si>
    <t xml:space="preserve">2da Ampliación Santiago Acahualtepec </t>
  </si>
  <si>
    <t>Mz 1 Lt 13</t>
  </si>
  <si>
    <t xml:space="preserve">FABIOLA SILVA ROBLES </t>
  </si>
  <si>
    <t>https://drive.google.com/open?id=1-iGncyIuqWDahiSbdjl_dnvKzhe2QiNR</t>
  </si>
  <si>
    <t>https://drive.google.com/open?id=17SsuoWWYJJfqSIIn21n96DYkLSqZ0I6y</t>
  </si>
  <si>
    <t>https://drive.google.com/open?id=1cWZF9P6FEJ9j62mpyB9VDy6k6-_I1h8w</t>
  </si>
  <si>
    <t>https://drive.google.com/open?id=1RmiI_eyDfqVciBbg3gYiPgciT2zNcGKu</t>
  </si>
  <si>
    <t>1EllzMHDnbtF_-iNJILt9quYOYffFwwxW</t>
  </si>
  <si>
    <t>https://drive.google.com/file/d/1EllzMHDnbtF_-iNJILt9quYOYffFwwxW/view?usp=drivesdk</t>
  </si>
  <si>
    <t>Document successfully created; Document successfully merged; PDF created; Emails Sent: [To: 21-cortezsilva.jessicaliliana@cetis57.edu.mx; no-reply: true]; Run via form trigger as gabrielvazquez@cetis57.edu.mx; Timestamp: Aug 2 2023 1:04 AM</t>
  </si>
  <si>
    <t>1xGhGAfIslt_tNYZNrbGArzBFeEPmtl84</t>
  </si>
  <si>
    <t>https://drive.google.com/file/d/1xGhGAfIslt_tNYZNrbGArzBFeEPmtl84/view?usp=drivesdk</t>
  </si>
  <si>
    <t>Document successfully created; Document successfully merged; PDF created; Emails Sent: [To: 21-cortezsilva.jessicaliliana@cetis57.edu.mx; no-reply: true]; Run via form trigger as gabrielvazquez@cetis57.edu.mx; Timestamp: Aug 3 2023 2:31 PM</t>
  </si>
  <si>
    <t>https://drive.google.com/open?id=1LzJ2wulyyOtocEeeDmSkyhKOhySWTb9m</t>
  </si>
  <si>
    <t>PRV RIO MISISIPI MZ 18 LT 16</t>
  </si>
  <si>
    <t xml:space="preserve">ENTRE RIO BALSAS Y RIO GRIJALVA, ENFRENTE HAY UN TEMPLO, EN LA ESQUINA UNA CREMERIA </t>
  </si>
  <si>
    <t xml:space="preserve">OLIVO LOPEZ MARIBEL </t>
  </si>
  <si>
    <t>https://drive.google.com/open?id=1Z2mp0RxUMhHqwYCbPbQFQrdEtzL0yw4u</t>
  </si>
  <si>
    <t>https://drive.google.com/open?id=1YpdhiQdXJnm5begiR9XXIE7VQGZX-16g</t>
  </si>
  <si>
    <t>https://drive.google.com/open?id=1YNR21xrlnemX8DyEx8E-BXPUEJjrVWA0</t>
  </si>
  <si>
    <t>https://drive.google.com/open?id=1rA5AHAMzpKF2mIcrSP6pZJO9WFYIOTqW</t>
  </si>
  <si>
    <t>1E6AL-ixOArKDqMmjwjOsZYhTf4igykGc</t>
  </si>
  <si>
    <t>https://drive.google.com/file/d/1E6AL-ixOArKDqMmjwjOsZYhTf4igykGc/view?usp=drivesdk</t>
  </si>
  <si>
    <t>Document successfully created; Document successfully merged; PDF created; Emails Sent: [To: 22-jimenezolivo.abigail@cetis57.edu.mx; no-reply: true]; Run via form trigger as gabrielvazquez@cetis57.edu.mx; Timestamp: Aug 2 2023 1:04 AM</t>
  </si>
  <si>
    <t>1MjcIINlqB7CzC00vHNHf78I0UrNHktr_</t>
  </si>
  <si>
    <t>https://drive.google.com/file/d/1MjcIINlqB7CzC00vHNHf78I0UrNHktr_/view?usp=drivesdk</t>
  </si>
  <si>
    <t>Document successfully created; Document successfully merged; PDF created; Emails Sent: [To: 22-jimenezolivo.abigail@cetis57.edu.mx; no-reply: true]; Run via form trigger as gabrielvazquez@cetis57.edu.mx; Timestamp: Aug 3 2023 2:32 PM</t>
  </si>
  <si>
    <t>GUADALUPE DE  LOS ANGELES</t>
  </si>
  <si>
    <t>https://drive.google.com/open?id=1lUf55B_8jr3fP6aMItidx67lURyfhCvL</t>
  </si>
  <si>
    <t>CALLE 30</t>
  </si>
  <si>
    <t>ENFRENTE A EMPACADORA DE CARNES DOS TOROS</t>
  </si>
  <si>
    <t>https://drive.google.com/open?id=1HxGAUkGhDwPNTZm4N1DFPVmLt8VsnZeT</t>
  </si>
  <si>
    <t>https://drive.google.com/open?id=1wsAqp46603UoMRo19svbRjHzk54WPmwF</t>
  </si>
  <si>
    <t>INGENIERO  DE REDES</t>
  </si>
  <si>
    <t>https://drive.google.com/open?id=13XDoRsTEMFynKfnYkuC7bLcAM63Qk-e4</t>
  </si>
  <si>
    <t>CON MI MADRE Y MI HERMANO</t>
  </si>
  <si>
    <t>https://drive.google.com/open?id=1bKOAg6lyCBHOMevy1E5cRUE0w4G8ErzV</t>
  </si>
  <si>
    <t>1f6wg_TpDdc5s5_jo0G_8eDaNYA4k2pBC</t>
  </si>
  <si>
    <t>https://drive.google.com/file/d/1f6wg_TpDdc5s5_jo0G_8eDaNYA4k2pBC/view?usp=drivesdk</t>
  </si>
  <si>
    <t>Document successfully created; Document successfully merged; PDF created; Emails Sent: [To: 22-ruizgarcia.guadalupedelosangeles@cetis57.edu.mx; no-reply: true]; Run via form trigger as gabrielvazquez@cetis57.edu.mx; Timestamp: Aug 2 2023 1:05 AM</t>
  </si>
  <si>
    <t>1k-ePexyd8VmCwNEMR80ogLjJe_AmGKUd</t>
  </si>
  <si>
    <t>https://drive.google.com/file/d/1k-ePexyd8VmCwNEMR80ogLjJe_AmGKUd/view?usp=drivesdk</t>
  </si>
  <si>
    <t>Document successfully created; Document successfully merged; PDF created; Emails Sent: [To: 22-ruizgarcia.guadalupedelosangeles@cetis57.edu.mx; no-reply: true]; Run via form trigger as gabrielvazquez@cetis57.edu.mx; Timestamp: Aug 3 2023 2:32 PM</t>
  </si>
  <si>
    <t>NICOLE</t>
  </si>
  <si>
    <t>https://drive.google.com/open?id=1djWR34DUW3iim2h1L0BPdQJseQsw_-o5</t>
  </si>
  <si>
    <t xml:space="preserve">PRIMERA CERRADA DE ORIENTE 217 NÚMERO 11 SUR 16 </t>
  </si>
  <si>
    <t>SAGUAN NEGRO Y FACHADA AZUL Y MORADA</t>
  </si>
  <si>
    <t xml:space="preserve">CLAUDIA HERNANDEZ ABARCA </t>
  </si>
  <si>
    <t>https://drive.google.com/open?id=1C71dNXoblbKnJ7pAnZE8OIc12Oc4PGi0</t>
  </si>
  <si>
    <t>claudiaabarca1982@gmail.com</t>
  </si>
  <si>
    <t>https://drive.google.com/open?id=1AIzk0G0wz6RK69NcLp6dy6U_m7_kVBuA</t>
  </si>
  <si>
    <t>https://drive.google.com/open?id=1KGjvXaru8hDlgU3F8rc0N56cQSCQwMFE</t>
  </si>
  <si>
    <t>https://drive.google.com/open?id=14OOSbaMTx1JScWfAW8hk7j5um3940AL1</t>
  </si>
  <si>
    <t>1XmFm0Qv8knyGUp50idkQ2ncH6jWWOyiU</t>
  </si>
  <si>
    <t>https://drive.google.com/file/d/1XmFm0Qv8knyGUp50idkQ2ncH6jWWOyiU/view?usp=drivesdk</t>
  </si>
  <si>
    <t>Document successfully created; Invalid image URL [http://doc.google.com/uc?id=1AIzk0G0wz6RK69NcLp6dy6U_m7_kVBuA], make sure that it is public; Document successfully merged; PDF created; Emails Sent: [To: 21-sanchezhernandez.nicole@cetis57.edu.mx; no-reply: true]; Run via form trigger as gabrielvazquez@cetis57.edu.mx; Timestamp: Aug 2 2023 1:05 AM</t>
  </si>
  <si>
    <t>10lrzXxHhVf79OGUWwsc1FEnI7dPRuiVa</t>
  </si>
  <si>
    <t>https://drive.google.com/file/d/10lrzXxHhVf79OGUWwsc1FEnI7dPRuiVa/view?usp=drivesdk</t>
  </si>
  <si>
    <t>Document successfully created; Invalid image URL [http://doc.google.com/uc?id=1AIzk0G0wz6RK69NcLp6dy6U_m7_kVBuA], make sure that it is public; Document successfully merged; PDF created; Emails Sent: [To: 21-sanchezhernandez.nicole@cetis57.edu.mx; no-reply: true]; Run via form trigger as gabrielvazquez@cetis57.edu.mx; Timestamp: Aug 3 2023 2:33 PM</t>
  </si>
  <si>
    <t>https://drive.google.com/open?id=1jCctQ4lY3b6UtpVV2UjdZLWjT_HlRJM8</t>
  </si>
  <si>
    <t>SAVB071215HMCNLRA6</t>
  </si>
  <si>
    <t>ENTRE AV POZOS Y JUSTO SIERRA</t>
  </si>
  <si>
    <t xml:space="preserve">VELAZQUEZ OROZCO BRENDA </t>
  </si>
  <si>
    <t>https://drive.google.com/open?id=1aNRHjTHlkRDjywpkgDhesA0HeV9HYgf4</t>
  </si>
  <si>
    <t>BV0813457@GMAIL.COM</t>
  </si>
  <si>
    <t>https://drive.google.com/open?id=1TflvZHUNWvRUaVrtF43lE13z3GH192Yk</t>
  </si>
  <si>
    <t>YOLISORO2@GMAIL.COM</t>
  </si>
  <si>
    <t>https://drive.google.com/open?id=18I8icc0OO5gqOZugVzwaFeLZNH3-y_zu</t>
  </si>
  <si>
    <t>https://drive.google.com/open?id=150iYtHvoLHKkOZ8BVA2Xw85zVqNph8zl</t>
  </si>
  <si>
    <t>1N3OGYx1Y0Si_fbSUomxJnc0xVpoL_XGY</t>
  </si>
  <si>
    <t>https://drive.google.com/file/d/1N3OGYx1Y0Si_fbSUomxJnc0xVpoL_XGY/view?usp=drivesdk</t>
  </si>
  <si>
    <t>Document successfully created; Document successfully merged; PDF created; Emails Sent: [To: 22-sanchezvelazquez.brandonyubeg@cetis57.edu.mx]; Run via form trigger as gabrielvazquez@cetis57.edu.mx; Timestamp: Aug 3 2023 5:58 PM</t>
  </si>
  <si>
    <t>178-bCVdkCNkQfE2mpqL5qvsZuzpaXrvb</t>
  </si>
  <si>
    <t>https://drive.google.com/file/d/178-bCVdkCNkQfE2mpqL5qvsZuzpaXrvb/view?usp=drivesdk</t>
  </si>
  <si>
    <t>Document successfully created; Document successfully merged; PDF created; Emails Sent: [To: 22-sanchezvelazquez.brandonyubeg@cetis57.edu.mx; no-reply: true]; Run via form trigger as gabrielvazquez@cetis57.edu.mx; Timestamp: Aug 3 2023 2:38 PM</t>
  </si>
  <si>
    <t>JOSEFIN MAYLIN</t>
  </si>
  <si>
    <t>https://drive.google.com/open?id=1n0jgVi5wrXwGRazcRB7lfYgqY8aBIIlh</t>
  </si>
  <si>
    <t xml:space="preserve">LAGO HURON </t>
  </si>
  <si>
    <t xml:space="preserve">PUERTA BLANCA, ARBOL AFUERA </t>
  </si>
  <si>
    <t>AGUILAR RODRIGUEZ JUDITH LESLYE</t>
  </si>
  <si>
    <t>https://drive.google.com/open?id=1Ok3a-E3vjTmzcVbAEPAbv_LpvK-HNiqr</t>
  </si>
  <si>
    <t>RECOLECTOR</t>
  </si>
  <si>
    <t>https://drive.google.com/open?id=1Gk1Kb72wKnY9lsOSRHKUn3kAEDpsFSUd</t>
  </si>
  <si>
    <t xml:space="preserve">SERGIO DANIEL </t>
  </si>
  <si>
    <t>https://drive.google.com/open?id=13Kp47pzjS6i-0XxRDRNjRz4N9V33KeXL</t>
  </si>
  <si>
    <t>https://drive.google.com/open?id=1u0jj8T5-nyz41auNgLQEL1nng-Kqcr2k</t>
  </si>
  <si>
    <t>1CumB7uXMHgdJcIyMTfzpXvf6X3rO7lKq</t>
  </si>
  <si>
    <t>https://drive.google.com/file/d/1CumB7uXMHgdJcIyMTfzpXvf6X3rO7lKq/view?usp=drivesdk</t>
  </si>
  <si>
    <t>Document successfully created; Document successfully merged; PDF created; Emails Sent: [To: 22-aguilarrodriguez.josefinmaylin@cetis57.edu.mx; no-reply: true]; Run via form trigger as gabrielvazquez@cetis57.edu.mx; Timestamp: Aug 2 2023 1:07 AM</t>
  </si>
  <si>
    <t>1yDpjcVZqcZznYlby0DOvPPDLVvn-8Lp6</t>
  </si>
  <si>
    <t>https://drive.google.com/file/d/1yDpjcVZqcZznYlby0DOvPPDLVvn-8Lp6/view?usp=drivesdk</t>
  </si>
  <si>
    <t>Document successfully created; Document successfully merged; PDF created; Emails Sent: [To: 22-aguilarrodriguez.josefinmaylin@cetis57.edu.mx; no-reply: true]; Run via form trigger as gabrielvazquez@cetis57.edu.mx; Timestamp: Aug 3 2023 2:39 PM</t>
  </si>
  <si>
    <t>https://drive.google.com/open?id=10M8TsLwmSafqifw530BDKF9HNZ-DjFdR</t>
  </si>
  <si>
    <t xml:space="preserve">3RA. CDA LAZAROCARDENAS </t>
  </si>
  <si>
    <t xml:space="preserve">CASA DE DOS PISOS COLOR AZUL SAGUAN VINO LAMINADO  UBICADA EN LA ESQUINA </t>
  </si>
  <si>
    <t>ERIKA HERNANDEZ FERIA</t>
  </si>
  <si>
    <t>https://drive.google.com/open?id=1M0E8VIgSLkaYH8yIosvNNO8glnm8ap9K</t>
  </si>
  <si>
    <t>TIENDERO</t>
  </si>
  <si>
    <t>https://drive.google.com/open?id=1M5vbxRvbw6Uy_CaXYBnOBhHwwoDcm0eb</t>
  </si>
  <si>
    <t>https://drive.google.com/open?id=1f7YLk0VBA6sZzWTte8ia-4PXhwmsk2Sl</t>
  </si>
  <si>
    <t>https://drive.google.com/open?id=1WUPtYpUKGLUDnVQgVlcypGyKN0Pqy9lO</t>
  </si>
  <si>
    <t>1eSUj-L0QAVOiPKuv4VzskK7Tbl3APcR9</t>
  </si>
  <si>
    <t>https://drive.google.com/file/d/1eSUj-L0QAVOiPKuv4VzskK7Tbl3APcR9/view?usp=drivesdk</t>
  </si>
  <si>
    <t>Document successfully created; Document successfully merged; PDF created; Emails Sent: [To: 22-perezhernandez.veronicaitzel@cetis57.edu.mx; no-reply: true]; Run via form trigger as gabrielvazquez@cetis57.edu.mx; Timestamp: Aug 2 2023 1:07 AM</t>
  </si>
  <si>
    <t>1LfWpsec5NcFcUzLCNqzPnN2cyPS1EChH</t>
  </si>
  <si>
    <t>https://drive.google.com/file/d/1LfWpsec5NcFcUzLCNqzPnN2cyPS1EChH/view?usp=drivesdk</t>
  </si>
  <si>
    <t>Document successfully created; Document successfully merged; PDF created; Emails Sent: [To: 22-perezhernandez.veronicaitzel@cetis57.edu.mx; no-reply: true]; Run via form trigger as gabrielvazquez@cetis57.edu.mx; Timestamp: Aug 3 2023 2:40 PM</t>
  </si>
  <si>
    <t>https://drive.google.com/open?id=1vjXJMTTfOVfEN4sEmcawF4uEALI0JT44</t>
  </si>
  <si>
    <t>AVENIDA PLUTARCO ELIAS CALLES</t>
  </si>
  <si>
    <t>ENTRE CHURUBUSCO Y GOMA</t>
  </si>
  <si>
    <t>https://drive.google.com/open?id=1Vd6jAaOkGxgl7Jzi-FLby4C01cXUDwr2</t>
  </si>
  <si>
    <t xml:space="preserve">JONATHAN ELIET </t>
  </si>
  <si>
    <t>https://drive.google.com/open?id=1Pfa6bkHMkmIbLIcAyghigD4MLkDDS2RJ</t>
  </si>
  <si>
    <t>https://drive.google.com/open?id=1tqqJDWHzZk_jL4UG0u84ay-lvaXn_iBU</t>
  </si>
  <si>
    <t>FACULTAD DE MEDICINA UNAM</t>
  </si>
  <si>
    <t xml:space="preserve">LICENCIATURA EN MEDICINA </t>
  </si>
  <si>
    <t>https://drive.google.com/open?id=1lYnps4JszLV7-I4whTBGdoKiuNgmKWN8</t>
  </si>
  <si>
    <t>1htsRVVZr4SD4ZNLOYIJiqzj1MLaXQOQs</t>
  </si>
  <si>
    <t>https://drive.google.com/file/d/1htsRVVZr4SD4ZNLOYIJiqzj1MLaXQOQs/view?usp=drivesdk</t>
  </si>
  <si>
    <t>Document successfully created; Document successfully merged; PDF created; Emails Sent: [To: 21-lopezhernandez.fatimayamileth@cetis57.edu.mx; no-reply: true]; Run via form trigger as gabrielvazquez@cetis57.edu.mx; Timestamp: Aug 2 2023 1:08 AM</t>
  </si>
  <si>
    <t>1cmy-5cSv40V_bbWN_IGFcivsVUSOf276</t>
  </si>
  <si>
    <t>https://drive.google.com/file/d/1cmy-5cSv40V_bbWN_IGFcivsVUSOf276/view?usp=drivesdk</t>
  </si>
  <si>
    <t>Document successfully created; Document successfully merged; PDF created; Emails Sent: [To: 21-lopezhernandez.fatimayamileth@cetis57.edu.mx; no-reply: true]; Run via form trigger as gabrielvazquez@cetis57.edu.mx; Timestamp: Aug 3 2023 2:40 PM</t>
  </si>
  <si>
    <t>https://drive.google.com/open?id=1Ntly1OlyCfiMdVvnSz6tvbBkiusf1tqA</t>
  </si>
  <si>
    <t>ELISA ACUÑA Y ROSETI MZ166 L23</t>
  </si>
  <si>
    <t>STA MARTHA ACATITLA NORTE</t>
  </si>
  <si>
    <t xml:space="preserve">SAGUAN GRIS, BARDA NEGRA </t>
  </si>
  <si>
    <t>https://drive.google.com/open?id=1sH1R0H0zVoslwNZEAQhpqyvetQzgLCJk</t>
  </si>
  <si>
    <t>floresayerim160@gmail.com</t>
  </si>
  <si>
    <t xml:space="preserve">TRABAJADOR DE GOBIERNO </t>
  </si>
  <si>
    <t>ayerimafm26@gmail.com</t>
  </si>
  <si>
    <t>https://drive.google.com/open?id=1j54GcmDQVePD_m72QH1uQXkXu7Fw8gD2</t>
  </si>
  <si>
    <t>FLOES</t>
  </si>
  <si>
    <t xml:space="preserve">YAIR </t>
  </si>
  <si>
    <t>https://drive.google.com/open?id=1EUQiDNrhtLhFbPTpoQf4u0yrAMKx1RBu</t>
  </si>
  <si>
    <t>https://drive.google.com/open?id=1lfxgcT-ErfRKeNqxWBJtzY2NNV5Fvg8V</t>
  </si>
  <si>
    <t>1dWLnU3uPSLLhfkgNo5enDV0dAKOICCmH</t>
  </si>
  <si>
    <t>https://drive.google.com/file/d/1dWLnU3uPSLLhfkgNo5enDV0dAKOICCmH/view?usp=drivesdk</t>
  </si>
  <si>
    <t>Document successfully created; Invalid image URL [http://doc.google.com/uc?id=1j54GcmDQVePD_m72QH1uQXkXu7Fw8gD2], make sure that it is public; Document successfully merged; PDF created; Emails Sent: [To: 21-floresmorales.ayerimavellaneda@cetis57.edu.mx; no-reply: true]; Run via form trigger as gabrielvazquez@cetis57.edu.mx; Timestamp: Aug 2 2023 5:17 PM</t>
  </si>
  <si>
    <t>1U4C82GWjGj8sQHL9VVI7ETpOgEsi8-fL</t>
  </si>
  <si>
    <t>https://drive.google.com/file/d/1U4C82GWjGj8sQHL9VVI7ETpOgEsi8-fL/view?usp=drivesdk</t>
  </si>
  <si>
    <t>Document successfully created; Document successfully merged; PDF created; Emails Sent: [To: 21-floresmorales.ayerimavellaneda@cetis57.edu.mx; no-reply: true]; Run via form trigger as gabrielvazquez@cetis57.edu.mx; Timestamp: Aug 3 2023 2:46 PM</t>
  </si>
  <si>
    <t xml:space="preserve">JENIFER NICOLE </t>
  </si>
  <si>
    <t>https://drive.google.com/open?id=1E7dnyeEps6YkUGo5ZKKRi-idqCtPbEHe</t>
  </si>
  <si>
    <t xml:space="preserve"> 55 4107 2610</t>
  </si>
  <si>
    <t>REPJ071023MMCYXNA5</t>
  </si>
  <si>
    <t>RIO CAZONES MZ 8 LT 7</t>
  </si>
  <si>
    <t xml:space="preserve">GEO VILLAS COSTITLAN </t>
  </si>
  <si>
    <t xml:space="preserve">CERRADA FRENTE A UNA TIENDA </t>
  </si>
  <si>
    <t xml:space="preserve">JOSE ALFREDO REYES BORBOA </t>
  </si>
  <si>
    <t>https://drive.google.com/open?id=1XXKIPVR4-HZ4arv5ewU_FlGSn1_-vsE_</t>
  </si>
  <si>
    <t xml:space="preserve"> MENDEZ</t>
  </si>
  <si>
    <t xml:space="preserve">MADRASTRA </t>
  </si>
  <si>
    <t>https://drive.google.com/open?id=1LhRtL026C13TK3IJkWQ-JbYfM8n6Qyqj</t>
  </si>
  <si>
    <t>https://drive.google.com/open?id=1rf_cxefGIbiCaQqIHA7aT0enATawmCC-</t>
  </si>
  <si>
    <t xml:space="preserve">COLEGIO MILITAR HEROICO </t>
  </si>
  <si>
    <t>https://drive.google.com/open?id=11iQJUJRlVCeQjy4TyKCNvXEettlNo0M3</t>
  </si>
  <si>
    <t>1mjAwQ7uS4FBXuN15pt5z-0wCZLTgu27q</t>
  </si>
  <si>
    <t>https://drive.google.com/file/d/1mjAwQ7uS4FBXuN15pt5z-0wCZLTgu27q/view?usp=drivesdk</t>
  </si>
  <si>
    <t>Document successfully created; Document successfully merged; PDF created; Emails Sent: [To: 22-reyespena.jenifernicole@cetis57.edu.mx; no-reply: true]; Run via form trigger as gabrielvazquez@cetis57.edu.mx; Timestamp: Aug 2 2023 1:14 AM</t>
  </si>
  <si>
    <t>1FVJ502We950k8aFbYuz5Qpn787pkd1nX</t>
  </si>
  <si>
    <t>https://drive.google.com/file/d/1FVJ502We950k8aFbYuz5Qpn787pkd1nX/view?usp=drivesdk</t>
  </si>
  <si>
    <t>Document successfully created; Document successfully merged; PDF created; Emails Sent: [To: 22-reyespena.jenifernicole@cetis57.edu.mx; no-reply: true]; Run via form trigger as gabrielvazquez@cetis57.edu.mx; Timestamp: Aug 3 2023 2:46 PM</t>
  </si>
  <si>
    <t>https://drive.google.com/open?id=1MT0qy6YqCt5tJW-E0IwXl6IHJP2Tk6o3</t>
  </si>
  <si>
    <t>55 7033 3010</t>
  </si>
  <si>
    <t xml:space="preserve">U.DOS </t>
  </si>
  <si>
    <t xml:space="preserve">EN LA ESTRUCTURA TIENE DOS CABEZAS DE CABALLO </t>
  </si>
  <si>
    <t xml:space="preserve">MONICA KARINA PAREDES CASTRO </t>
  </si>
  <si>
    <t>https://drive.google.com/open?id=1QZVMftNaUzkucjzE6jItXSCGpuOmuqor</t>
  </si>
  <si>
    <t>carlosperezM@gmail.com</t>
  </si>
  <si>
    <t>https://drive.google.com/open?id=1MBVhgKeiZvn8cOICz_OL33ggs1cD51qw</t>
  </si>
  <si>
    <t>https://drive.google.com/open?id=125vVm1qDChlGqlmrfno2FjFv7brJZP7x</t>
  </si>
  <si>
    <t>https://drive.google.com/open?id=1kmkJfqPTnaxEsEfSgkrsyqjv0P5Gi61G</t>
  </si>
  <si>
    <t>1WQzsisb9AdlRQ1Zu2C6dXlxugm6JubjD</t>
  </si>
  <si>
    <t>https://drive.google.com/file/d/1WQzsisb9AdlRQ1Zu2C6dXlxugm6JubjD/view?usp=drivesdk</t>
  </si>
  <si>
    <t>Document successfully created; Document successfully merged; PDF created; Emails Sent: [To: 22-perezparedes.ailyn@cetis57.edu.mx]; Run via form trigger as gabrielvazquez@cetis57.edu.mx; Timestamp: Aug 3 2023 7:17 PM</t>
  </si>
  <si>
    <t>1Y3lT3y9dbnIuAZQG5QjoPF6auBe_zgfv</t>
  </si>
  <si>
    <t>https://drive.google.com/file/d/1Y3lT3y9dbnIuAZQG5QjoPF6auBe_zgfv/view?usp=drivesdk</t>
  </si>
  <si>
    <t>Document successfully created; Document successfully merged; PDF created; Emails Sent: [To: 22-perezparedes.ailyn@cetis57.edu.mx; no-reply: true]; Run via form trigger as gabrielvazquez@cetis57.edu.mx; Timestamp: Aug 3 2023 2:54 PM</t>
  </si>
  <si>
    <t>https://drive.google.com/open?id=1PKXXvUsBHMjtL6fHKTKMJK2rVyNfPGwP</t>
  </si>
  <si>
    <t>DE OLMOS QUIROZ EPIFANIA</t>
  </si>
  <si>
    <t>https://drive.google.com/open?id=14nN6XqkP1saMz_qGWQjj2HiDlhKmCP5x</t>
  </si>
  <si>
    <t xml:space="preserve">DE OLMOS </t>
  </si>
  <si>
    <t>ERIKA MONTSERRAT</t>
  </si>
  <si>
    <t>https://drive.google.com/open?id=1uB80FKQJ3DHh9ytooSNcIJ9FrNof7F45</t>
  </si>
  <si>
    <t>https://drive.google.com/open?id=1WHJEayk3AX0CNoXJovPjXvcJu_HQRC-c</t>
  </si>
  <si>
    <t xml:space="preserve">FACULTAS DE ESTUDIOS SUPERIORES ZARAGOZA </t>
  </si>
  <si>
    <t>https://drive.google.com/open?id=18fnmFsTDWJyG7RuQL5LwC4lauZdNCsXV</t>
  </si>
  <si>
    <t>1gRtLrSeu-Jr6QVJGcF1XBorp8znjnVh3</t>
  </si>
  <si>
    <t>https://drive.google.com/file/d/1gRtLrSeu-Jr6QVJGcF1XBorp8znjnVh3/view?usp=drivesdk</t>
  </si>
  <si>
    <t>Document successfully created; Document successfully merged; PDF created; Emails Sent: [To: 22-alcantaradeolmos.erikamontserrat@cetis57.edu.mx; no-reply: true]; Run via form trigger as gabrielvazquez@cetis57.edu.mx; Timestamp: Aug 2 2023 1:15 AM</t>
  </si>
  <si>
    <t>1wKcVqVDg-7rWJCSPLK6S0MgNJeNCVkw_</t>
  </si>
  <si>
    <t>https://drive.google.com/file/d/1wKcVqVDg-7rWJCSPLK6S0MgNJeNCVkw_/view?usp=drivesdk</t>
  </si>
  <si>
    <t>Document successfully created; Document successfully merged; PDF created; Emails Sent: [To: 22-alcantaradeolmos.erikamontserrat@cetis57.edu.mx; no-reply: true]; Run via form trigger as gabrielvazquez@cetis57.edu.mx; Timestamp: Aug 3 2023 2:55 PM</t>
  </si>
  <si>
    <t>DORISMAR</t>
  </si>
  <si>
    <t>https://drive.google.com/open?id=1BFxIbHj4lM3Rtew_5DpVNt31IDBtWxSK</t>
  </si>
  <si>
    <t>JIFD070816MDFMLRA9</t>
  </si>
  <si>
    <t xml:space="preserve">ES UNA CERRADA Y EN LA ESQUINA HAY UNA TIENDA LLAMADA ARILU  </t>
  </si>
  <si>
    <t xml:space="preserve">ISRAEL JIMENEZ GONZALEZ </t>
  </si>
  <si>
    <t>https://drive.google.com/open?id=1vVvDU7kt9hyfDAriIfgpnN47RiJ9sndo</t>
  </si>
  <si>
    <t>jimenezgonzalezisrael.@gmail.com</t>
  </si>
  <si>
    <t>adelaochoaflores56@gmail.com</t>
  </si>
  <si>
    <t>https://drive.google.com/open?id=1Z5IjlDgYz5DFbvS_J5VkGJuriaN-yn76</t>
  </si>
  <si>
    <t>israeljimenezflores@gmail.com</t>
  </si>
  <si>
    <t>https://drive.google.com/open?id=1ZD2Cve6ernmtr4kHr1CCiAHhhnEejuIl</t>
  </si>
  <si>
    <t>https://drive.google.com/open?id=1ZfNMCzh8iAe3uTLXzYf1z1doWApa9sFj</t>
  </si>
  <si>
    <t>1131ACoaDplNXo7vMepR0ciXvEIdUmJsU</t>
  </si>
  <si>
    <t>https://drive.google.com/file/d/1131ACoaDplNXo7vMepR0ciXvEIdUmJsU/view?usp=drivesdk</t>
  </si>
  <si>
    <t>Document successfully created; Document successfully merged; PDF created; Emails Sent: [To: 22-jimenezflores.dorismar@cetis57.edu.mx; no-reply: true]; Run via form trigger as gabrielvazquez@cetis57.edu.mx; Timestamp: Aug 2 2023 1:16 AM</t>
  </si>
  <si>
    <t>10cjmQ3SLO59Wapd-tZdSTHipVUtvieno</t>
  </si>
  <si>
    <t>https://drive.google.com/file/d/10cjmQ3SLO59Wapd-tZdSTHipVUtvieno/view?usp=drivesdk</t>
  </si>
  <si>
    <t>Document successfully created; Document successfully merged; PDF created; Emails Sent: [To: 22-jimenezflores.dorismar@cetis57.edu.mx; no-reply: true]; Run via form trigger as gabrielvazquez@cetis57.edu.mx; Timestamp: Aug 3 2023 3:00 PM</t>
  </si>
  <si>
    <t>https://drive.google.com/open?id=1avU2LPq9MVscPIPgUO87jWPS3wjDcAZj</t>
  </si>
  <si>
    <t>Av. Paraje Sanjuan</t>
  </si>
  <si>
    <t>DOMINGO RAMIREZ NO.32</t>
  </si>
  <si>
    <t>UNA CERRADA COLOR ROJO ALADO DE UNA IGLESIA DE LOS MORMONES.</t>
  </si>
  <si>
    <t>MARIA DE LOURDES BUCIO SUAREZ</t>
  </si>
  <si>
    <t>https://drive.google.com/open?id=1ZnmouKo-VTvfO9qb6mAbbu7wfhdtIl6P</t>
  </si>
  <si>
    <t>JOSE ESCAMILLA RUIZ</t>
  </si>
  <si>
    <t>JoseEscamilla@gmail.com</t>
  </si>
  <si>
    <t>https://drive.google.com/open?id=1BPzMJqAiKc3nxfSSdq1FoxVwBxvNtRqP</t>
  </si>
  <si>
    <t>JOSELINE ESTEFANIA</t>
  </si>
  <si>
    <t>PERITO</t>
  </si>
  <si>
    <t>Bricka82@hotmail.com</t>
  </si>
  <si>
    <t>https://drive.google.com/open?id=1v8gg3jfleXp0tkQUUpv8h8a9H1fZD1jB</t>
  </si>
  <si>
    <t>https://drive.google.com/open?id=1e_YxT7OoaGaFHFJ0d-KWbokG-2N5Hj9O</t>
  </si>
  <si>
    <t>1gH0wz28gqgbX9Q5LRKA-3jHURkYGqkp3</t>
  </si>
  <si>
    <t>https://drive.google.com/file/d/1gH0wz28gqgbX9Q5LRKA-3jHURkYGqkp3/view?usp=drivesdk</t>
  </si>
  <si>
    <t>Document successfully created; Document successfully merged; PDF created; Emails Sent: [To: 21-escamillabucio.emmanuelalejandro@cetis57.edu.mx; no-reply: true]; Run via form trigger as gabrielvazquez@cetis57.edu.mx; Timestamp: Aug 2 2023 5:23 PM</t>
  </si>
  <si>
    <t>18xs4_7wmWiPNAjOaiT5DgH9zRcG9JkfO</t>
  </si>
  <si>
    <t>https://drive.google.com/file/d/18xs4_7wmWiPNAjOaiT5DgH9zRcG9JkfO/view?usp=drivesdk</t>
  </si>
  <si>
    <t>Document successfully created; Document successfully merged; PDF created; Emails Sent: [To: 21-escamillabucio.emmanuelalejandro@cetis57.edu.mx; no-reply: true]; Run via form trigger as gabrielvazquez@cetis57.edu.mx; Timestamp: Aug 3 2023 3:01 PM</t>
  </si>
  <si>
    <t>https://drive.google.com/open?id=1cTN-nsAeLBbg49J0bYH0B8Xl_7nr-MSE</t>
  </si>
  <si>
    <t>VILLA VICTORIA #245</t>
  </si>
  <si>
    <t>ENTRE AVENIDA PANTITLAN Y CALLE COATEPEC</t>
  </si>
  <si>
    <t>ITZARY ELISABET CARIÑO RESENDIZ</t>
  </si>
  <si>
    <t>https://drive.google.com/open?id=1w_Cz98ZHG-ROR0R_5Ab-TesZCVNBX46Q</t>
  </si>
  <si>
    <t>https://drive.google.com/open?id=1K9dlZzOPlKBXyiYHNpJceMWx87JcWHm8</t>
  </si>
  <si>
    <t>froylancarinocazares@gmail.com</t>
  </si>
  <si>
    <t>https://drive.google.com/open?id=19QfmfdSD4D6TRtBcbA-0xLYmL1Uf9ZDx</t>
  </si>
  <si>
    <t>Up medicina</t>
  </si>
  <si>
    <t>https://drive.google.com/open?id=19zV652lzfB2K2nf9RNpw5QoPCAAzC8sI</t>
  </si>
  <si>
    <t>1UD_JqQ1STqoOYyJHC54WUxfQ5-TFoPry</t>
  </si>
  <si>
    <t>https://drive.google.com/file/d/1UD_JqQ1STqoOYyJHC54WUxfQ5-TFoPry/view?usp=drivesdk</t>
  </si>
  <si>
    <t>Document successfully created; Document successfully merged; PDF created; Emails Sent: [To: 22-carinoresendiz.emanuelfroylan@cetis57.edu.mx; no-reply: true]; Run via form trigger as gabrielvazquez@cetis57.edu.mx; Timestamp: Aug 2 2023 1:20 AM</t>
  </si>
  <si>
    <t>1iM7YFjCNXgy1RFgU5kzNAol0sXVZN43U</t>
  </si>
  <si>
    <t>https://drive.google.com/file/d/1iM7YFjCNXgy1RFgU5kzNAol0sXVZN43U/view?usp=drivesdk</t>
  </si>
  <si>
    <t>Document successfully created; Document successfully merged; PDF created; Emails Sent: [To: 22-carinoresendiz.emanuelfroylan@cetis57.edu.mx; no-reply: true]; Run via form trigger as gabrielvazquez@cetis57.edu.mx; Timestamp: Aug 3 2023 3:03 PM</t>
  </si>
  <si>
    <t>https://drive.google.com/open?id=18Wt-gRhp8LqOikan58dtcKgOfmT4zp6I</t>
  </si>
  <si>
    <t xml:space="preserve">CALLE 36 NUMERO 32 COL EL SOL NEZAHUALCOYOTL </t>
  </si>
  <si>
    <t xml:space="preserve">CASA NARANJA SOBRE SEPTIMA AVENIDA </t>
  </si>
  <si>
    <t>SOTERO RENE VILLA HERNANDEZ</t>
  </si>
  <si>
    <t>https://drive.google.com/open?id=1MnMJb2GLmFijvX27EDQcF1BJRESrMDxp</t>
  </si>
  <si>
    <t>Creacion_nortena2011@hotmail.com</t>
  </si>
  <si>
    <t>Luceroislas_243@gmail.com</t>
  </si>
  <si>
    <t>https://drive.google.com/open?id=1SEfcc3IIDwnNQOwlsmcM_WrwuGtnHA8L</t>
  </si>
  <si>
    <t xml:space="preserve">BRANDON SOTERO </t>
  </si>
  <si>
    <t>sotepingo@gmail.com</t>
  </si>
  <si>
    <t>https://drive.google.com/open?id=1AynlkT2-7F_DKvgTm0-67R0g8TECaDfA</t>
  </si>
  <si>
    <t>https://drive.google.com/open?id=1IxBgb46P-j_5Llv4MKHynDo2ZSmmGy-h</t>
  </si>
  <si>
    <t>15RkxYaQkdL9ISWDflHkezJE0csE5ETTl</t>
  </si>
  <si>
    <t>https://drive.google.com/file/d/15RkxYaQkdL9ISWDflHkezJE0csE5ETTl/view?usp=drivesdk</t>
  </si>
  <si>
    <t>Document successfully created; Document successfully merged; PDF created; Emails Sent: [To: 22-villaislas.kevinenrique@cetis57.edu.mx; no-reply: true]; Run via form trigger as gabrielvazquez@cetis57.edu.mx; Timestamp: Aug 2 2023 1:20 AM</t>
  </si>
  <si>
    <t>1hd0593MMSQZM1oQbHtsJB497YArXlTme</t>
  </si>
  <si>
    <t>https://drive.google.com/file/d/1hd0593MMSQZM1oQbHtsJB497YArXlTme/view?usp=drivesdk</t>
  </si>
  <si>
    <t>Document successfully created; Document successfully merged; PDF created; Emails Sent: [To: 22-villaislas.kevinenrique@cetis57.edu.mx; no-reply: true]; Run via form trigger as gabrielvazquez@cetis57.edu.mx; Timestamp: Aug 3 2023 3:04 PM</t>
  </si>
  <si>
    <t>DAFNE LYNETTE</t>
  </si>
  <si>
    <t>https://drive.google.com/open?id=1tDdEx1F9LKhhYth6oJ9krd8hDBk86u97</t>
  </si>
  <si>
    <t>ROED070518MOCDSFA5</t>
  </si>
  <si>
    <t>C.COLEGIO MILITAR</t>
  </si>
  <si>
    <t>MZ.78</t>
  </si>
  <si>
    <t>LA CALLE SE ENCUENTRA ENTRE SAN RAFAEL ATLIXCO Y REVOLUCION</t>
  </si>
  <si>
    <t>NAYELI ESPINOSA VILLA</t>
  </si>
  <si>
    <t>https://drive.google.com/open?id=1Jbo7RWiTLoDSqLrajvcTIoXrJTwUFhYD</t>
  </si>
  <si>
    <t>https://drive.google.com/open?id=1md0hdCKsO7DwCrYcgXRKzRDxgxt-d17-</t>
  </si>
  <si>
    <t>MAXIMO</t>
  </si>
  <si>
    <t>https://drive.google.com/open?id=14pXNuYYHlf4IuKg41nJEK1Twa-6wLeal</t>
  </si>
  <si>
    <t>https://drive.google.com/open?id=1Wqc72TiILdq1YmcWK6M6T-eb8mwQIoWf</t>
  </si>
  <si>
    <t>1NL1uCzX9UI_RD-WHkRyormWhE9V8Ye30</t>
  </si>
  <si>
    <t>https://drive.google.com/file/d/1NL1uCzX9UI_RD-WHkRyormWhE9V8Ye30/view?usp=drivesdk</t>
  </si>
  <si>
    <t>Document successfully created; Document successfully merged; PDF created; Emails Sent: [To: 22-rodriguezespinosa.dafnelynette@cetis57.edu.mx; no-reply: true]; Run via form trigger as gabrielvazquez@cetis57.edu.mx; Timestamp: Aug 2 2023 1:21 AM</t>
  </si>
  <si>
    <t>1dYT9eSzldOhDlkLJGqh-2GKCzcjflCUf</t>
  </si>
  <si>
    <t>https://drive.google.com/file/d/1dYT9eSzldOhDlkLJGqh-2GKCzcjflCUf/view?usp=drivesdk</t>
  </si>
  <si>
    <t>Document successfully created; Document successfully merged; PDF created; Emails Sent: [To: 22-rodriguezespinosa.dafnelynette@cetis57.edu.mx; no-reply: true]; Run via form trigger as gabrielvazquez@cetis57.edu.mx; Timestamp: Aug 3 2023 3:11 PM</t>
  </si>
  <si>
    <t>https://drive.google.com/open?id=1demYB3S4ICKrtV7L8d1yIS0rKT7GAuRH</t>
  </si>
  <si>
    <t>CALLE BENITO JUAREZ, MZ A LT 24</t>
  </si>
  <si>
    <t>UN MERCADO A TRES CUADRAS</t>
  </si>
  <si>
    <t>MARGARITA VIRGINIA RUIZ CUEVAS</t>
  </si>
  <si>
    <t>https://drive.google.com/open?id=1ZtgGIbPkh-J7itDN1-vf1jyRu_qvJYN8</t>
  </si>
  <si>
    <t>vickyrockera.35@gmail.com</t>
  </si>
  <si>
    <t>danapoalaru@gmail.com</t>
  </si>
  <si>
    <t>https://drive.google.com/open?id=1P0gMaVECX58gUOSoLhzpJ1E6rRDoD4PA</t>
  </si>
  <si>
    <t>https://drive.google.com/open?id=1SL-bNAmKVyR6FXIuhTLHQlWRGfM8P9BN</t>
  </si>
  <si>
    <t xml:space="preserve">SOLO CON MAMÁ </t>
  </si>
  <si>
    <t xml:space="preserve">ANTIDEPRESIVOS </t>
  </si>
  <si>
    <t xml:space="preserve">Todos los anteriores </t>
  </si>
  <si>
    <t>https://drive.google.com/open?id=1lwjdthJuTLBAJocdXkEosfWkiHYw8Der</t>
  </si>
  <si>
    <t>1uBWNpAx3HTxwsYX9TRGbU9VAYjZJ4kDE</t>
  </si>
  <si>
    <t>https://drive.google.com/file/d/1uBWNpAx3HTxwsYX9TRGbU9VAYjZJ4kDE/view?usp=drivesdk</t>
  </si>
  <si>
    <t>Document successfully created; Document successfully merged; PDF created; Emails Sent: [To: 22-martinezruiz.alanmoises@cetis57.edu.mx; no-reply: true]; Run via form trigger as gabrielvazquez@cetis57.edu.mx; Timestamp: Aug 2 2023 1:22 AM</t>
  </si>
  <si>
    <t>1O-_PLlxSYgEWze94aEWRxTIbHVCP6zVC</t>
  </si>
  <si>
    <t>https://drive.google.com/file/d/1O-_PLlxSYgEWze94aEWRxTIbHVCP6zVC/view?usp=drivesdk</t>
  </si>
  <si>
    <t>Document successfully created; Document successfully merged; PDF created; Emails Sent: [To: 22-martinezruiz.alanmoises@cetis57.edu.mx; no-reply: true]; Run via form trigger as gabrielvazquez@cetis57.edu.mx; Timestamp: Aug 3 2023 3:12 PM</t>
  </si>
  <si>
    <t>https://drive.google.com/open?id=1Go1MQxK6L8K2X5QUX_xqZRG1Fn7VP31p</t>
  </si>
  <si>
    <t>CALZ DE LA VIGA 271</t>
  </si>
  <si>
    <t>F-403</t>
  </si>
  <si>
    <t xml:space="preserve">FRENTE AL METROBUS LA VIGA Y LAS BIRRIERIAS NUMANSIA </t>
  </si>
  <si>
    <t>JONATHAN GALLARDO RAMOS</t>
  </si>
  <si>
    <t xml:space="preserve">MARGARITA RAMOS INFANTE </t>
  </si>
  <si>
    <t>https://drive.google.com/open?id=17HF5Ea8h1n-IBYkgtFSzhs4SKQztZFqZ</t>
  </si>
  <si>
    <t xml:space="preserve">GALLARDO </t>
  </si>
  <si>
    <t>https://drive.google.com/open?id=1pqdB4K2x7VUh30FYpZo8Zs6keJPkZ3yK</t>
  </si>
  <si>
    <t>https://drive.google.com/open?id=1k0ko-rvmlJI6t784pH9JKDt_DOx2J5SM</t>
  </si>
  <si>
    <t>POLOTECNICO</t>
  </si>
  <si>
    <t xml:space="preserve">NUEVO LEON </t>
  </si>
  <si>
    <t>https://drive.google.com/open?id=1OpJkXKKoBCo4SovbyX_tV7P27u9ZFMPQ</t>
  </si>
  <si>
    <t>1_TjY0tuU1WjF7LQF1zl4Q1aIwJ6Ra_73</t>
  </si>
  <si>
    <t>https://drive.google.com/file/d/1_TjY0tuU1WjF7LQF1zl4Q1aIwJ6Ra_73/view?usp=drivesdk</t>
  </si>
  <si>
    <t>Document successfully created; Document successfully merged; PDF created; Emails Sent: [To: 21-gallardoramos.jonathan@cetis57.edu.mx; no-reply: true]; Run via form trigger as gabrielvazquez@cetis57.edu.mx; Timestamp: Aug 2 2023 5:24 PM</t>
  </si>
  <si>
    <t>1fnPZZpzgbgvELnTohf68RT381FSwADTh</t>
  </si>
  <si>
    <t>https://drive.google.com/file/d/1fnPZZpzgbgvELnTohf68RT381FSwADTh/view?usp=drivesdk</t>
  </si>
  <si>
    <t>Document successfully created; Document successfully merged; PDF created; Emails Sent: [To: 21-gallardoramos.jonathan@cetis57.edu.mx; no-reply: true]; Run via form trigger as gabrielvazquez@cetis57.edu.mx; Timestamp: Aug 3 2023 3:12 PM</t>
  </si>
  <si>
    <t>https://drive.google.com/open?id=1nhyIm413yMTA3aeet1Qp8nxl7R_Tqnap</t>
  </si>
  <si>
    <t>ELVIA EDITH NAPOLEON AGUILAR</t>
  </si>
  <si>
    <t>https://drive.google.com/open?id=1hfVpmqnfKVmPC4rN1UgfFJ0vw_MEi0I1</t>
  </si>
  <si>
    <t>cruznap25@gmail.com</t>
  </si>
  <si>
    <t>https://drive.google.com/open?id=1AaN_Zl223JI0eVDQRgFLcMI9wHanONmx</t>
  </si>
  <si>
    <t>https://drive.google.com/open?id=1Py0BVt2lAgh3n1-IAaYDxZGL1WEQyl3S</t>
  </si>
  <si>
    <t>https://drive.google.com/open?id=1zDG5GswaicMern_SqX6QctOQK5p4qSeZ</t>
  </si>
  <si>
    <t>1EVd61B9fzs1siRNN7zD_UbapqLQFbHg7</t>
  </si>
  <si>
    <t>https://drive.google.com/file/d/1EVd61B9fzs1siRNN7zD_UbapqLQFbHg7/view?usp=drivesdk</t>
  </si>
  <si>
    <t>Document successfully created; Document successfully merged; PDF created; Emails Sent: [To: 22-cruznapoleon.nahomilinnet@cetis57.edu.mx; no-reply: true]; Run via form trigger as gabrielvazquez@cetis57.edu.mx; Timestamp: Aug 2 2023 1:23 AM</t>
  </si>
  <si>
    <t>1OLdBLoNG734CiwcqxtAerlhq8i2n_kwF</t>
  </si>
  <si>
    <t>https://drive.google.com/file/d/1OLdBLoNG734CiwcqxtAerlhq8i2n_kwF/view?usp=drivesdk</t>
  </si>
  <si>
    <t>Document successfully created; Document successfully merged; PDF created; Emails Sent: [To: 22-cruznapoleon.nahomilinnet@cetis57.edu.mx; no-reply: true]; Run via form trigger as gabrielvazquez@cetis57.edu.mx; Timestamp: Aug 3 2023 3:13 PM</t>
  </si>
  <si>
    <t>https://drive.google.com/open?id=1yRJkIpPaQgW33L_JCkiwBzo7XkgMwICM</t>
  </si>
  <si>
    <t>MANUEL ESCANDON NUM#64</t>
  </si>
  <si>
    <t xml:space="preserve">UNIDAD HABITACIONAL ENREJADO COLOR VERDE 3 ENTRADAS </t>
  </si>
  <si>
    <t>HERNANDEZ NAVARRETE GUADALUPE</t>
  </si>
  <si>
    <t>https://drive.google.com/open?id=18N-Z0eSe5tEr3KDZVgo3h5ztj_Mne3_w</t>
  </si>
  <si>
    <t>https://drive.google.com/open?id=1w2CtSBDoRaG6j7GSsNqAa563hY7m3IWi</t>
  </si>
  <si>
    <t>nishimura487@gmail.com</t>
  </si>
  <si>
    <t>https://drive.google.com/open?id=12sfOVr20mZlXbxH96vklhqJc9WzApHA9</t>
  </si>
  <si>
    <t>VIVO CON MIS PAPAS</t>
  </si>
  <si>
    <t>ORTODONCIA</t>
  </si>
  <si>
    <t>CENTRO NACIONAL DE LAS ARTES</t>
  </si>
  <si>
    <t>https://drive.google.com/open?id=1M9mxnR2U-4JpluGtzqyaPwIi-NswalOH</t>
  </si>
  <si>
    <t>1NVb5PJjRJbwtzvg3SzKUIjhgAylxFMbG</t>
  </si>
  <si>
    <t>https://drive.google.com/file/d/1NVb5PJjRJbwtzvg3SzKUIjhgAylxFMbG/view?usp=drivesdk</t>
  </si>
  <si>
    <t>Document successfully created; Document successfully merged; PDF created; Emails Sent: [To: 20-hernandeznavarrete.jesusefrain@cetis57.edu.mx; no-reply: true]; Run via form trigger as gabrielvazquez@cetis57.edu.mx; Timestamp: Aug 2 2023 1:29 AM</t>
  </si>
  <si>
    <t>1yzW16xAPD4zDzmSYoFHKnF_HeP8B9Gel</t>
  </si>
  <si>
    <t>https://drive.google.com/file/d/1yzW16xAPD4zDzmSYoFHKnF_HeP8B9Gel/view?usp=drivesdk</t>
  </si>
  <si>
    <t>Document successfully created; Document successfully merged; PDF created; Emails Sent: [To: 20-hernandeznavarrete.jesusefrain@cetis57.edu.mx; no-reply: true]; Run via form trigger as gabrielvazquez@cetis57.edu.mx; Timestamp: Aug 2 2023 12:27 AM</t>
  </si>
  <si>
    <t>18IjRf3MrPCKhpAByF9UT18_BX03poFPB</t>
  </si>
  <si>
    <t>https://drive.google.com/file/d/18IjRf3MrPCKhpAByF9UT18_BX03poFPB/view?usp=drivesdk</t>
  </si>
  <si>
    <t>Document successfully created; Document successfully merged; PDF created; Emails Sent: [To: 20-hernandeznavarrete.jesusefrain@cetis57.edu.mx; no-reply: true]; Run via form trigger as gabrielvazquez@cetis57.edu.mx; Timestamp: Aug 3 2023 3:20 PM</t>
  </si>
  <si>
    <t>https://drive.google.com/open?id=1HQcUGtgT0yWCTy36FSueJiwS9dhSAcUb</t>
  </si>
  <si>
    <t>C AMATEPEC MZA 1 LT 1A COL ALMARCIGO SUR</t>
  </si>
  <si>
    <t>ALMARCIGO SUR</t>
  </si>
  <si>
    <t>CASA GRIS DE DOS PISOS</t>
  </si>
  <si>
    <t xml:space="preserve">CARMEN ESPARRAGOZA VEGA </t>
  </si>
  <si>
    <t>https://drive.google.com/open?id=1zILz-GBkrlk_IEUtD6RUTN6WujIiHPgX</t>
  </si>
  <si>
    <t>hitman_ribon@hotmail.com</t>
  </si>
  <si>
    <t>https://drive.google.com/open?id=1BisaqYlw5KcBMbjKaV9E6QkspvibtuSs</t>
  </si>
  <si>
    <t>https://drive.google.com/open?id=1FywGfOXVplITK2c3x0jkmkHXjfi78aCe</t>
  </si>
  <si>
    <t>FAMILIARES</t>
  </si>
  <si>
    <t>https://drive.google.com/open?id=1lYq6KwUyiisyX_p66L9W_7a_fhkZYPlB</t>
  </si>
  <si>
    <t>1BQgXcR2aTQJYXAWXvWOdpsa7w1HvJm9m</t>
  </si>
  <si>
    <t>https://drive.google.com/file/d/1BQgXcR2aTQJYXAWXvWOdpsa7w1HvJm9m/view?usp=drivesdk</t>
  </si>
  <si>
    <t>Document successfully created; Document successfully merged; PDF created; Emails Sent: [To: 22-hernandezesparragoza.valeria@cetis57.edu.mx; no-reply: true]; Run via form trigger as gabrielvazquez@cetis57.edu.mx; Timestamp: Aug 2 2023 1:30 AM</t>
  </si>
  <si>
    <t>1rf0Ga5PkCxoCx92_zMQ_DZ2CfIFbGYy6</t>
  </si>
  <si>
    <t>https://drive.google.com/file/d/1rf0Ga5PkCxoCx92_zMQ_DZ2CfIFbGYy6/view?usp=drivesdk</t>
  </si>
  <si>
    <t>Document successfully created; Document successfully merged; PDF created; Emails Sent: [To: 22-hernandezesparragoza.valeria@cetis57.edu.mx; no-reply: true]; Run via form trigger as gabrielvazquez@cetis57.edu.mx; Timestamp: Aug 3 2023 3:21 PM</t>
  </si>
  <si>
    <t>ANDREA SHERLINE</t>
  </si>
  <si>
    <t>https://drive.google.com/open?id=1evibt4BR76RbIAPyjw0jlZ6U2NDAOq6V</t>
  </si>
  <si>
    <t>CALLE 14 #183 COLONIA JUAREZ PANTITLAN</t>
  </si>
  <si>
    <t xml:space="preserve">UN 3B EN LA ESQUINA DE LA AVENIDA JUAREZ </t>
  </si>
  <si>
    <t xml:space="preserve">VELASCO ESPARZA CRISTINA </t>
  </si>
  <si>
    <t>https://drive.google.com/open?id=1ooMxvWHVqWuBIBUIL-_b8aLVLZ4jcdBt</t>
  </si>
  <si>
    <t>cristinasparza8@gmail.com</t>
  </si>
  <si>
    <t>EDNA CRISTINA</t>
  </si>
  <si>
    <t>https://drive.google.com/open?id=19hK4SvSLIgLJ8qXzrKeYxcJEVe7l5Ooh</t>
  </si>
  <si>
    <t>MARLENE KAORI</t>
  </si>
  <si>
    <t>https://drive.google.com/open?id=1i0hxTvlhsgNIB5lDwspfVYHKaQazJOCd</t>
  </si>
  <si>
    <t>UNAM    IPN</t>
  </si>
  <si>
    <t>Aún no estoy segura.</t>
  </si>
  <si>
    <t>https://drive.google.com/open?id=13QTcw0k4dqqk26xZZd80njFbhYSkXgWk</t>
  </si>
  <si>
    <t>1Ekj5Wqj4rHDRvAC7lmIRuk0nr8l56wxh</t>
  </si>
  <si>
    <t>https://drive.google.com/file/d/1Ekj5Wqj4rHDRvAC7lmIRuk0nr8l56wxh/view?usp=drivesdk</t>
  </si>
  <si>
    <t>Document successfully created; Document successfully merged; PDF created; Emails Sent: [To: 22-rodriguezsoriano.andreasherline@cetis57.edu.mx; no-reply: true]; Run via form trigger as gabrielvazquez@cetis57.edu.mx; Timestamp: Aug 2 2023 1:31 AM</t>
  </si>
  <si>
    <t>1LKT5B8m2gvKBH6hFEXUp7kEMurDzF38x</t>
  </si>
  <si>
    <t>https://drive.google.com/file/d/1LKT5B8m2gvKBH6hFEXUp7kEMurDzF38x/view?usp=drivesdk</t>
  </si>
  <si>
    <t>Document successfully created; Document successfully merged; PDF created; Emails Sent: [To: 22-rodriguezsoriano.andreasherline@cetis57.edu.mx; no-reply: true]; Run via form trigger as gabrielvazquez@cetis57.edu.mx; Timestamp: Aug 3 2023 3:22 PM</t>
  </si>
  <si>
    <t>https://drive.google.com/open?id=1M1H74k2EIqQ26IAYytWlPHUCpQTTnp2u</t>
  </si>
  <si>
    <t>PAQD070324MDFLJMA1</t>
  </si>
  <si>
    <t>C RUBEN ZEPEDA NOVELO 50 EDIF 5 DEP 403 COL CHINAMPAC DE JUAREZ IZTAPALAPA CDMX</t>
  </si>
  <si>
    <t>CENTRO DE SALUD CHINAMPAC DE JUAREZ</t>
  </si>
  <si>
    <t>QUIJADA HERMANDEZ LETICIA</t>
  </si>
  <si>
    <t>https://drive.google.com/open?id=1owwAKhymawp5NQ4dhnx3CAh3dwC3QTp-</t>
  </si>
  <si>
    <t>leticiamorenamore@gmail.com</t>
  </si>
  <si>
    <t>kisepalomo@gmail.com</t>
  </si>
  <si>
    <t>https://drive.google.com/open?id=18BbBi9MaMF3R3HeSmRjphm3RRHU1BBIc</t>
  </si>
  <si>
    <t>MIGUEL ALEJANDRO</t>
  </si>
  <si>
    <t>mikei122082@gmail.com</t>
  </si>
  <si>
    <t>https://drive.google.com/open?id=1IavJlM-aM8LsHvnRhNUsomBe8aprfuUa</t>
  </si>
  <si>
    <t>https://drive.google.com/open?id=1shc7nbNcO7Dpsn4c9kYaC1TfrHgODvMo</t>
  </si>
  <si>
    <t>1wojAO2PQA7SLRpMPZdK__bnlNlhivIt5</t>
  </si>
  <si>
    <t>https://drive.google.com/file/d/1wojAO2PQA7SLRpMPZdK__bnlNlhivIt5/view?usp=drivesdk</t>
  </si>
  <si>
    <t>Document successfully created; Document successfully merged; PDF created; Emails Sent: [To: 22-palomoquijada.damiayoali@cetis57.edu.mx; no-reply: true]; Run via form trigger as gabrielvazquez@cetis57.edu.mx; Timestamp: Aug 2 2023 1:31 AM</t>
  </si>
  <si>
    <t>112k3thbXkTHF2skTWW7BjRi3nI6XRDqJ</t>
  </si>
  <si>
    <t>https://drive.google.com/file/d/112k3thbXkTHF2skTWW7BjRi3nI6XRDqJ/view?usp=drivesdk</t>
  </si>
  <si>
    <t>Document successfully created; Document successfully merged; PDF created; Emails Sent: [To: 22-palomoquijada.damiayoali@cetis57.edu.mx; no-reply: true]; Run via form trigger as gabrielvazquez@cetis57.edu.mx; Timestamp: Aug 3 2023 3:22 PM</t>
  </si>
  <si>
    <t>BRISEIDA JISEL</t>
  </si>
  <si>
    <t>https://drive.google.com/open?id=1OURaM714IMwZg3IfY5-JBmMEgKW-agwL</t>
  </si>
  <si>
    <t xml:space="preserve">CALLE PINO MANZANA 3 LOTE 4 COLONIA COPALERA </t>
  </si>
  <si>
    <t xml:space="preserve">ES UNA CALLE CERRADA UNA ENTRE CALLE  ABAJO QUE ES PARA LA PARADA DE COMBIS </t>
  </si>
  <si>
    <t>RAMIREZ GONZALEZ JESICA ANAI</t>
  </si>
  <si>
    <t>https://drive.google.com/open?id=1_WXGk2mNW72GqozhOXD7SPBYG5EbQMVl</t>
  </si>
  <si>
    <t xml:space="preserve">COMPUTACION EN SISTEMAS </t>
  </si>
  <si>
    <t>https://drive.google.com/open?id=1JfjZjwacILh_dLvKkXzepBxsfw1alxW2</t>
  </si>
  <si>
    <t xml:space="preserve">JESICA ANAI </t>
  </si>
  <si>
    <t>https://drive.google.com/open?id=14B5ZJdE5M_yWXunDz4r5gMD5-Y1GtBJ5</t>
  </si>
  <si>
    <t xml:space="preserve">TIOS </t>
  </si>
  <si>
    <t xml:space="preserve">SEDENA MILITAR </t>
  </si>
  <si>
    <t>https://drive.google.com/open?id=1of77-kOChJkUEuSfbGd5eA5qcAq-Aetp</t>
  </si>
  <si>
    <t>1ce-lc1B3HLtxZxfxr-Ii4YB4cUhxehkX</t>
  </si>
  <si>
    <t>https://drive.google.com/file/d/1ce-lc1B3HLtxZxfxr-Ii4YB4cUhxehkX/view?usp=drivesdk</t>
  </si>
  <si>
    <t>Document successfully created; Document successfully merged; PDF created; Emails Sent: [To: 22-martinezramirez.briseidajisel@cetis57.edu.mx; no-reply: true]; Run via form trigger as gabrielvazquez@cetis57.edu.mx; Timestamp: Aug 2 2023 1:32 AM</t>
  </si>
  <si>
    <t>1R-OH4-DZW5jaWA9NYEPOvORRZgNeTplR</t>
  </si>
  <si>
    <t>https://drive.google.com/file/d/1R-OH4-DZW5jaWA9NYEPOvORRZgNeTplR/view?usp=drivesdk</t>
  </si>
  <si>
    <t>Document successfully created; Document successfully merged; PDF created; Emails Sent: [To: 22-martinezramirez.briseidajisel@cetis57.edu.mx; no-reply: true]; Run via form trigger as gabrielvazquez@cetis57.edu.mx; Timestamp: Aug 3 2023 3:23 PM</t>
  </si>
  <si>
    <t>https://drive.google.com/open?id=1iWelmCRgUH_j4Imv06ClT0OUpf9MyaNR</t>
  </si>
  <si>
    <t xml:space="preserve">CDA DE LICEAGA </t>
  </si>
  <si>
    <t>CASA COLOR ROSA CON PIERTA BLANCA</t>
  </si>
  <si>
    <t>KANAMAYE ABRAHAM GOMEZ CABRERA</t>
  </si>
  <si>
    <t>https://drive.google.com/open?id=1-mEZ_Dtkm5xcCeWCZr72uBOjdkmVl2Lt</t>
  </si>
  <si>
    <t>odetbi@hotmail.com</t>
  </si>
  <si>
    <t>https://drive.google.com/open?id=1cixoHZ2HfA-c074GpjGXdCW1ui9Mg9yb</t>
  </si>
  <si>
    <t>CHRISTIAN ABRAHAM</t>
  </si>
  <si>
    <t>https://drive.google.com/open?id=1MDwUnYn3B7UskTz0Fju5Ue7eNRw4hVab</t>
  </si>
  <si>
    <t>https://drive.google.com/open?id=16zF5Dsk9M_QzfroPjtBbjIT37ojVlXYY</t>
  </si>
  <si>
    <t>16okKzYGI0MWgVqe3BK4h4JoZXABODnav</t>
  </si>
  <si>
    <t>https://drive.google.com/file/d/16okKzYGI0MWgVqe3BK4h4JoZXABODnav/view?usp=drivesdk</t>
  </si>
  <si>
    <t>Document successfully created; Document successfully merged; PDF created; Emails Sent: [To: 22-gomezsalas.katherinemichelle@cetis57.edu.mx; no-reply: true]; Run via form trigger as gabrielvazquez@cetis57.edu.mx; Timestamp: Aug 2 2023 1:33 AM</t>
  </si>
  <si>
    <t>1TfrHGo6iucWlQLoifD9Zg8deyHS2AY1N</t>
  </si>
  <si>
    <t>https://drive.google.com/file/d/1TfrHGo6iucWlQLoifD9Zg8deyHS2AY1N/view?usp=drivesdk</t>
  </si>
  <si>
    <t>Document successfully created; Document successfully merged; PDF created; Emails Sent: [To: 22-gomezsalas.katherinemichelle@cetis57.edu.mx; no-reply: true]; Run via form trigger as gabrielvazquez@cetis57.edu.mx; Timestamp: Aug 3 2023 3:24 PM</t>
  </si>
  <si>
    <t>https://drive.google.com/open?id=1Qi-Z_Ri9lj7PeuQrXfl2RPiXNhTMR5PD</t>
  </si>
  <si>
    <t>FUERTE DE LORETO 423 MZC EJERCITO DE AGUA PRIETA</t>
  </si>
  <si>
    <t xml:space="preserve"> A UN LADO DE EL CORRALON DE EJERCICIO DE ORIENTE </t>
  </si>
  <si>
    <t xml:space="preserve">MARIA GUADALUPE CORIA CALVILLO </t>
  </si>
  <si>
    <t>https://drive.google.com/open?id=1gNo0sRNvo_9BluLGgm7TWt7uxvurjnXO</t>
  </si>
  <si>
    <t>oskarprz831115@gmail.com</t>
  </si>
  <si>
    <t>https://drive.google.com/open?id=1SLuYIJv_m4N_fpGDaBwVL-GDmEk36ukC</t>
  </si>
  <si>
    <t xml:space="preserve">CORIA </t>
  </si>
  <si>
    <t xml:space="preserve">LABORATORIO CLÍNICO </t>
  </si>
  <si>
    <t>carolinacoria895@gmail.com</t>
  </si>
  <si>
    <t>https://drive.google.com/open?id=1ajCPGkq_iY4y3CI-dqIgnxGRQpIeujm-</t>
  </si>
  <si>
    <t xml:space="preserve">QUIMICO BIOLOGO BACTERIOLOGO </t>
  </si>
  <si>
    <t>https://drive.google.com/open?id=1lNuZqvVXkW_DvH3VcLtyoU60tC_g7byL</t>
  </si>
  <si>
    <t>1aUe5VwL3w0LnjNdjHKfPXUmQAhAH-vmu</t>
  </si>
  <si>
    <t>https://drive.google.com/file/d/1aUe5VwL3w0LnjNdjHKfPXUmQAhAH-vmu/view?usp=drivesdk</t>
  </si>
  <si>
    <t>Document successfully created; Document successfully merged; PDF created; Emails Sent: [To: 22-coriacalvillo.mayracarolina@cetis57.edu.mx; no-reply: true]; Run via form trigger as gabrielvazquez@cetis57.edu.mx; Timestamp: Aug 2 2023 1:37 AM</t>
  </si>
  <si>
    <t>1NrW8UZk2LASaBETTH3Jzqxr8kBvDDcx6</t>
  </si>
  <si>
    <t>https://drive.google.com/file/d/1NrW8UZk2LASaBETTH3Jzqxr8kBvDDcx6/view?usp=drivesdk</t>
  </si>
  <si>
    <t>Document successfully created; Document successfully merged; PDF created; Emails Sent: [To: 22-coriacalvillo.mayracarolina@cetis57.edu.mx; no-reply: true]; Run via form trigger as gabrielvazquez@cetis57.edu.mx; Timestamp: Aug 3 2023 3:26 PM</t>
  </si>
  <si>
    <t>https://drive.google.com/open?id=1oLX5jGH9GdhmmUCx20D14qBI0HvE2WJ9</t>
  </si>
  <si>
    <t>MZ118</t>
  </si>
  <si>
    <t>LT01</t>
  </si>
  <si>
    <t>A UNA CUADRA DE LA CARRETERA CHALCO-TLAHUAC</t>
  </si>
  <si>
    <t>YEDID ORTEGA ABREGO</t>
  </si>
  <si>
    <t>https://drive.google.com/open?id=1xKIZjc2CtGGSTeJMGbiP35zLdTeLjtCp</t>
  </si>
  <si>
    <t>YEDIDORTEGA53@GMAIL.COM</t>
  </si>
  <si>
    <t>MACKROJO@HOTMAIL.COM</t>
  </si>
  <si>
    <t>https://drive.google.com/open?id=1sMcOsi-Dv5Qqg9lDz4P_zRh-48J9clnC</t>
  </si>
  <si>
    <t>LUIS RICARDO</t>
  </si>
  <si>
    <t>MACKROJOO@GMAIL.COM</t>
  </si>
  <si>
    <t>https://drive.google.com/open?id=1xlq8E8KzhxnAwAoIdnWjELvPZ6o9QUs1</t>
  </si>
  <si>
    <t>MEDICO GENERAL</t>
  </si>
  <si>
    <t>https://drive.google.com/open?id=1aF26Ln1JCSGMw72KDJxFPxbR1awwvySD</t>
  </si>
  <si>
    <t>1oAjFU42xOgoL1pSChS3u23QN8tUsiBJF</t>
  </si>
  <si>
    <t>https://drive.google.com/file/d/1oAjFU42xOgoL1pSChS3u23QN8tUsiBJF/view?usp=drivesdk</t>
  </si>
  <si>
    <t>Document successfully created; Document successfully merged; PDF created; Emails Sent: [To: 21-sanchezortega.mayconalexis@cetis57.edu.mx; no-reply: true]; Run via form trigger as gabrielvazquez@cetis57.edu.mx; Timestamp: Aug 2 2023 5:24 PM</t>
  </si>
  <si>
    <t>11Cd6tZ9vWRb0K08_0n_FwE2ffvI8DWzU</t>
  </si>
  <si>
    <t>https://drive.google.com/file/d/11Cd6tZ9vWRb0K08_0n_FwE2ffvI8DWzU/view?usp=drivesdk</t>
  </si>
  <si>
    <t>Document successfully created; Document successfully merged; PDF created; Emails Sent: [To: 21-sanchezortega.mayconalexis@cetis57.edu.mx; no-reply: true]; Run via form trigger as gabrielvazquez@cetis57.edu.mx; Timestamp: Aug 3 2023 4:01 PM</t>
  </si>
  <si>
    <t>https://drive.google.com/open?id=1XzkS71I18pomIHZyVuemK6OXSiMshqC9</t>
  </si>
  <si>
    <t xml:space="preserve">CALLE CIRILO ARENAS #120 COLONIA SANTA MARTA ACATITLA </t>
  </si>
  <si>
    <t xml:space="preserve">HAY UNA PAPELERIA EN LA ESQUINA Y EL PORTON ES COMOE ROJO </t>
  </si>
  <si>
    <t>https://drive.google.com/open?id=1EObNG36zZuT6BgEAQQHTiny5u988Mb96</t>
  </si>
  <si>
    <t xml:space="preserve">  LOPEZ </t>
  </si>
  <si>
    <t xml:space="preserve">TRABAJA Y ESTUDIA </t>
  </si>
  <si>
    <t>https://drive.google.com/open?id=1HyT83oS2Qg7mrEMZeech0XumXiOaZsGS</t>
  </si>
  <si>
    <t>https://drive.google.com/open?id=1UAVLDD74MVwAzPY2rF5OfFqSFE5bDAeB</t>
  </si>
  <si>
    <t>https://drive.google.com/open?id=1Fh7QgpY5kuewDNX7Bi0r-hEMiCsixuZ7</t>
  </si>
  <si>
    <t>1_1eer7b_0qeMYrBMj-9FvP0cL2LMz6Vm</t>
  </si>
  <si>
    <t>https://drive.google.com/file/d/1_1eer7b_0qeMYrBMj-9FvP0cL2LMz6Vm/view?usp=drivesdk</t>
  </si>
  <si>
    <t>Document successfully created; Document successfully merged; PDF created; Emails Sent: [To: 21-lopezcalderon.fatimadoralyn@cetis57.edu.mx; no-reply: true]; Run via form trigger as gabrielvazquez@cetis57.edu.mx; Timestamp: Aug 2 2023 5:25 PM</t>
  </si>
  <si>
    <t>13cLwjKGq-3dbQ-As0B1SKIl44ZKR8Ig_</t>
  </si>
  <si>
    <t>https://drive.google.com/file/d/13cLwjKGq-3dbQ-As0B1SKIl44ZKR8Ig_/view?usp=drivesdk</t>
  </si>
  <si>
    <t>Document successfully created; Document successfully merged; PDF created; Emails Sent: [To: 21-lopezcalderon.fatimadoralyn@cetis57.edu.mx; no-reply: true]; Run via form trigger as gabrielvazquez@cetis57.edu.mx; Timestamp: Aug 3 2023 4:01 PM</t>
  </si>
  <si>
    <t xml:space="preserve">ANDREA ARACELI </t>
  </si>
  <si>
    <t>https://drive.google.com/open?id=1wLbl0ASN19BsAbXKHLwCW_mjrdamz9Pq</t>
  </si>
  <si>
    <t xml:space="preserve">CERRADA LA PALMA </t>
  </si>
  <si>
    <t xml:space="preserve">ANTENAS DE LUZ A MITAD DE CALLE, LETRERO DE "MUDANZAS" Y TIENDA ABARROTERA EN LA ENTRADA DE CALLE </t>
  </si>
  <si>
    <t>https://drive.google.com/open?id=14iU3cnAhx2tllod6p5pfybbEHTg_BMBG</t>
  </si>
  <si>
    <t xml:space="preserve">LAVADOR DE AUTOS </t>
  </si>
  <si>
    <t>https://drive.google.com/open?id=1BP1vNuuTICNrWk3qQJCczq4FIwVamhZE</t>
  </si>
  <si>
    <t xml:space="preserve">CANDELARIA </t>
  </si>
  <si>
    <t>https://drive.google.com/open?id=18q94gyvpHIhyG-OZNkUNSsJ3vlAphh0B</t>
  </si>
  <si>
    <t>UAP</t>
  </si>
  <si>
    <t xml:space="preserve">LICENCIATURA EN NEONATOLOGIA </t>
  </si>
  <si>
    <t xml:space="preserve">ZACAPOAXTLA </t>
  </si>
  <si>
    <t>https://drive.google.com/open?id=1WzCK5s-KajHxV656biPyhHqCTiw9NstP</t>
  </si>
  <si>
    <t>1GV-WnMgGhrt4tSAW4EpQrcDPOEuoaseC</t>
  </si>
  <si>
    <t>https://drive.google.com/file/d/1GV-WnMgGhrt4tSAW4EpQrcDPOEuoaseC/view?usp=drivesdk</t>
  </si>
  <si>
    <t>Document successfully created; Document successfully merged; PDF created; Emails Sent: [To: 21-diazhernandez.andreaaraceli@cetis57.edu.mx; no-reply: true]; Run via form trigger as gabrielvazquez@cetis57.edu.mx; Timestamp: Aug 2 2023 1:39 AM</t>
  </si>
  <si>
    <t>1VUqDfZNeobdwdqIgnFMCPrfWNixJ-NUe</t>
  </si>
  <si>
    <t>https://drive.google.com/file/d/1VUqDfZNeobdwdqIgnFMCPrfWNixJ-NUe/view?usp=drivesdk</t>
  </si>
  <si>
    <t>Document successfully created; Document successfully merged; PDF created; Emails Sent: [To: 21-diazhernandez.andreaaraceli@cetis57.edu.mx; no-reply: true]; Run via form trigger as gabrielvazquez@cetis57.edu.mx; Timestamp: Aug 3 2023 4:02 PM</t>
  </si>
  <si>
    <t>https://drive.google.com/open?id=1rGLgVsY4Dh-K51JDC1tcIUexRPtiJazT</t>
  </si>
  <si>
    <t xml:space="preserve">CALLE MAGNOLIA MZ3 LT19 </t>
  </si>
  <si>
    <t>Lt 19</t>
  </si>
  <si>
    <t xml:space="preserve">EN LA ESQUINA CAPILLA SANTO NIÑO </t>
  </si>
  <si>
    <t>https://drive.google.com/open?id=1lnMZE6PMt9HvxBS8as6Eex9AvGTeY1Ie</t>
  </si>
  <si>
    <t>cesarcervantesccc1979@gimail.com</t>
  </si>
  <si>
    <t>https://drive.google.com/open?id=1P5xciE2VcXNulfl-MyuGD2ZZPUS_iOpj</t>
  </si>
  <si>
    <t xml:space="preserve">ASISTENTE EN MEDICINA </t>
  </si>
  <si>
    <t>silvia-sancheza@hotmail.com</t>
  </si>
  <si>
    <t>https://drive.google.com/open?id=1r5ywVlEdEiRueYeeD_jObcJFSG9kD66u</t>
  </si>
  <si>
    <t xml:space="preserve">ESCUELA SUPERIOR DEL INSTITUTO NACIONAL DE REHABILITACION </t>
  </si>
  <si>
    <t xml:space="preserve">REHABILITACION HUMANA LIIS GUILLERMO INARRA IBARRA </t>
  </si>
  <si>
    <t>https://drive.google.com/open?id=14eTvzy2-QQvPSfsfpYa4BOerUOoL_8z3</t>
  </si>
  <si>
    <t>04220795803</t>
  </si>
  <si>
    <t>1K73ufn7_rTNuKRUUmEeF3efeWVaadj59</t>
  </si>
  <si>
    <t>https://drive.google.com/file/d/1K73ufn7_rTNuKRUUmEeF3efeWVaadj59/view?usp=drivesdk</t>
  </si>
  <si>
    <t>Document successfully created; Document successfully merged; PDF created; Emails Sent: [To: 22-cervantessanchez.regina@cetis57.edu.mx; no-reply: true]; Run via form trigger as gabrielvazquez@cetis57.edu.mx; Timestamp: Aug 2 2023 1:40 AM</t>
  </si>
  <si>
    <t>1UL4z-XYF28-xByW26wngN3i25euoYHtP</t>
  </si>
  <si>
    <t>https://drive.google.com/file/d/1UL4z-XYF28-xByW26wngN3i25euoYHtP/view?usp=drivesdk</t>
  </si>
  <si>
    <t>Document successfully created; Document successfully merged; PDF created; Emails Sent: [To: 22-cervantessanchez.regina@cetis57.edu.mx; no-reply: true]; Run via form trigger as gabrielvazquez@cetis57.edu.mx; Timestamp: Aug 3 2023 4:03 PM</t>
  </si>
  <si>
    <t>https://drive.google.com/open?id=1PENqguw0N1rzJbnjLkF8AUFRoMyuy1W1</t>
  </si>
  <si>
    <t>ZACV070731MDFVCNA9</t>
  </si>
  <si>
    <t xml:space="preserve">CALLE IXTAPAN NUM 25 METROPOLITANA 1ERA SECCION </t>
  </si>
  <si>
    <t xml:space="preserve">METROPOLITANA 1ERA SECCION </t>
  </si>
  <si>
    <t xml:space="preserve">CASA VERDE, SAGUAN VERDE </t>
  </si>
  <si>
    <t>JOSEFINA CUACHITL TOREES</t>
  </si>
  <si>
    <t>https://drive.google.com/open?id=1o-a7VUrd6qT9XER4GfjRKQkv8nBYAn5q</t>
  </si>
  <si>
    <t xml:space="preserve">NEGOCIO PROPIO </t>
  </si>
  <si>
    <t>https://drive.google.com/open?id=16u7odhIY6GkexDAnZtV676JIuWP2MYug</t>
  </si>
  <si>
    <t>https://drive.google.com/open?id=1R49Ra4onr7oP86MYI4f1x4ZciNb-YpKU</t>
  </si>
  <si>
    <t>https://drive.google.com/open?id=1voVxqIM_thrHPfwcNkUws73I_UvY_-7m</t>
  </si>
  <si>
    <t>https://drive.google.com/open?id=1sxaSzsOPr97Y8CFucSfdQXOfxbfipcrl</t>
  </si>
  <si>
    <t xml:space="preserve">MACORINA NO.181 </t>
  </si>
  <si>
    <t xml:space="preserve">COLONIA AURORA TERCERA </t>
  </si>
  <si>
    <t>NO. 181</t>
  </si>
  <si>
    <t>TERCER PISO</t>
  </si>
  <si>
    <t xml:space="preserve">EN LA ESQUINA DE AMANECER RANCHERO HAY UNA COCINA ECONOMICA </t>
  </si>
  <si>
    <t xml:space="preserve">MA ROSA ABONCE ESPINOZA </t>
  </si>
  <si>
    <t>https://drive.google.com/open?id=1ZjoUQDpL47pKTwldRJlp5qqt-xK3Y2hJ</t>
  </si>
  <si>
    <t>aboncerosa72@gmail.com</t>
  </si>
  <si>
    <t>vikmar33@yahoo.com</t>
  </si>
  <si>
    <t>https://drive.google.com/open?id=1EF9vpvyZieL3Q8JNxDx2LFvMJ58sS-he</t>
  </si>
  <si>
    <t>https://drive.google.com/open?id=15smmgKmqQ7o3DeR0XqFeF6YwRV66zyQl</t>
  </si>
  <si>
    <t xml:space="preserve">POR EL MOMENTO NINGUNA </t>
  </si>
  <si>
    <t>https://drive.google.com/open?id=1p4x19OWg7N42OYnJ_QUUGQxRA-QooR8B</t>
  </si>
  <si>
    <t>18r-EX3q5oMFPFlpj_4hNqKT5hIXIpmo3</t>
  </si>
  <si>
    <t>https://drive.google.com/file/d/18r-EX3q5oMFPFlpj_4hNqKT5hIXIpmo3/view?usp=drivesdk</t>
  </si>
  <si>
    <t>Document successfully created; Document successfully merged; PDF created; Emails Sent: [To: 22-martinezabonce.kellyjebenuhi@cetis57.edu.mx; no-reply: true]; Run via form trigger as gabrielvazquez@cetis57.edu.mx; Timestamp: Aug 2 2023 1:40 AM</t>
  </si>
  <si>
    <t>19Q-QGH_EguGjpE6zueKC2CKER7Z9Uo0h</t>
  </si>
  <si>
    <t>https://drive.google.com/file/d/19Q-QGH_EguGjpE6zueKC2CKER7Z9Uo0h/view?usp=drivesdk</t>
  </si>
  <si>
    <t>Document successfully created; Document successfully merged; PDF created; Emails Sent: [To: 22-martinezabonce.kellyjebenuhi@cetis57.edu.mx; no-reply: true]; Run via form trigger as gabrielvazquez@cetis57.edu.mx; Timestamp: Aug 3 2023 4:03 PM</t>
  </si>
  <si>
    <t>https://drive.google.com/open?id=1SHwuy-d8hEhmh62gcN3a_D0h5LF3ugAi</t>
  </si>
  <si>
    <t>AEMD070907MDFNDNA9</t>
  </si>
  <si>
    <t xml:space="preserve">PUEBLO SANTA MARTA ACATITLA </t>
  </si>
  <si>
    <t xml:space="preserve">A UN LADO DE LA GASOLINERA DEL METRO ACATITLA </t>
  </si>
  <si>
    <t xml:space="preserve">HAYDEE MEDINA CASASOLA </t>
  </si>
  <si>
    <t>https://drive.google.com/open?id=1lhGt2zwYWoERYlWxuqyz3QFzmOxPpfDE</t>
  </si>
  <si>
    <t xml:space="preserve">CASASOLA </t>
  </si>
  <si>
    <t>AMA DEL HOGAR</t>
  </si>
  <si>
    <t>https://drive.google.com/open?id=1WLMfXShzh4eRBoeGJVLnlje990QU7_BG</t>
  </si>
  <si>
    <t>ERICK</t>
  </si>
  <si>
    <t>erickangelesrodriguez69@gmail.com</t>
  </si>
  <si>
    <t>https://drive.google.com/open?id=1_xRkUDs7TZ6gog2MCpNLouEG1zLEN4I1</t>
  </si>
  <si>
    <t>https://drive.google.com/open?id=1n-m1gVGYuFYseem_h2qkwKFXxvk3pHdL</t>
  </si>
  <si>
    <t>1glTqJfmx1pu5SAzjjmgrkcjryiSLEVeV</t>
  </si>
  <si>
    <t>https://drive.google.com/file/d/1glTqJfmx1pu5SAzjjmgrkcjryiSLEVeV/view?usp=drivesdk</t>
  </si>
  <si>
    <t>Document successfully created; Document successfully merged; PDF created; Emails Sent: [To: 22-angelesmedina.daniela@cetis57.edu.mx; no-reply: true]; Run via form trigger as gabrielvazquez@cetis57.edu.mx; Timestamp: Aug 2 2023 1:41 AM</t>
  </si>
  <si>
    <t>1o3s59HfDCwbURa7WeUoB27GC48bswMCr</t>
  </si>
  <si>
    <t>https://drive.google.com/file/d/1o3s59HfDCwbURa7WeUoB27GC48bswMCr/view?usp=drivesdk</t>
  </si>
  <si>
    <t>Document successfully created; Document successfully merged; PDF created; Emails Sent: [To: 22-angelesmedina.daniela@cetis57.edu.mx; no-reply: true]; Run via form trigger as gabrielvazquez@cetis57.edu.mx; Timestamp: Aug 3 2023 4:16 PM</t>
  </si>
  <si>
    <t>https://drive.google.com/open?id=1TWscCEFl5-0pZ549cLQYiph6NUcamzy3</t>
  </si>
  <si>
    <t>SUHG060929MMCRRBA4</t>
  </si>
  <si>
    <t xml:space="preserve">ENFRENTE DE LA POLICIA ESTATAL </t>
  </si>
  <si>
    <t xml:space="preserve">ANSELMA HERNANDEZ CRUZ </t>
  </si>
  <si>
    <t>https://drive.google.com/open?id=1VFkOT6vjAkq7A-PJ2QB51qUquICX6Bax</t>
  </si>
  <si>
    <t>https://drive.google.com/open?id=1VgyuzvsBazZkzWByse3gGLwZYzXb5PWz</t>
  </si>
  <si>
    <t>juanedgarsuarez@gmail.com</t>
  </si>
  <si>
    <t>https://drive.google.com/open?id=1kMxGKMRvp62dgHgKUrBXVcr4v6pTENT0</t>
  </si>
  <si>
    <t>UNAP</t>
  </si>
  <si>
    <t>https://drive.google.com/open?id=1IDUcNdDAWAx7i-nTcFMoGEUpKY3SETh8</t>
  </si>
  <si>
    <t>1CovtlrbQA1fNpTTQ6-_Jh9OuGUeY1v4g</t>
  </si>
  <si>
    <t>https://drive.google.com/file/d/1CovtlrbQA1fNpTTQ6-_Jh9OuGUeY1v4g/view?usp=drivesdk</t>
  </si>
  <si>
    <t>Document successfully created; Document successfully merged; PDF created; Emails Sent: [To: 21-suarezhernandez.gabrielalizbeth@cetis57.edu.mx; no-reply: true]; Run via form trigger as gabrielvazquez@cetis57.edu.mx; Timestamp: Aug 2 2023 1:44 AM</t>
  </si>
  <si>
    <t>1LC7-yDM4IFHbr8Ihcwv2VqjKAzAL55Nc</t>
  </si>
  <si>
    <t>https://drive.google.com/file/d/1LC7-yDM4IFHbr8Ihcwv2VqjKAzAL55Nc/view?usp=drivesdk</t>
  </si>
  <si>
    <t>Document successfully created; Document successfully merged; PDF created; Emails Sent: [To: 21-suarezhernandez.gabrielalizbeth@cetis57.edu.mx; no-reply: true]; Run via form trigger as gabrielvazquez@cetis57.edu.mx; Timestamp: Aug 3 2023 4:17 PM</t>
  </si>
  <si>
    <t>https://drive.google.com/open?id=1fQwr57ZxYC38kWSv3qzllQHpC3O2yUJt</t>
  </si>
  <si>
    <t>PELA060305MMCRNNA9</t>
  </si>
  <si>
    <t xml:space="preserve">COL. AMPLIACIÓN EMILIANO ZAPATA, AVENIDA VICENTE GUERRERO, MZ. 1779, LOTE 1, IXTAPALUCA </t>
  </si>
  <si>
    <t xml:space="preserve">COLONIA EMILIANO ZAPATA </t>
  </si>
  <si>
    <t>SE ENCUENTRA EN LA ESQUINA DE LA CALLE TENIENDO DE FRENTE UNA TIENDA DE ABARROTES LAS VAQUITAS EN LA PARTE INFERIOR HAY LOCALES DE CAFE PALETERIA ROPA Y PSICOLOGIA.</t>
  </si>
  <si>
    <t xml:space="preserve">EVANELLY LUNA CANCHOLA </t>
  </si>
  <si>
    <t>https://drive.google.com/open?id=1y4p9znYS_x7UkPqoEmr1JpBjupwD4n2h</t>
  </si>
  <si>
    <t>https://drive.google.com/open?id=1wGEMKP_VMMEkVEfmIq8RE9isAqDPu3qF</t>
  </si>
  <si>
    <t>EVANELLY</t>
  </si>
  <si>
    <t xml:space="preserve">AMA DE CASA Y COCINERA </t>
  </si>
  <si>
    <t>https://drive.google.com/open?id=1krh5_8KVYn98EO0We0b5YkjbrPsuuVg1</t>
  </si>
  <si>
    <t>POLITÉCNICO NACIONAL</t>
  </si>
  <si>
    <t>https://drive.google.com/open?id=1jmO1ZaNUuWDN887KDVDcI2VX9TQ31XnH</t>
  </si>
  <si>
    <t>1o0udTzOaT3ktbGvY6mSg95uCF3BlVRwc</t>
  </si>
  <si>
    <t>https://drive.google.com/file/d/1o0udTzOaT3ktbGvY6mSg95uCF3BlVRwc/view?usp=drivesdk</t>
  </si>
  <si>
    <t>Document successfully created; Document successfully merged; PDF created; Emails Sent: [To: 21-perezluna.andreajocelyn@cetis57.edu.mx; no-reply: true]; Run via form trigger as gabrielvazquez@cetis57.edu.mx; Timestamp: Aug 2 2023 1:45 AM</t>
  </si>
  <si>
    <t>1LOPB58gtp31nePL780SD1YYf0O6bY6Z4</t>
  </si>
  <si>
    <t>https://drive.google.com/file/d/1LOPB58gtp31nePL780SD1YYf0O6bY6Z4/view?usp=drivesdk</t>
  </si>
  <si>
    <t>Document successfully created; Document successfully merged; PDF created; Emails Sent: [To: 21-perezluna.andreajocelyn@cetis57.edu.mx; no-reply: true]; Run via form trigger as gabrielvazquez@cetis57.edu.mx; Timestamp: Aug 3 2023 4:17 PM</t>
  </si>
  <si>
    <t>https://drive.google.com/open?id=12ElDjHbRPkVuy4yoZi8A0su5oRRkg2j4</t>
  </si>
  <si>
    <t xml:space="preserve">CALLE VILLA VICTORIA N-112, COLONIA ATLACOMULCO </t>
  </si>
  <si>
    <t xml:space="preserve">ATLACOMULC0 </t>
  </si>
  <si>
    <t>PAREDES COLOR GRIS, PORTON BLANCO</t>
  </si>
  <si>
    <t>DENISE ANDREA CRUZ BOYZO</t>
  </si>
  <si>
    <t>https://drive.google.com/open?id=1KzfC25ueXsxXMEz9ewYVN8kIJAliO7gC</t>
  </si>
  <si>
    <t xml:space="preserve">EMPLADA </t>
  </si>
  <si>
    <t>https://drive.google.com/open?id=16e8teQIWOwUS0EV2gVCcUVSwkheTGuHe</t>
  </si>
  <si>
    <t>ALFREDO CRUZ JOSE</t>
  </si>
  <si>
    <t>DARVBO17@GMAIL.COM</t>
  </si>
  <si>
    <t>https://drive.google.com/open?id=10Qqwl4YwMb_61oQ8ETov1LxqaYtGC5BB</t>
  </si>
  <si>
    <t xml:space="preserve">FES ZAROGOZA </t>
  </si>
  <si>
    <t>https://drive.google.com/open?id=17jtPNWYcWj6N0RFAaDbUNcOmoePxcvbB</t>
  </si>
  <si>
    <t>13Wuut-LDAXverPArEB7dMeNlUVooMuSI</t>
  </si>
  <si>
    <t>https://drive.google.com/file/d/13Wuut-LDAXverPArEB7dMeNlUVooMuSI/view?usp=drivesdk</t>
  </si>
  <si>
    <t>Document successfully created; Invalid image URL [http://doc.google.com/uc?id=1KzfC25ueXsxXMEz9ewYVN8kIJAliO7gC], make sure that it is public; Document successfully merged; PDF created; Emails Sent: [To: 21-cruzboyzo.renatavalentina@cetis57.edu.mx; no-reply: true]; Run via form trigger as gabrielvazquez@cetis57.edu.mx; Timestamp: Aug 2 2023 5:31 PM</t>
  </si>
  <si>
    <t>1M6T3O3BiBlDcmK8mLPeW2g1q_7l1qwos</t>
  </si>
  <si>
    <t>https://drive.google.com/file/d/1M6T3O3BiBlDcmK8mLPeW2g1q_7l1qwos/view?usp=drivesdk</t>
  </si>
  <si>
    <t>Document successfully created; Document successfully merged; PDF created; Emails Sent: [To: 21-cruzboyzo.renatavalentina@cetis57.edu.mx; no-reply: true]; Run via form trigger as gabrielvazquez@cetis57.edu.mx; Timestamp: Aug 3 2023 4:18 PM</t>
  </si>
  <si>
    <t>https://drive.google.com/open?id=19fVXYIl-9gVWlg52YlEwPq3JrHJAdTGF</t>
  </si>
  <si>
    <t>SPMZ 3 MZ36 EDIFICIO 1C</t>
  </si>
  <si>
    <t>SPMZ3 MZ36</t>
  </si>
  <si>
    <t>EDIFICIO 1C</t>
  </si>
  <si>
    <t xml:space="preserve">ALADO DEL DEPORTIVO FANCISCO IMADERO </t>
  </si>
  <si>
    <t>PEREZ PACHECO OCTAVIO</t>
  </si>
  <si>
    <t>https://drive.google.com/open?id=1jr7CIP2rX0QACWaQ4y-Ldgiel4uOmdO_</t>
  </si>
  <si>
    <t xml:space="preserve">MARIA DE LAS NIEVEZ </t>
  </si>
  <si>
    <t xml:space="preserve">TUTORA </t>
  </si>
  <si>
    <t>https://drive.google.com/open?id=1mrRg8h2qQQ143R8oRbEx0i2DTYwjiodS</t>
  </si>
  <si>
    <t>https://drive.google.com/open?id=1g7MDaekEXPMEY4KRuEgmRMDxgUnVaWan</t>
  </si>
  <si>
    <t xml:space="preserve">TODAVIA NO TENGO IDEA </t>
  </si>
  <si>
    <t>https://drive.google.com/open?id=15Dls0AEsYq8YYjhyu9n8XqDL4_vrtItq</t>
  </si>
  <si>
    <t>1NIjPvmTWc3ugKq-PMLlC1fUjF4dAptaz</t>
  </si>
  <si>
    <t>https://drive.google.com/file/d/1NIjPvmTWc3ugKq-PMLlC1fUjF4dAptaz/view?usp=drivesdk</t>
  </si>
  <si>
    <t>Document successfully created; Document successfully merged; PDF created; Emails Sent: [To: 21-perezfigueroa.ricardo@cetis57.edu.mx; no-reply: true]; Run via form trigger as gabrielvazquez@cetis57.edu.mx; Timestamp: Aug 2 2023 5:32 PM</t>
  </si>
  <si>
    <t>1KWusScNPaZD99Rfn0qOJZFWwlp1bPAZT</t>
  </si>
  <si>
    <t>https://drive.google.com/file/d/1KWusScNPaZD99Rfn0qOJZFWwlp1bPAZT/view?usp=drivesdk</t>
  </si>
  <si>
    <t>Document successfully created; Document successfully merged; PDF created; Emails Sent: [To: 21-perezfigueroa.ricardo@cetis57.edu.mx; no-reply: true]; Run via form trigger as gabrielvazquez@cetis57.edu.mx; Timestamp: Aug 3 2023 4:34 PM</t>
  </si>
  <si>
    <t>https://drive.google.com/open?id=13qs07BrNUen2DEfHeHUY8o61MxrEKPPe</t>
  </si>
  <si>
    <t>DIMA060502MDFNRNA4</t>
  </si>
  <si>
    <t xml:space="preserve">CLAUDIA MORENO ASCENCION </t>
  </si>
  <si>
    <t>https://drive.google.com/open?id=19TffVd0jQI_ZvXJ7HKa_TCZBZq-N0Zfo</t>
  </si>
  <si>
    <t>andresdionicio@gmail.com</t>
  </si>
  <si>
    <t>https://drive.google.com/open?id=16HKNE-wBD68B92YOYJZJw70dO1M7usa6</t>
  </si>
  <si>
    <t xml:space="preserve">LUIS ENRIQUE </t>
  </si>
  <si>
    <t>luisenriquedioniciomoreno@gmail.com</t>
  </si>
  <si>
    <t>https://drive.google.com/open?id=1aiPIMfR41IJwnzqnJR7Rqnbyld7sVLcO</t>
  </si>
  <si>
    <t>https://drive.google.com/open?id=1qK5A2yTsHyZl2lEs0xM5Ya_EfLDd9Shh</t>
  </si>
  <si>
    <t>1IOxg2AS73tlUZkVGQE4I9VjUXcVnWjQb</t>
  </si>
  <si>
    <t>https://drive.google.com/file/d/1IOxg2AS73tlUZkVGQE4I9VjUXcVnWjQb/view?usp=drivesdk</t>
  </si>
  <si>
    <t>Document successfully created; Document successfully merged; PDF created; Emails Sent: [To: 21-dioniciomoreno.andrea@cetis57.edu.mx]; Run via form trigger as gabrielvazquez@cetis57.edu.mx; Timestamp: Aug 3 2023 8:00 PM</t>
  </si>
  <si>
    <t>1Ie9ZeRxlRIcJ9KvRjrl3D60F_FYIK_fU</t>
  </si>
  <si>
    <t>https://drive.google.com/file/d/1Ie9ZeRxlRIcJ9KvRjrl3D60F_FYIK_fU/view?usp=drivesdk</t>
  </si>
  <si>
    <t>Document successfully created; Document successfully merged; PDF created; Emails Sent: [To: 21-dioniciomoreno.andrea@cetis57.edu.mx; no-reply: true]; Run via form trigger as gabrielvazquez@cetis57.edu.mx; Timestamp: Aug 3 2023 8:51 PM</t>
  </si>
  <si>
    <t>https://drive.google.com/open?id=1V12nKIlpbe8Lhj8EaMbVcB97HOF9tZ4F</t>
  </si>
  <si>
    <t>Santa cruz unidad habitacional 263</t>
  </si>
  <si>
    <t xml:space="preserve">UNA BARBERIA ALADO DE LA UNIDAD </t>
  </si>
  <si>
    <t xml:space="preserve">CLAUDIA PATRICIA PATIÑO TERRAZA </t>
  </si>
  <si>
    <t>https://drive.google.com/open?id=1VUmgaMEr6zDHrRYtBIrdAL22flGoyoFw</t>
  </si>
  <si>
    <t>vicsuantonio11@gmail.com</t>
  </si>
  <si>
    <t>https://drive.google.com/open?id=18LZzmIG6l4xV8Oh_8p5Sb0gXyNVeSmt9</t>
  </si>
  <si>
    <t>patinoaline10917@gmail.com</t>
  </si>
  <si>
    <t>https://drive.google.com/open?id=1ULEBqmYzJqiiuvpvT6gyiWFwoAtPi8_l</t>
  </si>
  <si>
    <t xml:space="preserve">SOLO CON MAMA </t>
  </si>
  <si>
    <t>PREPA</t>
  </si>
  <si>
    <t>https://drive.google.com/open?id=1WHRwlAzWxPn1lW2g9Zgz9nmioSmoErK6</t>
  </si>
  <si>
    <t>17mHiGXMbmDr1Yqm-tkcDaEdZqmvZzj6f</t>
  </si>
  <si>
    <t>https://drive.google.com/file/d/17mHiGXMbmDr1Yqm-tkcDaEdZqmvZzj6f/view?usp=drivesdk</t>
  </si>
  <si>
    <t>Document successfully created; Document successfully merged; PDF created; Emails Sent: [To: 22-suarezpatino.alexis@cetis57.edu.mx; no-reply: true]; Run via form trigger as gabrielvazquez@cetis57.edu.mx; Timestamp: Aug 2 2023 1:49 AM</t>
  </si>
  <si>
    <t>1Efw0QwtaBbcPyu-rOQMkWwpWA53fV3Bi</t>
  </si>
  <si>
    <t>https://drive.google.com/file/d/1Efw0QwtaBbcPyu-rOQMkWwpWA53fV3Bi/view?usp=drivesdk</t>
  </si>
  <si>
    <t>Document successfully created; Document successfully merged; PDF created; Emails Sent: [To: 22-suarezpatino.alexis@cetis57.edu.mx; no-reply: true]; Run via form trigger as gabrielvazquez@cetis57.edu.mx; Timestamp: Aug 3 2023 4:35 PM</t>
  </si>
  <si>
    <t>https://drive.google.com/open?id=1NchE0hl6gdW8N1H0kJaQYFTtXHULRu2y</t>
  </si>
  <si>
    <t>Calle jicara</t>
  </si>
  <si>
    <t>LT 42</t>
  </si>
  <si>
    <t>SILVIA CHAVIRA PEREZ</t>
  </si>
  <si>
    <t>MAMS</t>
  </si>
  <si>
    <t>https://drive.google.com/open?id=1lsANNAYx-trT1zsCbDMYOEIPPy_aFqSn</t>
  </si>
  <si>
    <t>https://drive.google.com/open?id=1cmCbc-DHvyADSrNRovZD_uBuR46C8WbT</t>
  </si>
  <si>
    <t xml:space="preserve">MARIA EDITH </t>
  </si>
  <si>
    <t>https://drive.google.com/open?id=1neXss711TaXcQ1VQUiIibxZzYZqxpy1r</t>
  </si>
  <si>
    <t>https://drive.google.com/open?id=1tA_PZDgomao27Umd96fzdmeOqTFffLsU</t>
  </si>
  <si>
    <t>1xGiQYGoj56JGoShpY29vyGCHk6fYSgnT</t>
  </si>
  <si>
    <t>https://drive.google.com/file/d/1xGiQYGoj56JGoShpY29vyGCHk6fYSgnT/view?usp=drivesdk</t>
  </si>
  <si>
    <t>Document successfully created; Document successfully merged; PDF created; Emails Sent: [To: 21-hernandezchavira.david@cetis57.edu.mx; no-reply: true]; Run via form trigger as gabrielvazquez@cetis57.edu.mx; Timestamp: Aug 2 2023 1:50 AM</t>
  </si>
  <si>
    <t>1fMU8PqPHY2Fw5mqkOqY_DVDNX2VzQMna</t>
  </si>
  <si>
    <t>https://drive.google.com/file/d/1fMU8PqPHY2Fw5mqkOqY_DVDNX2VzQMna/view?usp=drivesdk</t>
  </si>
  <si>
    <t>Document successfully created; Document successfully merged; PDF created; Emails Sent: [To: 21-hernandezchavira.david@cetis57.edu.mx; no-reply: true]; Run via form trigger as gabrielvazquez@cetis57.edu.mx; Timestamp: Aug 3 2023 4:36 PM</t>
  </si>
  <si>
    <t>RAMALES</t>
  </si>
  <si>
    <t>NOELI YAMILE</t>
  </si>
  <si>
    <t>https://drive.google.com/open?id=1cG5zCCcKSdb0sUtOOs3TvGERP4i0ereV</t>
  </si>
  <si>
    <t>PROL EMPEDRADILLO LT6 AMPLIACION ACOZAC. C.P. 56565</t>
  </si>
  <si>
    <t>AMPLIACION ACOZAC</t>
  </si>
  <si>
    <t>EN LOA CASA MISMA HAY UN TIENDA DE ABARROTES, SE ENCUENTRA UBICADA EN UN CERRO, A LADO ESTA UNA BARRANCA Y NO ESTA PAVIMENTADO</t>
  </si>
  <si>
    <t>NAOMI YEXALEN RAMALES MARTINEZ</t>
  </si>
  <si>
    <t>https://drive.google.com/open?id=1J0SGwbkbmLR8crBpTGWlMulHBy9H4KBL</t>
  </si>
  <si>
    <t>VENDEDORA Y AMA DE CASA</t>
  </si>
  <si>
    <t>https://drive.google.com/open?id=1nQKdZshPIgXEYMA2NtiQNegsKVNCWOis</t>
  </si>
  <si>
    <t>https://drive.google.com/open?id=1yYAe9MN_dDUflZrn1Z5rEpdHflEX4r15</t>
  </si>
  <si>
    <t>https://drive.google.com/open?id=1WmYfS_sdfG1N7LD6kF6xh5pxacu31vpN</t>
  </si>
  <si>
    <t>1lB_EqJDp_rlxTvG-sfBsq7QIYZ5jyvHa</t>
  </si>
  <si>
    <t>https://drive.google.com/file/d/1lB_EqJDp_rlxTvG-sfBsq7QIYZ5jyvHa/view?usp=drivesdk</t>
  </si>
  <si>
    <t>Document successfully created; Document successfully merged; PDF created; Emails Sent: [To: 22-ramalesmartinez.noeliyamile@cetis57.edu.mx; no-reply: true]; Run via form trigger as gabrielvazquez@cetis57.edu.mx; Timestamp: Aug 2 2023 1:50 AM</t>
  </si>
  <si>
    <t>1u_sDTA6K_g-DOHBZfI9RvsuXZYsYjOft</t>
  </si>
  <si>
    <t>https://drive.google.com/file/d/1u_sDTA6K_g-DOHBZfI9RvsuXZYsYjOft/view?usp=drivesdk</t>
  </si>
  <si>
    <t>Document successfully created; Document successfully merged; PDF created; Emails Sent: [To: 22-ramalesmartinez.noeliyamile@cetis57.edu.mx; no-reply: true]; Run via form trigger as gabrielvazquez@cetis57.edu.mx; Timestamp: Aug 3 2023 4:36 PM</t>
  </si>
  <si>
    <t>https://drive.google.com/open?id=1DUDniSUh1Jd5eXQflo__biZyk2msJ4E8</t>
  </si>
  <si>
    <t xml:space="preserve">ALVAREZ A DEL CASTILLO BARRIO DE GUADALUPE </t>
  </si>
  <si>
    <t>FRENTE A UNA COMEX</t>
  </si>
  <si>
    <t xml:space="preserve">PABLO REYES ROGELIO </t>
  </si>
  <si>
    <t>https://drive.google.com/open?id=15uMqHmur-LQlgOZdSfR5jU5S6MhfWBf2</t>
  </si>
  <si>
    <t xml:space="preserve">EMMA </t>
  </si>
  <si>
    <t>https://drive.google.com/open?id=1t5p4P5JoeR9epvmYN53-78v9BH8XXhcS</t>
  </si>
  <si>
    <t xml:space="preserve">NAYADE ITZEL </t>
  </si>
  <si>
    <t>pablobautistanayadeitzel.le@gmail.com</t>
  </si>
  <si>
    <t>https://drive.google.com/open?id=11a66-DIVCY_HxZ8csLFP3qOsyDTSYoBh</t>
  </si>
  <si>
    <t>https://drive.google.com/open?id=1qWhAYXVlfyDueSLZxhQBP7hOQ2ckzALC</t>
  </si>
  <si>
    <t>1JZteSGHLuupyavY6kYu-JHSiaS9HV0cv</t>
  </si>
  <si>
    <t>https://drive.google.com/file/d/1JZteSGHLuupyavY6kYu-JHSiaS9HV0cv/view?usp=drivesdk</t>
  </si>
  <si>
    <t>Document successfully created; Document successfully merged; PDF created; Emails Sent: [To: 21-pablobautista.azuljazmin@cetis57.edu.mx; no-reply: true]; Run via form trigger as gabrielvazquez@cetis57.edu.mx; Timestamp: Aug 2 2023 1:51 AM</t>
  </si>
  <si>
    <t>1aAEBMJLTFEN0eX8Vc0958DrEwbPYhM2P</t>
  </si>
  <si>
    <t>https://drive.google.com/file/d/1aAEBMJLTFEN0eX8Vc0958DrEwbPYhM2P/view?usp=drivesdk</t>
  </si>
  <si>
    <t>Document successfully created; Document successfully merged; PDF created; Emails Sent: [To: 21-pablobautista.azuljazmin@cetis57.edu.mx; no-reply: true]; Run via form trigger as gabrielvazquez@cetis57.edu.mx; Timestamp: Aug 3 2023 4:46 PM</t>
  </si>
  <si>
    <t>JOEL DAVID</t>
  </si>
  <si>
    <t>https://drive.google.com/open?id=19tx1AZtE9dFeQ0NaV3PgYHFNM6PvghO2</t>
  </si>
  <si>
    <t>VALLE DE CHALCO COL JARDIN AV XICOTENCATL NO 711 OT 8 Y 9</t>
  </si>
  <si>
    <t>COLINIA JARDIN</t>
  </si>
  <si>
    <t xml:space="preserve">PUERTA GRIS, ARBOL PEQUEÑO </t>
  </si>
  <si>
    <t>AMELIA MARTINEZ FLORES</t>
  </si>
  <si>
    <t>https://drive.google.com/open?id=1gYfcbDhYyQalmwfi6aqlE0QhQaa1vdIy</t>
  </si>
  <si>
    <t>KAREN ARELI</t>
  </si>
  <si>
    <t>https://drive.google.com/open?id=1usFSt57SN6tuaBEBDvqzfktcExug5YU1</t>
  </si>
  <si>
    <t>https://drive.google.com/open?id=1oZjwD-IYNKjh9dD22R6C15AvetmsLfCO</t>
  </si>
  <si>
    <t>https://drive.google.com/open?id=1ZDkZWWxFZQpgIAjn4HTz00gmDgSvKs9Q</t>
  </si>
  <si>
    <t>14KEoggJRyTrU2rfiB_a6RT23-mn0i5oF</t>
  </si>
  <si>
    <t>https://drive.google.com/file/d/14KEoggJRyTrU2rfiB_a6RT23-mn0i5oF/view?usp=drivesdk</t>
  </si>
  <si>
    <t>Document successfully created; Document successfully merged; PDF created; Emails Sent: [To: 22-martinezmartinez.joeldavid@cetis57.edu.mx; no-reply: true]; Run via form trigger as gabrielvazquez@cetis57.edu.mx; Timestamp: Aug 2 2023 1:51 AM</t>
  </si>
  <si>
    <t>1fWARPg-OrEVN5KAGKLDpeOg--BN1WVCH</t>
  </si>
  <si>
    <t>https://drive.google.com/file/d/1fWARPg-OrEVN5KAGKLDpeOg--BN1WVCH/view?usp=drivesdk</t>
  </si>
  <si>
    <t>Document successfully created; Document successfully merged; PDF created; Emails Sent: [To: 22-martinezmartinez.joeldavid@cetis57.edu.mx; no-reply: true]; Run via form trigger as gabrielvazquez@cetis57.edu.mx; Timestamp: Aug 3 2023 4:47 PM</t>
  </si>
  <si>
    <t>https://drive.google.com/open?id=13nWRysXdrHEwfS9tM4MLMQxwjdfPhQtQ</t>
  </si>
  <si>
    <t>CALLE PEDRO ACEVEZ MANZANA24 LOTE 11</t>
  </si>
  <si>
    <t xml:space="preserve">IGLESIA DE SAN SEBASTIAN Y DEPORTIVO DE SAN SEBASTIAN </t>
  </si>
  <si>
    <t>TRUJILLO CRUZ CAROLINA</t>
  </si>
  <si>
    <t>https://drive.google.com/open?id=1zJtspPnyy100Hji0QbDyJGyuCAkK8UXN</t>
  </si>
  <si>
    <t>camila064@gmail.com</t>
  </si>
  <si>
    <t>angiecr43@gmail.com</t>
  </si>
  <si>
    <t>https://drive.google.com/open?id=1lwNjl4U1-I_Fys1Q_0N1usMuAZGP8geQ</t>
  </si>
  <si>
    <t>elvisgonzal@gmail.com</t>
  </si>
  <si>
    <t>https://drive.google.com/open?id=1Umq5uc8jUPXv19WrF5UMb-bLB0SE7r2v</t>
  </si>
  <si>
    <t>https://drive.google.com/open?id=1yY7_TzpeNbaSWH9bxhpYyG1Z-43hiyd_</t>
  </si>
  <si>
    <t>1ILxAaGHUilHO7ezP84tQoVLS2K_BO0qf</t>
  </si>
  <si>
    <t>https://drive.google.com/file/d/1ILxAaGHUilHO7ezP84tQoVLS2K_BO0qf/view?usp=drivesdk</t>
  </si>
  <si>
    <t>Document successfully created; Document successfully merged; PDF created; Emails Sent: [To: 22-trujillocruz.carolina@cetis57.edu.mx; no-reply: true]; Run via form trigger as gabrielvazquez@cetis57.edu.mx; Timestamp: Aug 2 2023 9:43 PM</t>
  </si>
  <si>
    <t>18bomlkRHgSn8n7F_gHFu_ACl-rtBROzK</t>
  </si>
  <si>
    <t>https://drive.google.com/file/d/18bomlkRHgSn8n7F_gHFu_ACl-rtBROzK/view?usp=drivesdk</t>
  </si>
  <si>
    <t>Document successfully created; Document successfully merged; PDF created; Emails Sent: [To: 22-trujillocruz.carolina@cetis57.edu.mx; no-reply: true]; Run via form trigger as gabrielvazquez@cetis57.edu.mx; Timestamp: Aug 3 2023 4:47 PM</t>
  </si>
  <si>
    <t>https://drive.google.com/open?id=14F1-D2nCIDFDAIifyWvsLvS4ZcQX1PfJ</t>
  </si>
  <si>
    <t>Mz 22 Lot 8 Cs 1</t>
  </si>
  <si>
    <t>CALLE CHIMALPA MZ 22 LTE 8</t>
  </si>
  <si>
    <t xml:space="preserve">ABRAHAM RAMIREZ TORRES </t>
  </si>
  <si>
    <t>https://drive.google.com/open?id=1lrFWJ-YjKCFSpHmG-terxCpT9lzXAZRI</t>
  </si>
  <si>
    <t xml:space="preserve"> TORRES </t>
  </si>
  <si>
    <t xml:space="preserve">NORMA ELENA </t>
  </si>
  <si>
    <t>normis15032006@gmail.com</t>
  </si>
  <si>
    <t>https://drive.google.com/open?id=1IA0Rf1pYtRBzwhPaIfJd1mYxrSLvJkeh</t>
  </si>
  <si>
    <t>escobedom805@gmail.com</t>
  </si>
  <si>
    <t>https://drive.google.com/open?id=1LQBS39tAailhiZhSSMZwbX3-yAW-LIkS</t>
  </si>
  <si>
    <t>https://drive.google.com/open?id=1832DWnkxfU9Bel4MHKsFk5-HYneMlXum</t>
  </si>
  <si>
    <t>1lGfbmBP3tqcOGqfMWjlLKbOGd4rTzMl0</t>
  </si>
  <si>
    <t>https://drive.google.com/file/d/1lGfbmBP3tqcOGqfMWjlLKbOGd4rTzMl0/view?usp=drivesdk</t>
  </si>
  <si>
    <t>Document successfully created; Document successfully merged; PDF created; Emails Sent: [To: 22-ramireztorres.abraham@cetis57.edu.mx; no-reply: true]; Run via form trigger as gabrielvazquez@cetis57.edu.mx; Timestamp: Aug 2 2023 1:54 AM</t>
  </si>
  <si>
    <t>1JR7DW7xv2zTcX1OuQXovkF3GFOfZkks-</t>
  </si>
  <si>
    <t>https://drive.google.com/file/d/1JR7DW7xv2zTcX1OuQXovkF3GFOfZkks-/view?usp=drivesdk</t>
  </si>
  <si>
    <t>Document successfully created; Document successfully merged; PDF created; Emails Sent: [To: 22-ramireztorres.abraham@cetis57.edu.mx; no-reply: true]; Run via form trigger as gabrielvazquez@cetis57.edu.mx; Timestamp: Aug 3 2023 4:48 PM</t>
  </si>
  <si>
    <t xml:space="preserve">REYNOSO </t>
  </si>
  <si>
    <t>https://drive.google.com/open?id=15RSYlQr4t58mpPm-wgrTa3wKTuSa9zSu</t>
  </si>
  <si>
    <t xml:space="preserve">AGUSTIN MELGAR </t>
  </si>
  <si>
    <t>SAN MIGUEL ACUITLAPILCO</t>
  </si>
  <si>
    <t>SEXTA CASA DEL LADO IZQUIERDO COLOR NARANJA</t>
  </si>
  <si>
    <t>LUCIA MARISOL REYNOSO HERNANDEZ</t>
  </si>
  <si>
    <t>https://drive.google.com/open?id=1NZKRlh4KEDhN7qj_Tf4Ng3uxa5eNyN61</t>
  </si>
  <si>
    <t>reynosolucia371@gmail.com</t>
  </si>
  <si>
    <t>monidemejia2101@gmail.com</t>
  </si>
  <si>
    <t>https://drive.google.com/open?id=1vRslPI3-DFOoOjbYmxVoaEDbYE6Guoiu</t>
  </si>
  <si>
    <t>IGNACIA SEVERA</t>
  </si>
  <si>
    <t>ignaciah877@gmail.com</t>
  </si>
  <si>
    <t>https://drive.google.com/open?id=1pcsUNmtdFuevDFmfxDdfnRN-rdJrf74J</t>
  </si>
  <si>
    <t>https://drive.google.com/open?id=1op1DSvzhuhnbm5lULn6e_2-fFnZ5-arq</t>
  </si>
  <si>
    <t>1HymfTOwKrV9UwHxbwVbZmW3AY8gwvb7Q</t>
  </si>
  <si>
    <t>https://drive.google.com/file/d/1HymfTOwKrV9UwHxbwVbZmW3AY8gwvb7Q/view?usp=drivesdk</t>
  </si>
  <si>
    <t>Document successfully created; Document successfully merged; PDF created; Emails Sent: [To: 22-gonzalezreynoso.mariafernanda@cetis57.edu.mx; no-reply: true]; Run via form trigger as gabrielvazquez@cetis57.edu.mx; Timestamp: Aug 2 2023 1:57 AM</t>
  </si>
  <si>
    <t>1czQsKKqXUrxRDyxBXNaJeiIftZf-YoP3</t>
  </si>
  <si>
    <t>https://drive.google.com/file/d/1czQsKKqXUrxRDyxBXNaJeiIftZf-YoP3/view?usp=drivesdk</t>
  </si>
  <si>
    <t>Document successfully created; Document successfully merged; PDF created; Emails Sent: [To: 22-gonzalezreynoso.mariafernanda@cetis57.edu.mx; no-reply: true]; Run via form trigger as gabrielvazquez@cetis57.edu.mx; Timestamp: Aug 3 2023 4:48 PM</t>
  </si>
  <si>
    <t>https://drive.google.com/open?id=14OlDax7H_QywSxEGnLrkU4pyQ-T78yyH</t>
  </si>
  <si>
    <t>CALLE JUAREZ 324</t>
  </si>
  <si>
    <t xml:space="preserve"> AMPLIACION VICENTE VILLADA </t>
  </si>
  <si>
    <t>EN LA ESQUINA DE LA CALLE HAY UN BANCO HSBC</t>
  </si>
  <si>
    <t xml:space="preserve">FERNANDEZ CUEVAS ADRIANA </t>
  </si>
  <si>
    <t>https://drive.google.com/open?id=1TEUT7D9HUln6uOmFB_-0_o7zusHQPzia</t>
  </si>
  <si>
    <t>https://drive.google.com/open?id=1RVQ1lH65fKLkQwa-j2nmn7gkKIEyuGJs</t>
  </si>
  <si>
    <t xml:space="preserve">URIOSTEGUI </t>
  </si>
  <si>
    <t xml:space="preserve">DAVID GUADALUPE </t>
  </si>
  <si>
    <t>https://drive.google.com/open?id=1Lax514baOrpiNiF9V0JM21vd8vmDj6Tz</t>
  </si>
  <si>
    <t>https://drive.google.com/open?id=1PSMr5Rw6bNefonmOxb9ETi7DOqVKUM7l</t>
  </si>
  <si>
    <t>14ySiKqY9nFGqPoC7rkdGEvtjuwQWF93e</t>
  </si>
  <si>
    <t>https://drive.google.com/file/d/14ySiKqY9nFGqPoC7rkdGEvtjuwQWF93e/view?usp=drivesdk</t>
  </si>
  <si>
    <t>Document successfully created; Document successfully merged; PDF created; Emails Sent: [To: 22-saldanafernandez.angeljesus@cetis57.edu.mx; no-reply: true]; Run via form trigger as gabrielvazquez@cetis57.edu.mx; Timestamp: Aug 2 2023 10:37 PM</t>
  </si>
  <si>
    <t>1mEFH9bHvD75-MFjCR0MbtncQ2htZf3-t</t>
  </si>
  <si>
    <t>https://drive.google.com/file/d/1mEFH9bHvD75-MFjCR0MbtncQ2htZf3-t/view?usp=drivesdk</t>
  </si>
  <si>
    <t>Document successfully created; Document successfully merged; PDF created; Emails Sent: [To: 22-saldanafernandez.angeljesus@cetis57.edu.mx; no-reply: true]; Run via form trigger as gabrielvazquez@cetis57.edu.mx; Timestamp: Aug 3 2023 4:49 PM</t>
  </si>
  <si>
    <t>https://drive.google.com/open?id=1WStJWMZwSarlHEtvf4ezP52M4uLE7qVt</t>
  </si>
  <si>
    <t xml:space="preserve">LESNDRO VALLE SUR </t>
  </si>
  <si>
    <t xml:space="preserve">SAN MATEO TEZOQUIPAN MIRAFLORES </t>
  </si>
  <si>
    <t>ENFRENTE DE LA CARRETERA TLAMANALCO</t>
  </si>
  <si>
    <t xml:space="preserve">ANDRES JAIR CORTES RANGEL </t>
  </si>
  <si>
    <t>https://drive.google.com/open?id=19NyjsR6466ra4CIY7OhKiVAD7RXFZVki</t>
  </si>
  <si>
    <t>https://drive.google.com/open?id=1xNl_dleXY9ltIfm8eGgW8VK2_SOHe0g7</t>
  </si>
  <si>
    <t>SANDRA YANIRA</t>
  </si>
  <si>
    <t>https://drive.google.com/open?id=17yFuCJDjjwnme77PzoO3MmHtsSstnF37</t>
  </si>
  <si>
    <t>HERBART</t>
  </si>
  <si>
    <t xml:space="preserve">TIZAYUCA, HIDALGO </t>
  </si>
  <si>
    <t>https://drive.google.com/open?id=1HfKOHqJLIxx21l2g0eNsz5AB7qtq97yE</t>
  </si>
  <si>
    <t>1tQ-sTxIlkFwfPXjyQJoJrjK1vGY5O88j</t>
  </si>
  <si>
    <t>https://drive.google.com/file/d/1tQ-sTxIlkFwfPXjyQJoJrjK1vGY5O88j/view?usp=drivesdk</t>
  </si>
  <si>
    <t>Document successfully created; Invalid image URL [http://doc.google.com/uc?id=1WStJWMZwSarlHEtvf4ezP52M4uLE7qVt], make sure that it is public; Invalid image URL [http://doc.google.com/uc?id=19NyjsR6466ra4CIY7OhKiVAD7RXFZVki], make sure that it is public; Invalid image URL [http://doc.google.com/uc?id=1xNl_dleXY9ltIfm8eGgW8VK2_SOHe0g7], make sure that it is public; Invalid image URL [http://doc.google.com/uc?id=17yFuCJDjjwnme77PzoO3MmHtsSstnF37], make sure that it is public; Document successfully merged; PDF created; Emails Sent: [To: 21-juarezrangel.nataliamichell@cetis57.edu.mx; no-reply: true]; Run via form trigger as gabrielvazquez@cetis57.edu.mx; Timestamp: Aug 2 2023 5:34 PM</t>
  </si>
  <si>
    <t>1ebaEMq-daJjt6oKi_jD7kVeoGiyzFcwq</t>
  </si>
  <si>
    <t>https://drive.google.com/file/d/1ebaEMq-daJjt6oKi_jD7kVeoGiyzFcwq/view?usp=drivesdk</t>
  </si>
  <si>
    <t>Document successfully created; Document successfully merged; PDF created; !!Error Sending Emails: Límite excedido: Tamaño total de los archivos adjuntos del correo electrónico.; Run via form trigger as gabrielvazquez@cetis57.edu.mx; Timestamp: Aug 3 2023 4:50 PM</t>
  </si>
  <si>
    <t xml:space="preserve">MAYTE DANIELA </t>
  </si>
  <si>
    <t>https://drive.google.com/open?id=1UkHwjG03nvtwJ6MTE0Et52iFrvwRqdgK</t>
  </si>
  <si>
    <t xml:space="preserve">CALLE MIGUEL DOMINGUEZ MZA 2 LT9 CS 41 FRACC LOS HEROES IXTAPALUCA </t>
  </si>
  <si>
    <t>MZA 2 LT9</t>
  </si>
  <si>
    <t xml:space="preserve">FRENTE AL PARQUE DEL ARTE Y EN LA ESQUINA SE ENCUENTRA UN PUESTO DE CERRAJERIA </t>
  </si>
  <si>
    <t>MARICRUZ GUTIERREZ HERNANDEZ.</t>
  </si>
  <si>
    <t>https://drive.google.com/open?id=1WHcdPLPfeMuoRcxbChgEPenX6bJ2pHZV</t>
  </si>
  <si>
    <t>rosahernandereyes190266@gmail.com</t>
  </si>
  <si>
    <t>https://drive.google.com/open?id=1kfLuxAYIBg-rJfP_lHOYYH93-8fRjbMK</t>
  </si>
  <si>
    <t>BARRIGA</t>
  </si>
  <si>
    <t>aseador de calzado</t>
  </si>
  <si>
    <t>franciscogutierrez041063@gmail.com</t>
  </si>
  <si>
    <t>https://drive.google.com/open?id=1JLBxumpyr2sC4cD1qY0h9_R5gAsHQSZF</t>
  </si>
  <si>
    <t>https://drive.google.com/open?id=1atFCU5DjP9HjnB82RMp4Y0gvYeMvaFHk</t>
  </si>
  <si>
    <t>1Sjc9-jhL8fK3TFdNlmEQY922oVE_5h5u</t>
  </si>
  <si>
    <t>https://drive.google.com/file/d/1Sjc9-jhL8fK3TFdNlmEQY922oVE_5h5u/view?usp=drivesdk</t>
  </si>
  <si>
    <t>Document successfully created; Document successfully merged; PDF created; Emails Sent: [To: 22-badillogutierrez.maytedaniela@cetis57.edu.mx; no-reply: true]; Run via form trigger as gabrielvazquez@cetis57.edu.mx; Timestamp: Aug 2 2023 2:01 AM</t>
  </si>
  <si>
    <t>1NTPF6JDMQw-nTdtW3QXfwb2ordOmYJkF</t>
  </si>
  <si>
    <t>https://drive.google.com/file/d/1NTPF6JDMQw-nTdtW3QXfwb2ordOmYJkF/view?usp=drivesdk</t>
  </si>
  <si>
    <t>Document successfully created; Document successfully merged; PDF created; Emails Sent: [To: 22-badillogutierrez.maytedaniela@cetis57.edu.mx; no-reply: true]; Run via form trigger as gabrielvazquez@cetis57.edu.mx; Timestamp: Aug 3 2023 5:07 PM</t>
  </si>
  <si>
    <t>https://drive.google.com/open?id=13v72oH-6ecVbO3asLUFU2Yyb467oBqZG</t>
  </si>
  <si>
    <t>CALLE ALLENDE MZ2 LT38</t>
  </si>
  <si>
    <t xml:space="preserve">MZ 2 </t>
  </si>
  <si>
    <t>ENTRE ARROLLO FRIO Y BRAULIO MALDONADO</t>
  </si>
  <si>
    <t>CELESTE PATRICIA CRUZ RAMIRESZ</t>
  </si>
  <si>
    <t>https://drive.google.com/open?id=19AzrCEvxAxysqOM8iDScC0tbLMHTfapk</t>
  </si>
  <si>
    <t>CRUZCELESTEPATRICIA@GMAIL.COM</t>
  </si>
  <si>
    <t>SAMUELMELENDEZTINOCO@GMAIL.COM</t>
  </si>
  <si>
    <t>https://drive.google.com/open?id=1J7_ge0bNWFw75R7fCTX71tFG3XVzHax7</t>
  </si>
  <si>
    <t>LUZGECEL@GMAIL.COM</t>
  </si>
  <si>
    <t>https://drive.google.com/open?id=16VzKhEFEqOswL1N6WWF9q-f-IeyCxE1f</t>
  </si>
  <si>
    <t>Tecnicatura Universitaria en Redes de Computadoras</t>
  </si>
  <si>
    <t>https://drive.google.com/open?id=1jmwprX1T2itJlKZqM9w5vHfIlFyhH2m6</t>
  </si>
  <si>
    <t>07220744267</t>
  </si>
  <si>
    <t>QUÍMICA II</t>
  </si>
  <si>
    <t>17SEsrYaLD1nt_Eq9I7i_YZkygwgQ2k8h</t>
  </si>
  <si>
    <t>https://drive.google.com/file/d/17SEsrYaLD1nt_Eq9I7i_YZkygwgQ2k8h/view?usp=drivesdk</t>
  </si>
  <si>
    <t>Document successfully created; Document successfully merged; PDF created; Emails Sent: [To: 22-garciacruz.dorian@cetis57.edu.mx; no-reply: true]; Run via form trigger as gabrielvazquez@cetis57.edu.mx; Timestamp: Aug 2 2023 2:02 AM</t>
  </si>
  <si>
    <t>1BvYSjHan107z5EpMASlmpNd8pd763M2V</t>
  </si>
  <si>
    <t>https://drive.google.com/file/d/1BvYSjHan107z5EpMASlmpNd8pd763M2V/view?usp=drivesdk</t>
  </si>
  <si>
    <t>Document successfully created; Document successfully merged; PDF created; Emails Sent: [To: 22-garciacruz.dorian@cetis57.edu.mx; no-reply: true]; Run via form trigger as gabrielvazquez@cetis57.edu.mx; Timestamp: Aug 3 2023 5:08 PM</t>
  </si>
  <si>
    <t>https://drive.google.com/open?id=1FrI5dzpc4DycXSrl2w_F7fajf0wwBr4E</t>
  </si>
  <si>
    <t>CALLE VILLA GONZALO, MZ.30 LT.12, COL. LOMAS DE STA CRUZ, CP.09709</t>
  </si>
  <si>
    <t xml:space="preserve">ZAGUAN VERDE, ARBOL AFUERA DEL DOMICILIO Y FACHADA AZUL </t>
  </si>
  <si>
    <t xml:space="preserve">DAMARIS ADAIR VALENCIA HERRERA </t>
  </si>
  <si>
    <t>https://drive.google.com/open?id=1yz_mV0T2DnVoE_CacoEFU7f9AQJd9zw7</t>
  </si>
  <si>
    <t>damarisvalencia.2112@gmail.com</t>
  </si>
  <si>
    <t>https://drive.google.com/open?id=1Qd8mR45cadWQgQZ3cRxVzgWCSXcGVqHQ</t>
  </si>
  <si>
    <t>martinezgutierrezalberto825@gmail.com</t>
  </si>
  <si>
    <t>https://drive.google.com/open?id=1KJ47x7aRgfZeVDYqA6ipvP07io6cDSV6</t>
  </si>
  <si>
    <t>ABUELOS Y PAPÁ</t>
  </si>
  <si>
    <t>https://drive.google.com/open?id=1_hwrSCO2P7WQfFxIvmHWFHTYzzYvcsnd</t>
  </si>
  <si>
    <t>1mIJ-XyxU5Ezx0cXoNuplYfkfd1ImJb1R</t>
  </si>
  <si>
    <t>https://drive.google.com/file/d/1mIJ-XyxU5Ezx0cXoNuplYfkfd1ImJb1R/view?usp=drivesdk</t>
  </si>
  <si>
    <t>Document successfully created; Document successfully merged; PDF created; Emails Sent: [To: 22-martinezrodriguez.fernanda@cetis57.edu.mx; no-reply: true]; Run via form trigger as gabrielvazquez@cetis57.edu.mx; Timestamp: Aug 2 2023 2:02 AM</t>
  </si>
  <si>
    <t>1sk2K5FjrfdT_6DkJCOaYfrcWJ1fRfxJE</t>
  </si>
  <si>
    <t>https://drive.google.com/file/d/1sk2K5FjrfdT_6DkJCOaYfrcWJ1fRfxJE/view?usp=drivesdk</t>
  </si>
  <si>
    <t>Document successfully created; Document successfully merged; PDF created; Emails Sent: [To: 22-martinezrodriguez.fernanda@cetis57.edu.mx; no-reply: true]; Run via form trigger as gabrielvazquez@cetis57.edu.mx; Timestamp: Aug 3 2023 5:08 PM</t>
  </si>
  <si>
    <t>https://drive.google.com/open?id=1QiLLHAqAdky5D0pUfTOQGCO09rVy_Iwe</t>
  </si>
  <si>
    <t>CAVV060205MMCLRLA5</t>
  </si>
  <si>
    <t xml:space="preserve">CALLE LIRIO MZ102 LT5 </t>
  </si>
  <si>
    <t xml:space="preserve">EN LA ESQUINA ESTA EL PARQUE YAUTLICA, HAY UN MERCADO Y ENFRENTE DE MI CASA UN PREESCOLAR </t>
  </si>
  <si>
    <t xml:space="preserve">DULCE MAYRA VARGAS FAJARDO </t>
  </si>
  <si>
    <t>https://drive.google.com/open?id=1cm78TgAk2AhiNbl5USLCwMaWCyll5nPu</t>
  </si>
  <si>
    <t>JUAN DANIEL</t>
  </si>
  <si>
    <t>https://drive.google.com/open?id=1Y5MZLPhtUSwNRrpMdO9eiWPbnuMBWam9</t>
  </si>
  <si>
    <t xml:space="preserve">DULCE MAYRA </t>
  </si>
  <si>
    <t xml:space="preserve">ATIENDE UNA TIENDA DE ABARROTES </t>
  </si>
  <si>
    <t>https://drive.google.com/open?id=1WhTwL7qz93JcYjEqy_5HaRhqH-KrUXM5</t>
  </si>
  <si>
    <t xml:space="preserve">VIVO CON MIS PAPÁS </t>
  </si>
  <si>
    <t>QUIMICO FARMACO BIOLOGO</t>
  </si>
  <si>
    <t>https://drive.google.com/open?id=1oyXAy5S5Bt5yWNA9mlR7CQlmqq0rcxhy</t>
  </si>
  <si>
    <t>1FBQ6pXTC5gURdO6SsLt29TYl8nwgcNWK</t>
  </si>
  <si>
    <t>https://drive.google.com/file/d/1FBQ6pXTC5gURdO6SsLt29TYl8nwgcNWK/view?usp=drivesdk</t>
  </si>
  <si>
    <t>Document successfully created; Document successfully merged; PDF created; Emails Sent: [To: 21-calderonvargas.valeriarubi@cetis57.edu.mx; no-reply: true]; Run via form trigger as gabrielvazquez@cetis57.edu.mx; Timestamp: Aug 2 2023 2:03 AM</t>
  </si>
  <si>
    <t>1EcH5JThUqMA0Thl5HWxzrlkxi184_Klj</t>
  </si>
  <si>
    <t>https://drive.google.com/file/d/1EcH5JThUqMA0Thl5HWxzrlkxi184_Klj/view?usp=drivesdk</t>
  </si>
  <si>
    <t>Document successfully created; Document successfully merged; PDF created; Emails Sent: [To: 21-calderonvargas.valeriarubi@cetis57.edu.mx; no-reply: true]; Run via form trigger as gabrielvazquez@cetis57.edu.mx; Timestamp: Aug 3 2023 5:09 PM</t>
  </si>
  <si>
    <t>GABRIELA  LORELEY</t>
  </si>
  <si>
    <t>https://drive.google.com/open?id=1BCqZoAHOqcMwJ1Txu50i4_E_QCSGvmhH</t>
  </si>
  <si>
    <t>CALLE CIPRESES TERCERA SECCION MZ.7 LT.21</t>
  </si>
  <si>
    <t xml:space="preserve">ENTRE AVENIDA ACUITLAPILCO Y AVENIDA CASTILLO DE CHAPULTEPEC </t>
  </si>
  <si>
    <t>https://drive.google.com/open?id=1ypjBh2LdhDTyzXzq8OkvXF8A2NEl6q1z</t>
  </si>
  <si>
    <t xml:space="preserve"> URBANO</t>
  </si>
  <si>
    <t>TABLAROQUERO</t>
  </si>
  <si>
    <t>gaboiurbano@gmail.com</t>
  </si>
  <si>
    <t>https://drive.google.com/open?id=1TyUExEC5TNPPNFNiq0KCR88cEMR4wKge</t>
  </si>
  <si>
    <t>MARIA JOVANA</t>
  </si>
  <si>
    <t>https://drive.google.com/open?id=1BwyWaiIFVqHfpY6kQwaQUNIql54Ruyb6</t>
  </si>
  <si>
    <t>https://drive.google.com/open?id=1cKgqBRd_JrCT3qU9SH3IpB6VwwghNvxS</t>
  </si>
  <si>
    <t>1_Ax-x6SysIJkB0Jzd0a9hPVHgrL0x45K</t>
  </si>
  <si>
    <t>https://drive.google.com/file/d/1_Ax-x6SysIJkB0Jzd0a9hPVHgrL0x45K/view?usp=drivesdk</t>
  </si>
  <si>
    <t>Document successfully created; Document successfully merged; PDF created; Emails Sent: [To: 22-urbanoguzman.gabrielaloreley@cetis57.edu.mx; no-reply: true]; Run via form trigger as gabrielvazquez@cetis57.edu.mx; Timestamp: Aug 2 2023 2:05 AM</t>
  </si>
  <si>
    <t>1ZzVs7LOo7C_bHAXhl7d74fLpSpLz1m1D</t>
  </si>
  <si>
    <t>https://drive.google.com/file/d/1ZzVs7LOo7C_bHAXhl7d74fLpSpLz1m1D/view?usp=drivesdk</t>
  </si>
  <si>
    <t>Document successfully created; Document successfully merged; PDF created; Emails Sent: [To: 22-urbanoguzman.gabrielaloreley@cetis57.edu.mx; no-reply: true]; Run via form trigger as gabrielvazquez@cetis57.edu.mx; Timestamp: Aug 3 2023 5:14 PM</t>
  </si>
  <si>
    <t xml:space="preserve">MALDDONADO </t>
  </si>
  <si>
    <t>https://drive.google.com/open?id=1762rav8bbMjuDbMsYV-BL-W7W9lk8CEW</t>
  </si>
  <si>
    <t>55 70952626</t>
  </si>
  <si>
    <t>CALLE MARGARITA MZ.12 LT.110 COL. CAMPESTRE POTRERO C.P. 09637</t>
  </si>
  <si>
    <t>MZ.12</t>
  </si>
  <si>
    <t>LT.110</t>
  </si>
  <si>
    <t xml:space="preserve">3 CUADRAS ARRIBA DE UNA TIENDA 3B CASA DE 3 PISOS COLOR NARANJA PORTON NEGRO </t>
  </si>
  <si>
    <t>https://drive.google.com/open?id=1GpTUZlEQ4WxObJmgMeVT2iKpGsf7oOj5</t>
  </si>
  <si>
    <t>GRUP_MM@GMAIL.COM</t>
  </si>
  <si>
    <t>https://drive.google.com/open?id=1kfgips5vDxcDwKs5ItZIO7gkbJD4b8zN</t>
  </si>
  <si>
    <t>https://drive.google.com/open?id=1xehJw51gN0Eaigsh6uiqT-ZeQqubNA2g</t>
  </si>
  <si>
    <t>INP</t>
  </si>
  <si>
    <t>https://drive.google.com/open?id=16Hsak4hhr16uL-E0tuu2fOfaik87uwAD</t>
  </si>
  <si>
    <t>1Kpj8v_bWg_oPbvLrc2QrpCMrEGobRhA7</t>
  </si>
  <si>
    <t>https://drive.google.com/file/d/1Kpj8v_bWg_oPbvLrc2QrpCMrEGobRhA7/view?usp=drivesdk</t>
  </si>
  <si>
    <t>Document successfully created; Invalid image URL [http://doc.google.com/uc?id=1762rav8bbMjuDbMsYV-BL-W7W9lk8CEW], make sure that it is public; Invalid image URL [http://doc.google.com/uc?id=1GpTUZlEQ4WxObJmgMeVT2iKpGsf7oOj5], make sure that it is public; Document successfully merged; PDF created; Emails Sent: [To: 21-memetlamaldonado.erandiceleste@cetis57.edu.mx; no-reply: true]; Run via form trigger as gabrielvazquez@cetis57.edu.mx; Timestamp: Aug 2 2023 5:46 PM</t>
  </si>
  <si>
    <t>1WvOs5MwZ_PhTqL2yEX75kJiCZkHl2Tpn</t>
  </si>
  <si>
    <t>https://drive.google.com/file/d/1WvOs5MwZ_PhTqL2yEX75kJiCZkHl2Tpn/view?usp=drivesdk</t>
  </si>
  <si>
    <t>Document successfully created; Document successfully merged; PDF created; Emails Sent: [To: 21-memetlamaldonado.erandiceleste@cetis57.edu.mx; no-reply: true]; Run via form trigger as gabrielvazquez@cetis57.edu.mx; Timestamp: Aug 3 2023 5:15 PM</t>
  </si>
  <si>
    <t>https://drive.google.com/open?id=18elcoEplB5mQV11Q_H_zpWLSqRLlHPKM</t>
  </si>
  <si>
    <t xml:space="preserve">LUIS CABRERA </t>
  </si>
  <si>
    <t xml:space="preserve">CERCA DEL METRO DE CONSTITUCION </t>
  </si>
  <si>
    <t>https://drive.google.com/open?id=1fcUmOV3Gyo6OWvgkcrsZ7Bh3D1nxp1b7</t>
  </si>
  <si>
    <t>https://drive.google.com/open?id=1YyN5wtIiVc6lK92ZzeHK167VCSK5FOGQ</t>
  </si>
  <si>
    <t>https://drive.google.com/open?id=1ZG1nM8MDY48W8-YNO1BsrfprIXtisjXm</t>
  </si>
  <si>
    <t>https://drive.google.com/open?id=1k2bLuyzd_kCe3Q7uZtlevXAXasRaZcnz</t>
  </si>
  <si>
    <t>1DDzibwtrxYnXabOdS_bAHnqwZVgHyk3m</t>
  </si>
  <si>
    <t>https://drive.google.com/file/d/1DDzibwtrxYnXabOdS_bAHnqwZVgHyk3m/view?usp=drivesdk</t>
  </si>
  <si>
    <t>Document successfully created; Document successfully merged; PDF created; Emails Sent: [To: 21-garciaserna.lizeth@cetis57.edu.mx; no-reply: true]; Run via form trigger as gabrielvazquez@cetis57.edu.mx; Timestamp: Aug 2 2023 2:07 AM</t>
  </si>
  <si>
    <t>1EBBOxC7_LaU9WW9SSR2BDqsKllnba-Xd</t>
  </si>
  <si>
    <t>https://drive.google.com/file/d/1EBBOxC7_LaU9WW9SSR2BDqsKllnba-Xd/view?usp=drivesdk</t>
  </si>
  <si>
    <t>Document successfully created; Document successfully merged; PDF created; Emails Sent: [To: 21-garciaserna.lizeth@cetis57.edu.mx; no-reply: true]; Run via form trigger as gabrielvazquez@cetis57.edu.mx; Timestamp: Aug 3 2023 5:16 PM</t>
  </si>
  <si>
    <t>https://drive.google.com/open?id=1eiIEUHm1jZyQqIXvGhIWXROjOZ0uIHBC</t>
  </si>
  <si>
    <t>CALLE CORDOBANES 143</t>
  </si>
  <si>
    <t xml:space="preserve">METROPOLITANA 1RA SECCION </t>
  </si>
  <si>
    <t>FARMACIA EN ESQUINA DE FLAMINGOS</t>
  </si>
  <si>
    <t>https://drive.google.com/open?id=1cVlQuWI3XfUzpWCl8teLqNJAnQycplSX</t>
  </si>
  <si>
    <t>https://drive.google.com/open?id=1i506RFwvkPs0he-YFVgt6tKfd7nU1M66</t>
  </si>
  <si>
    <t>ARMANDO FAUSTINO</t>
  </si>
  <si>
    <t>https://drive.google.com/open?id=13bRkol4S_Qe4I5ERU3gTts22sAgbWjsU</t>
  </si>
  <si>
    <t>https://drive.google.com/open?id=1W4pJVPUKEtyov6v3_nclH8HwR6YZbLIu</t>
  </si>
  <si>
    <t>1efB1wMJpnagUdtl0_nVTVTdfwTm-nxSK</t>
  </si>
  <si>
    <t>https://drive.google.com/file/d/1efB1wMJpnagUdtl0_nVTVTdfwTm-nxSK/view?usp=drivesdk</t>
  </si>
  <si>
    <t>Document successfully created; Document successfully merged; PDF created; Emails Sent: [To: 22-moragarcia.valeriaitzel@cetis57.edu.mx]; Manually run by gabrielvazquez@cetis57.edu.mx; Timestamp: Aug 4 2023 5:31 PM</t>
  </si>
  <si>
    <t>1nfNggPIKi41wm0p4D2xkRYsfo2lSZkar</t>
  </si>
  <si>
    <t>https://drive.google.com/file/d/1nfNggPIKi41wm0p4D2xkRYsfo2lSZkar/view?usp=drivesdk</t>
  </si>
  <si>
    <t>Document successfully created; Invalid image URL [http://doc.google.com/uc?id=1eiIEUHm1jZyQqIXvGhIWXROjOZ0uIHBC], make sure that it is public; Invalid image URL [http://doc.google.com/uc?id=1i506RFwvkPs0he-YFVgt6tKfd7nU1M66], make sure that it is public; Invalid image URL [http://doc.google.com/uc?id=13bRkol4S_Qe4I5ERU3gTts22sAgbWjsU], make sure that it is public; Document successfully merged; PDF created; Emails Sent: [To: 22-moragarcia.valeriaitzel@cetis57.edu.mx; no-reply: true]; Run via form trigger as gabrielvazquez@cetis57.edu.mx; Timestamp: Aug 3 2023 5:16 PM</t>
  </si>
  <si>
    <t xml:space="preserve">SEBASTIAN MAURICIO </t>
  </si>
  <si>
    <t>https://drive.google.com/open?id=1HZMtaOO2pMZ6BXkZbFajePlvIbBrBj1I</t>
  </si>
  <si>
    <t>JACARANDAS, MZ 1, LT 2, COLONIA LAS CRUCES</t>
  </si>
  <si>
    <t xml:space="preserve">MZ 1 </t>
  </si>
  <si>
    <t xml:space="preserve">ES UNA TIENDA ABARROTES </t>
  </si>
  <si>
    <t>https://drive.google.com/open?id=1ZIxTvojzMEYsMIKmYb87XzM4d1Y0eFT4</t>
  </si>
  <si>
    <t xml:space="preserve">GUILLERMO CASTILLO FLORES </t>
  </si>
  <si>
    <t>PELO</t>
  </si>
  <si>
    <t>FARMACEUTICO</t>
  </si>
  <si>
    <t>https://drive.google.com/open?id=19UgSuhdpI3KSGq3XzDp4_oQswfJc_ug8</t>
  </si>
  <si>
    <t>FARMACEUTICA</t>
  </si>
  <si>
    <t>https://drive.google.com/open?id=1zIIp4u3pl5k7u9VLBzAQNX7TYeFyfGIO</t>
  </si>
  <si>
    <t>https://drive.google.com/open?id=1qhMI0x1a142fg6nKcV9CMjLYR_YRAKei</t>
  </si>
  <si>
    <t>14I_HDSfOq6leNEHmm8fa5iCVrMaGU2Yh</t>
  </si>
  <si>
    <t>https://drive.google.com/file/d/14I_HDSfOq6leNEHmm8fa5iCVrMaGU2Yh/view?usp=drivesdk</t>
  </si>
  <si>
    <t>Document successfully created; Document successfully merged; PDF created; Emails Sent: [To: 22-castillocruz.sebastianmauricio@cetis57.edu.mx; no-reply: true]; Run via form trigger as gabrielvazquez@cetis57.edu.mx; Timestamp: Aug 2 2023 2:08 AM</t>
  </si>
  <si>
    <t>17lzAp-cEaA2de4c5rKJh2C_4tQ0tb5SB</t>
  </si>
  <si>
    <t>https://drive.google.com/file/d/17lzAp-cEaA2de4c5rKJh2C_4tQ0tb5SB/view?usp=drivesdk</t>
  </si>
  <si>
    <t>Document successfully created; Document successfully merged; PDF created; Emails Sent: [To: 22-castillocruz.sebastianmauricio@cetis57.edu.mx; no-reply: true]; Run via form trigger as gabrielvazquez@cetis57.edu.mx; Timestamp: Aug 3 2023 5:17 PM</t>
  </si>
  <si>
    <t>BRIANA CAROL</t>
  </si>
  <si>
    <t>https://drive.google.com/open?id=1G9c5A-pdM0UHfbTcdLpjPgBAEYirjxJc</t>
  </si>
  <si>
    <t xml:space="preserve">CALLE BALBUENA MZ51 LT25 </t>
  </si>
  <si>
    <t xml:space="preserve">CASA AZUL ZAGUAN AZUL BACO DE CONCRETO AFUERA </t>
  </si>
  <si>
    <t>JESSICA NOHEMI CID BUSTOS</t>
  </si>
  <si>
    <t>https://drive.google.com/open?id=16q9Jh8vwa3PXesltK9NH8cexnf3w9Sc3</t>
  </si>
  <si>
    <t>JESSICA NOHEMI</t>
  </si>
  <si>
    <t>https://drive.google.com/open?id=1cGsdI7v-Em_1gmODJSYraDoIeW1osDZG</t>
  </si>
  <si>
    <t>VANDA</t>
  </si>
  <si>
    <t>JOSE TEODULO</t>
  </si>
  <si>
    <t>https://drive.google.com/open?id=1Kv7XOYc0apcKw9hmqmEVIb0FDFQAdFJw</t>
  </si>
  <si>
    <t>https://drive.google.com/open?id=17ZNnEeb-G2juVHW3JGdn29rimCx5Baw5</t>
  </si>
  <si>
    <t>1Z0nNvagzdoxsTqS-70GLKsZJjU7Wawjv</t>
  </si>
  <si>
    <t>https://drive.google.com/file/d/1Z0nNvagzdoxsTqS-70GLKsZJjU7Wawjv/view?usp=drivesdk</t>
  </si>
  <si>
    <t>Document successfully created; Document successfully merged; PDF created; Emails Sent: [To: 21-torrescid.brianacarol@cetis57.edu.mx; no-reply: true]; Run via form trigger as gabrielvazquez@cetis57.edu.mx; Timestamp: Aug 2 2023 2:09 AM</t>
  </si>
  <si>
    <t>1OOQobrmJviVQjgKlrrhyGlDVH_O6UU8l</t>
  </si>
  <si>
    <t>https://drive.google.com/file/d/1OOQobrmJviVQjgKlrrhyGlDVH_O6UU8l/view?usp=drivesdk</t>
  </si>
  <si>
    <t>Document successfully created; Document successfully merged; PDF created; Emails Sent: [To: 21-torrescid.brianacarol@cetis57.edu.mx; no-reply: true]; Run via form trigger as gabrielvazquez@cetis57.edu.mx; Timestamp: Aug 3 2023 5:25 PM</t>
  </si>
  <si>
    <t>https://drive.google.com/open?id=1b5CnrwNbNZ5gWUwqVcZB7pP6-x7qppBB</t>
  </si>
  <si>
    <t>MZ1LOT29</t>
  </si>
  <si>
    <t>LOTC070419HDFPRRA8</t>
  </si>
  <si>
    <t xml:space="preserve">LEONA VICARIO MZ1LOT29 </t>
  </si>
  <si>
    <t>Lote29</t>
  </si>
  <si>
    <t xml:space="preserve">CERCA DE LA UNIDAD HABITACIONAL REBECA 2 ESCUELAS PRIMARIA A 2 CALLES DOS TIENAS EN CADA ESQUINA </t>
  </si>
  <si>
    <t>JANETH MARGARITA TORRES GARCIA</t>
  </si>
  <si>
    <t>https://drive.google.com/open?id=11y7Nw4BhJwUl5t06AXMi6zxsMFM3d2Fm</t>
  </si>
  <si>
    <t>IVAN LOPEZ CASTILLO</t>
  </si>
  <si>
    <t>https://drive.google.com/open?id=1bzzCOCaNvkTvkFmrCNpJ5Bf34k2A3EjN</t>
  </si>
  <si>
    <t>DILAN ALEXIS</t>
  </si>
  <si>
    <t>lotoalexis28@gmail.com</t>
  </si>
  <si>
    <t>https://drive.google.com/open?id=1T6xydEQgsgYO0J67dqd5iZJoVoAU8fAQ</t>
  </si>
  <si>
    <t>https://drive.google.com/open?id=1ZAuT4vjVr1kkv23VjcftPSB9fI5-D7J5</t>
  </si>
  <si>
    <t>1ACMtMIt9WH7gJL1YTY_R1TqPv_M8o82O</t>
  </si>
  <si>
    <t>https://drive.google.com/file/d/1ACMtMIt9WH7gJL1YTY_R1TqPv_M8o82O/view?usp=drivesdk</t>
  </si>
  <si>
    <t>Document successfully created; Document successfully merged; PDF created; Emails Sent: [To: 22-lopeztorres.cristianantony@cetis57.edu.mx; no-reply: true]; Run via form trigger as gabrielvazquez@cetis57.edu.mx; Timestamp: Aug 2 2023 2:15 AM</t>
  </si>
  <si>
    <t>1kDpUbUkzfXCmufgGqa-Bpa21_z_wZnEb</t>
  </si>
  <si>
    <t>https://drive.google.com/file/d/1kDpUbUkzfXCmufgGqa-Bpa21_z_wZnEb/view?usp=drivesdk</t>
  </si>
  <si>
    <t>Document successfully created; Document successfully merged; PDF created; Emails Sent: [To: 22-lopeztorres.cristianantony@cetis57.edu.mx; no-reply: true]; Run via form trigger as gabrielvazquez@cetis57.edu.mx; Timestamp: Aug 3 2023 5:26 PM</t>
  </si>
  <si>
    <t>https://drive.google.com/open?id=1VtzZiHyuJQSjEztFHAaaEETe2MiYQt_s</t>
  </si>
  <si>
    <t>4MILPAS#375</t>
  </si>
  <si>
    <t>A TRES CASAS DE UN ALTAR</t>
  </si>
  <si>
    <t xml:space="preserve">CLAUDIA JAZMIN ENRIQUEZ BOLAÑOS </t>
  </si>
  <si>
    <t>https://drive.google.com/open?id=1gxs3H2VA4rF9BbhqzOlRkky0BdXo-g4H</t>
  </si>
  <si>
    <t xml:space="preserve">IRVING IAN </t>
  </si>
  <si>
    <t>gilirving927@gmail.com</t>
  </si>
  <si>
    <t>https://drive.google.com/open?id=18KugviJo3OYcB4t70Z6zxEGn6_sTmMkU</t>
  </si>
  <si>
    <t>https://drive.google.com/open?id=1LqD3xh5u5egsfAMg_zyIQ_h5Wg4TUZAq</t>
  </si>
  <si>
    <t>https://drive.google.com/open?id=1ozSqTuTgLviTJjF48XgHHp6ADSDyToMq</t>
  </si>
  <si>
    <t>https://drive.google.com/open?id=1h8Ejp_uE2OHaXJp-4eG6LjO4uUW9FOhs</t>
  </si>
  <si>
    <t>14P3aaX7yKB2hU7dCFcUEVuKWJwDMdtDD</t>
  </si>
  <si>
    <t>https://drive.google.com/file/d/14P3aaX7yKB2hU7dCFcUEVuKWJwDMdtDD/view?usp=drivesdk</t>
  </si>
  <si>
    <t>Document successfully created; Document successfully merged; PDF created; Emails Sent: [To: 21-gilenriquez.naomyyazmin@cetis57.edu.mx; no-reply: true]; Run via form trigger as gabrielvazquez@cetis57.edu.mx; Timestamp: Aug 2 2023 5:47 PM</t>
  </si>
  <si>
    <t>1Vp9k-5ttNq-WVR1PcJ8pKwEtcm-OR8ZX</t>
  </si>
  <si>
    <t>https://drive.google.com/file/d/1Vp9k-5ttNq-WVR1PcJ8pKwEtcm-OR8ZX/view?usp=drivesdk</t>
  </si>
  <si>
    <t>Document successfully created; Document successfully merged; PDF created; Emails Sent: [To: 21-gilenriquez.naomyyazmin@cetis57.edu.mx; no-reply: true]; Run via form trigger as gabrielvazquez@cetis57.edu.mx; Timestamp: Aug 3 2023 5:27 PM</t>
  </si>
  <si>
    <t>https://drive.google.com/open?id=1uQb7O8H2mjCCi6JAprMerEPy1JAPgrMd</t>
  </si>
  <si>
    <t>AEAF060117MDFNGRA5</t>
  </si>
  <si>
    <t>Av. Central 35</t>
  </si>
  <si>
    <t xml:space="preserve">MARIA AGAMA VELASCO  </t>
  </si>
  <si>
    <t>https://drive.google.com/open?id=1bIo0kmoM3yosIfRv7qQy6cGhXPFO8e4w</t>
  </si>
  <si>
    <t>karlitaagama04@gmail.com</t>
  </si>
  <si>
    <t xml:space="preserve">KARLA XIMENA </t>
  </si>
  <si>
    <t>https://drive.google.com/open?id=1qf6ZFJfZXF88f-xNgqz7EGKDTlpROI7f</t>
  </si>
  <si>
    <t>https://drive.google.com/open?id=1da0yvCd3MHSDbW7wexFRdtX9JOerU-uK</t>
  </si>
  <si>
    <t>https://drive.google.com/open?id=11pNsGKU4J_563OnBH-M30JMP_K7HgceV</t>
  </si>
  <si>
    <t>1c4WS5Tc1hcN3vFSAmgIC9WNmU4nY-JCR</t>
  </si>
  <si>
    <t>https://drive.google.com/file/d/1c4WS5Tc1hcN3vFSAmgIC9WNmU4nY-JCR/view?usp=drivesdk</t>
  </si>
  <si>
    <t>Document successfully created; Invalid image URL [http://doc.google.com/uc?id=1uQb7O8H2mjCCi6JAprMerEPy1JAPgrMd], make sure that it is public; Document successfully merged; PDF created; Emails Sent: [To: 21-andresagama.mariafernanda@cetis57.edu.mx; no-reply: true]; Run via form trigger as gabrielvazquez@cetis57.edu.mx; Timestamp: Aug 2 2023 5:48 PM</t>
  </si>
  <si>
    <t>1WWBy6ldJxkK8-dwVBXAKNRcQAT3yZbbr</t>
  </si>
  <si>
    <t>https://drive.google.com/file/d/1WWBy6ldJxkK8-dwVBXAKNRcQAT3yZbbr/view?usp=drivesdk</t>
  </si>
  <si>
    <t>Document successfully created; Document successfully merged; PDF created; Emails Sent: [To: 21-andresagama.mariafernanda@cetis57.edu.mx; no-reply: true]; Run via form trigger as gabrielvazquez@cetis57.edu.mx; Timestamp: Aug 3 2023 5:31 PM</t>
  </si>
  <si>
    <t xml:space="preserve">SARA MICHEL </t>
  </si>
  <si>
    <t>https://drive.google.com/open?id=1YCHK5LDw3muE2lL6fHOnKnwn3EobBnzB</t>
  </si>
  <si>
    <t>CALLE 4 NUMERO 259 INTERIOR 203A COLONIA PANTITLAN</t>
  </si>
  <si>
    <t xml:space="preserve">ENFRENTE DE LA FARMACIA DEL AHORRO </t>
  </si>
  <si>
    <t xml:space="preserve">GUTIERREZ LOPEZ MARIA DEL CARMEN </t>
  </si>
  <si>
    <t>https://drive.google.com/open?id=12s1w-xIb3qHbH7Im9EY4PW_k1aI-cqiN</t>
  </si>
  <si>
    <t>GUTIERREZ L</t>
  </si>
  <si>
    <t>https://drive.google.com/open?id=1H2NsGHF--4ISOhUqofeQZUCor8WrSO8T</t>
  </si>
  <si>
    <t>https://drive.google.com/open?id=1pgosKLvSlK8i8X2sF4M1MVi4jN_tOXH1</t>
  </si>
  <si>
    <t>https://drive.google.com/open?id=1zYI-C8b_rUQnTPmkSrEkJ76HI8Yn_hDS</t>
  </si>
  <si>
    <t>1rsmWDmOfQWqgakc9kbpWbV2th4m3KVrL</t>
  </si>
  <si>
    <t>https://drive.google.com/file/d/1rsmWDmOfQWqgakc9kbpWbV2th4m3KVrL/view?usp=drivesdk</t>
  </si>
  <si>
    <t>Document successfully created; Document successfully merged; PDF created; Emails Sent: [To: 22-gutierrezlopez.saramichel@cetis57.edu.mx; no-reply: true]; Run via form trigger as gabrielvazquez@cetis57.edu.mx; Timestamp: Aug 2 2023 2:17 AM</t>
  </si>
  <si>
    <t>121rBD_mYuCZj1LpzkVmxEGffYJaP8bb6</t>
  </si>
  <si>
    <t>https://drive.google.com/file/d/121rBD_mYuCZj1LpzkVmxEGffYJaP8bb6/view?usp=drivesdk</t>
  </si>
  <si>
    <t>Document successfully created; Document successfully merged; PDF created; Emails Sent: [To: 22-gutierrezlopez.saramichel@cetis57.edu.mx; no-reply: true]; Run via form trigger as gabrielvazquez@cetis57.edu.mx; Timestamp: Aug 3 2023 5:32 PM</t>
  </si>
  <si>
    <t>https://drive.google.com/open?id=1xXJ1Q4PXwj6fCReEXgm4Lo7-NdwgkzDO</t>
  </si>
  <si>
    <t xml:space="preserve">EN LA ESQUINA HAY UNA VIRGEN , ESQUINA CONTRARIA PUESTO DE TACOS </t>
  </si>
  <si>
    <t>MA GUADALUPE PEREZ ALONSO</t>
  </si>
  <si>
    <t>https://drive.google.com/open?id=10g3SnMxakJpHQmiec2d2m2xgFg07a6UF</t>
  </si>
  <si>
    <t>https://drive.google.com/open?id=1vBSnL03QiRYeI1rg7RABoimcV1Bv0JvH</t>
  </si>
  <si>
    <t xml:space="preserve">ASALARIADA </t>
  </si>
  <si>
    <t>dulce19.bpa@gmail.com</t>
  </si>
  <si>
    <t>https://drive.google.com/open?id=1312j_wMRXSX3kdbGLWRiFiv6uuUzCmdH</t>
  </si>
  <si>
    <t>material de guerra</t>
  </si>
  <si>
    <t>https://drive.google.com/open?id=1Q4pCAC3zP99Bg7EVg_exZoDMPsINv1PE</t>
  </si>
  <si>
    <t>1PYqu2AbDNYFjEu9DCWHb8cHVDTu3zdLO</t>
  </si>
  <si>
    <t>https://drive.google.com/file/d/1PYqu2AbDNYFjEu9DCWHb8cHVDTu3zdLO/view?usp=drivesdk</t>
  </si>
  <si>
    <t>Document successfully created; Document successfully merged; PDF created; Emails Sent: [To: 21-moralesbernal.eduardodamian@cetis57.edu.mx; no-reply: true]; Run via form trigger as gabrielvazquez@cetis57.edu.mx; Timestamp: Aug 2 2023 2:18 AM</t>
  </si>
  <si>
    <t>1BuA0GSB57zbluZq4WhpXJ6-6AfRQ5tn3</t>
  </si>
  <si>
    <t>https://drive.google.com/file/d/1BuA0GSB57zbluZq4WhpXJ6-6AfRQ5tn3/view?usp=drivesdk</t>
  </si>
  <si>
    <t>Document successfully created; Document successfully merged; PDF created; Emails Sent: [To: 21-moralesbernal.eduardodamian@cetis57.edu.mx; no-reply: true]; Run via form trigger as gabrielvazquez@cetis57.edu.mx; Timestamp: Aug 3 2023 5:33 PM</t>
  </si>
  <si>
    <t>https://drive.google.com/open?id=1NAMiv268HWF4rUjkWn3hKfI8c93ODvBn</t>
  </si>
  <si>
    <t xml:space="preserve">JACARANDAS 159, ENTRE ALAMOS Y ESCONDIDA  </t>
  </si>
  <si>
    <t>AUN COSTADO AHI UNAS CANCHAS DE FUTBOL CON TUBOS VERDES Y TORRES DE LUZ</t>
  </si>
  <si>
    <t xml:space="preserve">CASTILLO RAMIREZ IAN </t>
  </si>
  <si>
    <t>https://drive.google.com/open?id=1RwuBS_BP8De3SE4etwaGGHPAkoFjp_Gh</t>
  </si>
  <si>
    <t>yamilicastillo399@gmail.com</t>
  </si>
  <si>
    <t>https://drive.google.com/open?id=1iUDw1t5r89SNGN71wmK3vX2d83Yl7tpD</t>
  </si>
  <si>
    <t>BREYDA</t>
  </si>
  <si>
    <t>https://drive.google.com/open?id=1J39y_hAM_-_gJhw6wXYJkK4M0b0nME8V</t>
  </si>
  <si>
    <t>https://drive.google.com/open?id=1P2qGeiVhCemN1o7kOduZQBhq2cb8riMA</t>
  </si>
  <si>
    <t>RAHB781106</t>
  </si>
  <si>
    <t>1kGlq8IvnuXBFlfba0tODMR2LMj4WFLRb</t>
  </si>
  <si>
    <t>https://drive.google.com/file/d/1kGlq8IvnuXBFlfba0tODMR2LMj4WFLRb/view?usp=drivesdk</t>
  </si>
  <si>
    <t>Document successfully created; Document successfully merged; PDF created; Emails Sent: [To: 21-castilloramirez.ianyamili@cetis57.edu.mx; no-reply: true]; Run via form trigger as gabrielvazquez@cetis57.edu.mx; Timestamp: Aug 2 2023 5:58 PM</t>
  </si>
  <si>
    <t>1W7G9GnwIa2gUAgEz85Gw5QlwdGF8-lSs</t>
  </si>
  <si>
    <t>https://drive.google.com/file/d/1W7G9GnwIa2gUAgEz85Gw5QlwdGF8-lSs/view?usp=drivesdk</t>
  </si>
  <si>
    <t>Document successfully created; Document successfully merged; PDF created; Emails Sent: [To: 21-castilloramirez.ianyamili@cetis57.edu.mx; no-reply: true]; Run via form trigger as gabrielvazquez@cetis57.edu.mx; Timestamp: Aug 3 2023 5:33 PM</t>
  </si>
  <si>
    <t xml:space="preserve">FERNANDA EDITH </t>
  </si>
  <si>
    <t>https://drive.google.com/open?id=1cQ822PcueOSmO1EHbNHU0vYZSQNizi-Y</t>
  </si>
  <si>
    <t xml:space="preserve">PRIMERA CERRADA DE ORIENTE </t>
  </si>
  <si>
    <t xml:space="preserve">CASA ROSA SAGUAN BLANCO </t>
  </si>
  <si>
    <t xml:space="preserve">EDITH GARCIA BECERRIL </t>
  </si>
  <si>
    <t>https://drive.google.com/open?id=1EkCZeBG5QazvrdtWuk2lUPMrFD9MJmEv</t>
  </si>
  <si>
    <t>https://drive.google.com/open?id=1nK0_cNr0tjMTu1DAv0mvclvUPKiW6OsP</t>
  </si>
  <si>
    <t>MIRANDA SOFIA</t>
  </si>
  <si>
    <t>https://drive.google.com/open?id=1xFPsi6MeB2cfb-SgrpVFT3pPpE1abdAu</t>
  </si>
  <si>
    <t>INER</t>
  </si>
  <si>
    <t xml:space="preserve">INHALOTERAPIA </t>
  </si>
  <si>
    <t>https://drive.google.com/open?id=1vamlYnmRS38q7yd03YSefItVKX35GvWF</t>
  </si>
  <si>
    <t>1les7j9d8W69OH28s1RQhuTCSEn05Cic3</t>
  </si>
  <si>
    <t>https://drive.google.com/file/d/1les7j9d8W69OH28s1RQhuTCSEn05Cic3/view?usp=drivesdk</t>
  </si>
  <si>
    <t>Document successfully created; Document successfully merged; PDF created; Emails Sent: [To: 22-diazgarcia.fernandaedith@cetis57.edu.mx; no-reply: true]; Run via form trigger as gabrielvazquez@cetis57.edu.mx; Timestamp: Aug 2 2023 2:19 AM</t>
  </si>
  <si>
    <t>1DNsHpCro1CItNVgSKYwLf5dogYIKGxYS</t>
  </si>
  <si>
    <t>https://drive.google.com/file/d/1DNsHpCro1CItNVgSKYwLf5dogYIKGxYS/view?usp=drivesdk</t>
  </si>
  <si>
    <t>Document successfully created; Document successfully merged; PDF created; Emails Sent: [To: 22-diazgarcia.fernandaedith@cetis57.edu.mx; no-reply: true]; Run via form trigger as gabrielvazquez@cetis57.edu.mx; Timestamp: Aug 3 2023 5:40 PM</t>
  </si>
  <si>
    <t>VIRIDIANA</t>
  </si>
  <si>
    <t>https://drive.google.com/open?id=14z5TpWS1X-UqJcjxGQga_QziFbVssovw</t>
  </si>
  <si>
    <t>ANDRES SOLER</t>
  </si>
  <si>
    <t>MZ 149</t>
  </si>
  <si>
    <t>ENTRE CUCO SANCHEZ Y PEDRO INFANTE</t>
  </si>
  <si>
    <t>https://drive.google.com/open?id=1kerYWMs2zacLvwAXStIwSqgHdwdX8Lts</t>
  </si>
  <si>
    <t>https://drive.google.com/open?id=1YgucytUbUWlJb49F3Q9INv_ljEzn_7-m</t>
  </si>
  <si>
    <t>https://drive.google.com/open?id=10Q2ejBpwGI5e_5XhzBn1gbsR8E1zNm8M</t>
  </si>
  <si>
    <t>HIJO Y PAREJA</t>
  </si>
  <si>
    <t>https://drive.google.com/open?id=1Nfjg8F6PlJjjsh5KYIrUHIE9libIYvbg</t>
  </si>
  <si>
    <t>1-18emLo8BEP3rrHUXHvxukZkkEKq-p9o</t>
  </si>
  <si>
    <t>https://drive.google.com/file/d/1-18emLo8BEP3rrHUXHvxukZkkEKq-p9o/view?usp=drivesdk</t>
  </si>
  <si>
    <t>Document successfully created; Document successfully merged; PDF created; Emails Sent: [To: 21-arenashernandez.viridiana@cetis57.edu.mx; no-reply: true]; Run via form trigger as gabrielvazquez@cetis57.edu.mx; Timestamp: Aug 2 2023 2:25 AM</t>
  </si>
  <si>
    <t>1cyGRn_r0ohs1-uiYktznAkDREyCEzPfy</t>
  </si>
  <si>
    <t>https://drive.google.com/file/d/1cyGRn_r0ohs1-uiYktznAkDREyCEzPfy/view?usp=drivesdk</t>
  </si>
  <si>
    <t>Document successfully created; Document successfully merged; PDF created; Emails Sent: [To: 21-arenashernandez.viridiana@cetis57.edu.mx; no-reply: true]; Run via form trigger as gabrielvazquez@cetis57.edu.mx; Timestamp: Aug 3 2023 5:40 PM</t>
  </si>
  <si>
    <t>https://drive.google.com/open?id=1VtL3hMv3VJGvxv-EmWB8iaTY4VeqPquE</t>
  </si>
  <si>
    <t>-5A CDA DE TORTOLAS 67  COL LOS CERRILLOS 3A SECCION</t>
  </si>
  <si>
    <t xml:space="preserve">LOS CERRILLOS 3A SECCION </t>
  </si>
  <si>
    <t>5 CERRADAS PASANDO LA CAPILLA DEL SAGRADO CORAZON, ENTRE TORTOLAS Y LA ESPERANZA, CASA DE TABIQUES GRIS CON VENTANALES BLANCOS AL FINAL DE LA 5TA CERRADA</t>
  </si>
  <si>
    <t>EDGAR SALINAS NUÑEZ</t>
  </si>
  <si>
    <t>https://drive.google.com/open?id=15uEdlkgbfKVGQhl34JMtJopN7EydTW_o</t>
  </si>
  <si>
    <t xml:space="preserve">DIANA JAZMIN </t>
  </si>
  <si>
    <t>3krochaalondra@gmail.com</t>
  </si>
  <si>
    <t>https://drive.google.com/open?id=1VDGK2EnMFGcpmynFomj_nF7LPb6YLU5Z</t>
  </si>
  <si>
    <t>https://drive.google.com/open?id=1gwRzZAQvByTUw7RPWHBl1QNZcnzMZknt</t>
  </si>
  <si>
    <t xml:space="preserve">QUIMICO FARMACOBIOLOGO </t>
  </si>
  <si>
    <t xml:space="preserve">IXTAPALAPA </t>
  </si>
  <si>
    <t>https://drive.google.com/open?id=13AQwPHRF0zDomNTj7B5vhmOWnfiZVKNY</t>
  </si>
  <si>
    <t>1eqc_l9b48s5oHcLghK-OUZc0hXdaswiZ</t>
  </si>
  <si>
    <t>https://drive.google.com/file/d/1eqc_l9b48s5oHcLghK-OUZc0hXdaswiZ/view?usp=drivesdk</t>
  </si>
  <si>
    <t>Document successfully created; Document successfully merged; PDF created; Emails Sent: [To: 22-rochachavez.alondrasaciht@cetis57.edu.mx; no-reply: true]; Run via form trigger as gabrielvazquez@cetis57.edu.mx; Timestamp: Aug 2 2023 5:59 PM</t>
  </si>
  <si>
    <t>1RhiOWCmdTiPDO23TFegR1-aff2SfGS5e</t>
  </si>
  <si>
    <t>https://drive.google.com/file/d/1RhiOWCmdTiPDO23TFegR1-aff2SfGS5e/view?usp=drivesdk</t>
  </si>
  <si>
    <t>Document successfully created; Invalid image URL [http://doc.google.com/uc?id=1gwRzZAQvByTUw7RPWHBl1QNZcnzMZknt], make sure that it is public; Document successfully merged; PDF created; Emails Sent: [To: 22-rochachavez.alondrasaciht@cetis57.edu.mx; no-reply: true]; Run via form trigger as gabrielvazquez@cetis57.edu.mx; Timestamp: Aug 3 2023 5:47 PM</t>
  </si>
  <si>
    <t>https://drive.google.com/open?id=1W4ogy-INaw7-0tKQV3VnHA65EEGMQUQ7</t>
  </si>
  <si>
    <t xml:space="preserve">ORIENTE 241- C  NO 10 </t>
  </si>
  <si>
    <t>ENTRE SUR 24 Y 1ER RETORNO DE SUR 24</t>
  </si>
  <si>
    <t>ELBIA GARCIA VARGAS</t>
  </si>
  <si>
    <t>https://drive.google.com/open?id=12K3W6Fsy7vHtj_p_B0WGzthlrsnEHs86</t>
  </si>
  <si>
    <t>e_vargs@hotmail.com</t>
  </si>
  <si>
    <t>https://drive.google.com/open?id=192bta32vYkiYZmSiRoUmiISA2ia5y6wh</t>
  </si>
  <si>
    <t>GENARO ISRAEL</t>
  </si>
  <si>
    <t>https://drive.google.com/open?id=1TU1KgDrmucKNKAvQtxibB6FmG6L7FUru</t>
  </si>
  <si>
    <t>PSIORASIS</t>
  </si>
  <si>
    <t>ISEF</t>
  </si>
  <si>
    <t>https://drive.google.com/open?id=1ldAJtx0pDdgV78vCACz6H0n0BZxp_0dj</t>
  </si>
  <si>
    <t>1RNz-Oe3g9zB1wFiGSu5QHHzCivpmOTBj</t>
  </si>
  <si>
    <t>https://drive.google.com/file/d/1RNz-Oe3g9zB1wFiGSu5QHHzCivpmOTBj/view?usp=drivesdk</t>
  </si>
  <si>
    <t>Document successfully created; Document successfully merged; PDF created; Emails Sent: [To: 21-rodriguezgarcia.rodrigoivan@cetis57.edu.mx; no-reply: true]; Run via form trigger as gabrielvazquez@cetis57.edu.mx; Timestamp: Aug 2 2023 2:27 AM</t>
  </si>
  <si>
    <t>1n8DPpTupgJvEGLRchIGdLX2c41inPD1U</t>
  </si>
  <si>
    <t>https://drive.google.com/file/d/1n8DPpTupgJvEGLRchIGdLX2c41inPD1U/view?usp=drivesdk</t>
  </si>
  <si>
    <t>Document successfully created; Invalid image URL [http://doc.google.com/uc?id=12K3W6Fsy7vHtj_p_B0WGzthlrsnEHs86], make sure that it is public; Invalid image URL [http://doc.google.com/uc?id=1TU1KgDrmucKNKAvQtxibB6FmG6L7FUru], make sure that it is public; Document successfully merged; PDF created; Emails Sent: [To: 21-rodriguezgarcia.rodrigoivan@cetis57.edu.mx; no-reply: true]; Run via form trigger as gabrielvazquez@cetis57.edu.mx; Timestamp: Aug 3 2023 5:47 PM</t>
  </si>
  <si>
    <t>https://drive.google.com/open?id=1CIh87wo3HizcLYrPCT8AZ9EUTZgqHK2J</t>
  </si>
  <si>
    <t>AV VERGEL NUM 100 COLONIA LAS PEÑAS</t>
  </si>
  <si>
    <t xml:space="preserve">ENTRE UN OXXO Y UÑAS </t>
  </si>
  <si>
    <t>https://drive.google.com/open?id=1sf53L6gNmf8yt-ZKFhe5xN6Wu0z2wOAn</t>
  </si>
  <si>
    <t>blancanora220@gmail.com</t>
  </si>
  <si>
    <t>https://drive.google.com/open?id=1TAdVh4q298vDw6_aVdXt-5JoWTn2wPfq</t>
  </si>
  <si>
    <t>BLANCA NORA</t>
  </si>
  <si>
    <t>https://drive.google.com/open?id=1pvGzBsTuRlzQHDAbz09l0w2B0SGv_UZ3</t>
  </si>
  <si>
    <t>https://drive.google.com/open?id=19590Uz_QS2lbcPoGpMKY8QIb9Jqw3D_l</t>
  </si>
  <si>
    <t>1QyCRreH8-glkZTTyDZdl_Ic6JxtwIgx_</t>
  </si>
  <si>
    <t>https://drive.google.com/file/d/1QyCRreH8-glkZTTyDZdl_Ic6JxtwIgx_/view?usp=drivesdk</t>
  </si>
  <si>
    <t>Document successfully created; Document successfully merged; PDF created; Emails Sent: [To: 22-ortizaranda.aylinceleste@cetis57.edu.mx; no-reply: true]; Run via form trigger as gabrielvazquez@cetis57.edu.mx; Timestamp: Aug 2 2023 2:28 AM</t>
  </si>
  <si>
    <t>1DQo3KChNlK7DbY3i5SaGCXoVcbQcFsN2</t>
  </si>
  <si>
    <t>https://drive.google.com/file/d/1DQo3KChNlK7DbY3i5SaGCXoVcbQcFsN2/view?usp=drivesdk</t>
  </si>
  <si>
    <t>Document successfully created; Document successfully merged; PDF created; Emails Sent: [To: 22-ortizaranda.aylinceleste@cetis57.edu.mx; no-reply: true]; Run via form trigger as gabrielvazquez@cetis57.edu.mx; Timestamp: Aug 3 2023 5:49 PM</t>
  </si>
  <si>
    <t>https://drive.google.com/open?id=1IF6PfvgkNnyGeYDWVrUJdXiKMMpDKJV4</t>
  </si>
  <si>
    <t>CALLE 19 #190</t>
  </si>
  <si>
    <t>CASA NARANJA ZAGUAN NEGRO</t>
  </si>
  <si>
    <t xml:space="preserve">NOEMI JUDITH ARAGON MANRIQUE </t>
  </si>
  <si>
    <t>https://drive.google.com/open?id=19MtS1xLqPazP0l5rEoq_UWp2xc66Tb1Z</t>
  </si>
  <si>
    <t>brendaaragon99@gmail.com</t>
  </si>
  <si>
    <t>https://drive.google.com/open?id=1SLPCuApelFHc9lFblzoMJjdpjUvd9OEa</t>
  </si>
  <si>
    <t>https://drive.google.com/open?id=1s4N15OG7GCITQgKZXAG4mYDr5k-r9I70</t>
  </si>
  <si>
    <t>https://drive.google.com/open?id=1XxHt7aNbzwgF4p6Geh7ICgsnR6l2rNqx</t>
  </si>
  <si>
    <t>18qcx3vgXz9WLE3ZL9I9NQJfhGEyB53PO</t>
  </si>
  <si>
    <t>https://drive.google.com/file/d/18qcx3vgXz9WLE3ZL9I9NQJfhGEyB53PO/view?usp=drivesdk</t>
  </si>
  <si>
    <t>Document successfully created; Document successfully merged; PDF created; Emails Sent: [To: 21-sanchezaragon.brendacitlalli@cetis57.edu.mx; no-reply: true]; Run via form trigger as gabrielvazquez@cetis57.edu.mx; Timestamp: Aug 2 2023 2:28 AM</t>
  </si>
  <si>
    <t>1wE_RCBcPC0v6Vf940CUcJURDdFS09TcX</t>
  </si>
  <si>
    <t>https://drive.google.com/file/d/1wE_RCBcPC0v6Vf940CUcJURDdFS09TcX/view?usp=drivesdk</t>
  </si>
  <si>
    <t>Document successfully created; Document successfully merged; PDF created; Emails Sent: [To: 21-sanchezaragon.brendacitlalli@cetis57.edu.mx; no-reply: true]; Run via form trigger as gabrielvazquez@cetis57.edu.mx; Timestamp: Aug 3 2023 6:03 PM</t>
  </si>
  <si>
    <t>https://drive.google.com/open?id=1ny--2ayvsnwigGjbXwYN720DUDiEVSFp</t>
  </si>
  <si>
    <t>CALLE LERDO DE TEJADA MZ2 LT14</t>
  </si>
  <si>
    <t>PRIMERA AMPLIACION DE SANTIAGO ACAHUALTEPEC</t>
  </si>
  <si>
    <t>SE LOCALIZA UNA PURIFICADORA DE AGUA,ENTRE LAS CALLES DOCE METROS Y GUILLERMO PRIETO</t>
  </si>
  <si>
    <t>MARIBEL FRIAS RIOS</t>
  </si>
  <si>
    <t>https://drive.google.com/open?id=1xksJORMqV1CqXC5qdr_JuIc67II3UNKY</t>
  </si>
  <si>
    <t>MARYFRIAS527@GMAIL.COM</t>
  </si>
  <si>
    <t>EMPRESARIO</t>
  </si>
  <si>
    <t>JERRYHR06@GMAIL.COM</t>
  </si>
  <si>
    <t>https://drive.google.com/open?id=1ORSZMQIQ647S0kcu9EYpC_rGwbVDH6lK</t>
  </si>
  <si>
    <t>JONATHAN EMANUEL</t>
  </si>
  <si>
    <t>JEHF755@GMAIL.COM</t>
  </si>
  <si>
    <t>https://drive.google.com/open?id=1n-VKfuor92J-40bdKdaBHZXy-UtAbhm4</t>
  </si>
  <si>
    <t>https://drive.google.com/open?id=1WTl_2oV9teJEnJnPsQkluTBFfol1AV9s</t>
  </si>
  <si>
    <t>16sXzjAOOpE5nen6H7c7NKAT8AC6O3PRF</t>
  </si>
  <si>
    <t>https://drive.google.com/file/d/16sXzjAOOpE5nen6H7c7NKAT8AC6O3PRF/view?usp=drivesdk</t>
  </si>
  <si>
    <t>Document successfully created; Document successfully merged; PDF created; Emails Sent: [To: 22-hernandezfrias.jannetmaribel@cetis57.edu.mx; no-reply: true]; Run via form trigger as gabrielvazquez@cetis57.edu.mx; Timestamp: Aug 2 2023 2:29 AM</t>
  </si>
  <si>
    <t>13_VzGMCle1nZKLHKIXXvggGpru28WU-s</t>
  </si>
  <si>
    <t>https://drive.google.com/file/d/13_VzGMCle1nZKLHKIXXvggGpru28WU-s/view?usp=drivesdk</t>
  </si>
  <si>
    <t>Document successfully created; Document successfully merged; PDF created; Emails Sent: [To: 22-hernandezfrias.jannetmaribel@cetis57.edu.mx; no-reply: true]; Run via form trigger as gabrielvazquez@cetis57.edu.mx; Timestamp: Aug 3 2023 6:03 PM</t>
  </si>
  <si>
    <t>https://drive.google.com/open?id=1qNbkPwlKLK8rZ7jDcCtwYjN5hHVsz9NG</t>
  </si>
  <si>
    <t>AV. TEXCOCO  1268 U.H SOLIDARIDAD COND 27C16 DEPTO 102</t>
  </si>
  <si>
    <t>COND27C16</t>
  </si>
  <si>
    <t xml:space="preserve">ENFRENTE DEL PARQUE FRIDA KAHALO Y AV. OCTAVIO PAZ Y AHUEHUETES </t>
  </si>
  <si>
    <t>BARRADAS SANCHEZ FERNANDO</t>
  </si>
  <si>
    <t>https://drive.google.com/open?id=1kZCzyQRJg0OzeLLm9vNU4da6LFuaFQFV</t>
  </si>
  <si>
    <t xml:space="preserve">MARIA ANTONIA </t>
  </si>
  <si>
    <t>https://drive.google.com/open?id=1ip_f1a4ScMDoHRS133h44Awh7hcErk1q</t>
  </si>
  <si>
    <t xml:space="preserve">VANESSA ALINE </t>
  </si>
  <si>
    <t>vanessa.barradas2015@gmail.com</t>
  </si>
  <si>
    <t>https://drive.google.com/open?id=1UAQ3FtZ0lZunhZjf-cbtBHch1mKCE3OK</t>
  </si>
  <si>
    <t>https://drive.google.com/open?id=1fMEwM5K4JjFxa-CIdMXTcCwhQ0z1TTVp</t>
  </si>
  <si>
    <t>1oBWAzBVaNPnUU3EPMeAg_aKqc8s90Jjq</t>
  </si>
  <si>
    <t>https://drive.google.com/file/d/1oBWAzBVaNPnUU3EPMeAg_aKqc8s90Jjq/view?usp=drivesdk</t>
  </si>
  <si>
    <t>Document successfully created; Document successfully merged; PDF created; Emails Sent: [To: 21-barradasserna.diego@cetis57.edu.mx; no-reply: true]; Run via form trigger as gabrielvazquez@cetis57.edu.mx; Timestamp: Aug 2 2023 2:29 AM</t>
  </si>
  <si>
    <t>1xNbdciD3lxdI7UZcZg-6hsHet1BEeqTr</t>
  </si>
  <si>
    <t>https://drive.google.com/file/d/1xNbdciD3lxdI7UZcZg-6hsHet1BEeqTr/view?usp=drivesdk</t>
  </si>
  <si>
    <t>Document successfully created; Document successfully merged; PDF created; Emails Sent: [To: 21-barradasserna.diego@cetis57.edu.mx; no-reply: true]; Run via form trigger as gabrielvazquez@cetis57.edu.mx; Timestamp: Aug 3 2023 6:06 PM</t>
  </si>
  <si>
    <t>https://drive.google.com/open?id=19yOOSdnL-bZtPU5dHJmfgArasS_ZcHty</t>
  </si>
  <si>
    <t xml:space="preserve">AV. IGNACIO MANUEL ALTAMIRANO MZ.522 L.9 </t>
  </si>
  <si>
    <t xml:space="preserve">BARRIO TALLADORES </t>
  </si>
  <si>
    <t xml:space="preserve">EN FRENTE DE MI DOMICILIO HAY UNA REFACCIONARIA PARA MOTOS, AL LADO UNA PASTELERIA Y EN LA ESQUINA DE MI AVENIDA HAY UNA GASOLINERA </t>
  </si>
  <si>
    <t>https://drive.google.com/open?id=177BabVkyDhcjJpjO1o6KXGj2Ok9H79VB</t>
  </si>
  <si>
    <t>https://drive.google.com/open?id=10qc_Cr5t284aKtJE4cA0IT9SXzJtXAgd</t>
  </si>
  <si>
    <t xml:space="preserve">FATIMA CECILIA </t>
  </si>
  <si>
    <t>https://drive.google.com/open?id=1X6HKRPfBEVxwTPJLSs1UBkQLUYXOimXD</t>
  </si>
  <si>
    <t xml:space="preserve">NO TENGO NOMBRE </t>
  </si>
  <si>
    <t xml:space="preserve">NO TENGO NINGUNA </t>
  </si>
  <si>
    <t>https://drive.google.com/open?id=1zZT4T2aEWDffA9oF2bxGW3ZQqUvKUKdl</t>
  </si>
  <si>
    <t>1lbtTazAXclp02O45HKmDfhEcP3K_8p6u</t>
  </si>
  <si>
    <t>https://drive.google.com/file/d/1lbtTazAXclp02O45HKmDfhEcP3K_8p6u/view?usp=drivesdk</t>
  </si>
  <si>
    <t>Document successfully created; Document successfully merged; PDF created; Emails Sent: [To: 21-floressuarez.anaalondra@cetis57.edu.mx; no-reply: true]; Run via form trigger as gabrielvazquez@cetis57.edu.mx; Timestamp: Aug 2 2023 2:35 AM</t>
  </si>
  <si>
    <t>1MWBTXVuwLsQaY2EyeoirVSZWfRNZEGox</t>
  </si>
  <si>
    <t>https://drive.google.com/file/d/1MWBTXVuwLsQaY2EyeoirVSZWfRNZEGox/view?usp=drivesdk</t>
  </si>
  <si>
    <t>Document successfully created; Document successfully merged; PDF created; Emails Sent: [To: 21-floressuarez.anaalondra@cetis57.edu.mx; no-reply: true]; Run via form trigger as gabrielvazquez@cetis57.edu.mx; Timestamp: Aug 3 2023 6:06 PM</t>
  </si>
  <si>
    <t>https://drive.google.com/open?id=1YgTLR9MWug5-jLDOsZpkTdMJ0_dEDt6i</t>
  </si>
  <si>
    <t xml:space="preserve">CERRADA DE JUAN ÁLVAREZ MZ 92 LT 24 </t>
  </si>
  <si>
    <t xml:space="preserve">MZ 92 </t>
  </si>
  <si>
    <t xml:space="preserve">LT 24 </t>
  </si>
  <si>
    <t xml:space="preserve">ESCALERAS DE FIERRO, FACHADA VERDE </t>
  </si>
  <si>
    <t xml:space="preserve">KARINA LUNA ALVARADO </t>
  </si>
  <si>
    <t>https://drive.google.com/open?id=1XM31D989wr74WCj_kqDnLc9sQyh_HqKc</t>
  </si>
  <si>
    <t>karina18luna@gmail.com</t>
  </si>
  <si>
    <t>josefina67alvarado@gmail.com</t>
  </si>
  <si>
    <t>https://drive.google.com/open?id=1n5TxRWs6tHGx_Um6r9yPqIQo8mJ8Qoa_</t>
  </si>
  <si>
    <t>armando17luna@gmail.com</t>
  </si>
  <si>
    <t>https://drive.google.com/open?id=1bihuSgUQ68lNHcrO66r8pEwdz0_liETY</t>
  </si>
  <si>
    <t xml:space="preserve">ART </t>
  </si>
  <si>
    <t xml:space="preserve">SAN AGUSTIN TLAXIACA </t>
  </si>
  <si>
    <t>https://drive.google.com/open?id=1gsDO8DvA_FX0GwxiMTueaDl955tGT8LI</t>
  </si>
  <si>
    <t>1tLFH7DwwdA3DLwj9Noyc8mj2FgU0qeZu</t>
  </si>
  <si>
    <t>https://drive.google.com/file/d/1tLFH7DwwdA3DLwj9Noyc8mj2FgU0qeZu/view?usp=drivesdk</t>
  </si>
  <si>
    <t>Document successfully created; Document successfully merged; PDF created; Emails Sent: [To: 22-lunaalvarado.jesusarmando@cetis57.edu.mx; no-reply: true]; Run via form trigger as gabrielvazquez@cetis57.edu.mx; Timestamp: Aug 2 2023 2:36 AM</t>
  </si>
  <si>
    <t>1D-xRfjI7ivgCuc3Dllw4q_HQ2nsUxTfe</t>
  </si>
  <si>
    <t>https://drive.google.com/file/d/1D-xRfjI7ivgCuc3Dllw4q_HQ2nsUxTfe/view?usp=drivesdk</t>
  </si>
  <si>
    <t>Document successfully created; Invalid image URL [http://doc.google.com/uc?id=1YgTLR9MWug5-jLDOsZpkTdMJ0_dEDt6i], make sure that it is public; Invalid image URL [http://doc.google.com/uc?id=1n5TxRWs6tHGx_Um6r9yPqIQo8mJ8Qoa_], make sure that it is public; Document successfully merged; PDF created; Emails Sent: [To: 22-lunaalvarado.jesusarmando@cetis57.edu.mx; no-reply: true]; Run via form trigger as gabrielvazquez@cetis57.edu.mx; Timestamp: Aug 3 2023 6:12 PM</t>
  </si>
  <si>
    <t>https://drive.google.com/open?id=1JUh7iBAqh3fh_si9V0-j8AA5vTlGlIsx</t>
  </si>
  <si>
    <t xml:space="preserve">CALLE ALBARRADA MZ33 LT331 COLONIA LEYES DE REFORMA 1 SECCIÓN </t>
  </si>
  <si>
    <t xml:space="preserve">MARISOL MICHELLE PALACIOS ORTIZ </t>
  </si>
  <si>
    <t>https://drive.google.com/open?id=1frt_88gv8lIRXpY58m3hpa7w8yRTbtal</t>
  </si>
  <si>
    <t>marisolpalacios952@gmail.com</t>
  </si>
  <si>
    <t>azb43433@gmail.com</t>
  </si>
  <si>
    <t>https://drive.google.com/open?id=1HN749Er_n3TN0ze-rQS1aLEcqsVpa-cj</t>
  </si>
  <si>
    <t>https://drive.google.com/open?id=1ipj3tj24NqYp2h2vSMdQoA4ztNtT7yPG</t>
  </si>
  <si>
    <t>UNAM C. U</t>
  </si>
  <si>
    <t>https://drive.google.com/open?id=1RlKcCTw78oO8JjJhEwsbWZhni3OwiwvD</t>
  </si>
  <si>
    <t>1KmR2gxhPOBU5ln7s9JhfSDorHCpY-9OE</t>
  </si>
  <si>
    <t>https://drive.google.com/file/d/1KmR2gxhPOBU5ln7s9JhfSDorHCpY-9OE/view?usp=drivesdk</t>
  </si>
  <si>
    <t>Document successfully created; Document successfully merged; PDF created; Emails Sent: [To: 22-perezpalacios.miguelali@cetis57.edu.mx]; Run via form trigger as gabrielvazquez@cetis57.edu.mx; Timestamp: Aug 3 2023 5:38 PM</t>
  </si>
  <si>
    <t>1WQxnJ_1vbPOcrhyutalqP7f0QWX6jtWD</t>
  </si>
  <si>
    <t>https://drive.google.com/file/d/1WQxnJ_1vbPOcrhyutalqP7f0QWX6jtWD/view?usp=drivesdk</t>
  </si>
  <si>
    <t>Document successfully created; Document successfully merged; PDF created; Emails Sent: [To: 22-perezpalacios.miguelali@cetis57.edu.mx; no-reply: true]; Run via form trigger as gabrielvazquez@cetis57.edu.mx; Timestamp: Aug 2 2023 12:34 AM</t>
  </si>
  <si>
    <t>https://drive.google.com/open?id=1oWlOwTaBbvgv3LVpabgp2V-sA7B_Dq__</t>
  </si>
  <si>
    <t>MOPE061115MMCRRVA7</t>
  </si>
  <si>
    <t>CANELOS 78</t>
  </si>
  <si>
    <t xml:space="preserve">COL. LA PERLA </t>
  </si>
  <si>
    <t xml:space="preserve">ALBERTO JORJE MORENO RETAMA </t>
  </si>
  <si>
    <t>https://drive.google.com/open?id=19KW2Vc3xV5fO_RIXlUCO-cKCiMoBZofB</t>
  </si>
  <si>
    <t>https://drive.google.com/open?id=1LL-0FFqUzNnW6m4qPbxxHKloV9WA6ryR</t>
  </si>
  <si>
    <t>https://drive.google.com/open?id=1jTu55NzhM2hOvhpnM-Yt__HI7gtC2joY</t>
  </si>
  <si>
    <t xml:space="preserve">VICTOR MANUEL MENDOZA  NUÑES </t>
  </si>
  <si>
    <t>https://drive.google.com/open?id=1aUmX2nlBwXI5ZGxDHmaocNEbevKim1s_</t>
  </si>
  <si>
    <t>1LoWuMe5RqUs32GQgI0ru32GTEKrUbHxw</t>
  </si>
  <si>
    <t>https://drive.google.com/file/d/1LoWuMe5RqUs32GQgI0ru32GTEKrUbHxw/view?usp=drivesdk</t>
  </si>
  <si>
    <t>Document successfully created; Document successfully merged; PDF created; Emails Sent: [To: 21-morenoperez.evelynalondra@cetis57.edu.mx; no-reply: true]; Run via form trigger as gabrielvazquez@cetis57.edu.mx; Timestamp: Aug 2 2023 6:00 PM</t>
  </si>
  <si>
    <t>1B9nRNCseqLLm8LG85VnPh1HXTtqqjz06</t>
  </si>
  <si>
    <t>https://drive.google.com/file/d/1B9nRNCseqLLm8LG85VnPh1HXTtqqjz06/view?usp=drivesdk</t>
  </si>
  <si>
    <t>Document successfully created; Invalid image URL [http://doc.google.com/uc?id=1LL-0FFqUzNnW6m4qPbxxHKloV9WA6ryR], make sure that it is public; Document successfully merged; PDF created; Emails Sent: [To: 21-morenoperez.evelynalondra@cetis57.edu.mx; no-reply: true]; Run via form trigger as gabrielvazquez@cetis57.edu.mx; Timestamp: Aug 3 2023 6:13 PM</t>
  </si>
  <si>
    <t>https://drive.google.com/open?id=1uRvOGDomJVmbBb0jhTcxmMXOUwO1EwZw</t>
  </si>
  <si>
    <t xml:space="preserve">CERRADA REFORMA AEREA, MZ 5 LT 41, COL REFORMA POLITICA  </t>
  </si>
  <si>
    <t>Lt. 41</t>
  </si>
  <si>
    <t xml:space="preserve">EN LA ESQUINA SE ENCUENTRA UNA SUCURSAL DE ABARROTES </t>
  </si>
  <si>
    <t xml:space="preserve">MARIA DE LOS ANGELES LOPEZ LARA </t>
  </si>
  <si>
    <t>https://drive.google.com/open?id=1tXdCyrIrR7MCRTT8_cXxBelV_JqAz0cf</t>
  </si>
  <si>
    <t>rolmaxlin82@gmail.com</t>
  </si>
  <si>
    <t>https://drive.google.com/open?id=1_eY8_8r2B-ARTlDmfn29b6UxFvMYKQyM</t>
  </si>
  <si>
    <t>https://drive.google.com/open?id=1PRHV7X31p0E6YaPmI2fg0qzmi-06vQ8t</t>
  </si>
  <si>
    <t>https://drive.google.com/open?id=1vKM7NYlvKuBLN_PEkWZrVdqaPJL6FTze</t>
  </si>
  <si>
    <t>1JGIW13YYdpR4umLEo41z7aVZewoGyO8p</t>
  </si>
  <si>
    <t>https://drive.google.com/file/d/1JGIW13YYdpR4umLEo41z7aVZewoGyO8p/view?usp=drivesdk</t>
  </si>
  <si>
    <t>Document successfully created; Document successfully merged; PDF created; Emails Sent: [To: 21-lozanolopez.alondra@cetis57.edu.mx; no-reply: true]; Run via form trigger as gabrielvazquez@cetis57.edu.mx; Timestamp: Aug 2 2023 12:33 AM</t>
  </si>
  <si>
    <t>1KUj0lKyCdxFrqKWQyLwakRZidnw86n12</t>
  </si>
  <si>
    <t>https://drive.google.com/file/d/1KUj0lKyCdxFrqKWQyLwakRZidnw86n12/view?usp=drivesdk</t>
  </si>
  <si>
    <t>Document successfully created; Invalid image URL [http://doc.google.com/uc?id=1tXdCyrIrR7MCRTT8_cXxBelV_JqAz0cf], make sure that it is public; Invalid image URL [http://doc.google.com/uc?id=1_eY8_8r2B-ARTlDmfn29b6UxFvMYKQyM], make sure that it is public; Invalid image URL [http://doc.google.com/uc?id=1PRHV7X31p0E6YaPmI2fg0qzmi-06vQ8t], make sure that it is public; Document successfully merged; PDF created; Emails Sent: [To: 21-lozanolopez.alondra@cetis57.edu.mx; no-reply: true]; Run via form trigger as gabrielvazquez@cetis57.edu.mx; Timestamp: Aug 3 2023 6:14 PM</t>
  </si>
  <si>
    <t>https://drive.google.com/open?id=1gk9tbx13rI5emo5pOFmDahK35HRO34Vj</t>
  </si>
  <si>
    <t xml:space="preserve">OLIVOS 2 COL QUIRINO MENDOZA </t>
  </si>
  <si>
    <t xml:space="preserve">CASA DE DOS PISOS , CON FACHADA DE TABIQUE ROJOS Y SAGUAN CAFE </t>
  </si>
  <si>
    <t xml:space="preserve">KARLA FAJARDO ARRIAGA </t>
  </si>
  <si>
    <t>https://drive.google.com/open?id=1s3dKD34DPo6l38zmRJA6w1Y5w20ZNUtK</t>
  </si>
  <si>
    <t>massielruedafajardo@gmail.com</t>
  </si>
  <si>
    <t>https://drive.google.com/open?id=1HjXpBeiNKUdF79doZyTcr4PnzYWcTKT9</t>
  </si>
  <si>
    <t>https://drive.google.com/open?id=1ihcqFajYIXyBsBiYP2JvvQZOb0cOQ_of</t>
  </si>
  <si>
    <t>https://drive.google.com/open?id=1HXrHMaMOGeC0a_EHer0OxUk3abtvYNK5</t>
  </si>
  <si>
    <t>1S-Ir73vTY-S3TEtuF-dKXGrtXOrE9jRU</t>
  </si>
  <si>
    <t>https://drive.google.com/file/d/1S-Ir73vTY-S3TEtuF-dKXGrtXOrE9jRU/view?usp=drivesdk</t>
  </si>
  <si>
    <t>Document successfully created; Document successfully merged; PDF created; Emails Sent: [To: 21-ruedafajardo.helennmassiel@cetis57.edu.mx]; Run via form trigger as gabrielvazquez@cetis57.edu.mx; Timestamp: Aug 3 2023 5:59 PM</t>
  </si>
  <si>
    <t>1B2DxZuvW2Tehl6oYy5zuFsAuq3Gr8MJn</t>
  </si>
  <si>
    <t>https://drive.google.com/file/d/1B2DxZuvW2Tehl6oYy5zuFsAuq3Gr8MJn/view?usp=drivesdk</t>
  </si>
  <si>
    <t>Document successfully created; Document successfully merged; PDF created; Emails Sent: [To: 21-ruedafajardo.helennmassiel@cetis57.edu.mx; no-reply: true]; Run via form trigger as gabrielvazquez@cetis57.edu.mx; Timestamp: Aug 3 2023 6:22 PM</t>
  </si>
  <si>
    <t>https://drive.google.com/open?id=1XR7S2-_nVAvbpJno4Ag2zJKuSKnaruw4</t>
  </si>
  <si>
    <t xml:space="preserve">Calle Francisco I. Madero Mz25 Lt8. </t>
  </si>
  <si>
    <t>EJIDAL EL PINO,LOS REYES</t>
  </si>
  <si>
    <t>PARED BLANCA CON LETRAS Y PORTON NEGRO</t>
  </si>
  <si>
    <t>GARCIA MEDINA JAIME ULISES</t>
  </si>
  <si>
    <t>https://drive.google.com/open?id=1LEHLPq9P790joBo3g9uFq31olwNkFhe4</t>
  </si>
  <si>
    <t>https://drive.google.com/open?id=19rdm4J-i8bQ4V4Vm3znaGnAx3pKlSVTJ</t>
  </si>
  <si>
    <t>https://drive.google.com/open?id=1gYEnK2Vi2Qb2oxKcPGcxuJpk1qGFF9Cl</t>
  </si>
  <si>
    <t>https://drive.google.com/open?id=1V_Oh8oVh7udTTLuAfE0Lo2W2pq_ufpLL</t>
  </si>
  <si>
    <t>1eFxclqZT6nPEf5lPWDWGALmalUSRRKFm</t>
  </si>
  <si>
    <t>https://drive.google.com/file/d/1eFxclqZT6nPEf5lPWDWGALmalUSRRKFm/view?usp=drivesdk</t>
  </si>
  <si>
    <t>Document successfully created; Document successfully merged; PDF created; Emails Sent: [To: 21-garciamedina.mariaelena@cetis57.edu.mx; no-reply: true]; Run via form trigger as gabrielvazquez@cetis57.edu.mx; Timestamp: Aug 2 2023 12:35 AM</t>
  </si>
  <si>
    <t>1PFpRHmRr9jqu-DW3_GKGTfcxK00rGxB4</t>
  </si>
  <si>
    <t>https://drive.google.com/file/d/1PFpRHmRr9jqu-DW3_GKGTfcxK00rGxB4/view?usp=drivesdk</t>
  </si>
  <si>
    <t>Document successfully created; Document successfully merged; PDF created; Emails Sent: [To: 21-garciamedina.mariaelena@cetis57.edu.mx; no-reply: true]; Run via form trigger as gabrielvazquez@cetis57.edu.mx; Timestamp: Aug 3 2023 6:22 PM</t>
  </si>
  <si>
    <t>ZOE ANGELICA</t>
  </si>
  <si>
    <t>https://drive.google.com/open?id=1JjcCARp3uWnTG8wM4l_u1XJImWR5MAzy</t>
  </si>
  <si>
    <t>MARZ070113MDFRCZA0</t>
  </si>
  <si>
    <t xml:space="preserve">ANDRES MOLINA , RECIDENCIAL AYOTLA </t>
  </si>
  <si>
    <t xml:space="preserve">ENFRENTE DEL PARQUE DE LA TORTUGA </t>
  </si>
  <si>
    <t>ANGEL MARTINEZ ORTIZ</t>
  </si>
  <si>
    <t>https://drive.google.com/open?id=1nJW8LBo6AvFofWc1mPtP2Vfx6dHgeAmc</t>
  </si>
  <si>
    <t>https://drive.google.com/open?id=1qBtSxCNgLBdw202c7qwRyov3HlyQFeXi</t>
  </si>
  <si>
    <t>mamr.mx@gmail.com</t>
  </si>
  <si>
    <t>https://drive.google.com/open?id=10wL_f4YgHfQEzD9H5HvOtYrU29Mhw8RT</t>
  </si>
  <si>
    <t>https://drive.google.com/open?id=1ScmyE9kH5JMpwRu3ZNnAvfVkZ8qA2l-a</t>
  </si>
  <si>
    <t>01744900562</t>
  </si>
  <si>
    <t>1TfZ6cIEaJaNfIzUzkCUaFyUJhCNWuLbh</t>
  </si>
  <si>
    <t>https://drive.google.com/file/d/1TfZ6cIEaJaNfIzUzkCUaFyUJhCNWuLbh/view?usp=drivesdk</t>
  </si>
  <si>
    <t>Document successfully created; Document successfully merged; PDF created; Emails Sent: [To: 22-martinezrocha.zoeangelica@cetis57.edu.mx; no-reply: true]; Run via form trigger as gabrielvazquez@cetis57.edu.mx; Timestamp: Aug 2 2023 12:35 AM</t>
  </si>
  <si>
    <t>11dVScgionCbCHQPMerMlBo2DHZM2FCin</t>
  </si>
  <si>
    <t>https://drive.google.com/file/d/11dVScgionCbCHQPMerMlBo2DHZM2FCin/view?usp=drivesdk</t>
  </si>
  <si>
    <t>Document successfully created; Document successfully merged; PDF created; Emails Sent: [To: 22-martinezrocha.zoeangelica@cetis57.edu.mx; no-reply: true]; Run via form trigger as gabrielvazquez@cetis57.edu.mx; Timestamp: Aug 3 2023 6:23 PM</t>
  </si>
  <si>
    <t>KAROLGUADALUPE</t>
  </si>
  <si>
    <t>https://drive.google.com/open?id=1p1jRuXtMf-h8H_XgNNPvR3M-Hgzk9fca</t>
  </si>
  <si>
    <t>ESTADO DE MEXICO ARBOLADA IXTAPALUCA PASEO DE LOS TULES MTZ3 LT5 CONDOMINIO PIRULES CASA 29</t>
  </si>
  <si>
    <t>ARBOLADA</t>
  </si>
  <si>
    <t xml:space="preserve">ATRAS DE PLAZA IXTAPALUCA </t>
  </si>
  <si>
    <t>AMERICA MARTINEZ GOMEZ</t>
  </si>
  <si>
    <t>https://drive.google.com/open?id=1-25vCtfZu41xAQg_CR1C3-jbGRBUqYOb</t>
  </si>
  <si>
    <t>americaimss3@gmail.com</t>
  </si>
  <si>
    <t xml:space="preserve">MAESTRA DE PURICULTURA </t>
  </si>
  <si>
    <t>https://drive.google.com/open?id=10Wsu_Z_qBcnD7x1_Oq59xw1MZGlNWKZS</t>
  </si>
  <si>
    <t>SELENE JAZMIN</t>
  </si>
  <si>
    <t>https://drive.google.com/open?id=1IDSq9UoS6aUwoxohmpGDb-mQH52nF7K8</t>
  </si>
  <si>
    <t>https://drive.google.com/open?id=15o8mat3fuN1f9xp6_wkJWg9ggqmxjDxf</t>
  </si>
  <si>
    <t>https://drive.google.com/open?id=1K_GakJ02OHzJ1XRjGuZm3QGVXHsmYBLY</t>
  </si>
  <si>
    <t>1gS3uveg2HqQS-lajOYzVuJvg7WC6lYn6</t>
  </si>
  <si>
    <t>https://drive.google.com/file/d/1gS3uveg2HqQS-lajOYzVuJvg7WC6lYn6/view?usp=drivesdk</t>
  </si>
  <si>
    <t>Document successfully created; Document successfully merged; PDF created; Emails Sent: [To: 22-zaraterodriguez.karolguadalupe@cetis57.edu.mx; no-reply: true]; Run via form trigger as gabrielvazquez@cetis57.edu.mx; Timestamp: Aug 2 2023 12:36 AM</t>
  </si>
  <si>
    <t>13LjRCRyWw6TCA6u5L6af6maPnzbom_iu</t>
  </si>
  <si>
    <t>https://drive.google.com/file/d/13LjRCRyWw6TCA6u5L6af6maPnzbom_iu/view?usp=drivesdk</t>
  </si>
  <si>
    <t>Document successfully created; Document successfully merged; PDF created; Emails Sent: [To: 22-zaraterodriguez.karolguadalupe@cetis57.edu.mx; no-reply: true]; Run via form trigger as gabrielvazquez@cetis57.edu.mx; Timestamp: Aug 3 2023 6:24 PM</t>
  </si>
  <si>
    <t>https://drive.google.com/open?id=1u0w00DxI0uVAwLbfZfslbtWNToJNpZGh</t>
  </si>
  <si>
    <t>SIGP070707MDFRNRA2</t>
  </si>
  <si>
    <t>UNIDAD ERMITA ZARAGOZA MZ.12 LT.2 1SECC IZTAPALAPA 09180</t>
  </si>
  <si>
    <t>GONZALEZ SANCHEZ PERLA SONIA</t>
  </si>
  <si>
    <t>https://drive.google.com/open?id=1yb7VUnbMa04x2jY4dtW_-0g1t100tS3D</t>
  </si>
  <si>
    <t>perlagonzalessancez@gmail.com</t>
  </si>
  <si>
    <t>https://drive.google.com/open?id=1RJ3Duz5nswbs9FtluL8nyeBSIlkyE2bZ</t>
  </si>
  <si>
    <t>yudithsima@gmail.com</t>
  </si>
  <si>
    <t>https://drive.google.com/open?id=1YzR4V7qWJyju07nAGcjrz0XcJ0tYXXXV</t>
  </si>
  <si>
    <t>https://drive.google.com/open?id=17GbgwZvudPXxtkVM3o5GN-baWymbFF8N</t>
  </si>
  <si>
    <t>1nu1Locf6swBL9_NPbdlRjj7h-PzRgSKA</t>
  </si>
  <si>
    <t>https://drive.google.com/file/d/1nu1Locf6swBL9_NPbdlRjj7h-PzRgSKA/view?usp=drivesdk</t>
  </si>
  <si>
    <t>Document successfully created; Document successfully merged; PDF created; Emails Sent: [To: 22-sierragonzalez.perlafabiola@cetis57.edu.mx; no-reply: true]; Run via form trigger as gabrielvazquez@cetis57.edu.mx; Timestamp: Aug 2 2023 12:37 AM</t>
  </si>
  <si>
    <t>1YW3JG2KmZGCZG2yF8e2y2rBDEdod5fL_</t>
  </si>
  <si>
    <t>https://drive.google.com/file/d/1YW3JG2KmZGCZG2yF8e2y2rBDEdod5fL_/view?usp=drivesdk</t>
  </si>
  <si>
    <t>Document successfully created; Document successfully merged; PDF created; Emails Sent: [To: 22-sierragonzalez.perlafabiola@cetis57.edu.mx; no-reply: true]; Run via form trigger as gabrielvazquez@cetis57.edu.mx; Timestamp: Aug 3 2023 6:28 PM</t>
  </si>
  <si>
    <t>https://drive.google.com/open?id=1JPow4AS4PftuibcXiZbm-27c6AGWxX8a</t>
  </si>
  <si>
    <t xml:space="preserve">ANDADOR FELIX HERNANDEZ </t>
  </si>
  <si>
    <t>MZ16</t>
  </si>
  <si>
    <t>LT28</t>
  </si>
  <si>
    <t xml:space="preserve">EN LA ESQUINA ESTA UNA VIRGEN DE PIEDRA,MI CASA ES DE 2 PISOS COLOR AMARILLO DE TABIQUE  Y PUERTA VERDE A UN LADO ESTA UNA MUEBLERIA MARTINEZ </t>
  </si>
  <si>
    <t>MARIA DE LA CRUZ COVARRUBIAS OROZCO</t>
  </si>
  <si>
    <t>https://drive.google.com/open?id=1LTaOr4F9-mcx3X3ZsKy_HdXcQ_Hga3eq</t>
  </si>
  <si>
    <t>ABUNDIO</t>
  </si>
  <si>
    <t xml:space="preserve">LOURDES </t>
  </si>
  <si>
    <t>https://drive.google.com/open?id=1w_q7eT4i70hKpgiYT2WXM63l4BjEvA3H</t>
  </si>
  <si>
    <t xml:space="preserve">COBARRUBIAS </t>
  </si>
  <si>
    <t>oyukimargotcruz@gmail.com</t>
  </si>
  <si>
    <t>https://drive.google.com/open?id=1l6dHEDTAqeZRVfWZRI-Y5iUseJikrpT9</t>
  </si>
  <si>
    <t>https://drive.google.com/open?id=11EwsshDzdb0XeqjNhP7oqBXPngPAS6JS</t>
  </si>
  <si>
    <t>1NCP21owptJt3lE7nhc1wtVBMMbhSkp1C</t>
  </si>
  <si>
    <t>https://drive.google.com/file/d/1NCP21owptJt3lE7nhc1wtVBMMbhSkp1C/view?usp=drivesdk</t>
  </si>
  <si>
    <t>Document successfully created; Document successfully merged; PDF created; Emails Sent: [To: 22-moguelmartinez.kerenberenice@cetis57.edu.mx; no-reply: true]; Run via form trigger as gabrielvazquez@cetis57.edu.mx; Timestamp: Aug 2 2023 12:38 AM</t>
  </si>
  <si>
    <t>1Rrntd-p5G6j2glV33qHowLmzt0lha-7d</t>
  </si>
  <si>
    <t>https://drive.google.com/file/d/1Rrntd-p5G6j2glV33qHowLmzt0lha-7d/view?usp=drivesdk</t>
  </si>
  <si>
    <t>Document successfully created; Document successfully merged; PDF created; Emails Sent: [To: 22-moguelmartinez.kerenberenice@cetis57.edu.mx; no-reply: true]; Run via form trigger as gabrielvazquez@cetis57.edu.mx; Timestamp: Aug 3 2023 6:31 PM</t>
  </si>
  <si>
    <t>https://drive.google.com/open?id=1KnDfmBkK43NhFtSM3xZl2124691PCJAv</t>
  </si>
  <si>
    <t xml:space="preserve">JORGE LUQUE LOYOLA </t>
  </si>
  <si>
    <t xml:space="preserve">PORTON BLANCO, FACHADA VERDE </t>
  </si>
  <si>
    <t xml:space="preserve">RAMIREZ GUTIERREZ MARCO ANTONIO </t>
  </si>
  <si>
    <t>https://drive.google.com/open?id=1PoU-_ObI5HysSXMD75NpENyULH8YD4mw</t>
  </si>
  <si>
    <t xml:space="preserve">EYRA YAZMIN </t>
  </si>
  <si>
    <t>https://drive.google.com/open?id=1xdTY6x6BDyPNdwcs2ofS0ApTkkmgfMcw</t>
  </si>
  <si>
    <t xml:space="preserve">IRMA EDITH </t>
  </si>
  <si>
    <t>https://drive.google.com/open?id=1Nvr4MTgCsPAid4z-YIIqXXLqx8UEM5p3</t>
  </si>
  <si>
    <t xml:space="preserve">MEDICO DE URGENCIAS </t>
  </si>
  <si>
    <t>https://drive.google.com/open?id=1Hn0l5k3J2WnFRc_aHrFpUTB8ddfx5ZoL</t>
  </si>
  <si>
    <t>1U38T9C-Fs86WtwLVnPFBbDWAnRsCut44</t>
  </si>
  <si>
    <t>https://drive.google.com/file/d/1U38T9C-Fs86WtwLVnPFBbDWAnRsCut44/view?usp=drivesdk</t>
  </si>
  <si>
    <t>Document successfully created; Document successfully merged; PDF created; Emails Sent: [To: 21-ramirezmartinez.josealfredo@cetis57.edu.mx; no-reply: true]; Run via form trigger as gabrielvazquez@cetis57.edu.mx; Timestamp: Aug 2 2023 6:02 PM</t>
  </si>
  <si>
    <t>1uDj9WedGSMgHXbu7wqfM4PAEfELd3aXd</t>
  </si>
  <si>
    <t>https://drive.google.com/file/d/1uDj9WedGSMgHXbu7wqfM4PAEfELd3aXd/view?usp=drivesdk</t>
  </si>
  <si>
    <t>Document successfully created; Document successfully merged; PDF created; Emails Sent: [To: 21-ramirezmartinez.josealfredo@cetis57.edu.mx; no-reply: true]; Run via form trigger as gabrielvazquez@cetis57.edu.mx; Timestamp: Aug 3 2023 6:32 PM</t>
  </si>
  <si>
    <t>https://drive.google.com/open?id=1BbyIAlWwDmONke3zcECQVhd3jj04M8Ee</t>
  </si>
  <si>
    <t>Tláhuac,col. granjas cabrera,calle rojo gómez mz.7lt.12</t>
  </si>
  <si>
    <t xml:space="preserve">GRANJAS CABRERA </t>
  </si>
  <si>
    <t>mz.7</t>
  </si>
  <si>
    <t xml:space="preserve"> PORTON ROJO</t>
  </si>
  <si>
    <t xml:space="preserve">SUE FARIAS ALATORRE </t>
  </si>
  <si>
    <t>https://drive.google.com/open?id=1bowFcLmzdAia3Bwa4sMFNc8FBGneHv7k</t>
  </si>
  <si>
    <t>https://drive.google.com/open?id=1uzTnb3cezEAc_YnBvLXFjHLOIdSNw1IK</t>
  </si>
  <si>
    <t>https://drive.google.com/open?id=1aQHJf1N27vV_cIVwEVW_p0X9cy0nRyrG</t>
  </si>
  <si>
    <t>https://drive.google.com/open?id=1NUBZlZYJUYCahQ-265EYh5rCQVkKLLVS</t>
  </si>
  <si>
    <t>17GKheTKsKFegF7CksxW5kv85INBhxGSr</t>
  </si>
  <si>
    <t>https://drive.google.com/file/d/17GKheTKsKFegF7CksxW5kv85INBhxGSr/view?usp=drivesdk</t>
  </si>
  <si>
    <t>Document successfully created; Document successfully merged; PDF created; Emails Sent: [To: 21-gallegosfarias.stephanie@cetis57.edu.mx; no-reply: true]; Run via form trigger as gabrielvazquez@cetis57.edu.mx; Timestamp: Aug 2 2023 12:39 AM</t>
  </si>
  <si>
    <t>10m31NKVyvMd4_q1J4hyP2hpdNrPRAWKH</t>
  </si>
  <si>
    <t>https://drive.google.com/file/d/10m31NKVyvMd4_q1J4hyP2hpdNrPRAWKH/view?usp=drivesdk</t>
  </si>
  <si>
    <t>Document successfully created; Document successfully merged; PDF created; Emails Sent: [To: 21-gallegosfarias.stephanie@cetis57.edu.mx; no-reply: true]; Run via form trigger as gabrielvazquez@cetis57.edu.mx; Timestamp: Aug 3 2023 6:33 PM</t>
  </si>
  <si>
    <t>https://drive.google.com/open?id=1tKpxCuq6BjrZmTsLw3agmrTNmVluh5Iy</t>
  </si>
  <si>
    <t>M 4</t>
  </si>
  <si>
    <t>L 41</t>
  </si>
  <si>
    <t xml:space="preserve"> EN LA ESQUINA DE LA CALLE HAY UNA TIENDA   FACHADA BLANCA</t>
  </si>
  <si>
    <t>https://drive.google.com/open?id=1gis2Cux77urMLIGoUUYs22UKQwXr_WeO</t>
  </si>
  <si>
    <t>ALPEX15@HOTMAIL.COM</t>
  </si>
  <si>
    <t>https://drive.google.com/open?id=1WQ9hnbub3264KSWLIP4kQbp7HbMeNNKA</t>
  </si>
  <si>
    <t>https://drive.google.com/open?id=1ff_aHt0e06n5w2F0jY1UoXwwojQBW9zY</t>
  </si>
  <si>
    <t>https://drive.google.com/open?id=1MZLp-Xd0KNkX7USSeP7fWVITnDDRBN7Q</t>
  </si>
  <si>
    <t>1x3eTME3jMr3o5zzaEzxUw8CpqlNBHN5S</t>
  </si>
  <si>
    <t>https://drive.google.com/file/d/1x3eTME3jMr3o5zzaEzxUw8CpqlNBHN5S/view?usp=drivesdk</t>
  </si>
  <si>
    <t>Document successfully created; Document successfully merged; PDF created; Emails Sent: [To: 22-maldonadogarcia.ikerjorel@cetis57.edu.mx; no-reply: true]; Run via form trigger as gabrielvazquez@cetis57.edu.mx; Timestamp: Aug 2 2023 12:41 AM</t>
  </si>
  <si>
    <t>1SrP4G5kLeSvtrf8wzBbewplWFY9Aq3wd</t>
  </si>
  <si>
    <t>https://drive.google.com/file/d/1SrP4G5kLeSvtrf8wzBbewplWFY9Aq3wd/view?usp=drivesdk</t>
  </si>
  <si>
    <t>Document successfully created; Document successfully merged; PDF created; Emails Sent: [To: 22-maldonadogarcia.ikerjorel@cetis57.edu.mx; no-reply: true]; Run via form trigger as gabrielvazquez@cetis57.edu.mx; Timestamp: Aug 3 2023 6:36 PM</t>
  </si>
  <si>
    <t>CAPISTRAN</t>
  </si>
  <si>
    <t>https://drive.google.com/open?id=18qaewHhdsdJIrk5WCiwBQ6AGNKoExceX</t>
  </si>
  <si>
    <t>CALLEJON DALIAS S/N</t>
  </si>
  <si>
    <t xml:space="preserve">ATENCO </t>
  </si>
  <si>
    <t>CENTRO GENO-OBSTETRICO</t>
  </si>
  <si>
    <t xml:space="preserve">GABRIELA CAPISTRAN GALARZA </t>
  </si>
  <si>
    <t>https://drive.google.com/open?id=1SBHGzMJll283wkKzo7LD3aWWrQ8-15cE</t>
  </si>
  <si>
    <t xml:space="preserve">ELECTRICISTA INDEPENDIENTE </t>
  </si>
  <si>
    <t>https://drive.google.com/open?id=1HsdlUoP0IEOIiwwXdjaDbVt45TmNF1KA</t>
  </si>
  <si>
    <t xml:space="preserve">GALARZA </t>
  </si>
  <si>
    <t>NARCISA</t>
  </si>
  <si>
    <t>https://drive.google.com/open?id=1F9tNRdRik2kPiReDnBZ2AsO05VgULn_L</t>
  </si>
  <si>
    <t>UCAD</t>
  </si>
  <si>
    <t>https://drive.google.com/open?id=17NILcX-C6x6LuLsOiM9pcNUKxuWuZYjS</t>
  </si>
  <si>
    <t>1O2c4lsgyqWQxxmvNVsf0F7cXi8ddpSIk</t>
  </si>
  <si>
    <t>https://drive.google.com/file/d/1O2c4lsgyqWQxxmvNVsf0F7cXi8ddpSIk/view?usp=drivesdk</t>
  </si>
  <si>
    <t>Document successfully created; Document successfully merged; PDF created; Emails Sent: [To: 21-capistrangalarza.floryaretzi@cetis57.edu.mx; no-reply: true]; Run via form trigger as gabrielvazquez@cetis57.edu.mx; Timestamp: Aug 2 2023 6:02 PM</t>
  </si>
  <si>
    <t>1pHsfS_5OCgXHWnJiCTjmMVe4IXfh5zAs</t>
  </si>
  <si>
    <t>https://drive.google.com/file/d/1pHsfS_5OCgXHWnJiCTjmMVe4IXfh5zAs/view?usp=drivesdk</t>
  </si>
  <si>
    <t>Document successfully created; Document successfully merged; PDF created; Emails Sent: [To: 21-capistrangalarza.floryaretzi@cetis57.edu.mx; no-reply: true]; Run via form trigger as gabrielvazquez@cetis57.edu.mx; Timestamp: Aug 3 2023 6:37 PM</t>
  </si>
  <si>
    <t>https://drive.google.com/open?id=1QMzecrJaCz8D_ckop84ofnxnPpgUbYyT</t>
  </si>
  <si>
    <t>XALTIPAC</t>
  </si>
  <si>
    <t>ENTRE CALLE GUSTAVO DIAZ ORDAZ Y LUIS ECHEVERRIA</t>
  </si>
  <si>
    <t>NOEMI FERNANDEZ QUINTERO</t>
  </si>
  <si>
    <t>https://drive.google.com/open?id=1sGwdyYdNaIzGMWyWEvcrgNl6ydrjsci7</t>
  </si>
  <si>
    <t>NEQUIZ</t>
  </si>
  <si>
    <t>guerisgonza@gmail.com</t>
  </si>
  <si>
    <t>https://drive.google.com/open?id=1cQHh7Lr14rNo3Xhou2PerMAl4NQ2d162</t>
  </si>
  <si>
    <t>1234uri95@gmail.com</t>
  </si>
  <si>
    <t>https://drive.google.com/open?id=1kgy4vZNWHupoTwI8AvaaTom4BLWf25nN</t>
  </si>
  <si>
    <t xml:space="preserve">Dermatológico </t>
  </si>
  <si>
    <t>https://drive.google.com/open?id=1cMQ_XOByx5A-P99Bu45i5pE4jvRUfk1X</t>
  </si>
  <si>
    <t>1BDof5uJ9-qUex2iJHEoWwgOgvc7jezS1</t>
  </si>
  <si>
    <t>https://drive.google.com/file/d/1BDof5uJ9-qUex2iJHEoWwgOgvc7jezS1/view?usp=drivesdk</t>
  </si>
  <si>
    <t>Document successfully created; Document successfully merged; PDF created; Emails Sent: [To: 21-gonzalezfernandez.carla@cetis57.edu.mx; no-reply: true]; Run via form trigger as gabrielvazquez@cetis57.edu.mx; Timestamp: Aug 2 2023 2:37 AM</t>
  </si>
  <si>
    <t>1QLJLpyObO8N7RAM7Is7_ZzW1Mra5TiKl</t>
  </si>
  <si>
    <t>https://drive.google.com/file/d/1QLJLpyObO8N7RAM7Is7_ZzW1Mra5TiKl/view?usp=drivesdk</t>
  </si>
  <si>
    <t>Document successfully created; Document successfully merged; PDF created; Emails Sent: [To: 21-gonzalezfernandez.carla@cetis57.edu.mx; no-reply: true]; Run via form trigger as gabrielvazquez@cetis57.edu.mx; Timestamp: Aug 3 2023 6:39 PM</t>
  </si>
  <si>
    <t>https://drive.google.com/open?id=1805gzZbfXGOeVRKj6xJitFIkC585jQ3x</t>
  </si>
  <si>
    <t>CALLE 38 NUMERO 62 COLONIA EL SOL</t>
  </si>
  <si>
    <t>A UN LADO DEL CONALEP PLANTEL EL SOL</t>
  </si>
  <si>
    <t xml:space="preserve">PIÑA RUIZ FATIMA LIZBETH </t>
  </si>
  <si>
    <t>YO MISMA</t>
  </si>
  <si>
    <t>https://drive.google.com/open?id=14Zvia3WcUywdkxtm9JVkbv2n2xf3PtLQ</t>
  </si>
  <si>
    <t>https://drive.google.com/open?id=10n7d3-G07U1eiTCj60dTMlY3o4p0GBUs</t>
  </si>
  <si>
    <t>https://drive.google.com/open?id=1NhUXFOm-T33ToyoPng0LO6_t5lxcYVTj</t>
  </si>
  <si>
    <t>https://drive.google.com/open?id=1T-S1RtNDxUM-E3qmptSdzJo3Cxmyt_Co</t>
  </si>
  <si>
    <t>1UPVHeSnbKJA_Frj7-m0D9_tGjAG8gg4q</t>
  </si>
  <si>
    <t>https://drive.google.com/file/d/1UPVHeSnbKJA_Frj7-m0D9_tGjAG8gg4q/view?usp=drivesdk</t>
  </si>
  <si>
    <t>Document successfully created; Document successfully merged; PDF created; Emails Sent: [To: 21-pinaruiz.fatimalizbeth@cetis57.edu.mx; no-reply: true]; Run via form trigger as gabrielvazquez@cetis57.edu.mx; Timestamp: Aug 2 2023 6:14 PM</t>
  </si>
  <si>
    <t>14-IdX0hkDoWUGLC1RuLJEJEzxBtmtNQX</t>
  </si>
  <si>
    <t>https://drive.google.com/file/d/14-IdX0hkDoWUGLC1RuLJEJEzxBtmtNQX/view?usp=drivesdk</t>
  </si>
  <si>
    <t>Document successfully created; Document successfully merged; PDF created; Emails Sent: [To: 21-pinaruiz.fatimalizbeth@cetis57.edu.mx; no-reply: true]; Run via form trigger as gabrielvazquez@cetis57.edu.mx; Timestamp: Aug 3 2023 6:40 PM</t>
  </si>
  <si>
    <t xml:space="preserve">NATALY MAYTE </t>
  </si>
  <si>
    <t>https://drive.google.com/open?id=1A6MlEqJHQDKlEvw-FExI9WDT1VG_udMr</t>
  </si>
  <si>
    <t xml:space="preserve">2DA CERRDA DE AV. MEXICO </t>
  </si>
  <si>
    <t>PBLO. DE SANTA MARIA AZTAHUACAN</t>
  </si>
  <si>
    <t>LAVADEROS DE SANTA MARIA AZTAHUACAN, EJE 6,  PRIMARIA CUAUTEMOC, PRIMARIA ALBANIA</t>
  </si>
  <si>
    <t>https://drive.google.com/open?id=1-Ze7xf54GhSTp3RTt1DjLQcHr3UAYPYr</t>
  </si>
  <si>
    <t>rh790315@gmail.com</t>
  </si>
  <si>
    <t>https://drive.google.com/open?id=1biLexq1Kl68k6rRNg5DAVqf3V_tFR-vF</t>
  </si>
  <si>
    <t>https://drive.google.com/open?id=1xpDgiTGo_Qv2CheJ6NMGWfIHLAX851sL</t>
  </si>
  <si>
    <t>FACULTAD DE ESTUDIOS SUPERIORES ZARAGOZA UNAM CAMPUS  I</t>
  </si>
  <si>
    <t>https://drive.google.com/open?id=1CfNeFoZFtNaXHYMojGkeEmJj2DKYc5a8</t>
  </si>
  <si>
    <t>1j4PxIuwCLZDi5NayMWj5T4cRnR_rQJ8S</t>
  </si>
  <si>
    <t>https://drive.google.com/file/d/1j4PxIuwCLZDi5NayMWj5T4cRnR_rQJ8S/view?usp=drivesdk</t>
  </si>
  <si>
    <t>Document successfully created; Document successfully merged; PDF created; Emails Sent: [To: 21-buendiaalonso.natalymayte@cetis57.edu.mx; no-reply: true]; Run via form trigger as gabrielvazquez@cetis57.edu.mx; Timestamp: Aug 2 2023 2:38 AM</t>
  </si>
  <si>
    <t>1BuBEDfvYhBwi5YdXro0DOgykbfMKse3M</t>
  </si>
  <si>
    <t>https://drive.google.com/file/d/1BuBEDfvYhBwi5YdXro0DOgykbfMKse3M/view?usp=drivesdk</t>
  </si>
  <si>
    <t>Document successfully created; Document successfully merged; PDF created; Emails Sent: [To: 21-buendiaalonso.natalymayte@cetis57.edu.mx; no-reply: true]; Run via form trigger as gabrielvazquez@cetis57.edu.mx; Timestamp: Aug 3 2023 6:41 PM</t>
  </si>
  <si>
    <t>LUISA FERNANDA</t>
  </si>
  <si>
    <t>https://drive.google.com/open?id=1e6kB_SmpzbEQOh85lD7xBHQYfY0Kk-lm</t>
  </si>
  <si>
    <t>Lt 4</t>
  </si>
  <si>
    <t xml:space="preserve">TUBO DE AGUA </t>
  </si>
  <si>
    <t xml:space="preserve">BRENDA ESCOBAR SANTOS </t>
  </si>
  <si>
    <t>https://drive.google.com/open?id=1vXl3eleL_XIY02iDwAtM3P7UddiATD8T</t>
  </si>
  <si>
    <t>maribel78san@gmail.com</t>
  </si>
  <si>
    <t>https://drive.google.com/open?id=1kjKZEov5Ev-H6AOznwlOS7Rj2nDfIpOb</t>
  </si>
  <si>
    <t>https://drive.google.com/open?id=1ic575SUl89zp4_jD8ZDsKPNIH62AiPTt</t>
  </si>
  <si>
    <t>https://drive.google.com/open?id=16_GojbnLzS-iDHcMflRgKijig81TaWc8</t>
  </si>
  <si>
    <t>1KQQsvQOyz5MueeU-i33V7yyns29pQmP_</t>
  </si>
  <si>
    <t>https://drive.google.com/file/d/1KQQsvQOyz5MueeU-i33V7yyns29pQmP_/view?usp=drivesdk</t>
  </si>
  <si>
    <t>Document successfully created; Document successfully merged; PDF created; Emails Sent: [To: 21-escobarsantos.luisafernanda@cetis57.edu.mx; no-reply: true]; Run via form trigger as gabrielvazquez@cetis57.edu.mx; Timestamp: Aug 2 2023 6:15 PM</t>
  </si>
  <si>
    <t>1PLikmrgSFfSLt0Ap2syEGF8VrDq9L73Z</t>
  </si>
  <si>
    <t>https://drive.google.com/file/d/1PLikmrgSFfSLt0Ap2syEGF8VrDq9L73Z/view?usp=drivesdk</t>
  </si>
  <si>
    <t>Document successfully created; Document successfully merged; PDF created; Emails Sent: [To: 21-escobarsantos.luisafernanda@cetis57.edu.mx; no-reply: true]; Run via form trigger as gabrielvazquez@cetis57.edu.mx; Timestamp: Aug 3 2023 6:42 PM</t>
  </si>
  <si>
    <t>https://drive.google.com/open?id=1vCLB7sGaGaZrHmlgdhCDjG3hLe0PEWu3</t>
  </si>
  <si>
    <t xml:space="preserve">CERRADA JALISCO N. 13, COLONIA SANTA MARIA AZTAHUACAN </t>
  </si>
  <si>
    <t>AL FINAL DE LA CALLE, DESPUES DE LA CADENA DE PROPIEDAD PRIVADA</t>
  </si>
  <si>
    <t>https://drive.google.com/open?id=1Z40iKaT1oi_38ZEnX4lxGnlLsPY7z94m</t>
  </si>
  <si>
    <t xml:space="preserve">RUEDAS </t>
  </si>
  <si>
    <t>https://drive.google.com/open?id=1XWRkZQt6E3_QJNZAEO6XKMswkWXsFelV</t>
  </si>
  <si>
    <t>https://drive.google.com/open?id=14Wtzfn20rKEohezlh0tPurgEHfKWYZnT</t>
  </si>
  <si>
    <t>UPIBI UNIDAD PROFESIONAL INTERDISCIPLINARIA DE BIOTECNOLOGIA IPN</t>
  </si>
  <si>
    <t>https://drive.google.com/open?id=1mqFZvwHtdinXqgVXLkIUslnNWuM7B5vs</t>
  </si>
  <si>
    <t>1cg-LcDKFxcziHZmyK6WxGedXiWen5roT</t>
  </si>
  <si>
    <t>https://drive.google.com/file/d/1cg-LcDKFxcziHZmyK6WxGedXiWen5roT/view?usp=drivesdk</t>
  </si>
  <si>
    <t>Document successfully created; Document successfully merged; PDF created; Emails Sent: [To: 21-romeroruedas.erikivan@cetis57.edu.mx; no-reply: true]; Run via form trigger as gabrielvazquez@cetis57.edu.mx; Timestamp: Aug 2 2023 6:16 PM</t>
  </si>
  <si>
    <t>1R46dDbjI5wD4MlkCOGN2KsESO2cfLkCS</t>
  </si>
  <si>
    <t>https://drive.google.com/file/d/1R46dDbjI5wD4MlkCOGN2KsESO2cfLkCS/view?usp=drivesdk</t>
  </si>
  <si>
    <t>Document successfully created; Document successfully merged; PDF created; Emails Sent: [To: 21-romeroruedas.erikivan@cetis57.edu.mx; no-reply: true]; Run via form trigger as gabrielvazquez@cetis57.edu.mx; Timestamp: Aug 3 2023 6:47 PM</t>
  </si>
  <si>
    <t>https://drive.google.com/open?id=1xcguf59m_v5yYhpWseog1Lkvj_Rj-Moy</t>
  </si>
  <si>
    <t xml:space="preserve">Palacio de iturbide 66 </t>
  </si>
  <si>
    <t>METROPOLITANA 2 SECCION</t>
  </si>
  <si>
    <t xml:space="preserve">GUADALUPE SANCHEZ SANCHEZ </t>
  </si>
  <si>
    <t>https://drive.google.com/open?id=1m0f1DzzupROGKRlpl3wYVxGWpQBAXgph</t>
  </si>
  <si>
    <t>https://drive.google.com/open?id=10ekek2_AJD-hMt63vp_4vJguK1xi1ruv</t>
  </si>
  <si>
    <t>raymundo.es150353@gmail.com</t>
  </si>
  <si>
    <t>https://drive.google.com/open?id=1gKxp7RPyH0Xdpr3ufdEnykBGIUpJn7EH</t>
  </si>
  <si>
    <t>https://drive.google.com/open?id=1eHbm6NVaiwCI5y1mOF4bVHvnzTdsTRC6</t>
  </si>
  <si>
    <t>1A9_XUAQn_LXwybMITzvshhgWJ_WVk6b6</t>
  </si>
  <si>
    <t>https://drive.google.com/file/d/1A9_XUAQn_LXwybMITzvshhgWJ_WVk6b6/view?usp=drivesdk</t>
  </si>
  <si>
    <t>Document successfully created; Document successfully merged; PDF created; Emails Sent: [To: 21-espinosasanchez.camila@cetis57.edu.mx; no-reply: true]; Run via form trigger as gabrielvazquez@cetis57.edu.mx; Timestamp: Aug 2 2023 2:44 AM</t>
  </si>
  <si>
    <t>17Ez_lLUmRzCZcimrMV4pJFhgoANMWP9f</t>
  </si>
  <si>
    <t>https://drive.google.com/file/d/17Ez_lLUmRzCZcimrMV4pJFhgoANMWP9f/view?usp=drivesdk</t>
  </si>
  <si>
    <t>Document successfully created; Document successfully merged; PDF created; Emails Sent: [To: 21-espinosasanchez.camila@cetis57.edu.mx; no-reply: true]; Run via form trigger as gabrielvazquez@cetis57.edu.mx; Timestamp: Aug 3 2023 6:48 PM</t>
  </si>
  <si>
    <t>ANGEL IVAN</t>
  </si>
  <si>
    <t>https://drive.google.com/open?id=1fWyAGTHHknrGMBRBeg5Gy81HKQw9QZnt</t>
  </si>
  <si>
    <t>DAMA070612HQRMRNA5</t>
  </si>
  <si>
    <t xml:space="preserve">AND JOSE MURGUÍA Y GALARDIN </t>
  </si>
  <si>
    <t>ENFRENTE DEL MINISTERIO PUBLICO</t>
  </si>
  <si>
    <t>https://drive.google.com/open?id=11t67cINN83BVeSLFNLWLpA0-vbPWz7V1</t>
  </si>
  <si>
    <t>https://drive.google.com/open?id=10DKBSv5nK3ZyuKQ0MjxSzJyDT1atTkQ2</t>
  </si>
  <si>
    <t xml:space="preserve">trabaja </t>
  </si>
  <si>
    <t>https://drive.google.com/open?id=1ZcG6Q1aFj9aqTSot8gxZl3uOQtEaxnqm</t>
  </si>
  <si>
    <t>INGENIERÍA CIVIL</t>
  </si>
  <si>
    <t>https://drive.google.com/open?id=15P8Tiyr68WmJaebr2Y4GkqjC-E2cV5vH</t>
  </si>
  <si>
    <t>1jTR29EWzD9vI-oUN6JP_X93caKFiNvQn</t>
  </si>
  <si>
    <t>https://drive.google.com/file/d/1jTR29EWzD9vI-oUN6JP_X93caKFiNvQn/view?usp=drivesdk</t>
  </si>
  <si>
    <t>Document successfully created; Document successfully merged; PDF created; Emails Sent: [To: 22-damasmorales.angelivan@cetis57.edu.mx; no-reply: true]; Run via form trigger as gabrielvazquez@cetis57.edu.mx; Timestamp: Aug 2 2023 2:45 AM</t>
  </si>
  <si>
    <t>17GxR3HGtrdw7MGqKLQd-f5Ia-3DLQZwJ</t>
  </si>
  <si>
    <t>https://drive.google.com/file/d/17GxR3HGtrdw7MGqKLQd-f5Ia-3DLQZwJ/view?usp=drivesdk</t>
  </si>
  <si>
    <t>Document successfully created; Document successfully merged; PDF created; Emails Sent: [To: 22-damasmorales.angelivan@cetis57.edu.mx; no-reply: true]; Run via form trigger as gabrielvazquez@cetis57.edu.mx; Timestamp: Aug 3 2023 6:53 PM</t>
  </si>
  <si>
    <t xml:space="preserve">ALMENDRA MACIEL </t>
  </si>
  <si>
    <t>https://drive.google.com/open?id=1bUjMR9PsNHW5eHZ1jhX9vyuHLJr4LFw_</t>
  </si>
  <si>
    <t>CERRADA DE AMAPOLA MZ3 LT9</t>
  </si>
  <si>
    <t>ZAGUAN AZUL, TRES PISOS</t>
  </si>
  <si>
    <t xml:space="preserve">DULCE ANALLELI TELLEZ ROJAS </t>
  </si>
  <si>
    <t>https://drive.google.com/open?id=1bXdPdjNiTsRJfPzRIxEKdlAx5SyaXVzv</t>
  </si>
  <si>
    <t>https://drive.google.com/open?id=18LuO6RnjxFRgOg4cx6IWw7gKE7O01DA4</t>
  </si>
  <si>
    <t>LEOBARDO</t>
  </si>
  <si>
    <t>https://drive.google.com/open?id=1Had9Ah7atw7eFWUOYaStmq4iKaCcf3Os</t>
  </si>
  <si>
    <t>https://drive.google.com/open?id=1bH5O4lxzC4pRLTP6hwIwGkRrdVfqLQOo</t>
  </si>
  <si>
    <t>1LwNb47TpkgWNK4PgqwY_eEqlwXlNFvak</t>
  </si>
  <si>
    <t>https://drive.google.com/file/d/1LwNb47TpkgWNK4PgqwY_eEqlwXlNFvak/view?usp=drivesdk</t>
  </si>
  <si>
    <t>Document successfully created; Document successfully merged; PDF created; Emails Sent: [To: 22-martinezolmos.almendramaciel@cetis57.edu.mx; no-reply: true]; Run via form trigger as gabrielvazquez@cetis57.edu.mx; Timestamp: Aug 2 2023 2:45 AM</t>
  </si>
  <si>
    <t>1rPczU-ClVlz4milOzTJaomn9HNEv6z5O</t>
  </si>
  <si>
    <t>https://drive.google.com/file/d/1rPczU-ClVlz4milOzTJaomn9HNEv6z5O/view?usp=drivesdk</t>
  </si>
  <si>
    <t>Document successfully created; Document successfully merged; PDF created; Emails Sent: [To: 22-martinezolmos.almendramaciel@cetis57.edu.mx; no-reply: true]; Run via form trigger as gabrielvazquez@cetis57.edu.mx; Timestamp: Aug 3 2023 6:54 PM</t>
  </si>
  <si>
    <t>https://drive.google.com/open?id=1sRzQCgB6lZ-pHSI6mrQH2SoFlWgUjPs8</t>
  </si>
  <si>
    <t xml:space="preserve">CALLEMARIO97COLPAVON. </t>
  </si>
  <si>
    <t>AL FRENTE ESTA UBICADO UN SALON DE FIESTAS</t>
  </si>
  <si>
    <t>https://drive.google.com/open?id=1FTRg2va8Wo49V1mTHxZjQZgJ6AN_2eW1</t>
  </si>
  <si>
    <t>camachoenrique7909@gmail.com</t>
  </si>
  <si>
    <t>https://drive.google.com/open?id=1y2300Vx0BNbfETQt7ZajX_UwfAMuPo6q</t>
  </si>
  <si>
    <t>paoc2672@gmail.com</t>
  </si>
  <si>
    <t>https://drive.google.com/open?id=1GahYvH7TJF_4OOjD5N-lAdyeH3MmmeyK</t>
  </si>
  <si>
    <t>https://drive.google.com/open?id=1BtisGXPjGU3cV95D4qEbQ10jfbuzo_Ir</t>
  </si>
  <si>
    <t>1zgZUDD67DtReOVRFuS8uU0qcMEwoDYUW</t>
  </si>
  <si>
    <t>https://drive.google.com/file/d/1zgZUDD67DtReOVRFuS8uU0qcMEwoDYUW/view?usp=drivesdk</t>
  </si>
  <si>
    <t>Document successfully created; Document successfully merged; PDF created; Emails Sent: [To: 22-romualdocamacho.enrique@cetis57.edu.mx; no-reply: true]; Run via form trigger as gabrielvazquez@cetis57.edu.mx; Timestamp: Aug 2 2023 2:46 AM</t>
  </si>
  <si>
    <t>1H5gXq1mKz5WhsAW6ns6nhLmiex1WW5pv</t>
  </si>
  <si>
    <t>https://drive.google.com/file/d/1H5gXq1mKz5WhsAW6ns6nhLmiex1WW5pv/view?usp=drivesdk</t>
  </si>
  <si>
    <t>Document successfully created; Document successfully merged; PDF created; Emails Sent: [To: 22-romualdocamacho.enrique@cetis57.edu.mx; no-reply: true]; Run via form trigger as gabrielvazquez@cetis57.edu.mx; Timestamp: Aug 3 2023 7:07 PM</t>
  </si>
  <si>
    <t>https://drive.google.com/open?id=16JG2nR_K4Ejp_U2Kw813oidAsba476Na</t>
  </si>
  <si>
    <t>ZAGUAN NEGRO FACHADA VERDE</t>
  </si>
  <si>
    <t>IVETH ARANZAZU ROBLES FLORES</t>
  </si>
  <si>
    <t>https://drive.google.com/open?id=1tV6-2_kVtyyYdS_9VVDjS9HSUV-BVIUV</t>
  </si>
  <si>
    <t>https://drive.google.com/open?id=1amWMMvLxMrIdIm7w3R6FDC4fASrxJzf0</t>
  </si>
  <si>
    <t>OPERADORA TELEFONICA</t>
  </si>
  <si>
    <t>https://drive.google.com/open?id=1pcR8HkYRH4UzZ-jvxQoDXJYhN6JcgpUC</t>
  </si>
  <si>
    <t>https://drive.google.com/open?id=11YWtaSh7nZBh_VZx28U9v1YPFCNVnx-u</t>
  </si>
  <si>
    <t>1VsYbWmPRol4b18rms4fLUK2jMJa8VpKQ</t>
  </si>
  <si>
    <t>https://drive.google.com/file/d/1VsYbWmPRol4b18rms4fLUK2jMJa8VpKQ/view?usp=drivesdk</t>
  </si>
  <si>
    <t>Document successfully created; Document successfully merged; PDF created; Emails Sent: [To: 21-roblesflores.barbaraitzel@cetis57.edu.mx; no-reply: true]; Run via form trigger as gabrielvazquez@cetis57.edu.mx; Timestamp: Aug 2 2023 2:47 AM</t>
  </si>
  <si>
    <t>1l0DqIRIWH8jt4-vg44SAUQiYqZM2GNT9</t>
  </si>
  <si>
    <t>https://drive.google.com/file/d/1l0DqIRIWH8jt4-vg44SAUQiYqZM2GNT9/view?usp=drivesdk</t>
  </si>
  <si>
    <t>Document successfully created; Document successfully merged; PDF created; Emails Sent: [To: 21-roblesflores.barbaraitzel@cetis57.edu.mx; no-reply: true]; Run via form trigger as gabrielvazquez@cetis57.edu.mx; Timestamp: Aug 3 2023 7:08 PM</t>
  </si>
  <si>
    <t>https://drive.google.com/open?id=1QuoqL9XZ0DHa2jMFcjcJDtuQGyml1Lh4</t>
  </si>
  <si>
    <t>ANDADOR 6</t>
  </si>
  <si>
    <t>XIMENA SAAVEDRA NERI</t>
  </si>
  <si>
    <t>https://drive.google.com/open?id=1JhlKN9FxxdWz2Zy0B16pDRumBcIQ_e37</t>
  </si>
  <si>
    <t xml:space="preserve">URREA </t>
  </si>
  <si>
    <t>CUÑADO</t>
  </si>
  <si>
    <t>https://drive.google.com/open?id=1jBM2SyNPJ4Y299rPTLUgscTfebGt1hn_</t>
  </si>
  <si>
    <t>https://drive.google.com/open?id=1F1lSbBq4nlEACzjSrRb18_Z-O7TyWlVK</t>
  </si>
  <si>
    <t>https://drive.google.com/open?id=1aA6PoxWcbG-lHcbf45QLbprz3UF2-5bK</t>
  </si>
  <si>
    <t>1rg3nzynwVGPqAyW9ilneL43ilHy_V3ku</t>
  </si>
  <si>
    <t>https://drive.google.com/file/d/1rg3nzynwVGPqAyW9ilneL43ilHy_V3ku/view?usp=drivesdk</t>
  </si>
  <si>
    <t>Document successfully created; Document successfully merged; PDF created; Emails Sent: [To: 21-saavedraneri.camila@cetis57.edu.mx; no-reply: true]; Run via form trigger as gabrielvazquez@cetis57.edu.mx; Timestamp: Aug 2 2023 2:47 AM</t>
  </si>
  <si>
    <t>1FOmZZyrcF0MKEMfkJzqfD7SfbupxAgxq</t>
  </si>
  <si>
    <t>https://drive.google.com/file/d/1FOmZZyrcF0MKEMfkJzqfD7SfbupxAgxq/view?usp=drivesdk</t>
  </si>
  <si>
    <t>Document successfully created; Document successfully merged; PDF created; Emails Sent: [To: 21-saavedraneri.camila@cetis57.edu.mx; no-reply: true]; Run via form trigger as gabrielvazquez@cetis57.edu.mx; Timestamp: Aug 3 2023 7:37 PM</t>
  </si>
  <si>
    <t>https://drive.google.com/open?id=1kJjVK1Jj81H2sBA10OviPAQeMPFQNdgt</t>
  </si>
  <si>
    <t>MIGUEL ANGEL NO.8</t>
  </si>
  <si>
    <t xml:space="preserve">VENDEN POLLO </t>
  </si>
  <si>
    <t>PAILA VERONICA GUERRERO MARTINEZ</t>
  </si>
  <si>
    <t>https://drive.google.com/open?id=1wUzCar1P0FmeYJyF6GHrXwGqkfJ82_A7</t>
  </si>
  <si>
    <t>sanbre.3@gmail.com</t>
  </si>
  <si>
    <t>MA SOLEDAD</t>
  </si>
  <si>
    <t>maccwarer2@gmail.com</t>
  </si>
  <si>
    <t>https://drive.google.com/open?id=1OMEHSaI4qBnhOIpJMKda1XQWDqLgYddk</t>
  </si>
  <si>
    <t>https://drive.google.com/open?id=1uQiQN4rDGgK9LmMCd3et2DD5D68FzMr7</t>
  </si>
  <si>
    <t>https://drive.google.com/open?id=1qasDWfIJXn6xGAtsnqeDJWUQJDbjKQ6N</t>
  </si>
  <si>
    <t>121J9u3wzV3fXLkHAB_vjKOCJkbW5pxsC</t>
  </si>
  <si>
    <t>https://drive.google.com/file/d/121J9u3wzV3fXLkHAB_vjKOCJkbW5pxsC/view?usp=drivesdk</t>
  </si>
  <si>
    <t>Document successfully created; Document successfully merged; PDF created; Emails Sent: [To: 22-guerreromartinez.sandra@cetis57.edu.mx; no-reply: true]; Run via form trigger as gabrielvazquez@cetis57.edu.mx; Timestamp: Aug 2 2023 12:48 AM</t>
  </si>
  <si>
    <t>1Wze7hi36t-dg8bYaR681IJVtoIIN4zK7</t>
  </si>
  <si>
    <t>https://drive.google.com/file/d/1Wze7hi36t-dg8bYaR681IJVtoIIN4zK7/view?usp=drivesdk</t>
  </si>
  <si>
    <t>Document successfully created; Document successfully merged; PDF created; Emails Sent: [To: 22-guerreromartinez.sandra@cetis57.edu.mx; no-reply: true]; Run via form trigger as gabrielvazquez@cetis57.edu.mx; Timestamp: Aug 3 2023 7:37 PM</t>
  </si>
  <si>
    <t>ZULY YEARIM</t>
  </si>
  <si>
    <t>https://drive.google.com/open?id=1VloaIIfIn-Gq4MyqC4jIjlkWid303J0t</t>
  </si>
  <si>
    <t>MAAZ071208MMCRVLA4</t>
  </si>
  <si>
    <t>CALLE CAMELIA MZ30 LT19 COL EL MOLINO IXTAPALUCA</t>
  </si>
  <si>
    <t xml:space="preserve">ENTRE AVENIDA GLORIA Y AVENIDA GARDENIA </t>
  </si>
  <si>
    <t>REYNA TERESA AVILA HERNANDEZ</t>
  </si>
  <si>
    <t>https://drive.google.com/open?id=1mwC8obdjrjsbOuhn0WZbOC1sznLat_H3</t>
  </si>
  <si>
    <t>JOSE GUILLERMO</t>
  </si>
  <si>
    <t>https://drive.google.com/open?id=1a9Fjdsn-gYmQ6z33STrTQPYaNeBSfRLy</t>
  </si>
  <si>
    <t xml:space="preserve">JOSE JHOVANNY </t>
  </si>
  <si>
    <t>https://drive.google.com/open?id=1_MFxr0SZdLORZAOGtddiAish021NEFal</t>
  </si>
  <si>
    <t>https://drive.google.com/open?id=15V-ARN9jRQSBYL4I5IPG2SCXywBuc1eN</t>
  </si>
  <si>
    <t>1MiqH5gTxNaZC7gzQhtobMFGvn0gpsNTN</t>
  </si>
  <si>
    <t>https://drive.google.com/file/d/1MiqH5gTxNaZC7gzQhtobMFGvn0gpsNTN/view?usp=drivesdk</t>
  </si>
  <si>
    <t>Document successfully created; Document successfully merged; PDF created; Emails Sent: [To: 22-martinezavila.zulyyearim@cetis57.edu.mx; no-reply: true]; Run via form trigger as gabrielvazquez@cetis57.edu.mx; Timestamp: Aug 2 2023 12:49 AM</t>
  </si>
  <si>
    <t>14ceatyfWda6e4wXLUCuhdvWwdTRftbIl</t>
  </si>
  <si>
    <t>https://drive.google.com/file/d/14ceatyfWda6e4wXLUCuhdvWwdTRftbIl/view?usp=drivesdk</t>
  </si>
  <si>
    <t>Document successfully created; Document successfully merged; PDF created; Emails Sent: [To: 22-martinezavila.zulyyearim@cetis57.edu.mx; no-reply: true]; Run via form trigger as gabrielvazquez@cetis57.edu.mx; Timestamp: Aug 3 2023 7:38 PM</t>
  </si>
  <si>
    <t>https://drive.google.com/open?id=10iGtkPxHn6AIJrQhZjoi1iTqUBMm-3Jk</t>
  </si>
  <si>
    <t>HEHS091905MTLRRSA3</t>
  </si>
  <si>
    <t xml:space="preserve">CALLE FRANCISCO GALEANA MZ 2 LT 17 COLONIAL EMILIANO ZAPATA LOS REYES LA PAZ </t>
  </si>
  <si>
    <t xml:space="preserve">LT 17 </t>
  </si>
  <si>
    <t xml:space="preserve">ZAGUAN VERDE LIMON, AL LADO DE UNOS DEPARTAMENTOS </t>
  </si>
  <si>
    <t xml:space="preserve">HERNANDEZ ACOSTA GABRIELA </t>
  </si>
  <si>
    <t>https://drive.google.com/open?id=19jnen82F8qzCxC83XjOepEw8ekmgRC1x</t>
  </si>
  <si>
    <t>gaby4hdza@gmail.com</t>
  </si>
  <si>
    <t>REBECA</t>
  </si>
  <si>
    <t xml:space="preserve">CAPTURISTA DE DATOS </t>
  </si>
  <si>
    <t>https://drive.google.com/open?id=12cRO8shJfJ4TTsx4KyCmBPl4XWT1DZl3</t>
  </si>
  <si>
    <t>https://drive.google.com/open?id=14JA2lpSSMQXKbKei41AI8yXk1iEQejtc</t>
  </si>
  <si>
    <t>https://drive.google.com/open?id=11PjgqURF9_ypAWNF-06vL7jYrhOUTy6w</t>
  </si>
  <si>
    <t>1P0Yc3XuYE7ua5m1CQVl0wVOqsHWI7s1e</t>
  </si>
  <si>
    <t>https://drive.google.com/file/d/1P0Yc3XuYE7ua5m1CQVl0wVOqsHWI7s1e/view?usp=drivesdk</t>
  </si>
  <si>
    <t>Document successfully created; Document successfully merged; PDF created; Emails Sent: [To: 21-hernandezhernandez.susana@cetis57.edu.mx; no-reply: true]; Run via form trigger as gabrielvazquez@cetis57.edu.mx; Timestamp: Aug 2 2023 12:50 AM</t>
  </si>
  <si>
    <t>1r1eEqsHQyOLqC48RUojB_6JUMkgsJoJM</t>
  </si>
  <si>
    <t>https://drive.google.com/file/d/1r1eEqsHQyOLqC48RUojB_6JUMkgsJoJM/view?usp=drivesdk</t>
  </si>
  <si>
    <t>Document successfully created; Document successfully merged; PDF created; Emails Sent: [To: 21-hernandezhernandez.susana@cetis57.edu.mx; no-reply: true]; Run via form trigger as gabrielvazquez@cetis57.edu.mx; Timestamp: Aug 3 2023 7:39 PM</t>
  </si>
  <si>
    <t>https://drive.google.com/open?id=1HcuruOX6s7vS20vlncxJvSMkczArJnqP</t>
  </si>
  <si>
    <t xml:space="preserve">Calle José María iglesias mz 50 lt 4 </t>
  </si>
  <si>
    <t xml:space="preserve">ES UNA CASA AMARILLA CON UN ZAGUAN COLOR CAFE CLARO </t>
  </si>
  <si>
    <t>https://drive.google.com/open?id=1hgTTdKWf9_MzKCtMIw1GBfxYmXTgocVX</t>
  </si>
  <si>
    <t>https://drive.google.com/open?id=1heGm0brv-DuUa5cx-Jy3gQIp6Uny8nHs</t>
  </si>
  <si>
    <t xml:space="preserve">BOJORGE </t>
  </si>
  <si>
    <t>https://drive.google.com/open?id=1cin2wLXYHvqJn9HkQVrA1w2acdNSUF8F</t>
  </si>
  <si>
    <t xml:space="preserve">Tomo antidepresivos y vitaminas para la anemia </t>
  </si>
  <si>
    <t>https://drive.google.com/open?id=1Zkw_8Y6Z2sivjSpOIstFRIgW3VKNVQnM</t>
  </si>
  <si>
    <t>15RTQ85Z5KebHIQ56MpFDIGbhZyM64tJX</t>
  </si>
  <si>
    <t>https://drive.google.com/file/d/15RTQ85Z5KebHIQ56MpFDIGbhZyM64tJX/view?usp=drivesdk</t>
  </si>
  <si>
    <t>Document successfully created; Document successfully merged; PDF created; Emails Sent: [To: 21-ruizsoto.silvana@cetis57.edu.mx; no-reply: true]; Run via form trigger as gabrielvazquez@cetis57.edu.mx; Timestamp: Aug 2 2023 12:50 AM</t>
  </si>
  <si>
    <t>1rvWKEYJUFVLiQGWWH4xpZJllrEPLqKEZ</t>
  </si>
  <si>
    <t>https://drive.google.com/file/d/1rvWKEYJUFVLiQGWWH4xpZJllrEPLqKEZ/view?usp=drivesdk</t>
  </si>
  <si>
    <t>Document successfully created; Document successfully merged; PDF created; Emails Sent: [To: 21-ruizsoto.silvana@cetis57.edu.mx; no-reply: true]; Run via form trigger as gabrielvazquez@cetis57.edu.mx; Timestamp: Aug 3 2023 2:32 PM</t>
  </si>
  <si>
    <t>DANNA RUTH</t>
  </si>
  <si>
    <t>https://drive.google.com/open?id=1ICVL96h3aXCgBA3Wm_aR6xChcJiDnbIg</t>
  </si>
  <si>
    <t>MAGD051214MMCRRNA5</t>
  </si>
  <si>
    <t>CLL LA ERA MZ2 LT2 TENORIOS</t>
  </si>
  <si>
    <t xml:space="preserve">CERCA DE UN KINDER </t>
  </si>
  <si>
    <t>KAREN MARTINEZ GARCIA</t>
  </si>
  <si>
    <t>https://drive.google.com/open?id=1HB1xXpEtocCcpvAbqVTngTLw9abzcRr1</t>
  </si>
  <si>
    <t>https://drive.google.com/open?id=1w8TURSDPs9uFkU4a_qJrjadVo4uGv4-R</t>
  </si>
  <si>
    <t>https://drive.google.com/open?id=1jo-20qQHCIfy8d-SfRU2BcYD5GEPYaYc</t>
  </si>
  <si>
    <t>https://drive.google.com/open?id=1wdlNGmUj3EVii6kYB23oA7yDPiiI0dFv</t>
  </si>
  <si>
    <t>1AGDjwKBsgBG2MxFw221JxoQOvhYhs7wh</t>
  </si>
  <si>
    <t>https://drive.google.com/file/d/1AGDjwKBsgBG2MxFw221JxoQOvhYhs7wh/view?usp=drivesdk</t>
  </si>
  <si>
    <t>Document successfully created; Document successfully merged; PDF created; Emails Sent: [To: 21-martinezgarcia.dannaruth@cetis57.edu.mx; no-reply: true]; Run via form trigger as gabrielvazquez@cetis57.edu.mx; Timestamp: Aug 2 2023 6:17 PM</t>
  </si>
  <si>
    <t>1kGvsJmVgpQ9zz5S3Pwuba3OlI838-QRN</t>
  </si>
  <si>
    <t>https://drive.google.com/file/d/1kGvsJmVgpQ9zz5S3Pwuba3OlI838-QRN/view?usp=drivesdk</t>
  </si>
  <si>
    <t>Document successfully created; Document successfully merged; PDF created; Emails Sent: [To: 21-martinezgarcia.dannaruth@cetis57.edu.mx; no-reply: true]; Run via form trigger as gabrielvazquez@cetis57.edu.mx; Timestamp: Aug 3 2023 2:33 PM</t>
  </si>
  <si>
    <t>https://drive.google.com/open?id=1NBkJlhHoY9QCDLbza-gRy7ipJWrYk745</t>
  </si>
  <si>
    <t>A 4 CASAS DE LA TIENDA 3 B "SANTA CRUZ"</t>
  </si>
  <si>
    <t>VARGAS HERNANDEZ ROSALIA</t>
  </si>
  <si>
    <t>https://drive.google.com/open?id=1ZdL403NvmUYu6D6owrkR3omYzfQPypbW</t>
  </si>
  <si>
    <t>https://drive.google.com/open?id=1k8ITPa-xIpPHQuc_fwQb4aVUa-e4oUtf</t>
  </si>
  <si>
    <t>DANIEL MAURICIO</t>
  </si>
  <si>
    <t>https://drive.google.com/open?id=1MmIyCKGT_rnEJoDRc75RY7F80A9dr_O4</t>
  </si>
  <si>
    <t>BIOINGENIERIA EN BIOMEDICINA</t>
  </si>
  <si>
    <t>TOLUCA</t>
  </si>
  <si>
    <t>https://drive.google.com/open?id=1yCzZ0OHsbOXxj-PnVYVAUokObCbZMy3T</t>
  </si>
  <si>
    <t>1ekI0BenVw-kb6B-8YZb1I3oe5dTHPsaQ</t>
  </si>
  <si>
    <t>https://drive.google.com/file/d/1ekI0BenVw-kb6B-8YZb1I3oe5dTHPsaQ/view?usp=drivesdk</t>
  </si>
  <si>
    <t>Document successfully created; Document successfully merged; PDF created; Emails Sent: [To: 21-cruzvargas.miriampatricia@cetis57.edu.mx; no-reply: true]; Run via form trigger as gabrielvazquez@cetis57.edu.mx; Timestamp: Aug 2 2023 12:52 AM</t>
  </si>
  <si>
    <t>1hqK6J6vBaEYIaaAVFyrHPPTChrk25-l2</t>
  </si>
  <si>
    <t>https://drive.google.com/file/d/1hqK6J6vBaEYIaaAVFyrHPPTChrk25-l2/view?usp=drivesdk</t>
  </si>
  <si>
    <t>Document successfully created; Document successfully merged; PDF created; Emails Sent: [To: 21-cruzvargas.miriampatricia@cetis57.edu.mx; no-reply: true]; Run via form trigger as gabrielvazquez@cetis57.edu.mx; Timestamp: Aug 3 2023 2:34 PM</t>
  </si>
  <si>
    <t>https://drive.google.com/open?id=1EnTuELIJ82XYXj4b3RWSDwBqGXYLPr9L</t>
  </si>
  <si>
    <t>EMILIANO ZAPATA MZ 39 LT 433 EJIDOS DE SANTA MARIA AZTAHUACAN</t>
  </si>
  <si>
    <t>ENTRE MANUEL AVILA CAMACHO Y VICENTE GUERRERO, ALADO DE UNA TIENDA</t>
  </si>
  <si>
    <t>SANDRA LUZ RUIZ GALVAN</t>
  </si>
  <si>
    <t>https://drive.google.com/open?id=16czt7y2Ph7Xvo9I71D5XBivyOKKHwZZ1</t>
  </si>
  <si>
    <t>https://drive.google.com/open?id=1UskaHriAGhQIAO7v-GU6qyxp4wWdAMoc</t>
  </si>
  <si>
    <t>JOSE ERASMO</t>
  </si>
  <si>
    <t>https://drive.google.com/open?id=1-wcJUZyaXa9ac4BOIpjj8wWTfViiJmBz</t>
  </si>
  <si>
    <t>https://drive.google.com/open?id=1ZUmpyMsc2t6BXeeTLDrnT-i_IwMWyz6z</t>
  </si>
  <si>
    <t>1iErGWENPZBSHq1enB0TSdbow83IAMtlt</t>
  </si>
  <si>
    <t>https://drive.google.com/file/d/1iErGWENPZBSHq1enB0TSdbow83IAMtlt/view?usp=drivesdk</t>
  </si>
  <si>
    <t>Document successfully created; Document successfully merged; PDF created; !!Error Sending Emails: Límite excedido: Tamaño total de los archivos adjuntos del correo electrónico.; Run via form trigger as gabrielvazquez@cetis57.edu.mx; Timestamp: Aug 2 2023 12:54 AM</t>
  </si>
  <si>
    <t>1irFlkVwK-v6d1XgAZUMySecyMycoKQSy</t>
  </si>
  <si>
    <t>https://drive.google.com/file/d/1irFlkVwK-v6d1XgAZUMySecyMycoKQSy/view?usp=drivesdk</t>
  </si>
  <si>
    <t>Document successfully created; Document successfully merged; PDF created; !!Error Sending Emails: Límite excedido: Tamaño total de los archivos adjuntos del correo electrónico.; Run via form trigger as gabrielvazquez@cetis57.edu.mx; Timestamp: Aug 3 2023 7:55 PM</t>
  </si>
  <si>
    <t>https://drive.google.com/open?id=1eBaUbFY9wv_opQOSw3G31T_w6Y23dsq_</t>
  </si>
  <si>
    <t xml:space="preserve">BRIGADA ALVAREZ MZ.9 LT.24 </t>
  </si>
  <si>
    <t xml:space="preserve">LT.24 </t>
  </si>
  <si>
    <t xml:space="preserve">TIENDA EN LA ESQUINA Y UNA PRIMARIA A UNA CUADRA </t>
  </si>
  <si>
    <t xml:space="preserve">KENIA KARINA BAUTISTA HERNANDEZ </t>
  </si>
  <si>
    <t>https://drive.google.com/open?id=1HBD5hByKFmMFvsCPU3Uh4rVvzm8udHBt</t>
  </si>
  <si>
    <t>https://drive.google.com/open?id=1ZcLAejg-JIsZJdHKaBKAfwuNnegYm3x4</t>
  </si>
  <si>
    <t>https://drive.google.com/open?id=1odnF695GPXTSf3wYG_ZyrWl9WpePHB5t</t>
  </si>
  <si>
    <t>PROTESIS Y ASISTENTE DENTAL</t>
  </si>
  <si>
    <t>https://drive.google.com/open?id=1t2dFeaEQtXCIORQMYLeyco13o32695Ib</t>
  </si>
  <si>
    <t>1aRjiuZBaC59hBaPmCtP3PzmuRgwL_IU2</t>
  </si>
  <si>
    <t>https://drive.google.com/file/d/1aRjiuZBaC59hBaPmCtP3PzmuRgwL_IU2/view?usp=drivesdk</t>
  </si>
  <si>
    <t>Document successfully created; Document successfully merged; PDF created; Emails Sent: [To: 22-garciabautista.fatimaharumy@cetis57.edu.mx; no-reply: true]; Run via form trigger as gabrielvazquez@cetis57.edu.mx; Timestamp: Aug 2 2023 2:58 AM</t>
  </si>
  <si>
    <t>1q2JTDW4d2aMRtNceBZ6fe5vsH78rywDw</t>
  </si>
  <si>
    <t>https://drive.google.com/file/d/1q2JTDW4d2aMRtNceBZ6fe5vsH78rywDw/view?usp=drivesdk</t>
  </si>
  <si>
    <t>Document successfully created; Document successfully merged; PDF created; Emails Sent: [To: 22-garciabautista.fatimaharumy@cetis57.edu.mx; no-reply: true]; Run via form trigger as gabrielvazquez@cetis57.edu.mx; Timestamp: Aug 3 2023 8:08 PM</t>
  </si>
  <si>
    <t>https://drive.google.com/open?id=1Izie_IkG7Zlbuy6g5NRplAj_RtqLHki1</t>
  </si>
  <si>
    <t>CALLE VERDOLAGA</t>
  </si>
  <si>
    <t xml:space="preserve">sin número </t>
  </si>
  <si>
    <t xml:space="preserve">UNA CASA ANTES DEL BORDO </t>
  </si>
  <si>
    <t>BABINES CORONA ALMA</t>
  </si>
  <si>
    <t>https://drive.google.com/open?id=1bYmRf5vZXKYtQSIl2xtyfBdLzO6k_Hsd</t>
  </si>
  <si>
    <t>https://drive.google.com/open?id=1C21T0UYTGyWtPfpe3KmHRJC43LmdUCD0</t>
  </si>
  <si>
    <t>sergiob853@gmail.com</t>
  </si>
  <si>
    <t>https://drive.google.com/open?id=1hzeSChtVtCFGzl3io6U5Uxt_osnTi3P0</t>
  </si>
  <si>
    <t>https://drive.google.com/open?id=1IiiXlgYD_xLU6gmYZntSdHpQNLXg8RDp</t>
  </si>
  <si>
    <t>1hfloxO34atiQT8LFKXyFcmEND282jHMd</t>
  </si>
  <si>
    <t>https://drive.google.com/file/d/1hfloxO34atiQT8LFKXyFcmEND282jHMd/view?usp=drivesdk</t>
  </si>
  <si>
    <t>Document successfully created; Document successfully merged; PDF created; Emails Sent: [To: 22-bernalbabines.wendy@cetis57.edu.mx; no-reply: true]; Run via form trigger as gabrielvazquez@cetis57.edu.mx; Timestamp: Aug 2 2023 3:00 AM</t>
  </si>
  <si>
    <t>11u-vhmOyopyy52j0Qj2uOjC7T_GCjQhg</t>
  </si>
  <si>
    <t>https://drive.google.com/file/d/11u-vhmOyopyy52j0Qj2uOjC7T_GCjQhg/view?usp=drivesdk</t>
  </si>
  <si>
    <t>Document successfully created; Document successfully merged; PDF created; Emails Sent: [To: 22-bernalbabines.wendy@cetis57.edu.mx; no-reply: true]; Run via form trigger as gabrielvazquez@cetis57.edu.mx; Timestamp: Aug 3 2023 8:10 PM</t>
  </si>
  <si>
    <t>https://drive.google.com/open?id=1nFapg_kY8nPGIj3Lo9i1wX9k-_nMNu3w</t>
  </si>
  <si>
    <t>CALLE TOPILZIN LOTE 59</t>
  </si>
  <si>
    <t>ANCON</t>
  </si>
  <si>
    <t xml:space="preserve">PALETERIA EN LA ESQUINA </t>
  </si>
  <si>
    <t xml:space="preserve">SARAY PEREZ CALDERON </t>
  </si>
  <si>
    <t>https://drive.google.com/open?id=1thEbmEyTGka1h4OnnJfcc80O_EFIyqxj</t>
  </si>
  <si>
    <t>robertocarloscortesgalicia@gmail.com</t>
  </si>
  <si>
    <t>https://drive.google.com/open?id=15xD3QQWszqOshcOkYVxLHF3YFwCYm-45</t>
  </si>
  <si>
    <t>KALEB</t>
  </si>
  <si>
    <t xml:space="preserve">ASISTENTE DE PROTESIS  DENTAL </t>
  </si>
  <si>
    <t>https://drive.google.com/open?id=1a8Sr9hFokRJioqFtauZm9FaHR6xaADqB</t>
  </si>
  <si>
    <t xml:space="preserve">ERMITA </t>
  </si>
  <si>
    <t>https://drive.google.com/open?id=1qwjjOxf_iLSG4O_T1YWrX1CE1jsk-0eO</t>
  </si>
  <si>
    <t>1M3j0MU3ROkcWYmrJ0iSm-PGbb0lyUeGl</t>
  </si>
  <si>
    <t>https://drive.google.com/file/d/1M3j0MU3ROkcWYmrJ0iSm-PGbb0lyUeGl/view?usp=drivesdk</t>
  </si>
  <si>
    <t>Document successfully created; Document successfully merged; PDF created; Emails Sent: [To: 21-cortesperez.michel@cetis57.edu.mx; no-reply: true]; Run via form trigger as gabrielvazquez@cetis57.edu.mx; Timestamp: Aug 2 2023 10:58 PM</t>
  </si>
  <si>
    <t>1qXtht83vsPfc05R3xFIYPJypGZ1OLLRk</t>
  </si>
  <si>
    <t>https://drive.google.com/file/d/1qXtht83vsPfc05R3xFIYPJypGZ1OLLRk/view?usp=drivesdk</t>
  </si>
  <si>
    <t>Document successfully created; Document successfully merged; PDF created; Emails Sent: [To: 21-cortesperez.michel@cetis57.edu.mx; no-reply: true]; Run via form trigger as gabrielvazquez@cetis57.edu.mx; Timestamp: Aug 3 2023 8:10 PM</t>
  </si>
  <si>
    <t>https://drive.google.com/open?id=1ahZYLjppvMoKLk7-FB5f8v8TlpUtdcOp</t>
  </si>
  <si>
    <t xml:space="preserve">ENTRE AV.INSURGENTES Y REFORMA SINDICAL </t>
  </si>
  <si>
    <t>CASTILLO NACAR NANCY</t>
  </si>
  <si>
    <t>https://drive.google.com/open?id=1jB2aLSTQ4PtdI1a2LevPpAdD73H_M_-L</t>
  </si>
  <si>
    <t>https://drive.google.com/open?id=1aQNA94GemaHalZGJMIKEeV2RPaVsgp96</t>
  </si>
  <si>
    <t xml:space="preserve">NACAR </t>
  </si>
  <si>
    <t>EFIGENIA</t>
  </si>
  <si>
    <t>VENDEDORA INDEPENDIENTE</t>
  </si>
  <si>
    <t>https://drive.google.com/open?id=124Un2Pi3MFEvfVgT2BwfmgHttZd9JOSt</t>
  </si>
  <si>
    <t>UNAM, FES Zaragoza</t>
  </si>
  <si>
    <t>https://drive.google.com/open?id=1BmzzIaMRl6vPhoeSGyXGBptpwJ38NBkm</t>
  </si>
  <si>
    <t>1W2HddunLqpSk3-Dy0p1NXIUwjg3VKkXn</t>
  </si>
  <si>
    <t>https://drive.google.com/file/d/1W2HddunLqpSk3-Dy0p1NXIUwjg3VKkXn/view?usp=drivesdk</t>
  </si>
  <si>
    <t>Document successfully created; Document successfully merged; PDF created; Emails Sent: [To: 22-quezadacastillo.rodrigodamian@cetis57.edu.mx; no-reply: true]; Run via form trigger as gabrielvazquez@cetis57.edu.mx; Timestamp: Aug 2 2023 3:01 AM</t>
  </si>
  <si>
    <t>1jwZQWjqXlNBqStPHvHMpYD50o-ELYQpJ</t>
  </si>
  <si>
    <t>https://drive.google.com/file/d/1jwZQWjqXlNBqStPHvHMpYD50o-ELYQpJ/view?usp=drivesdk</t>
  </si>
  <si>
    <t>Document successfully created; Document successfully merged; PDF created; Emails Sent: [To: 22-quezadacastillo.rodrigodamian@cetis57.edu.mx; no-reply: true]; Run via form trigger as gabrielvazquez@cetis57.edu.mx; Timestamp: Aug 3 2023 8:11 PM</t>
  </si>
  <si>
    <t>COSTILLA</t>
  </si>
  <si>
    <t>https://drive.google.com/open?id=18YCzvFNBsoVgD6MmhXhWcvPY2aq6R4dx</t>
  </si>
  <si>
    <t>CALLE LIMON MZ 238 LT 9</t>
  </si>
  <si>
    <t xml:space="preserve">HAY UNA JUGUERIA ENFRENTE DEL DOMICILIO Y UNA VIDRERIA EN EL DOMICILO 
</t>
  </si>
  <si>
    <t>https://drive.google.com/open?id=127C7xpvSlkAZPel1LGmJiNSkCqapcRYu</t>
  </si>
  <si>
    <t xml:space="preserve">CARLOS DAMIAN </t>
  </si>
  <si>
    <t>charlysombra4@gmail.com</t>
  </si>
  <si>
    <t>https://drive.google.com/open?id=15EvdsIYQYffsMojGDK1SULudtZ-wTcOF</t>
  </si>
  <si>
    <t>JOCELINNE</t>
  </si>
  <si>
    <t>jocelinnecruzmaldonado@gmail.com</t>
  </si>
  <si>
    <t>https://drive.google.com/open?id=1EcgJVuRCp8KR8SJTQ_n0xU3QA5yX_jpX</t>
  </si>
  <si>
    <t>https://drive.google.com/open?id=1V3dWE-AsnaGD3kW8PbVT7QkZsw_Mhud-</t>
  </si>
  <si>
    <t>176rKbOAu2OfSJRjT9nrhCC5IjDrzntqa</t>
  </si>
  <si>
    <t>https://drive.google.com/file/d/176rKbOAu2OfSJRjT9nrhCC5IjDrzntqa/view?usp=drivesdk</t>
  </si>
  <si>
    <t>Document successfully created; Document successfully merged; PDF created; Emails Sent: [To: 21-costillamaldonado.mariafernanda@cetis57.edu.mx; no-reply: true]; Run via form trigger as gabrielvazquez@cetis57.edu.mx; Timestamp: Aug 2 2023 3:11 AM</t>
  </si>
  <si>
    <t>1gIkxZwV_mIUI6Yjv8eQYZ3GlT-rrMPkh</t>
  </si>
  <si>
    <t>https://drive.google.com/file/d/1gIkxZwV_mIUI6Yjv8eQYZ3GlT-rrMPkh/view?usp=drivesdk</t>
  </si>
  <si>
    <t>Document successfully created; Document successfully merged; PDF created; Emails Sent: [To: 21-costillamaldonado.mariafernanda@cetis57.edu.mx; no-reply: true]; Run via form trigger as gabrielvazquez@cetis57.edu.mx; Timestamp: Aug 3 2023 8:59 PM</t>
  </si>
  <si>
    <t>FRANCISCO URIEL</t>
  </si>
  <si>
    <t>https://drive.google.com/open?id=18ymTdoJAEKE6Dg6o6xf4c7sH5XY5-yCe</t>
  </si>
  <si>
    <t>HEMF051104HMCRNRA7</t>
  </si>
  <si>
    <t>Calle juarez manzana 14 lote 8 dep 6</t>
  </si>
  <si>
    <t>06</t>
  </si>
  <si>
    <t xml:space="preserve">TOPANDO CON LA CARRETERA SAN FRANCISCO </t>
  </si>
  <si>
    <t>https://drive.google.com/open?id=11LcO7gZqJdnIfvkfD9eVgTd94aICX1i6</t>
  </si>
  <si>
    <t>marialuciamontesinosfabian@gmail.com</t>
  </si>
  <si>
    <t>https://drive.google.com/open?id=1BjEtuAIKsrfWxtNxGiaxZFtX_e1f_FNu</t>
  </si>
  <si>
    <t>https://drive.google.com/open?id=1GqNsZNHNOEl76FUMA6SlXANb59R1w4XW</t>
  </si>
  <si>
    <t>https://drive.google.com/open?id=1DG7qMkVkJ0YmsovUGdPKdHcjpcY2w4kQ</t>
  </si>
  <si>
    <t>122XoQnoZNrSbM8rROkddelyzFhy-9Lk6</t>
  </si>
  <si>
    <t>https://drive.google.com/file/d/122XoQnoZNrSbM8rROkddelyzFhy-9Lk6/view?usp=drivesdk</t>
  </si>
  <si>
    <t>Document successfully created; Document successfully merged; PDF created; Emails Sent: [To: 21-hernandezmontesinos.franciscouriel@cetis57.edu.mx; no-reply: true]; Run via form trigger as gabrielvazquez@cetis57.edu.mx; Timestamp: Aug 2 2023 3:11 AM</t>
  </si>
  <si>
    <t>19bpznPSiBZfWXt3i6vSkzuichGwaVAUX</t>
  </si>
  <si>
    <t>https://drive.google.com/file/d/19bpznPSiBZfWXt3i6vSkzuichGwaVAUX/view?usp=drivesdk</t>
  </si>
  <si>
    <t>Document successfully created; Document successfully merged; PDF created; Emails Sent: [To: 21-hernandezmontesinos.franciscouriel@cetis57.edu.mx; no-reply: true]; Run via form trigger as gabrielvazquez@cetis57.edu.mx; Timestamp: Aug 3 2023 9:00 PM</t>
  </si>
  <si>
    <t>CARLOS CALEB</t>
  </si>
  <si>
    <t>https://drive.google.com/open?id=1of5eSJ2NfA9o6h_9hLaIN1ShDyR6i2GJ</t>
  </si>
  <si>
    <t>Andador agrarista</t>
  </si>
  <si>
    <t>Acambay de Ruíz Castañeda</t>
  </si>
  <si>
    <t xml:space="preserve">ES UN ANDADOR </t>
  </si>
  <si>
    <t>JOSEFINA   HERNANDEZ LUCAS</t>
  </si>
  <si>
    <t>https://drive.google.com/open?id=1zGpW40HkkQVZaTLL-yq5ttkH6ascoaET</t>
  </si>
  <si>
    <t>josefina0978@gmail.com</t>
  </si>
  <si>
    <t>https://drive.google.com/open?id=1N5KOFkp4KzxBBgkKotKY-k6ONbTYDLxK</t>
  </si>
  <si>
    <t xml:space="preserve">AMBAR ITZEL GUADALUPE </t>
  </si>
  <si>
    <t>ambarjacinto4@gmail.com</t>
  </si>
  <si>
    <t>https://drive.google.com/open?id=1Pbs3yBfHQSKaA7InsdQoQdPvddPbpMhm</t>
  </si>
  <si>
    <t>https://drive.google.com/open?id=1ajrlq3lIOUzJSmbU7foXx_CSk85BAkZd</t>
  </si>
  <si>
    <t>1LoXs3dfpcflQI7-5NLfcs8dZMPEiLpEh</t>
  </si>
  <si>
    <t>https://drive.google.com/file/d/1LoXs3dfpcflQI7-5NLfcs8dZMPEiLpEh/view?usp=drivesdk</t>
  </si>
  <si>
    <t>Document successfully created; Document successfully merged; PDF created; Emails Sent: [To: 22-jacintohernandez.carloscaleb@cetis57.edu.mx; no-reply: true]; Run via form trigger as gabrielvazquez@cetis57.edu.mx; Timestamp: Aug 2 2023 3:12 AM</t>
  </si>
  <si>
    <t>12WMr1S3sd-gf9pdQngiNLCO6w7l59bbd</t>
  </si>
  <si>
    <t>https://drive.google.com/file/d/12WMr1S3sd-gf9pdQngiNLCO6w7l59bbd/view?usp=drivesdk</t>
  </si>
  <si>
    <t>Document successfully created; Document successfully merged; PDF created; Emails Sent: [To: 22-jacintohernandez.carloscaleb@cetis57.edu.mx; no-reply: true]; Run via form trigger as gabrielvazquez@cetis57.edu.mx; Timestamp: Aug 3 2023 2:47 PM</t>
  </si>
  <si>
    <t>https://drive.google.com/open?id=1RVPhhD80e53Fbarc1lsLmFrWyb9FQLjd</t>
  </si>
  <si>
    <t>CERRADA DE PABLO GARCÍA NUMERO 27 COLONIA JUAN ESCUTIA DELEGACIÓN IZTAPALAPA CÓDIGO POSTAL 09100</t>
  </si>
  <si>
    <t>FACHADA BLANCA PUERTA NEGRA ENFRENTE DE LA VETERINARIA HANDY</t>
  </si>
  <si>
    <t xml:space="preserve">MARIA ARACELI BADILLO ROQUE </t>
  </si>
  <si>
    <t>https://drive.google.com/open?id=1WY984EgV9gDFoCErMIkMYQcxzjubkl9g</t>
  </si>
  <si>
    <t>https://drive.google.com/open?id=1vSYFxuo3FBs6s4sExHM3KMmvbQB2metD</t>
  </si>
  <si>
    <t xml:space="preserve">ZALDIVAR </t>
  </si>
  <si>
    <t>https://drive.google.com/open?id=117I8K49dyJ_u6n_x6Jalcc3PPZs8QxrK</t>
  </si>
  <si>
    <t xml:space="preserve">FEZ ZARAGOZA UNAM </t>
  </si>
  <si>
    <t>https://drive.google.com/open?id=1ImvevWRvbksozIjy_WRiiY4TQ7urzoQ7</t>
  </si>
  <si>
    <t>1DU3YJlVGhz8ihb-QSnFmHOL1xAy5Mufj</t>
  </si>
  <si>
    <t>https://drive.google.com/file/d/1DU3YJlVGhz8ihb-QSnFmHOL1xAy5Mufj/view?usp=drivesdk</t>
  </si>
  <si>
    <t>Document successfully created; Document successfully merged; PDF created; Emails Sent: [To: 21-solorzanobadillo.leonardodaniel@cetis57.edu.mx; no-reply: true]; Run via form trigger as gabrielvazquez@cetis57.edu.mx; Timestamp: Aug 2 2023 6:29 PM</t>
  </si>
  <si>
    <t>1fYhWld0DskIZQRHvQJXMYTk6KdmVEDX0</t>
  </si>
  <si>
    <t>https://drive.google.com/file/d/1fYhWld0DskIZQRHvQJXMYTk6KdmVEDX0/view?usp=drivesdk</t>
  </si>
  <si>
    <t>Document successfully created; Document successfully merged; PDF created; Emails Sent: [To: 21-solorzanobadillo.leonardodaniel@cetis57.edu.mx; no-reply: true]; Run via form trigger as gabrielvazquez@cetis57.edu.mx; Timestamp: Aug 3 2023 2:47 PM</t>
  </si>
  <si>
    <t>JADE ESMERALDA</t>
  </si>
  <si>
    <t>https://drive.google.com/open?id=1PETcrjGgdZFbO9eTV_T_3RuBQtKTHJtv</t>
  </si>
  <si>
    <t>CALLE GALAXIA 33 8VA. AMPLIACIÓN SAN MIGUEL</t>
  </si>
  <si>
    <t xml:space="preserve">AL FINAL DE CALLE FUNDICION SE UBICA LA LIBRERIA LA PORRUA Y A ES QUE LA DE LA CALLE GALAXIA SE ENCUENTRA UN TALLER ELECTRICO </t>
  </si>
  <si>
    <t>https://drive.google.com/open?id=12W_c5waCUyuQ7i6hQ8FHEpt9NYCnUj5w</t>
  </si>
  <si>
    <t>cachi_2910@hotmail.com.mx</t>
  </si>
  <si>
    <t>https://drive.google.com/open?id=1a-vHrUw61Wnrt0z6lWIpoyGG4Dd64V9l</t>
  </si>
  <si>
    <t>CLAUDIA GUADALUPE</t>
  </si>
  <si>
    <t>https://drive.google.com/open?id=1vC0d42WQwFN9nTjemOZYXcFso0LM7w7i</t>
  </si>
  <si>
    <t>https://drive.google.com/open?id=1okQ1PijTvDLONphUN-I481XdcSe93F5c</t>
  </si>
  <si>
    <t>1wXGB7Vv5sJjwmWwPrkLr4shkbq197_FG</t>
  </si>
  <si>
    <t>https://drive.google.com/file/d/1wXGB7Vv5sJjwmWwPrkLr4shkbq197_FG/view?usp=drivesdk</t>
  </si>
  <si>
    <t>Document successfully created; Document successfully merged; PDF created; Emails Sent: [To: 21-garciamorales.jadeesmeralda@cetis57.edu.mx; no-reply: true]; Run via form trigger as gabrielvazquez@cetis57.edu.mx; Timestamp: Aug 2 2023 6:30 PM</t>
  </si>
  <si>
    <t>1ZMBu5U0bs8XFyFBGu-jDEh60f7ReyvJu</t>
  </si>
  <si>
    <t>https://drive.google.com/file/d/1ZMBu5U0bs8XFyFBGu-jDEh60f7ReyvJu/view?usp=drivesdk</t>
  </si>
  <si>
    <t>Document successfully created; Document successfully merged; PDF created; Emails Sent: [To: 21-garciamorales.jadeesmeralda@cetis57.edu.mx; no-reply: true]; Run via form trigger as gabrielvazquez@cetis57.edu.mx; Timestamp: Aug 3 2023 2:49 PM</t>
  </si>
  <si>
    <t>https://drive.google.com/open?id=17a9TB96wHUvXG-HHpXYbc6tmfgL1eogP</t>
  </si>
  <si>
    <t xml:space="preserve">SUR 7 MNZ 225 LT 11 </t>
  </si>
  <si>
    <t xml:space="preserve">DULCE LIZETH CONTRERAS PLATA </t>
  </si>
  <si>
    <t>https://drive.google.com/open?id=1cJVXYiZvxoyJTKqqo6o-Nm4I91XYJAhD</t>
  </si>
  <si>
    <t>bzrcm53@gmail.com</t>
  </si>
  <si>
    <t xml:space="preserve">VIGILANTE </t>
  </si>
  <si>
    <t>https://drive.google.com/open?id=1BGsmbbSv0pQbL-XbWEFcLWX8BMs_4RQ8</t>
  </si>
  <si>
    <t>https://drive.google.com/open?id=1p1Z1HFhx4FQUli-beiQRYHEin6AknAbS</t>
  </si>
  <si>
    <t xml:space="preserve">PSIQUIATRICO </t>
  </si>
  <si>
    <t>https://drive.google.com/open?id=1KIyfOkzjZJ_0e4slwUzMtgJro0BJ-952</t>
  </si>
  <si>
    <t>18wyw8iSkj4Y-aoiMIIxueMn1F04DYfBU</t>
  </si>
  <si>
    <t>https://drive.google.com/file/d/18wyw8iSkj4Y-aoiMIIxueMn1F04DYfBU/view?usp=drivesdk</t>
  </si>
  <si>
    <t>Document successfully created; Document successfully merged; PDF created; Emails Sent: [To: 21-contrerasplata.fernandamichelle@cetis57.edu.mx; no-reply: true]; Run via form trigger as gabrielvazquez@cetis57.edu.mx; Timestamp: Aug 2 2023 3:14 AM</t>
  </si>
  <si>
    <t>1ChS9KQ239TWFpsltlOya-rV8ZWD1la_n</t>
  </si>
  <si>
    <t>https://drive.google.com/file/d/1ChS9KQ239TWFpsltlOya-rV8ZWD1la_n/view?usp=drivesdk</t>
  </si>
  <si>
    <t>Document successfully created; Document successfully merged; PDF created; Emails Sent: [To: 21-contrerasplata.fernandamichelle@cetis57.edu.mx; no-reply: true]; Run via form trigger as gabrielvazquez@cetis57.edu.mx; Timestamp: Aug 3 2023 9:01 PM</t>
  </si>
  <si>
    <t>22-cadenagarcia.janetabigail@cetis57.edu.mx</t>
  </si>
  <si>
    <t xml:space="preserve">JANET ABIGAIL </t>
  </si>
  <si>
    <t>https://drive.google.com/open?id=11Wi3MGhWz1e5aHCovDgxUT23aA_T_Dow</t>
  </si>
  <si>
    <t>CAGJ070829MMCDRNA5</t>
  </si>
  <si>
    <t>ANDADOR 2 DE ABRIL MZ 2 LT 18</t>
  </si>
  <si>
    <t>AUN LADO DE UNA PANADERIA</t>
  </si>
  <si>
    <t xml:space="preserve">CADENA GARCIA ROSA MARIA </t>
  </si>
  <si>
    <t>https://drive.google.com/open?id=1l6mvwdD5xVlTZufUJ6jaswJR_c1czNIR</t>
  </si>
  <si>
    <t>rosyboo67@gmail.com</t>
  </si>
  <si>
    <t xml:space="preserve">MADRINA </t>
  </si>
  <si>
    <t>carmeliny64@gmail.com</t>
  </si>
  <si>
    <t>https://drive.google.com/open?id=17-Suv4Ln6tj3sIxpnhl27pFVb8WQaLEW</t>
  </si>
  <si>
    <t xml:space="preserve">CADENA </t>
  </si>
  <si>
    <t>almaosorio39@gmail.com</t>
  </si>
  <si>
    <t>https://drive.google.com/open?id=1Mc3m8yHgfTwzOrXUK5IdbAoLeZh2ldTQ</t>
  </si>
  <si>
    <t>https://drive.google.com/open?id=1rw_jRvD6f9CTZFvJIZ15D7uZQbt7GD4U</t>
  </si>
  <si>
    <t>04220746350</t>
  </si>
  <si>
    <t>1c4DYl8cZ6JNj-dOc0tBH5Fi-yCfOARQK</t>
  </si>
  <si>
    <t>https://drive.google.com/file/d/1c4DYl8cZ6JNj-dOc0tBH5Fi-yCfOARQK/view?usp=drivesdk</t>
  </si>
  <si>
    <t>Document successfully created; Document successfully merged; PDF created; Emails Sent: [To: 22-cadenagarcia.janetabigail@cetis57.edu.mx]; Manually run by cgvaz@cetis57.edu.mx; Timestamp: Aug 3 2023 11:38 AM</t>
  </si>
  <si>
    <t>1Vc0Iw4GiN6WYumVoZP5FgGSkwdoUW52G</t>
  </si>
  <si>
    <t>https://drive.google.com/file/d/1Vc0Iw4GiN6WYumVoZP5FgGSkwdoUW52G/view?usp=drivesdk</t>
  </si>
  <si>
    <t>Document successfully created; Document successfully merged; PDF created; Emails Sent: [To: 22-cadenagarcia.janetabigail@cetis57.edu.mx; no-reply: true]; Run via form trigger as gabrielvazquez@cetis57.edu.mx; Timestamp: Aug 3 2023 9:16 PM</t>
  </si>
  <si>
    <t>https://drive.google.com/open?id=1-eEbnActVbFN-AskT-iYQq3SBi4V8yU8</t>
  </si>
  <si>
    <t>CALLE FRATERNIDAD MZ3 LT22</t>
  </si>
  <si>
    <t>SANDRA ARREOLA VENTURA</t>
  </si>
  <si>
    <t>https://drive.google.com/open?id=1AeXOmcsA0ElJcn1QmKc22b95lno5ZH3u</t>
  </si>
  <si>
    <t>CANDIDO FELIPE</t>
  </si>
  <si>
    <t>ESPOSO DE LA MADRE</t>
  </si>
  <si>
    <t>https://drive.google.com/open?id=1G_d81RthVR0aUCPXmh6B0TN0gwNH1piz</t>
  </si>
  <si>
    <t>CECILIA PATRICIA</t>
  </si>
  <si>
    <t>VECINA</t>
  </si>
  <si>
    <t>cecijimher34@gmail.com</t>
  </si>
  <si>
    <t>https://drive.google.com/open?id=13rPirthoSYHWMsk8_hpVkQWQ4O4SrJIu</t>
  </si>
  <si>
    <t>https://drive.google.com/open?id=18XRoBzpWx_szxXN4_lgA9Fdkgj7Y6XeL</t>
  </si>
  <si>
    <t>16FSpzHfZRR8f4VCBLt48MrDUR5T6L-MS</t>
  </si>
  <si>
    <t>https://drive.google.com/file/d/16FSpzHfZRR8f4VCBLt48MrDUR5T6L-MS/view?usp=drivesdk</t>
  </si>
  <si>
    <t>Document successfully created; Document successfully merged; PDF created; Emails Sent: [To: 22-marquezarreola.germainsantiago@cetis57.edu.mx; no-reply: true]; Run via form trigger as gabrielvazquez@cetis57.edu.mx; Timestamp: Aug 2 2023 3:14 AM</t>
  </si>
  <si>
    <t>15ymlD11EydpguSZ-HMYSINqh5BOkfv0p</t>
  </si>
  <si>
    <t>https://drive.google.com/file/d/15ymlD11EydpguSZ-HMYSINqh5BOkfv0p/view?usp=drivesdk</t>
  </si>
  <si>
    <t>Document successfully created; Document successfully merged; PDF created; Emails Sent: [To: 22-marquezarreola.germainsantiago@cetis57.edu.mx; no-reply: true]; Run via form trigger as gabrielvazquez@cetis57.edu.mx; Timestamp: Aug 3 2023 9:41 PM</t>
  </si>
  <si>
    <t>https://drive.google.com/open?id=1-Bp0VtzooofwQf0IAlWdPlqWT2x0glM6</t>
  </si>
  <si>
    <t>CALLE ABELARDO RODRIGUEZ #105</t>
  </si>
  <si>
    <t xml:space="preserve">SAHUAN BLANCO </t>
  </si>
  <si>
    <t xml:space="preserve">JIMENEZ PAREDES ISLA MERCEDES </t>
  </si>
  <si>
    <t>SOY MAYOR DE EDAD</t>
  </si>
  <si>
    <t>https://drive.google.com/open?id=11aZdz3H5sYk3mhixHBfOb5wMwWe76f-R</t>
  </si>
  <si>
    <t>https://drive.google.com/open?id=1PkmYDta5zVXaferSSZ0eQ--ZapgZYN-S</t>
  </si>
  <si>
    <t>https://drive.google.com/open?id=1zDvcpT9XmMfJ2FlJFmmjkbTy97MNENwj</t>
  </si>
  <si>
    <t>https://drive.google.com/open?id=14tKMlFmWxOSpMHERhXOFby2lKPMwkyEc</t>
  </si>
  <si>
    <t>1dHn0BXYwS_5DGyE9z4KJggZlYAcFCEQc</t>
  </si>
  <si>
    <t>https://drive.google.com/file/d/1dHn0BXYwS_5DGyE9z4KJggZlYAcFCEQc/view?usp=drivesdk</t>
  </si>
  <si>
    <t>Document successfully created; Document successfully merged; PDF created; Emails Sent: [To: 21-jimenezparedes.islamercedes@cetis57.edu.mx; no-reply: true]; Run via form trigger as gabrielvazquez@cetis57.edu.mx; Timestamp: Aug 2 2023 6:32 PM</t>
  </si>
  <si>
    <t>1lKzFPeEQ4xES7fl60QuCDyNHBGbNpIi2</t>
  </si>
  <si>
    <t>https://drive.google.com/file/d/1lKzFPeEQ4xES7fl60QuCDyNHBGbNpIi2/view?usp=drivesdk</t>
  </si>
  <si>
    <t>Document successfully created; Document successfully merged; PDF created; Emails Sent: [To: 21-jimenezparedes.islamercedes@cetis57.edu.mx; no-reply: true]; Run via form trigger as gabrielvazquez@cetis57.edu.mx; Timestamp: Aug 3 2023 9:41 PM</t>
  </si>
  <si>
    <t>https://drive.google.com/open?id=1uZu1zqzrD6TzuYNpVXIDcg_81TWJqVDX</t>
  </si>
  <si>
    <t>EJE 5 SUR</t>
  </si>
  <si>
    <t xml:space="preserve">EJERCICIO DE AGUA PRIETA </t>
  </si>
  <si>
    <t>206 D</t>
  </si>
  <si>
    <t xml:space="preserve">UNIDAD HABITACIONAL TABIQUE ROJO </t>
  </si>
  <si>
    <t xml:space="preserve">SARA MARGARITA MONTOYA CABRERA </t>
  </si>
  <si>
    <t>https://drive.google.com/open?id=1tXT6nCtMDZTs47ueNYcDDkxPOIvtwTnJ</t>
  </si>
  <si>
    <t>sarah2018@hotmail.com</t>
  </si>
  <si>
    <t>https://drive.google.com/open?id=1STrl8lyLRADmofJiBejJrZqf8Wvo9-iG</t>
  </si>
  <si>
    <t>https://drive.google.com/open?id=1FjYwC8RnxKmQ0xB9fbaPjBEGwtc9c4_L</t>
  </si>
  <si>
    <t>https://drive.google.com/open?id=13PVvhLYy0kAiJRGrvppyhF9XdJJ_dXCa</t>
  </si>
  <si>
    <t>1IK5uuJB3lU7OZFDYHqBs9cZSlnWhQlTI</t>
  </si>
  <si>
    <t>https://drive.google.com/file/d/1IK5uuJB3lU7OZFDYHqBs9cZSlnWhQlTI/view?usp=drivesdk</t>
  </si>
  <si>
    <t>Document successfully created; Document successfully merged; PDF created; Emails Sent: [To: 21-pinedamontoya.irvinggamaliel@cetis57.edu.mx; no-reply: true]; Run via form trigger as gabrielvazquez@cetis57.edu.mx; Timestamp: Aug 2 2023 6:35 PM</t>
  </si>
  <si>
    <t>1MqMUYz1LCEX61ty92V6tr6TK3cc7fy0c</t>
  </si>
  <si>
    <t>https://drive.google.com/file/d/1MqMUYz1LCEX61ty92V6tr6TK3cc7fy0c/view?usp=drivesdk</t>
  </si>
  <si>
    <t>Document successfully created; Document successfully merged; PDF created; Emails Sent: [To: 21-pinedamontoya.irvinggamaliel@cetis57.edu.mx; no-reply: true]; Run via form trigger as gabrielvazquez@cetis57.edu.mx; Timestamp: Aug 3 2023 3:01 PM</t>
  </si>
  <si>
    <t>https://drive.google.com/open?id=1UVE0VHr4f894tYTLqgaL8GH8tEn_w8f-</t>
  </si>
  <si>
    <t xml:space="preserve">CALLE FLOR DE LIRIO </t>
  </si>
  <si>
    <t>COLONIA LOMAS DE SAN LORENZO TEZONCO</t>
  </si>
  <si>
    <t>SE UBICA ENTRE AVENIDA 3 Y AVENIDA DEL ARBOL COMO REFERENCIA ENFRENTE ESTA UNA ESTETICA Y UNA PALETERIA</t>
  </si>
  <si>
    <t>MIRNA SULEMA PEREZ ALVAREZ</t>
  </si>
  <si>
    <t>https://drive.google.com/open?id=14d5dclbROWE8AccNg490fAo_XgE8urkA</t>
  </si>
  <si>
    <t>https://drive.google.com/open?id=1FtGSfvMgIQrmzBVzt-uNwxASAPvrT5nw</t>
  </si>
  <si>
    <t>joni.pers32@outlook.com</t>
  </si>
  <si>
    <t>https://drive.google.com/open?id=1xt6ZZXzt7xJwaSWxcJ-RPzvLAkuVq4MU</t>
  </si>
  <si>
    <t>AUEMEX</t>
  </si>
  <si>
    <t>AVENIDA EJIDO COLECTIVO MANZANA 019, 57103 NEZAHUALCOYOTL</t>
  </si>
  <si>
    <t>https://drive.google.com/open?id=1cvbv22raPdVNtC69PEXAvSSsSaFUA4Fv</t>
  </si>
  <si>
    <t>1yUXK5M8wv_VfwpvJQor52H-qZ9kOTmhx</t>
  </si>
  <si>
    <t>https://drive.google.com/file/d/1yUXK5M8wv_VfwpvJQor52H-qZ9kOTmhx/view?usp=drivesdk</t>
  </si>
  <si>
    <t>Document successfully created; Document successfully merged; PDF created; Emails Sent: [To: 22-lopezperez.angelasaray@cetis57.edu.mx; no-reply: true]; Run via form trigger as gabrielvazquez@cetis57.edu.mx; Timestamp: Aug 2 2023 1:06 AM</t>
  </si>
  <si>
    <t>1Rs0ZQjv_Eo_dpd05SXjX73iaSlDtiSo8</t>
  </si>
  <si>
    <t>https://drive.google.com/file/d/1Rs0ZQjv_Eo_dpd05SXjX73iaSlDtiSo8/view?usp=drivesdk</t>
  </si>
  <si>
    <t>Document successfully created; Document successfully merged; PDF created; Emails Sent: [To: 22-lopezperez.angelasaray@cetis57.edu.mx; no-reply: true]; Run via form trigger as gabrielvazquez@cetis57.edu.mx; Timestamp: Aug 3 2023 10:08 PM</t>
  </si>
  <si>
    <t>ARAN</t>
  </si>
  <si>
    <t>https://drive.google.com/open?id=1AO_gYjBJ4ch0g-Zn0nSk2wfoGEWWkI5r</t>
  </si>
  <si>
    <t xml:space="preserve">2A CDA VENUS MZ 76A LT 30 COL LOMAS DE LA ESTANCIA </t>
  </si>
  <si>
    <t xml:space="preserve"> ANAYELI DE AQUINO SILVESTRE </t>
  </si>
  <si>
    <t>https://drive.google.com/open?id=1pMpJv3cVyCa9C_oZN0j4t1Ga7zc5KutE</t>
  </si>
  <si>
    <t>https://drive.google.com/open?id=153uFvydQH9DzrxUgQdxHivYHAnP-NlgR</t>
  </si>
  <si>
    <t xml:space="preserve">PEDRO GABRIEL </t>
  </si>
  <si>
    <t>https://drive.google.com/open?id=1w0vQaTj7wHvYk2IgG8dDqSG2nEL4myth</t>
  </si>
  <si>
    <t>https://drive.google.com/open?id=1tFAfOrMRr86TqHfV7iPPZ7xOMSq_5epf</t>
  </si>
  <si>
    <t>1r2M53qCDYkCqMooNY_4oeLndb_7CC1v5</t>
  </si>
  <si>
    <t>https://drive.google.com/file/d/1r2M53qCDYkCqMooNY_4oeLndb_7CC1v5/view?usp=drivesdk</t>
  </si>
  <si>
    <t>Document successfully created; Document successfully merged; PDF created; Emails Sent: [To: 21-arandeaquino.marieliaidee@cetis57.edu.mx; no-reply: true]; Run via form trigger as gabrielvazquez@cetis57.edu.mx; Timestamp: Aug 2 2023 1:07 AM</t>
  </si>
  <si>
    <t>11-wcXnCua9k8yiqs11ijPplao6R-Fl8U</t>
  </si>
  <si>
    <t>https://drive.google.com/file/d/11-wcXnCua9k8yiqs11ijPplao6R-Fl8U/view?usp=drivesdk</t>
  </si>
  <si>
    <t>Document successfully created; Document successfully merged; PDF created; Emails Sent: [To: 21-arandeaquino.marieliaidee@cetis57.edu.mx; no-reply: true]; Run via form trigger as gabrielvazquez@cetis57.edu.mx; Timestamp: Aug 3 2023 10:08 PM</t>
  </si>
  <si>
    <t>https://drive.google.com/open?id=1X4MQQQ7Vjq0beEwu6iEStWgOA-ZLWrb8</t>
  </si>
  <si>
    <t>CALLE: GLORIETA MZ:484 LT:28</t>
  </si>
  <si>
    <t>MIRAVALLES</t>
  </si>
  <si>
    <t xml:space="preserve">CASA NARANJA CON ZAGUAN ROJO </t>
  </si>
  <si>
    <t xml:space="preserve">ALEJANDRO SALINAS ESQUIVEL </t>
  </si>
  <si>
    <t>https://drive.google.com/open?id=13dzAAoWqukJ0RYtjp1U0xZaVq46kprnZ</t>
  </si>
  <si>
    <t>https://drive.google.com/open?id=1Gh2Pvq_8qQ7GtQVEEqIA4NQBilJyGf9z</t>
  </si>
  <si>
    <t xml:space="preserve">REGINO </t>
  </si>
  <si>
    <t xml:space="preserve">CARLA CECILIA </t>
  </si>
  <si>
    <t>caarly.re@gmail.com</t>
  </si>
  <si>
    <t>https://drive.google.com/open?id=14VKVdC2eIL6ptsMziByBGLwxndyQQqWH</t>
  </si>
  <si>
    <t xml:space="preserve">Facultad de estudios superiores Zaragoza </t>
  </si>
  <si>
    <t>https://drive.google.com/open?id=1AqQmqV5ysUONB0UQIWlGpXvddd0UeUhP</t>
  </si>
  <si>
    <t>1ud-0dpbfqVyOqp8KmBmNK3LWM7Z4Spkq</t>
  </si>
  <si>
    <t>https://drive.google.com/file/d/1ud-0dpbfqVyOqp8KmBmNK3LWM7Z4Spkq/view?usp=drivesdk</t>
  </si>
  <si>
    <t>Document successfully created; Document successfully merged; PDF created; Emails Sent: [To: 21-salinasregino.edgaralejandro@cetis57.edu.mx; no-reply: true]; Run via form trigger as gabrielvazquez@cetis57.edu.mx; Timestamp: Aug 2 2023 6:36 PM</t>
  </si>
  <si>
    <t>1AX1OZ3FdVJXIP34Qp-i2-aubVA5zh1Zz</t>
  </si>
  <si>
    <t>https://drive.google.com/file/d/1AX1OZ3FdVJXIP34Qp-i2-aubVA5zh1Zz/view?usp=drivesdk</t>
  </si>
  <si>
    <t>Document successfully created; Document successfully merged; PDF created; Emails Sent: [To: 21-salinasregino.edgaralejandro@cetis57.edu.mx; no-reply: true]; Run via form trigger as gabrielvazquez@cetis57.edu.mx; Timestamp: Aug 3 2023 10:09 PM</t>
  </si>
  <si>
    <t>https://drive.google.com/open?id=1Dy3f1VeEE-K2ZL0tdh3T_i3MlvYMcz2t</t>
  </si>
  <si>
    <t>INDUSTRIAL 373</t>
  </si>
  <si>
    <t xml:space="preserve">CIUDAD NEZAHUALCOYOTL </t>
  </si>
  <si>
    <t>CASA FACHADA VERDE CON UNA PEQUEÑA JARDINERA</t>
  </si>
  <si>
    <t>MONSERRATH GUADALUPE MARTINEZ SAYAGO</t>
  </si>
  <si>
    <t>https://drive.google.com/open?id=1xtXAtXutuWH0-KsnstbtzkdIBtzhaU0U</t>
  </si>
  <si>
    <t>SAYAGO</t>
  </si>
  <si>
    <t>ARELI GRETA</t>
  </si>
  <si>
    <t>gretamtz10@hotmail.com</t>
  </si>
  <si>
    <t>https://drive.google.com/open?id=1tAa9OIMw1rBQLCYHzoTGaj2vQRRAYVSS</t>
  </si>
  <si>
    <t>ELIZONDO</t>
  </si>
  <si>
    <t>Jef100elisn@gmail.com</t>
  </si>
  <si>
    <t>https://drive.google.com/open?id=19UE08UhzgT-nC73K4UHdQUSJMN9Sj3by</t>
  </si>
  <si>
    <t xml:space="preserve">CON MI MAMA Y TIOS </t>
  </si>
  <si>
    <t>https://drive.google.com/open?id=1PI_suTOOn87tALHedd3BBEw5-Qoiw8Wc</t>
  </si>
  <si>
    <t>1i8IjrJ9BHPODFiON_iVq3qehxhx55sPQ</t>
  </si>
  <si>
    <t>https://drive.google.com/file/d/1i8IjrJ9BHPODFiON_iVq3qehxhx55sPQ/view?usp=drivesdk</t>
  </si>
  <si>
    <t>Document successfully created; Document successfully merged; PDF created; Emails Sent: [To: 21-elizondomartinez.emilyamairiany@cetis57.edu.mx; no-reply: true]; Run via form trigger as gabrielvazquez@cetis57.edu.mx; Timestamp: Aug 2 2023 6:48 PM</t>
  </si>
  <si>
    <t>1nbFo5Uo_hrUguORX34CQL5PchHIpRUrL</t>
  </si>
  <si>
    <t>https://drive.google.com/file/d/1nbFo5Uo_hrUguORX34CQL5PchHIpRUrL/view?usp=drivesdk</t>
  </si>
  <si>
    <t>Document successfully created; Document successfully merged; PDF created; Emails Sent: [To: 21-elizondomartinez.emilyamairiany@cetis57.edu.mx; no-reply: true]; Run via form trigger as gabrielvazquez@cetis57.edu.mx; Timestamp: Aug 3 2023 10:10 PM</t>
  </si>
  <si>
    <t>GUSTAVO EMILIANO</t>
  </si>
  <si>
    <t>https://drive.google.com/open?id=1POS0CBFSiN2TL58FOigHjl9IUbJX2oNn</t>
  </si>
  <si>
    <t>DESARROLLO URBANO QUETZACOATL</t>
  </si>
  <si>
    <t>CALLE VILLA FRECHOS ENTRE VILLA IRIS Y VILLA SAN PABLO</t>
  </si>
  <si>
    <t xml:space="preserve">MARTINEZ HERNANDEZ PAULA </t>
  </si>
  <si>
    <t>MATERNO</t>
  </si>
  <si>
    <t>https://drive.google.com/open?id=1ZJRDaXymq2ivhKSvQmGngRUQhHAyUY3Q</t>
  </si>
  <si>
    <t>PATERNO</t>
  </si>
  <si>
    <t>https://drive.google.com/open?id=1cw77nbT7AhVw5-m1to_X-6YWbDcRtteB</t>
  </si>
  <si>
    <t>DESEÑADOR GRAFICO</t>
  </si>
  <si>
    <t>https://drive.google.com/open?id=1lhh7756HQ6IqTDhRot0f6cftyPXHh3b2</t>
  </si>
  <si>
    <t>https://drive.google.com/open?id=18H-Dbx-GSO88gs4dGIef2b-8CNRp4Y_8</t>
  </si>
  <si>
    <t>1qP-nk2gGNV7axEE3ejlGOU-5Tebs_kr_</t>
  </si>
  <si>
    <t>https://drive.google.com/file/d/1qP-nk2gGNV7axEE3ejlGOU-5Tebs_kr_/view?usp=drivesdk</t>
  </si>
  <si>
    <t>Document successfully created; Document successfully merged; PDF created; Emails Sent: [To: 22-marinmartinez.gustavoemiliano@cetis57.edu.mx; no-reply: true]; Run via form trigger as gabrielvazquez@cetis57.edu.mx; Timestamp: Aug 2 2023 1:09 AM</t>
  </si>
  <si>
    <t>1k1kmL6O1a9peZEpMlGIwJQdknwQI8MyL</t>
  </si>
  <si>
    <t>https://drive.google.com/file/d/1k1kmL6O1a9peZEpMlGIwJQdknwQI8MyL/view?usp=drivesdk</t>
  </si>
  <si>
    <t>Document successfully created; Document successfully merged; PDF created; Emails Sent: [To: 22-marinmartinez.gustavoemiliano@cetis57.edu.mx; no-reply: true]; Run via form trigger as gabrielvazquez@cetis57.edu.mx; Timestamp: Aug 3 2023 10:12 PM</t>
  </si>
  <si>
    <t xml:space="preserve">LILIA EDITH </t>
  </si>
  <si>
    <t>https://drive.google.com/open?id=1nSZUhpCVUgxrj_RlZDhLc0Mx2t23bBV4</t>
  </si>
  <si>
    <t xml:space="preserve">CALLE FELIPE ANGELES MZ87 LT 4 </t>
  </si>
  <si>
    <t xml:space="preserve">ZAGUAN AZUL CON UNA VENTANA </t>
  </si>
  <si>
    <t xml:space="preserve">OLGA LILIA JIMENEZ OJEDA </t>
  </si>
  <si>
    <t>https://drive.google.com/open?id=18GodHespOqm2qAKTOzupsG2q1nkz8d97</t>
  </si>
  <si>
    <t xml:space="preserve">MEDICO </t>
  </si>
  <si>
    <t>jesusf23c@gmail.com</t>
  </si>
  <si>
    <t>https://drive.google.com/open?id=1Y8PScSL41FioBG76WUUUmht-qH-QG9QZ</t>
  </si>
  <si>
    <t xml:space="preserve">NORBERTO JESUS </t>
  </si>
  <si>
    <t>Jesuss12.921@gmail.con</t>
  </si>
  <si>
    <t>https://drive.google.com/open?id=1txlWln29LVcibr19ZQDmO2fVgTuEVVYt</t>
  </si>
  <si>
    <t>NIUNO</t>
  </si>
  <si>
    <t xml:space="preserve">CIENCIAS BIOLOGICAS </t>
  </si>
  <si>
    <t>https://drive.google.com/open?id=1X31a90bJb5a-_Gta2f7oJnKKV98p3JkC</t>
  </si>
  <si>
    <t>1R_tq8pPHkXvY5w1HLjm3256xqeOSJCbF</t>
  </si>
  <si>
    <t>https://drive.google.com/file/d/1R_tq8pPHkXvY5w1HLjm3256xqeOSJCbF/view?usp=drivesdk</t>
  </si>
  <si>
    <t>Document successfully created; Document successfully merged; PDF created; !!Error Sending Emails: Límite excedido: Tamaño total de los archivos adjuntos del correo electrónico.; Run via form trigger as gabrielvazquez@cetis57.edu.mx; Timestamp: Aug 2 2023 1:10 AM</t>
  </si>
  <si>
    <t>1EMurK5CKUo8vzNgaKg8UpznEMdV5KF1b</t>
  </si>
  <si>
    <t>https://drive.google.com/file/d/1EMurK5CKUo8vzNgaKg8UpznEMdV5KF1b/view?usp=drivesdk</t>
  </si>
  <si>
    <t>Document successfully created; Document successfully merged; PDF created; !!Error Sending Emails: Límite excedido: Tamaño total de los archivos adjuntos del correo electrónico.; Run via form trigger as gabrielvazquez@cetis57.edu.mx; Timestamp: Aug 3 2023 10:13 PM</t>
  </si>
  <si>
    <t>https://drive.google.com/open?id=1sSBhLUruloRvHBqq9v4q2kyROFh4e_LC</t>
  </si>
  <si>
    <t>SAHD061106MMCMRFA2</t>
  </si>
  <si>
    <t>CALLE RIO SUCHIATE MZ59 LT2</t>
  </si>
  <si>
    <t>COLONIA EL SALADO</t>
  </si>
  <si>
    <t>FACHADA ROJA, ZAGUAN VERDE</t>
  </si>
  <si>
    <t>https://drive.google.com/open?id=1B8ccQIWXYeXcrZcRoJha2IWIYOZcM7yO</t>
  </si>
  <si>
    <t>https://drive.google.com/open?id=1tqIBfkEg-QeJXq2JfYnQca7SPABXYu5k</t>
  </si>
  <si>
    <t>https://drive.google.com/open?id=1V4dV1_VnaooiKWJ43D0nmsegKuPNqa66</t>
  </si>
  <si>
    <t>CON MAMA Y ABUELOS</t>
  </si>
  <si>
    <t>https://drive.google.com/open?id=1YsFxob4Aj1mGzlz8T2g7gUBKiF_MPkR-</t>
  </si>
  <si>
    <t>14goHheFUt3QlcCg8ZkrQiCulmeN9aZwX</t>
  </si>
  <si>
    <t>https://drive.google.com/file/d/14goHheFUt3QlcCg8ZkrQiCulmeN9aZwX/view?usp=drivesdk</t>
  </si>
  <si>
    <t>Document successfully created; Document successfully merged; PDF created; Emails Sent: [To: 21-santiagohernandez.dafnecitlalli@cetis57.edu.mx; no-reply: true]; Run via form trigger as gabrielvazquez@cetis57.edu.mx; Timestamp: Aug 2 2023 3:23 AM</t>
  </si>
  <si>
    <t>1RMZDmbiCwXQPVLZobsAZSlCx7NieefLw</t>
  </si>
  <si>
    <t>https://drive.google.com/file/d/1RMZDmbiCwXQPVLZobsAZSlCx7NieefLw/view?usp=drivesdk</t>
  </si>
  <si>
    <t>Document successfully created; Document successfully merged; PDF created; Emails Sent: [To: 21-santiagohernandez.dafnecitlalli@cetis57.edu.mx; no-reply: true]; Run via form trigger as gabrielvazquez@cetis57.edu.mx; Timestamp: Aug 3 2023 10:18 PM</t>
  </si>
  <si>
    <t>https://drive.google.com/open?id=1vueQmMb1A0eyIV4I2BsqJRzcHHg-IykY</t>
  </si>
  <si>
    <t>CALLE 6 DE ENERO MZ 1 LT 11</t>
  </si>
  <si>
    <t>ROSALIA AGUILAR PEREGRINA</t>
  </si>
  <si>
    <t>https://drive.google.com/open?id=1n16V75mezri15IdhlqdQhaCmUbTL3LSO</t>
  </si>
  <si>
    <t>rosaliaaguilarpe123@gmail.com</t>
  </si>
  <si>
    <t>varelareynosojose@gmail.com</t>
  </si>
  <si>
    <t>https://drive.google.com/open?id=11YvtCdXyL4XP2BN_UcDc1eaPVO64w-_3</t>
  </si>
  <si>
    <t>nohemi_b05@hotmail.com</t>
  </si>
  <si>
    <t>https://drive.google.com/open?id=1wTf6T30e9s-zkL06SjahGOQ_5tCLpviO</t>
  </si>
  <si>
    <t>https://drive.google.com/open?id=13Kxby0vjd6eyOGT5qcZIZLGd6eTAVubz</t>
  </si>
  <si>
    <t>1BuNETcMwJv58Ff2YlqpZUq4__RK5a13d</t>
  </si>
  <si>
    <t>https://drive.google.com/file/d/1BuNETcMwJv58Ff2YlqpZUq4__RK5a13d/view?usp=drivesdk</t>
  </si>
  <si>
    <t>Document successfully created; Document successfully merged; PDF created; Emails Sent: [To: 22-varelaaguilar.ingridfernanda@cetis57.edu.mx; no-reply: true]; Run via form trigger as gabrielvazquez@cetis57.edu.mx; Timestamp: Aug 2 2023 3:24 AM</t>
  </si>
  <si>
    <t>1y6pm9wbbyljS97v7oHHgwXWmkIb_a1n8</t>
  </si>
  <si>
    <t>https://drive.google.com/file/d/1y6pm9wbbyljS97v7oHHgwXWmkIb_a1n8/view?usp=drivesdk</t>
  </si>
  <si>
    <t>Document successfully created; Document successfully merged; PDF created; Emails Sent: [To: 22-varelaaguilar.ingridfernanda@cetis57.edu.mx; no-reply: true]; Run via form trigger as gabrielvazquez@cetis57.edu.mx; Timestamp: Aug 3 2023 10:19 PM</t>
  </si>
  <si>
    <t>https://drive.google.com/open?id=1UXZP8bPJRo2EityNJqbRQ7qGF4gQOc7e</t>
  </si>
  <si>
    <t>RAFAEL DELGADO #220</t>
  </si>
  <si>
    <t xml:space="preserve">COL. MEXICO 2DA SECCION </t>
  </si>
  <si>
    <t xml:space="preserve">EN LA ESQUINA HAY UNA TIENDA Y A LA VUELTA UNA PAPELERIA </t>
  </si>
  <si>
    <t>https://drive.google.com/open?id=1_tVo-IHkcLq1vNYsvG0XGe7L4Hg1Uvm7</t>
  </si>
  <si>
    <t xml:space="preserve">PULIDO </t>
  </si>
  <si>
    <t xml:space="preserve">JULIAN </t>
  </si>
  <si>
    <t>https://drive.google.com/open?id=17ozFKoEIbyikklacnhGpqjN18gO2nYOG</t>
  </si>
  <si>
    <t>https://drive.google.com/open?id=1t6-qqvvqE05fFUXUpNB7XrCwKp7q8w7m</t>
  </si>
  <si>
    <t xml:space="preserve">ENFERMERIA Y OBTETRICIA </t>
  </si>
  <si>
    <t xml:space="preserve">CALZADA DE TLALPAN </t>
  </si>
  <si>
    <t>https://drive.google.com/open?id=1dwt0l4GlEGkLhRFAW1EscY3sXDO7TLXl</t>
  </si>
  <si>
    <t>17kcsYz5s9u9fMjXnXjsZ1EvLywxAQUgR</t>
  </si>
  <si>
    <t>https://drive.google.com/file/d/17kcsYz5s9u9fMjXnXjsZ1EvLywxAQUgR/view?usp=drivesdk</t>
  </si>
  <si>
    <t>Document successfully created; Document successfully merged; PDF created; Emails Sent: [To: 21-costenogarcia.elizbeth@cetis57.edu.mx; no-reply: true]; Run via form trigger as gabrielvazquez@cetis57.edu.mx; Timestamp: Aug 2 2023 6:48 PM</t>
  </si>
  <si>
    <t>17VN-1LkM4Rr__Q-wmsD9hjRVqsdOJ7ku</t>
  </si>
  <si>
    <t>https://drive.google.com/file/d/17VN-1LkM4Rr__Q-wmsD9hjRVqsdOJ7ku/view?usp=drivesdk</t>
  </si>
  <si>
    <t>Document successfully created; Document successfully merged; PDF created; Emails Sent: [To: 21-costenogarcia.elizbeth@cetis57.edu.mx; no-reply: true]; Run via form trigger as gabrielvazquez@cetis57.edu.mx; Timestamp: Aug 3 2023 3:22 PM</t>
  </si>
  <si>
    <t xml:space="preserve">TIERRABLANCA </t>
  </si>
  <si>
    <t>https://drive.google.com/open?id=1cwzuj6oznaO9SuQWSx4_ytWZNG8uRsO4</t>
  </si>
  <si>
    <t>PRIVADA DE SAN PABLO MZN 154 LOTE 36</t>
  </si>
  <si>
    <t>CONTINUACION DE PONIENTE UNO, ENTRE NORTE DOS Y REFORMA AGRARIA</t>
  </si>
  <si>
    <t>MARIA DEL ROCIO BAZAN MARTINEZ</t>
  </si>
  <si>
    <t>https://drive.google.com/open?id=1I89oPnTv3Get_68kqjzfSEpCZcGqfbN7</t>
  </si>
  <si>
    <t>https://drive.google.com/open?id=1I091NeTuz7Xjeo3wr9-yF1aotg8eTdOw</t>
  </si>
  <si>
    <t>TRABAJADOR DE CERVECERIA</t>
  </si>
  <si>
    <t>https://drive.google.com/open?id=1ZzgwjDcxznJ-I1WLCDgSECvM2lfXzfva</t>
  </si>
  <si>
    <t>https://drive.google.com/open?id=1YiCzf6aUILT09YoiMafT7eZS5url6SUu</t>
  </si>
  <si>
    <t>1xD92T2bmKiMCEcJswq7cLfU5AeRKUS-k</t>
  </si>
  <si>
    <t>https://drive.google.com/file/d/1xD92T2bmKiMCEcJswq7cLfU5AeRKUS-k/view?usp=drivesdk</t>
  </si>
  <si>
    <t>Document successfully created; Document successfully merged; PDF created; Emails Sent: [To: 21-carmonatierrablanca.erikaalin@cetis57.edu.mx; no-reply: true]; Run via form trigger as gabrielvazquez@cetis57.edu.mx; Timestamp: Aug 2 2023 3:25 AM</t>
  </si>
  <si>
    <t>1X8PKJzTPleIzCyLMNX-w8B08A1GcFG5u</t>
  </si>
  <si>
    <t>https://drive.google.com/file/d/1X8PKJzTPleIzCyLMNX-w8B08A1GcFG5u/view?usp=drivesdk</t>
  </si>
  <si>
    <t>Document successfully created; Document successfully merged; PDF created; Emails Sent: [To: 21-carmonatierrablanca.erikaalin@cetis57.edu.mx; no-reply: true]; Run via form trigger as gabrielvazquez@cetis57.edu.mx; Timestamp: Aug 3 2023 3:23 PM</t>
  </si>
  <si>
    <t>https://drive.google.com/open?id=1QzFmlNbqmpeCbZfYbLWyDY3NELWqJs1d</t>
  </si>
  <si>
    <t xml:space="preserve">CALLE PALMAS </t>
  </si>
  <si>
    <t>LT49</t>
  </si>
  <si>
    <t xml:space="preserve">FRENTE A BODEGA AURRERA </t>
  </si>
  <si>
    <t xml:space="preserve">NIETO AVILES EMILIN OSIRIS </t>
  </si>
  <si>
    <t>https://drive.google.com/open?id=1inLu6keLTLyfbqVOS-FPcrsR98F_ys2y</t>
  </si>
  <si>
    <t>emilinieto77@gmail.com</t>
  </si>
  <si>
    <t xml:space="preserve">JENNIFER LISBETH </t>
  </si>
  <si>
    <t xml:space="preserve">HIJA MAYOR </t>
  </si>
  <si>
    <t>https://drive.google.com/open?id=1cUeVoSWtQabSZEWc1XlhvcpZV0g-98uM</t>
  </si>
  <si>
    <t>alejandrocanek16@gmail.com</t>
  </si>
  <si>
    <t>https://drive.google.com/open?id=1fSUS-QQD86fw1gCWDJd_IdHaKsZa6Nf7</t>
  </si>
  <si>
    <t>https://drive.google.com/open?id=1_Ho79xqDx1dOpqGaNYxWI0ynzF8bqul3</t>
  </si>
  <si>
    <t>1utgXajJQ6vSd89aI1_7OejLA0xoKOE3S</t>
  </si>
  <si>
    <t>https://drive.google.com/file/d/1utgXajJQ6vSd89aI1_7OejLA0xoKOE3S/view?usp=drivesdk</t>
  </si>
  <si>
    <t>Document successfully created; Document successfully merged; PDF created; Emails Sent: [To: 22-santananieto.saasilasereth@cetis57.edu.mx; no-reply: true]; Run via form trigger as gabrielvazquez@cetis57.edu.mx; Timestamp: Aug 2 2023 3:26 AM</t>
  </si>
  <si>
    <t>1yVMAvqGc0iF5SvWFocci7ZMuu0dNptTy</t>
  </si>
  <si>
    <t>https://drive.google.com/file/d/1yVMAvqGc0iF5SvWFocci7ZMuu0dNptTy/view?usp=drivesdk</t>
  </si>
  <si>
    <t>Document successfully created; Document successfully merged; PDF created; Emails Sent: [To: 22-santananieto.saasilasereth@cetis57.edu.mx; no-reply: true]; Run via form trigger as gabrielvazquez@cetis57.edu.mx; Timestamp: Aug 3 2023 3:23 PM</t>
  </si>
  <si>
    <t>https://drive.google.com/open?id=10wxMyl9rnfmI6Ea4JRZ3A_xLkMgg6SN6</t>
  </si>
  <si>
    <t>55 2791 4502</t>
  </si>
  <si>
    <t>TAMB071008MDFLXRA6</t>
  </si>
  <si>
    <t>1RA ROSENDO SALAZAR</t>
  </si>
  <si>
    <t xml:space="preserve">U.H VICENTE GUERRERO </t>
  </si>
  <si>
    <t xml:space="preserve">A UN LADO DE LA ESCUELA PRIMARIA VICENTE GUERRERO </t>
  </si>
  <si>
    <t>https://drive.google.com/open?id=1HncZGsr-0OhARAV-1MNNydaMHcGbz_6U</t>
  </si>
  <si>
    <t>MARTELL</t>
  </si>
  <si>
    <t xml:space="preserve">JENNIFER </t>
  </si>
  <si>
    <t>jenukasofia455@gmail.com</t>
  </si>
  <si>
    <t>https://drive.google.com/open?id=1jBBj1GLn0q8V9gwetK83hk-gJ2fLBiqB</t>
  </si>
  <si>
    <t xml:space="preserve">COMERCIANTE, CONDUCTOR </t>
  </si>
  <si>
    <t>ramsesirigoyen63@gmail.com</t>
  </si>
  <si>
    <t>https://drive.google.com/open?id=1a3p0PfUdD1fSt5GtcnBP8-djnVC_pMSp</t>
  </si>
  <si>
    <t xml:space="preserve">ABUELA Y TÍOS </t>
  </si>
  <si>
    <t xml:space="preserve">TODAVÍA NO LO SE </t>
  </si>
  <si>
    <t xml:space="preserve">GINECOLOGÍA </t>
  </si>
  <si>
    <t>https://drive.google.com/open?id=1acCGiZGgi_s1UH9Icv98Cp1Pg-vZsbUv</t>
  </si>
  <si>
    <t>11Iah4el8ia8eJ0Go2YediAgtHSvF-k7z</t>
  </si>
  <si>
    <t>https://drive.google.com/file/d/11Iah4el8ia8eJ0Go2YediAgtHSvF-k7z/view?usp=drivesdk</t>
  </si>
  <si>
    <t>Document successfully created; Document successfully merged; PDF created; Emails Sent: [To: 22-tlapamunoz.barbaraivonne@cetis57.edu.mx; no-reply: true]; Run via form trigger as gabrielvazquez@cetis57.edu.mx; Timestamp: Aug 2 2023 3:26 AM</t>
  </si>
  <si>
    <t>19Dj-EmUqtg3ulm2co4RkAyhiokEyE3qx</t>
  </si>
  <si>
    <t>https://drive.google.com/file/d/19Dj-EmUqtg3ulm2co4RkAyhiokEyE3qx/view?usp=drivesdk</t>
  </si>
  <si>
    <t>Document successfully created; Document successfully merged; PDF created; Emails Sent: [To: 22-tlapamunoz.barbaraivonne@cetis57.edu.mx; no-reply: true]; Run via form trigger as gabrielvazquez@cetis57.edu.mx; Timestamp: Aug 3 2023 10:37 PM</t>
  </si>
  <si>
    <t>https://drive.google.com/open?id=1RVOnpCf8UFdbb-im4AKR1eo2cbi_KBmU</t>
  </si>
  <si>
    <t xml:space="preserve">OFELIA REYES MACEDA </t>
  </si>
  <si>
    <t>https://drive.google.com/open?id=1nYs8sio6i8HWRRS3TXh-ZpLzIMCI2eFI</t>
  </si>
  <si>
    <t>ofis83r2@gmail.com</t>
  </si>
  <si>
    <t>l0mart.17@gmail.com</t>
  </si>
  <si>
    <t>https://drive.google.com/open?id=1gPZVea1y6QyRAp2jr_LjlaCJ4Z_Ksahc</t>
  </si>
  <si>
    <t xml:space="preserve">Enfermera cuidadora </t>
  </si>
  <si>
    <t>itzelmg321@gmail.com</t>
  </si>
  <si>
    <t>https://drive.google.com/open?id=1-31Wj1G1sQPf-XvN2Umauv4O0jZ7tn5b</t>
  </si>
  <si>
    <t>https://drive.google.com/open?id=1saOQ_anXC66Kp_0O_P0h_Ko2q5bPjKqR</t>
  </si>
  <si>
    <t>1pZIw1pYj4CzyYLsRG7sZKVMxzKtqx_o0</t>
  </si>
  <si>
    <t>https://drive.google.com/file/d/1pZIw1pYj4CzyYLsRG7sZKVMxzKtqx_o0/view?usp=drivesdk</t>
  </si>
  <si>
    <t>Document successfully created; Document successfully merged; PDF created; Emails Sent: [To: 21-marcialreyes.itzel@cetis57.edu.mx; no-reply: true]; Run via form trigger as gabrielvazquez@cetis57.edu.mx; Timestamp: Aug 2 2023 3:33 AM</t>
  </si>
  <si>
    <t>1nZ-ZdfNljhQDvE8A270vlLZuI2Fl7UlF</t>
  </si>
  <si>
    <t>https://drive.google.com/file/d/1nZ-ZdfNljhQDvE8A270vlLZuI2Fl7UlF/view?usp=drivesdk</t>
  </si>
  <si>
    <t>Document successfully created; Document successfully merged; PDF created; Emails Sent: [To: 21-marcialreyes.itzel@cetis57.edu.mx; no-reply: true]; Run via form trigger as gabrielvazquez@cetis57.edu.mx; Timestamp: Aug 3 2023 10:38 PM</t>
  </si>
  <si>
    <t>https://drive.google.com/open?id=1oMQ-evY_KFp3XOJtY6MftpCPINAs8Id4</t>
  </si>
  <si>
    <t xml:space="preserve">CALLE VILLAMIEL MZ59 LT 5 </t>
  </si>
  <si>
    <t xml:space="preserve"> A DOS CUADRAS DE LA PRIMARIA REPUBLICA ARABE DE EGIPTO </t>
  </si>
  <si>
    <t>MARTINEZ AGUILAR MARIA ESTHER</t>
  </si>
  <si>
    <t>https://drive.google.com/open?id=1QDeg0RF3rJOfP1YO_Z7qCr1FyqGjEY1z</t>
  </si>
  <si>
    <t>MA DE JESUS</t>
  </si>
  <si>
    <t>https://drive.google.com/open?id=1zjQi12jiQxa3pPygUHn70uFnGxX7qxGE</t>
  </si>
  <si>
    <t>https://drive.google.com/open?id=1fg2Qp4jy6Gz5_-6fSe2OiHElehKuVqxh</t>
  </si>
  <si>
    <t xml:space="preserve">No sé </t>
  </si>
  <si>
    <t>https://drive.google.com/open?id=1YJcgM5ODaDTHRxzHZIj4tt2h-XuaQejC</t>
  </si>
  <si>
    <t>1tTpcp8xtQIfdEZ_45qj4SMY-uFTtlpH2</t>
  </si>
  <si>
    <t>https://drive.google.com/file/d/1tTpcp8xtQIfdEZ_45qj4SMY-uFTtlpH2/view?usp=drivesdk</t>
  </si>
  <si>
    <t>Document successfully created; Document successfully merged; PDF created; Emails Sent: [To: 22-camacholopez.mariadelrosario@cetis57.edu.mx; no-reply: true]; Run via form trigger as gabrielvazquez@cetis57.edu.mx; Timestamp: Aug 2 2023 3:34 AM</t>
  </si>
  <si>
    <t>1fAxzlce1n9Q6ioig6LB9UmgLOb0-fkNh</t>
  </si>
  <si>
    <t>https://drive.google.com/file/d/1fAxzlce1n9Q6ioig6LB9UmgLOb0-fkNh/view?usp=drivesdk</t>
  </si>
  <si>
    <t>Document successfully created; Document successfully merged; PDF created; Emails Sent: [To: 22-camacholopez.mariadelrosario@cetis57.edu.mx; no-reply: true]; Run via form trigger as gabrielvazquez@cetis57.edu.mx; Timestamp: Aug 3 2023 10:38 PM</t>
  </si>
  <si>
    <t>https://drive.google.com/open?id=1DZqpSTFmspUKU3k35Q651RulL9Wfd-rt</t>
  </si>
  <si>
    <t xml:space="preserve">ORIENTE 5 MZN 646 LOTE 15 </t>
  </si>
  <si>
    <t xml:space="preserve"> A UN LADO SE ENCUENTRA UN TEMPLO CRISTIANO </t>
  </si>
  <si>
    <t>LORENA HERNANDEZ RODRIGUEZ</t>
  </si>
  <si>
    <t xml:space="preserve"> AMBOS SON MADRE DEL ALUMNO </t>
  </si>
  <si>
    <t>https://drive.google.com/open?id=1MDQRP5zTgIxWBd7NOBAqn3ib0nihm_pr</t>
  </si>
  <si>
    <t xml:space="preserve">PADRE DEL ALUMNO </t>
  </si>
  <si>
    <t xml:space="preserve">OPERADOR DE MAQUINA EXTRUSORA </t>
  </si>
  <si>
    <t>lorena131273@hotmail.com</t>
  </si>
  <si>
    <t>https://drive.google.com/open?id=1kptxNJ_DmR1jRtoCnacjf6RfinK1fYSq</t>
  </si>
  <si>
    <t>yaz.her.020201@gmail.com</t>
  </si>
  <si>
    <t>https://drive.google.com/open?id=1RppWtn2YxaWY4-3bhad-AFwF4_Vl0pEo</t>
  </si>
  <si>
    <t xml:space="preserve">UNIVERSIDAD DE LA MARINA </t>
  </si>
  <si>
    <t xml:space="preserve">ARMERIA  Y AVIACION </t>
  </si>
  <si>
    <t xml:space="preserve">PUERTO DE VERACRUZ </t>
  </si>
  <si>
    <t>CENTRO DE VERACRUZ</t>
  </si>
  <si>
    <t>https://drive.google.com/open?id=14bSqDuJNnbCwn291un5wA4DY4UJIxgca</t>
  </si>
  <si>
    <t>1-1xo_wlxqf-QKxhT5yvmpzAw1PCdDUZe</t>
  </si>
  <si>
    <t>https://drive.google.com/file/d/1-1xo_wlxqf-QKxhT5yvmpzAw1PCdDUZe/view?usp=drivesdk</t>
  </si>
  <si>
    <t>Document successfully created; Document successfully merged; PDF created; Emails Sent: [To: 22-calvohernandez.emanuel@cetis57.edu.mx; no-reply: true]; Run via form trigger as gabrielvazquez@cetis57.edu.mx; Timestamp: Aug 2 2023 1:14 AM</t>
  </si>
  <si>
    <t>1Z5NfdIvq-mLilIlMskwn_6DvnBLjTDvq</t>
  </si>
  <si>
    <t>https://drive.google.com/file/d/1Z5NfdIvq-mLilIlMskwn_6DvnBLjTDvq/view?usp=drivesdk</t>
  </si>
  <si>
    <t>Document successfully created; Document successfully merged; PDF created; Emails Sent: [To: 22-calvohernandez.emanuel@cetis57.edu.mx; no-reply: true]; Run via form trigger as gabrielvazquez@cetis57.edu.mx; Timestamp: Aug 3 2023 11:15 PM</t>
  </si>
  <si>
    <t>TAIS DANAE</t>
  </si>
  <si>
    <t>https://drive.google.com/open?id=10fOaNdGmgjLFzOsznRngvMMvmuNLbNJY</t>
  </si>
  <si>
    <t xml:space="preserve">DANIEL GARZA </t>
  </si>
  <si>
    <t>EN LA PARTE DE ADENTRO HAY UN ALTAR A LA VIRGEN</t>
  </si>
  <si>
    <t xml:space="preserve">DULCE MONSERRAT PEREZ ESTRADA </t>
  </si>
  <si>
    <t>https://drive.google.com/open?id=1BGNx9zcHnom1_dSLCQDB9K2iornRmcEC</t>
  </si>
  <si>
    <t>https://drive.google.com/open?id=1yFjZCLgPDYoDBb_XHr7P5su0Dk4ycL9I</t>
  </si>
  <si>
    <t xml:space="preserve">MARIA ANTONIETA </t>
  </si>
  <si>
    <t>mariaantonieta.estrada71@gmail.com</t>
  </si>
  <si>
    <t>https://drive.google.com/open?id=16abHlqomsf0P5_8YECjXHaem4ctmHXUH</t>
  </si>
  <si>
    <t>https://drive.google.com/open?id=1yN13IDiTgGvMOKFTVf1qKLVpazZtAkea</t>
  </si>
  <si>
    <t>1oLhsHZLlqa1HwVcCPcl3WsLoCQ-apWo7</t>
  </si>
  <si>
    <t>https://drive.google.com/file/d/1oLhsHZLlqa1HwVcCPcl3WsLoCQ-apWo7/view?usp=drivesdk</t>
  </si>
  <si>
    <t>Document successfully created; Document successfully merged; PDF created; Emails Sent: [To: 22-martinezperez.taisdanae@cetis57.edu.mx; no-reply: true]; Run via form trigger as gabrielvazquez@cetis57.edu.mx; Timestamp: Aug 2 2023 1:15 AM</t>
  </si>
  <si>
    <t>1UwB491TG3UciFvyT4_-SZeslzgnUVRNg</t>
  </si>
  <si>
    <t>https://drive.google.com/file/d/1UwB491TG3UciFvyT4_-SZeslzgnUVRNg/view?usp=drivesdk</t>
  </si>
  <si>
    <t>Document successfully created; Document successfully merged; PDF created; Emails Sent: [To: 22-martinezperez.taisdanae@cetis57.edu.mx; no-reply: true]; Run via form trigger as gabrielvazquez@cetis57.edu.mx; Timestamp: Aug 3 2023 11:16 PM</t>
  </si>
  <si>
    <t>https://drive.google.com/open?id=1wxN2C1wW5aLKoQGEyuPfoEj3vTPVnG-i</t>
  </si>
  <si>
    <t>NORTE 8 MZ 1391 LT 30 COL MARIA ISABEL</t>
  </si>
  <si>
    <t>COL. MARIA ISABEL</t>
  </si>
  <si>
    <t>MZ 1391</t>
  </si>
  <si>
    <t>ENTRE AV CUAUHTEMOC Y PONIENTE 13 FACHADA ROJA Y PUERTA GRIS</t>
  </si>
  <si>
    <t xml:space="preserve">SUSANA COCOLETZI HERNANDEZ </t>
  </si>
  <si>
    <t>https://drive.google.com/open?id=1vkU7-5Fyb2IWHWaOtYGlraV3AF1P2-1i</t>
  </si>
  <si>
    <t>1d.ss501.susi@gmail.com</t>
  </si>
  <si>
    <t>cocoletziacabados@gmail.com</t>
  </si>
  <si>
    <t>https://drive.google.com/open?id=1vbLxlgkrp8W2Aq86gZSJpTc5IifDmxR1</t>
  </si>
  <si>
    <t>ecocoletzih@gmail.com</t>
  </si>
  <si>
    <t>https://drive.google.com/open?id=1xwypSOctS8IEAeXWVwqykmwf0DiNQxWr</t>
  </si>
  <si>
    <t>https://drive.google.com/open?id=1hun8b7NtF0s9yVzbMl1nzLmuvYBjMUD9</t>
  </si>
  <si>
    <t>1sWONRpT1vEbocs9wdv32cs3ujWnpg2DN</t>
  </si>
  <si>
    <t>https://drive.google.com/file/d/1sWONRpT1vEbocs9wdv32cs3ujWnpg2DN/view?usp=drivesdk</t>
  </si>
  <si>
    <t>Document successfully created; Document successfully merged; PDF created; Emails Sent: [To: 22-cocoletzihernandez.yazmin@cetis57.edu.mx; no-reply: true]; Run via form trigger as gabrielvazquez@cetis57.edu.mx; Timestamp: Aug 2 2023 1:16 AM</t>
  </si>
  <si>
    <t>1Ri7cp5CJy4_lDE9ve0r_K3DN6mpe51WZ</t>
  </si>
  <si>
    <t>https://drive.google.com/file/d/1Ri7cp5CJy4_lDE9ve0r_K3DN6mpe51WZ/view?usp=drivesdk</t>
  </si>
  <si>
    <t>Document successfully created; Document successfully merged; PDF created; Emails Sent: [To: 22-cocoletzihernandez.yazmin@cetis57.edu.mx; no-reply: true]; Run via form trigger as gabrielvazquez@cetis57.edu.mx; Timestamp: Aug 3 2023 11:16 PM</t>
  </si>
  <si>
    <t>https://drive.google.com/open?id=1qqwJA4ldPC-RghElOYT5RKf4krx0vR8F</t>
  </si>
  <si>
    <t>C. ZACAPOAXTLA MZ 5 LT 18 LOMAS DE SAN SEBASTIAN, LA PAZ</t>
  </si>
  <si>
    <t xml:space="preserve">SEGUNDO TERRENO DESPUES DE LA AVENIDA </t>
  </si>
  <si>
    <t>SANTOS ALEGRIA SARA</t>
  </si>
  <si>
    <t>https://drive.google.com/open?id=1qGZ7sDtZC8oPWkhDyc74VSPuiUqsHiK_</t>
  </si>
  <si>
    <t xml:space="preserve">LEODEGARIO </t>
  </si>
  <si>
    <t>https://drive.google.com/open?id=1UJDcH6Fm1o0-t-UJUWd7UtxSIMddlC47</t>
  </si>
  <si>
    <t>ALEGRIA</t>
  </si>
  <si>
    <t xml:space="preserve">LUIS ALFREDO </t>
  </si>
  <si>
    <t>alfredosantosalegria@gmail.com</t>
  </si>
  <si>
    <t>https://drive.google.com/open?id=1Y4Ic3bgNrL3OVrkZiDenEn6Kjl3X7LyK</t>
  </si>
  <si>
    <t>https://drive.google.com/open?id=10dyRBD0qgQYgmenoFVn9PoItquhhq4uV</t>
  </si>
  <si>
    <t>1hMEQCN-dP1hhmlEDE5HIUob0nCvhCH8s</t>
  </si>
  <si>
    <t>https://drive.google.com/file/d/1hMEQCN-dP1hhmlEDE5HIUob0nCvhCH8s/view?usp=drivesdk</t>
  </si>
  <si>
    <t>Document successfully created; Document successfully merged; PDF created; Emails Sent: [To: 22-gonzalezsantos.sarafabiola@cetis57.edu.mx; no-reply: true]; Run via form trigger as gabrielvazquez@cetis57.edu.mx; Timestamp: Aug 2 2023 1:17 AM</t>
  </si>
  <si>
    <t>1b6-kUUxDNhYb0HghtGYCVyxnHjR0xakZ</t>
  </si>
  <si>
    <t>https://drive.google.com/file/d/1b6-kUUxDNhYb0HghtGYCVyxnHjR0xakZ/view?usp=drivesdk</t>
  </si>
  <si>
    <t>Document successfully created; Document successfully merged; PDF created; Emails Sent: [To: 22-gonzalezsantos.sarafabiola@cetis57.edu.mx; no-reply: true]; Run via form trigger as gabrielvazquez@cetis57.edu.mx; Timestamp: Aug 3 2023 11:17 PM</t>
  </si>
  <si>
    <t>https://drive.google.com/open?id=1QPnEzw4E2iszRcaDkNW4sRpjvNTiemGa</t>
  </si>
  <si>
    <t>CALLE OLIVO, MANZANA 1 LOTE 8</t>
  </si>
  <si>
    <t>CASA COLOR MELON ES ESQUINA Y TIENDA</t>
  </si>
  <si>
    <t>ZENAIDA ROSAS BRAVO</t>
  </si>
  <si>
    <t>https://drive.google.com/open?id=1XYT9h9IQyNI8PpqrfwmC5yrdHUcWzhkp</t>
  </si>
  <si>
    <t>https://drive.google.com/open?id=1tommmsuclpAK8-PshWl-gGhK_Kb0yhX9</t>
  </si>
  <si>
    <t>PAILIN</t>
  </si>
  <si>
    <t>p.paulin.m@gmail.com</t>
  </si>
  <si>
    <t>https://drive.google.com/open?id=1XZZ0EPfbNKKdRtYnkjFgeinfF8rmAvfB</t>
  </si>
  <si>
    <t>UNIVERSIDAD DEL EJERCITO Y FUERZAS AEREA MEXICANO</t>
  </si>
  <si>
    <t>ODONTOLOGA</t>
  </si>
  <si>
    <t>FELIPE CARRILLO PUERTO 6, POPOTLA, MIGUEL HIDALGO</t>
  </si>
  <si>
    <t>https://drive.google.com/open?id=1MpE9u7-1piroFp29CPI5Cs0sXywEv5rD</t>
  </si>
  <si>
    <t>13vS76Y8n3p-eG0BmOrwCyFdjaLZiLtUb</t>
  </si>
  <si>
    <t>https://drive.google.com/file/d/13vS76Y8n3p-eG0BmOrwCyFdjaLZiLtUb/view?usp=drivesdk</t>
  </si>
  <si>
    <t>Document successfully created; Document successfully merged; PDF created; Emails Sent: [To: 21-paulinlopez.karlabelen@cetis57.edu.mx; no-reply: true]; Run via form trigger as gabrielvazquez@cetis57.edu.mx; Timestamp: Aug 2 2023 1:17 AM</t>
  </si>
  <si>
    <t>1C-rL1Y_ZGeF2BmaJWCu76PopJp_zEJaQ</t>
  </si>
  <si>
    <t>https://drive.google.com/file/d/1C-rL1Y_ZGeF2BmaJWCu76PopJp_zEJaQ/view?usp=drivesdk</t>
  </si>
  <si>
    <t>Document successfully created; Document successfully merged; PDF created; Emails Sent: [To: 21-paulinlopez.karlabelen@cetis57.edu.mx; no-reply: true]; Run via form trigger as gabrielvazquez@cetis57.edu.mx; Timestamp: Aug 3 2023 11:31 PM</t>
  </si>
  <si>
    <t xml:space="preserve">XIMENA SHELINE </t>
  </si>
  <si>
    <t>https://drive.google.com/open?id=1qCqNbDygOyf09W5N0fTmBJd-NlgWCELX</t>
  </si>
  <si>
    <t xml:space="preserve">LUIS T. NAVARRO </t>
  </si>
  <si>
    <t xml:space="preserve">ESTACIONAMIENTO DE EMPRESA TELMEX 
CANCEL BLANCO , ZAGUAN AZUL CLARO CON DETALLES AZULES FUERTES </t>
  </si>
  <si>
    <t xml:space="preserve">KAREN GUADALUPE GUTIERREZ CESPEDES </t>
  </si>
  <si>
    <t>https://drive.google.com/open?id=1oopSB44J-BuASFALMmWaz9oyScc7Oi02</t>
  </si>
  <si>
    <t>https://drive.google.com/open?id=10bquEyE6KwCzGipZujFiRWRZV2qmuKUT</t>
  </si>
  <si>
    <t xml:space="preserve">CESPEDES </t>
  </si>
  <si>
    <t>https://drive.google.com/open?id=1UQvxHPvwVAGt2RCqtcOiQzL5XBerXY1P</t>
  </si>
  <si>
    <t>https://drive.google.com/open?id=12a3o20VBC45poMxobsc05AxI2x0jSzFf</t>
  </si>
  <si>
    <t>1s8khxw7yBVZ_mig9fUP0ybkpTkTATBvA</t>
  </si>
  <si>
    <t>https://drive.google.com/file/d/1s8khxw7yBVZ_mig9fUP0ybkpTkTATBvA/view?usp=drivesdk</t>
  </si>
  <si>
    <t>Document successfully created; Document successfully merged; PDF created; Emails Sent: [To: 22-ramirezgutierrez.ximenasheline@cetis57.edu.mx; no-reply: true]; Run via form trigger as gabrielvazquez@cetis57.edu.mx; Timestamp: Aug 2 2023 1:18 AM</t>
  </si>
  <si>
    <t>1WEo0RATABDPlZ2tZZRDLzU4beOnbdXdk</t>
  </si>
  <si>
    <t>https://drive.google.com/file/d/1WEo0RATABDPlZ2tZZRDLzU4beOnbdXdk/view?usp=drivesdk</t>
  </si>
  <si>
    <t>Document successfully created; Document successfully merged; PDF created; Emails Sent: [To: 22-ramirezgutierrez.ximenasheline@cetis57.edu.mx; no-reply: true]; Run via form trigger as gabrielvazquez@cetis57.edu.mx; Timestamp: Aug 3 2023 11:32 PM</t>
  </si>
  <si>
    <t>https://drive.google.com/open?id=1RzGQz3ctA0Ul6GFr4-ctmxado405AhDg</t>
  </si>
  <si>
    <t>55 9362 9818</t>
  </si>
  <si>
    <t>AV TEXCOCO #80 COL JUAREZ  PANTITLAN</t>
  </si>
  <si>
    <t>ENFRENTE DEL HOSPITAL SANTA ANITA</t>
  </si>
  <si>
    <t>https://drive.google.com/open?id=1_gxFlJCrx39rXZbxIwrbExwyrsn1ILfo</t>
  </si>
  <si>
    <t>oso.osmar20@gmail.com</t>
  </si>
  <si>
    <t xml:space="preserve">CUÑADO </t>
  </si>
  <si>
    <t>jimena.sherlyn@gmail.com</t>
  </si>
  <si>
    <t>https://drive.google.com/open?id=12LhJeioiAd89nf0fmlczvCz4zpT_CZgg</t>
  </si>
  <si>
    <t>sadi.conde76@gmail.com</t>
  </si>
  <si>
    <t>https://drive.google.com/open?id=1gPbgugRN6itP85ldpPsRv9wkH0D2V7q9</t>
  </si>
  <si>
    <t xml:space="preserve">CONTROL DE GLUCOSA </t>
  </si>
  <si>
    <t>https://drive.google.com/open?id=1k2Kes9KoBw23GTwIhaQxelNZCFrRgf0N</t>
  </si>
  <si>
    <t>1h84xwwB8cU6dYOtz-Kxx9HywzaCxFhop</t>
  </si>
  <si>
    <t>https://drive.google.com/file/d/1h84xwwB8cU6dYOtz-Kxx9HywzaCxFhop/view?usp=drivesdk</t>
  </si>
  <si>
    <t>Document successfully created; Document successfully merged; PDF created; Emails Sent: [To: 22-leonconde.osmarnoe@cetis57.edu.mx; no-reply: true]; Run via form trigger as gabrielvazquez@cetis57.edu.mx; Timestamp: Aug 2 2023 3:35 AM</t>
  </si>
  <si>
    <t>10QWz-9sjj9USP8rRVDxwCrk3esITnNZw</t>
  </si>
  <si>
    <t>https://drive.google.com/file/d/10QWz-9sjj9USP8rRVDxwCrk3esITnNZw/view?usp=drivesdk</t>
  </si>
  <si>
    <t>Document successfully created; Document successfully merged; PDF created; Emails Sent: [To: 22-leonconde.osmarnoe@cetis57.edu.mx; no-reply: true]; Run via form trigger as gabrielvazquez@cetis57.edu.mx; Timestamp: Aug 3 2023 11:32 PM</t>
  </si>
  <si>
    <t>https://drive.google.com/open?id=1QLEIj9gC7PJESonRmcOWV0X3fAEdQeY4</t>
  </si>
  <si>
    <t>CALLE 31 #71 COL. MARAVILAS ENTRE BALLE DE BRAVO Y CHALCO, NEZAHUALCOYOTL ESTADO DE MEXICO</t>
  </si>
  <si>
    <t>71 A</t>
  </si>
  <si>
    <t>ENTRE VALLE DE BRAVO Y CHALCO</t>
  </si>
  <si>
    <t>LLULIANA CARRASCO AGUILAR</t>
  </si>
  <si>
    <t>https://drive.google.com/open?id=1zA4SJ5rGOEfLr_RrVFn_dyn7Yrega6xT</t>
  </si>
  <si>
    <t>https://drive.google.com/open?id=1r8xfBcQJ0wAli_K9hx-nM1wSMhVKAf-7</t>
  </si>
  <si>
    <t>TRABAJAOR DE LAVADO DE AUTOS</t>
  </si>
  <si>
    <t>https://drive.google.com/open?id=1CthIDNP2VVZtJJPzddSvzz3bHWcnaNog</t>
  </si>
  <si>
    <t>Universidad de Barcelona</t>
  </si>
  <si>
    <t>ESPAÑA</t>
  </si>
  <si>
    <t>GRAN VIA DE LES CORTS CATALANES</t>
  </si>
  <si>
    <t>https://drive.google.com/open?id=1BfQ7ydc9bHbm2ScbN2mlVWCzZYOnSzN9</t>
  </si>
  <si>
    <t>1yPau46tV8EQmv6tpZh1j_y_H0cUy5zrg</t>
  </si>
  <si>
    <t>https://drive.google.com/file/d/1yPau46tV8EQmv6tpZh1j_y_H0cUy5zrg/view?usp=drivesdk</t>
  </si>
  <si>
    <t>Document successfully created; Document successfully merged; PDF created; Emails Sent: [To: 21-carrascoaguilar.kaorisameyaly@cetis57.edu.mx; no-reply: true]; Run via form trigger as gabrielvazquez@cetis57.edu.mx; Timestamp: Aug 2 2023 6:49 PM</t>
  </si>
  <si>
    <t>1-iEr-veVn3YHcuGPwNC3kafXuwtQNugU</t>
  </si>
  <si>
    <t>https://drive.google.com/file/d/1-iEr-veVn3YHcuGPwNC3kafXuwtQNugU/view?usp=drivesdk</t>
  </si>
  <si>
    <t>Document successfully created; Document successfully merged; PDF created; Emails Sent: [To: 21-carrascoaguilar.kaorisameyaly@cetis57.edu.mx; no-reply: true]; Run via form trigger as gabrielvazquez@cetis57.edu.mx; Timestamp: Aug 3 2023 11:33 PM</t>
  </si>
  <si>
    <t>https://drive.google.com/open?id=1nxtya9Y1k3N2Xo4BCO7Ai_JYI6YENa9_</t>
  </si>
  <si>
    <t>LAS ISABELES #112</t>
  </si>
  <si>
    <t>https://drive.google.com/open?id=1U8eiabOS24Ghy3LgfqWTcfJkFE3nRGhW</t>
  </si>
  <si>
    <t>https://drive.google.com/open?id=1narceullIFZKObmy9AT3loNU0kvbViHx</t>
  </si>
  <si>
    <t>https://drive.google.com/open?id=1lhiyVpy26BDiZWUV6MvpSK4648lwG7Vf</t>
  </si>
  <si>
    <t xml:space="preserve">RINITIS ALERGICA </t>
  </si>
  <si>
    <t>CECYT</t>
  </si>
  <si>
    <t>https://drive.google.com/open?id=1QzAyFicnJp4BIKTAhrb3eNHdC3RrOUfu</t>
  </si>
  <si>
    <t>1PGSGTcWfV8v0AE_F0cbN-DMB6XeFkdIi</t>
  </si>
  <si>
    <t>https://drive.google.com/file/d/1PGSGTcWfV8v0AE_F0cbN-DMB6XeFkdIi/view?usp=drivesdk</t>
  </si>
  <si>
    <t>Document successfully created; Document successfully merged; PDF created; Emails Sent: [To: 21-colinarriaga.emilioadrian@cetis57.edu.mx; no-reply: true]; Run via form trigger as gabrielvazquez@cetis57.edu.mx; Timestamp: Aug 2 2023 3:36 AM</t>
  </si>
  <si>
    <t>1DB7kuGDTBtpee6Xe_7jKNx_Kr5EH8Wj_</t>
  </si>
  <si>
    <t>https://drive.google.com/file/d/1DB7kuGDTBtpee6Xe_7jKNx_Kr5EH8Wj_/view?usp=drivesdk</t>
  </si>
  <si>
    <t>Document successfully created; Document successfully merged; PDF created; Emails Sent: [To: 21-colinarriaga.emilioadrian@cetis57.edu.mx; no-reply: true]; Run via form trigger as gabrielvazquez@cetis57.edu.mx; Timestamp: Aug 3 2023 11:34 PM</t>
  </si>
  <si>
    <t>https://drive.google.com/open?id=1CH53gL2LhajQxh_N6kLzYkfKK3n9tNto</t>
  </si>
  <si>
    <t xml:space="preserve">OTE 39 MZ 27 LT 4 </t>
  </si>
  <si>
    <t xml:space="preserve">COLONIA PROVIDENCIA </t>
  </si>
  <si>
    <t xml:space="preserve">NORTE 7 </t>
  </si>
  <si>
    <t xml:space="preserve">ENFRENTE TEMPLO CRISTIANO LA HERMOSA </t>
  </si>
  <si>
    <t xml:space="preserve">LUCERO ROCIO CRESPO MEDINA </t>
  </si>
  <si>
    <t>https://drive.google.com/open?id=1q80f3QXyuo-F73ZSyInox8kdPUmtLLFT</t>
  </si>
  <si>
    <t>https://drive.google.com/open?id=1O5IBbAfAyfkGdPjWPaVjVqlniHPPH8Dq</t>
  </si>
  <si>
    <t xml:space="preserve">MANUELA CRISTELA </t>
  </si>
  <si>
    <t>https://drive.google.com/open?id=1ZjMrsXbB7NfIZ8aaCS7EJ-ZIW01lzUvt</t>
  </si>
  <si>
    <t>manusantiago752@gmail.com</t>
  </si>
  <si>
    <t xml:space="preserve">FES Zaragoza UNAM </t>
  </si>
  <si>
    <t xml:space="preserve">Quimico farmaceutico </t>
  </si>
  <si>
    <t>https://drive.google.com/open?id=1aLXf30vlp9nNDOUzcXdKvYgk96S419YQ</t>
  </si>
  <si>
    <t>10aNciO72RZDqa4b05DOaiPiQdfP2uMyg</t>
  </si>
  <si>
    <t>https://drive.google.com/file/d/10aNciO72RZDqa4b05DOaiPiQdfP2uMyg/view?usp=drivesdk</t>
  </si>
  <si>
    <t>Document successfully created; Document successfully merged; PDF created; Emails Sent: [To: 22-caballerocrespo.isaacemmanuel@cetis57.edu.mx; no-reply: true]; Run via form trigger as gabrielvazquez@cetis57.edu.mx; Timestamp: Aug 2 2023 3:36 AM</t>
  </si>
  <si>
    <t>1uEOu5MWwnXzLes4B2i3wAVgpf1lyJMnF</t>
  </si>
  <si>
    <t>https://drive.google.com/file/d/1uEOu5MWwnXzLes4B2i3wAVgpf1lyJMnF/view?usp=drivesdk</t>
  </si>
  <si>
    <t>Document successfully created; Document successfully merged; PDF created; Emails Sent: [To: 22-caballerocrespo.isaacemmanuel@cetis57.edu.mx; no-reply: true]; Run via form trigger as gabrielvazquez@cetis57.edu.mx; Timestamp: Aug 3 2023 11:34 PM</t>
  </si>
  <si>
    <t>https://drive.google.com/open?id=1sw2WIIsN1gqEEECaphY3pXwZYLkNuqFz</t>
  </si>
  <si>
    <t xml:space="preserve">AL FRENTE ESTA UN TALLER DE LLANTAS, LA CASA ESTA ATRAS, EN LA ESQUINA ESTA UNA FARMACIA </t>
  </si>
  <si>
    <t>MARIA REYES MACIAS</t>
  </si>
  <si>
    <t>https://drive.google.com/open?id=1g4w0Nt0pFyj-BpnfwXIgIDAtwHDtUNA9</t>
  </si>
  <si>
    <t>https://drive.google.com/open?id=15O19ofhLKmugUjLOK-Mng8rDZnK5pxhY</t>
  </si>
  <si>
    <t>florentinoreyes80@gmail.com</t>
  </si>
  <si>
    <t>https://drive.google.com/open?id=1Tbs_lqOzSt0Na2CgWRBV4YzPSHAue1nd</t>
  </si>
  <si>
    <t>https://drive.google.com/open?id=1RPcQHyrNXDpOdS6bnHFKsph5a4GQJvYN</t>
  </si>
  <si>
    <t>1z15lp-bsGqQgCMD4gi9mxinVhr4cnQzA</t>
  </si>
  <si>
    <t>https://drive.google.com/file/d/1z15lp-bsGqQgCMD4gi9mxinVhr4cnQzA/view?usp=drivesdk</t>
  </si>
  <si>
    <t>Document successfully created; Document successfully merged; PDF created; Emails Sent: [To: 22-sanchezreyes.danielamaritza@cetis57.edu.mx; no-reply: true]; Run via form trigger as gabrielvazquez@cetis57.edu.mx; Timestamp: Aug 2 2023 3:37 AM</t>
  </si>
  <si>
    <t>1Y6lYYhrTNXEcYTqW5M_hsHgYDF6sxR5D</t>
  </si>
  <si>
    <t>https://drive.google.com/file/d/1Y6lYYhrTNXEcYTqW5M_hsHgYDF6sxR5D/view?usp=drivesdk</t>
  </si>
  <si>
    <t>Document successfully created; Document successfully merged; PDF created; Emails Sent: [To: 22-sanchezreyes.danielamaritza@cetis57.edu.mx; no-reply: true]; Run via form trigger as gabrielvazquez@cetis57.edu.mx; Timestamp: Aug 3 2023 4:18 PM</t>
  </si>
  <si>
    <t xml:space="preserve">JOANNA </t>
  </si>
  <si>
    <t>https://drive.google.com/open?id=1qN5qcgwGYd6vcOIkr7MQUMfl3CwTQmEh</t>
  </si>
  <si>
    <t>CALLE LUCIO BLANCO UNIDAD HABITACIONAL #66</t>
  </si>
  <si>
    <t>UNIDAD HABITACIONAL #66</t>
  </si>
  <si>
    <t>EDIFICIO A4 DEPTO 404</t>
  </si>
  <si>
    <t xml:space="preserve">IGLESIA SANTA MARIA DE SAN JUAN EN JUAN DE DIOS PEZA </t>
  </si>
  <si>
    <t xml:space="preserve">GABRIELA IBARRA ARROYO </t>
  </si>
  <si>
    <t>https://drive.google.com/open?id=1sDnHvEavj-PuxHFhbm3jfcet0kdDSThr</t>
  </si>
  <si>
    <t>gabicita1909@gmail.com</t>
  </si>
  <si>
    <t xml:space="preserve">TRUEBA </t>
  </si>
  <si>
    <t>https://drive.google.com/open?id=1ftoG7juQtKanAUCNlK2Zj3PL84Tauwzp</t>
  </si>
  <si>
    <t xml:space="preserve">ANALAY GUADALUPE </t>
  </si>
  <si>
    <t>analayibarra120717@gmail.com</t>
  </si>
  <si>
    <t>https://drive.google.com/open?id=1EotEvcpi3xupSu_QT1hm_iv6k9YDLvtD</t>
  </si>
  <si>
    <t xml:space="preserve">NEGOCIOS INTERNACIONALES Y ODONTOLOGÍA </t>
  </si>
  <si>
    <t>https://drive.google.com/open?id=1KhnpwAKnlugafAvsHyi0JpJCchTX8v7p</t>
  </si>
  <si>
    <t>1l74Qonfr8B3nsWk6GKtrwVALTkQZ-aiB</t>
  </si>
  <si>
    <t>https://drive.google.com/file/d/1l74Qonfr8B3nsWk6GKtrwVALTkQZ-aiB/view?usp=drivesdk</t>
  </si>
  <si>
    <t>Document successfully created; Document successfully merged; PDF created; Emails Sent: [To: 21-truebaibarra.joanna@cetis57.edu.mx; no-reply: true]; Run via form trigger as gabrielvazquez@cetis57.edu.mx; Timestamp: Aug 2 2023 8:55 PM</t>
  </si>
  <si>
    <t>1Lgk2xn47mbLWpS9biEV68yb4nWTl0FsQ</t>
  </si>
  <si>
    <t>https://drive.google.com/file/d/1Lgk2xn47mbLWpS9biEV68yb4nWTl0FsQ/view?usp=drivesdk</t>
  </si>
  <si>
    <t>Document successfully created; Document successfully merged; PDF created; Emails Sent: [To: 21-truebaibarra.joanna@cetis57.edu.mx; no-reply: true]; Run via form trigger as gabrielvazquez@cetis57.edu.mx; Timestamp: Aug 3 2023 4:18 PM</t>
  </si>
  <si>
    <t xml:space="preserve">CORDOVA </t>
  </si>
  <si>
    <t>https://drive.google.com/open?id=1c93kAil7u3Mf3KKnIfOvRz2jrqktwMAZ</t>
  </si>
  <si>
    <t xml:space="preserve">CLLE. PALMILLAS </t>
  </si>
  <si>
    <t>COL. CONSEJO AGRARISTA MEXICANO</t>
  </si>
  <si>
    <t>MZ.112</t>
  </si>
  <si>
    <t>LT. 7</t>
  </si>
  <si>
    <t>AV. DEL ARBOL, CERCA DE UN SORIANA JUNTO A UN LOCAL, FACHADA ROSA CON SAHUAN NEGRO</t>
  </si>
  <si>
    <t>MARIA ROSALBA PEREZ VEGA</t>
  </si>
  <si>
    <t>https://drive.google.com/open?id=1ateXW2r43SSDeh5JNe5zr3llJRDfIHBg</t>
  </si>
  <si>
    <t>https://drive.google.com/open?id=1YCdPxofFLG8mRFxWteCuHh4C9AbyyYKB</t>
  </si>
  <si>
    <t xml:space="preserve">MARIA ROSALBA </t>
  </si>
  <si>
    <t>https://drive.google.com/open?id=1oL4svIFCvBBNNjnrBBG7wi48-yJtnT8J</t>
  </si>
  <si>
    <t>https://drive.google.com/open?id=1hYB2hURDBvPMcMWobX6EkMESBM05RsUP</t>
  </si>
  <si>
    <t>1AQ_VjnlIsBBRsEl8fUi6Awy9EhielvSr</t>
  </si>
  <si>
    <t>https://drive.google.com/file/d/1AQ_VjnlIsBBRsEl8fUi6Awy9EhielvSr/view?usp=drivesdk</t>
  </si>
  <si>
    <t>Document successfully created; Document successfully merged; PDF created; Emails Sent: [To: 21-cordovaperez.karlabelen@cetis57.edu.mx; no-reply: true]; Run via form trigger as gabrielvazquez@cetis57.edu.mx; Timestamp: Aug 2 2023 6:54 PM</t>
  </si>
  <si>
    <t>1W0nfBj92dAfTfwbFMwiZhnRN-BngIYKS</t>
  </si>
  <si>
    <t>https://drive.google.com/file/d/1W0nfBj92dAfTfwbFMwiZhnRN-BngIYKS/view?usp=drivesdk</t>
  </si>
  <si>
    <t>Document successfully created; Document successfully merged; PDF created; Emails Sent: [To: 21-cordovaperez.karlabelen@cetis57.edu.mx; no-reply: true]; Run via form trigger as gabrielvazquez@cetis57.edu.mx; Timestamp: Aug 3 2023 4:19 PM</t>
  </si>
  <si>
    <t>https://drive.google.com/open?id=1lI0AGm_ghfO4byLLZV3g2_EplVePmEkp</t>
  </si>
  <si>
    <t>AL LADO DE UN OXXO</t>
  </si>
  <si>
    <t xml:space="preserve">ALBA QUIJANO RONQUILLO </t>
  </si>
  <si>
    <t>https://drive.google.com/open?id=1mFvC3LQSd2vVyMYiJyWHN0QrerdSwGqF</t>
  </si>
  <si>
    <t>https://drive.google.com/open?id=1xp1olyhN8qWCkLq_7P4QPCJC89Lk1pH4</t>
  </si>
  <si>
    <t>wendy.diaz.quijano@gmail.com</t>
  </si>
  <si>
    <t>https://drive.google.com/open?id=1AWFvWAkpQoFnzAxBnxJw4rt3UcGCRTNO</t>
  </si>
  <si>
    <t>https://drive.google.com/open?id=1rGBaKOuQo59LIXCPYZzAjokN0H34mYX1</t>
  </si>
  <si>
    <t>1qP0g1qMOuJ6JUS-CO2UfV15UpAe9GYd8</t>
  </si>
  <si>
    <t>https://drive.google.com/file/d/1qP0g1qMOuJ6JUS-CO2UfV15UpAe9GYd8/view?usp=drivesdk</t>
  </si>
  <si>
    <t>Document successfully created; Document successfully merged; PDF created; Emails Sent: [To: 22-diazquijano.wendyabigail@cetis57.edu.mx; no-reply: true]; Run via form trigger as gabrielvazquez@cetis57.edu.mx; Timestamp: Aug 2 2023 1:21 AM</t>
  </si>
  <si>
    <t>1sVUIQzciQhZ--bio1WAp0uGC4eVHOZR1</t>
  </si>
  <si>
    <t>https://drive.google.com/file/d/1sVUIQzciQhZ--bio1WAp0uGC4eVHOZR1/view?usp=drivesdk</t>
  </si>
  <si>
    <t>Document successfully created; Document successfully merged; PDF created; Emails Sent: [To: 22-diazquijano.wendyabigail@cetis57.edu.mx; no-reply: true]; Run via form trigger as gabrielvazquez@cetis57.edu.mx; Timestamp: Aug 3 2023 4:20 PM</t>
  </si>
  <si>
    <t>https://drive.google.com/open?id=1aQDt3mt4--eYdQmDdgfKb3UbWK_4D5eF</t>
  </si>
  <si>
    <t>VIRGEN DE LOS REMEDIOS #47 COL.VIRGENCITAS</t>
  </si>
  <si>
    <t>FACHADA CON AZULEJO, ZAGUAN BLANCO</t>
  </si>
  <si>
    <t>DANIEL SANCHEZ CERVANTES</t>
  </si>
  <si>
    <t>https://drive.google.com/open?id=1ZHatG1g3LDL0sNm1NARNI-378XXGaB5P</t>
  </si>
  <si>
    <t>https://drive.google.com/open?id=1wAG4PK_3B3V9JJdom5xX5sZ4rkpCqA5O</t>
  </si>
  <si>
    <t>https://drive.google.com/open?id=1Qt7zR8IcOxMN1XTHqhuHW7qPhHDyfncQ</t>
  </si>
  <si>
    <t>https://drive.google.com/open?id=11khFtFCaMufvkfvjWDM7QBw4lgGIikRu</t>
  </si>
  <si>
    <t>1EFKuE_KpmwF2zPTVFtJGEhsKT62cej-L</t>
  </si>
  <si>
    <t>https://drive.google.com/file/d/1EFKuE_KpmwF2zPTVFtJGEhsKT62cej-L/view?usp=drivesdk</t>
  </si>
  <si>
    <t>Document successfully created; Document successfully merged; PDF created; Emails Sent: [To: 22-sanchezhernandez.luisangel@cetis57.edu.mx; no-reply: true]; Run via form trigger as gabrielvazquez@cetis57.edu.mx; Timestamp: Aug 2 2023 1:21 AM</t>
  </si>
  <si>
    <t>1T0GjLhy-3Ycia1-mNJVob7CDIwa6-eO1</t>
  </si>
  <si>
    <t>https://drive.google.com/file/d/1T0GjLhy-3Ycia1-mNJVob7CDIwa6-eO1/view?usp=drivesdk</t>
  </si>
  <si>
    <t>Document successfully created; Document successfully merged; PDF created; Emails Sent: [To: 22-sanchezhernandez.luisangel@cetis57.edu.mx; no-reply: true]; Run via form trigger as gabrielvazquez@cetis57.edu.mx; Timestamp: Aug 3 2023 11:43 PM</t>
  </si>
  <si>
    <t>https://drive.google.com/open?id=1wwQ0v6iDPX6F50LieQ5NeMgXGok2U4xe</t>
  </si>
  <si>
    <t>Letra c</t>
  </si>
  <si>
    <t>S MZ II MZ4 3 AV UNIVERSIDAD Y LEON LOYOLA ZARAGOZA UNIDAD EJERCITO CONSTITUCIO.</t>
  </si>
  <si>
    <t>https://drive.google.com/open?id=1Z8MRAl_KQ_zZ7j491DvnRgjKvwPkmNeT</t>
  </si>
  <si>
    <t>MERCY JAQUELINE</t>
  </si>
  <si>
    <t>https://drive.google.com/open?id=1-CaPjTy-inaFzZk-7ypjCvYdF8FejP7O</t>
  </si>
  <si>
    <t>JORGE JOSADEC</t>
  </si>
  <si>
    <t>https://drive.google.com/open?id=1dH7JRDTOwW7n6Gbe3f18ZtrOkGtAN1Lq</t>
  </si>
  <si>
    <t>https://drive.google.com/open?id=11XDcnCPOQFh7K31WwTUcX-UcoHjdPL74</t>
  </si>
  <si>
    <t>1P6osajCpniE2Oiu9580q0i6WrIig4FcZ</t>
  </si>
  <si>
    <t>https://drive.google.com/file/d/1P6osajCpniE2Oiu9580q0i6WrIig4FcZ/view?usp=drivesdk</t>
  </si>
  <si>
    <t>Document successfully created; Document successfully merged; PDF created; Emails Sent: [To: 22-jaureguiespinosa.jennifer@cetis57.edu.mx; no-reply: true]; Run via form trigger as gabrielvazquez@cetis57.edu.mx; Timestamp: Aug 2 2023 1:22 AM</t>
  </si>
  <si>
    <t>16SpWzbqACing8-FHn1ixCA_BP_h40KGo</t>
  </si>
  <si>
    <t>https://drive.google.com/file/d/16SpWzbqACing8-FHn1ixCA_BP_h40KGo/view?usp=drivesdk</t>
  </si>
  <si>
    <t>Document successfully created; Document successfully merged; PDF created; Emails Sent: [To: 22-jaureguiespinosa.jennifer@cetis57.edu.mx; no-reply: true]; Run via form trigger as gabrielvazquez@cetis57.edu.mx; Timestamp: Aug 3 2023 11:44 PM</t>
  </si>
  <si>
    <t>https://drive.google.com/open?id=1Swv4okvWAfa8hMM38rMEAlftX2KrQ8YF</t>
  </si>
  <si>
    <t xml:space="preserve">C LAUREANO ESTUDILLO MZA 166 LT 35 COL SANTA MARTHA ACATITLA NORTE, IZTAPALAPA, CDMX </t>
  </si>
  <si>
    <t xml:space="preserve">COL SANTA MARTHA ACATITLA NORTE </t>
  </si>
  <si>
    <t xml:space="preserve"> LT 35 </t>
  </si>
  <si>
    <t>MZA 166</t>
  </si>
  <si>
    <t xml:space="preserve">UNIVERSIDAD ICEL </t>
  </si>
  <si>
    <t xml:space="preserve">GARCIA JUAREZ JOSEFINA </t>
  </si>
  <si>
    <t>https://drive.google.com/open?id=14HeZud0ki96W2vyTfqIrJSOKKJA6KTcj</t>
  </si>
  <si>
    <t xml:space="preserve">EZPINOZA </t>
  </si>
  <si>
    <t xml:space="preserve"> DOMINGUEZ </t>
  </si>
  <si>
    <t>https://drive.google.com/open?id=1XjKHXvHtUFrScPHXzhHlqhL8G5zs9mnI</t>
  </si>
  <si>
    <t xml:space="preserve">GUADALUPE JOCELYN </t>
  </si>
  <si>
    <t>lupitahernandezgarcia798@gmail.com</t>
  </si>
  <si>
    <t>https://drive.google.com/open?id=1sN7vW61GW_k1GyPMGCiLlEjWs3YpVfxY</t>
  </si>
  <si>
    <t xml:space="preserve">CCH </t>
  </si>
  <si>
    <t xml:space="preserve">NEGOCIOS INTERNACIONALES </t>
  </si>
  <si>
    <t>https://drive.google.com/open?id=1hfQT-GxcmcoKFjdwtrEXRFhKvu-MMlXF</t>
  </si>
  <si>
    <t>1TwhqFP6yU8-LclM71ba56x_M8_6Kjj30</t>
  </si>
  <si>
    <t>https://drive.google.com/file/d/1TwhqFP6yU8-LclM71ba56x_M8_6Kjj30/view?usp=drivesdk</t>
  </si>
  <si>
    <t>Document successfully created; Document successfully merged; PDF created; Emails Sent: [To: 22-hernandezgarcia.evelyn@cetis57.edu.mx; no-reply: true]; Run via form trigger as gabrielvazquez@cetis57.edu.mx; Timestamp: Aug 2 2023 1:23 AM</t>
  </si>
  <si>
    <t>1HLXCuBnQWAxgfjMm0YORXk9liawdcYhG</t>
  </si>
  <si>
    <t>https://drive.google.com/file/d/1HLXCuBnQWAxgfjMm0YORXk9liawdcYhG/view?usp=drivesdk</t>
  </si>
  <si>
    <t>Document successfully created; Document successfully merged; PDF created; Emails Sent: [To: 22-hernandezgarcia.evelyn@cetis57.edu.mx; no-reply: true]; Run via form trigger as gabrielvazquez@cetis57.edu.mx; Timestamp: Aug 3 2023 11:45 PM</t>
  </si>
  <si>
    <t>https://drive.google.com/open?id=1px5WBuHacZd4ORYS_GmvG0185GWkjlF6</t>
  </si>
  <si>
    <t xml:space="preserve">HUMBERTO GUTIERREZ CORONA </t>
  </si>
  <si>
    <t xml:space="preserve">LUIS CORDOVA REYES </t>
  </si>
  <si>
    <t xml:space="preserve">MAXIMINA POZOS BARRERA </t>
  </si>
  <si>
    <t>https://drive.google.com/open?id=1chPieSZvaWgT02wrChgmpRh6HXVFiT7e</t>
  </si>
  <si>
    <t>maximinapozosbarrera@gmail.com</t>
  </si>
  <si>
    <t xml:space="preserve">YURIDIA </t>
  </si>
  <si>
    <t>https://drive.google.com/open?id=1Q5TJLvW2EwrL1SJDs1Ca42mykLUrfc6H</t>
  </si>
  <si>
    <t xml:space="preserve">SILVIA ZAYURI </t>
  </si>
  <si>
    <t>silviazayuri@gmail.com</t>
  </si>
  <si>
    <t>https://drive.google.com/open?id=1bgRIv_UMtOfdBFwULQGi9ZvOObk2UAEy</t>
  </si>
  <si>
    <t>https://drive.google.com/open?id=1bOqB0CVrKZv17LiP-0FSMj9CI0JWbT-k</t>
  </si>
  <si>
    <t>1cVXi3d1lRtsUMOB3x9zohxEPXqhf2L3Z</t>
  </si>
  <si>
    <t>https://drive.google.com/file/d/1cVXi3d1lRtsUMOB3x9zohxEPXqhf2L3Z/view?usp=drivesdk</t>
  </si>
  <si>
    <t>Document successfully created; Document successfully merged; PDF created; Emails Sent: [To: 22-zaragozapozos.gustavo@cetis57.edu.mx; no-reply: true]; Run via form trigger as gabrielvazquez@cetis57.edu.mx; Timestamp: Aug 2 2023 1:24 AM</t>
  </si>
  <si>
    <t>1P7DH2PEn86auJmWTkWAK2CORios5Nr9E</t>
  </si>
  <si>
    <t>https://drive.google.com/file/d/1P7DH2PEn86auJmWTkWAK2CORios5Nr9E/view?usp=drivesdk</t>
  </si>
  <si>
    <t>Document successfully created; Document successfully merged; PDF created; Emails Sent: [To: 22-zaragozapozos.gustavo@cetis57.edu.mx; no-reply: true]; Run via form trigger as gabrielvazquez@cetis57.edu.mx; Timestamp: Aug 3 2023 11:46 PM</t>
  </si>
  <si>
    <t>LILIANA ABRIL</t>
  </si>
  <si>
    <t>https://drive.google.com/open?id=1g9pxWMUT7XRo-WtvOIBf5Je3YEl3pJY2</t>
  </si>
  <si>
    <t>COLONIA:RUBEN JARAMILLO CALLE:EUGUENIA LEON</t>
  </si>
  <si>
    <t>TIENDA SOFI</t>
  </si>
  <si>
    <t>PATRICIA CASTRO AURELIO</t>
  </si>
  <si>
    <t>https://drive.google.com/open?id=1i9iqqQ5D7qFJDEyacW7oh-1DDqNafYqL</t>
  </si>
  <si>
    <t>https://drive.google.com/open?id=16pc8fKSHamcs_MVX1igS8ZisXDcFCbCy</t>
  </si>
  <si>
    <t>https://drive.google.com/open?id=1dKvdtF3iAoJzD9jiuQjY4IeHxWSVB1jd</t>
  </si>
  <si>
    <t>CENTRO DE ESTUDIOS TECNOLOGICOS INDUSTRIAL Y DE SERVICIOS NO.57 IGNACIO ALLENDE</t>
  </si>
  <si>
    <t>https://drive.google.com/open?id=1CIzUe9iI0GCEU1bY2uTAJ4NIbq9ODWO3</t>
  </si>
  <si>
    <t>1Dk8Fgf6WEh5tFMrhm7mzjZfg_53qU3dt</t>
  </si>
  <si>
    <t>https://drive.google.com/file/d/1Dk8Fgf6WEh5tFMrhm7mzjZfg_53qU3dt/view?usp=drivesdk</t>
  </si>
  <si>
    <t>Document successfully created; Document successfully merged; PDF created; Emails Sent: [To: 22-becerrilcastro.lilianaabril@cetis57.edu.mx; no-reply: true]; Run via form trigger as gabrielvazquez@cetis57.edu.mx; Timestamp: Aug 2 2023 3:38 AM</t>
  </si>
  <si>
    <t>1ncMyran_Ruk3pASyFe57H0WeTAX9Np0f</t>
  </si>
  <si>
    <t>https://drive.google.com/file/d/1ncMyran_Ruk3pASyFe57H0WeTAX9Np0f/view?usp=drivesdk</t>
  </si>
  <si>
    <t>Document successfully created; Document successfully merged; PDF created; Emails Sent: [To: 22-becerrilcastro.lilianaabril@cetis57.edu.mx; no-reply: true]; Run via form trigger as gabrielvazquez@cetis57.edu.mx; Timestamp: Aug 3 2023 11:46 PM</t>
  </si>
  <si>
    <t>https://drive.google.com/open?id=1YcotL0Vrt06ae_MFTjttjurN-uuWfFfu</t>
  </si>
  <si>
    <t>CALLE 11 NUMERO 257</t>
  </si>
  <si>
    <t xml:space="preserve">LAS AGUILAS </t>
  </si>
  <si>
    <t xml:space="preserve">CASA VERDE CON ZAGUAN CAFE </t>
  </si>
  <si>
    <t xml:space="preserve">ANA LIZBETH HERNANDEZ ZARAGOZA </t>
  </si>
  <si>
    <t>https://drive.google.com/open?id=1gknQsBgs1YdhhypdqxxlWAHNEoMJpoGh</t>
  </si>
  <si>
    <t>https://drive.google.com/open?id=1e239Q-tmXPmcF3jUFFBEAHvyNZ70JfGH</t>
  </si>
  <si>
    <t xml:space="preserve">DANNA ALEJANDRA </t>
  </si>
  <si>
    <t>https://drive.google.com/open?id=1KEMzaIcEVFi6dB9TG8VsZrDjk1jrnu7e</t>
  </si>
  <si>
    <t>https://drive.google.com/open?id=1tqVik-YAZw8BxOmep-EfVx6QSHJhFTok</t>
  </si>
  <si>
    <t>0922078787</t>
  </si>
  <si>
    <t>1iKHyj84boFLuc2hD1g32RP74DPUSjmev</t>
  </si>
  <si>
    <t>https://drive.google.com/file/d/1iKHyj84boFLuc2hD1g32RP74DPUSjmev/view?usp=drivesdk</t>
  </si>
  <si>
    <t>Document successfully created; Document successfully merged; PDF created; Emails Sent: [To: 22-hernandezhernandez.daniel@cetis57.edu.mx; no-reply: true]; Run via form trigger as gabrielvazquez@cetis57.edu.mx; Timestamp: Aug 2 2023 3:44 AM</t>
  </si>
  <si>
    <t>169DPhXdjM9mXWKhDtZ7lCTp1kh7iMAC8</t>
  </si>
  <si>
    <t>https://drive.google.com/file/d/169DPhXdjM9mXWKhDtZ7lCTp1kh7iMAC8/view?usp=drivesdk</t>
  </si>
  <si>
    <t>Document successfully created; Document successfully merged; PDF created; Emails Sent: [To: 22-hernandezhernandez.daniel@cetis57.edu.mx; no-reply: true]; Run via form trigger as gabrielvazquez@cetis57.edu.mx; Timestamp: Aug 3 2023 4:35 PM</t>
  </si>
  <si>
    <t>https://drive.google.com/open?id=1sODflGUaYx9BiijnosSirRSguCMmhmbR</t>
  </si>
  <si>
    <t xml:space="preserve">NORTE 16  </t>
  </si>
  <si>
    <t xml:space="preserve">EN UNA CALLE CERRADA </t>
  </si>
  <si>
    <t xml:space="preserve">CLAUDIA ERIKA TREJO FARO </t>
  </si>
  <si>
    <t>https://drive.google.com/open?id=1RhzZTVLDuM5NOpw-mT2PrYjbwRe8KiVU</t>
  </si>
  <si>
    <t>https://drive.google.com/open?id=16Du6MGFjjrUvMlRDNJe-g86-gP9ooKHN</t>
  </si>
  <si>
    <t>lufamu68@gmail.com</t>
  </si>
  <si>
    <t>https://drive.google.com/open?id=1sQYxrD8uokyj-ld0OtfHBJZ9FrMCJL84</t>
  </si>
  <si>
    <t>https://drive.google.com/open?id=1sbFQkdyl2uNThJpusUCoZksoC45vYbBu</t>
  </si>
  <si>
    <t>1V84SP9U_vnrJV-NVPDhTQ_EjC0iGoyeE</t>
  </si>
  <si>
    <t>https://drive.google.com/file/d/1V84SP9U_vnrJV-NVPDhTQ_EjC0iGoyeE/view?usp=drivesdk</t>
  </si>
  <si>
    <t>Document successfully created; Document successfully merged; PDF created; Emails Sent: [To: 21-galiciatrejo.sofia@cetis57.edu.mx; no-reply: true]; Run via form trigger as gabrielvazquez@cetis57.edu.mx; Timestamp: Aug 2 2023 3:44 AM</t>
  </si>
  <si>
    <t>1W-9NMsyYG0gvNvv-nBX1ToyBWhOXzIeV</t>
  </si>
  <si>
    <t>https://drive.google.com/file/d/1W-9NMsyYG0gvNvv-nBX1ToyBWhOXzIeV/view?usp=drivesdk</t>
  </si>
  <si>
    <t>Document successfully created; Document successfully merged; PDF created; Emails Sent: [To: 21-galiciatrejo.sofia@cetis57.edu.mx; no-reply: true]; Run via form trigger as gabrielvazquez@cetis57.edu.mx; Timestamp: Aug 3 2023 4:35 PM</t>
  </si>
  <si>
    <t>https://drive.google.com/open?id=1C_s1qo8uLNkefOUjKG8Cp-wiVKJMbT8x</t>
  </si>
  <si>
    <t>ELISA ACUÑA Y ROSETTI MZ 139 LT 1</t>
  </si>
  <si>
    <t>AMPLEACION SANTA MARTHA ACATITLA</t>
  </si>
  <si>
    <t>139/1</t>
  </si>
  <si>
    <t>EN ESQUINA DE MWRCELINO ABSALON PEREZ</t>
  </si>
  <si>
    <t xml:space="preserve">ASTRID NAVARRO GARCIA </t>
  </si>
  <si>
    <t>https://drive.google.com/open?id=1jPz5dJciSr2DDFAOHx0yDXcsn-FTyM35</t>
  </si>
  <si>
    <t>JOSE CRISTIAN</t>
  </si>
  <si>
    <t>https://drive.google.com/open?id=19u-YYZRnb7zuSXO1T2YdCkPI1qyusYk0</t>
  </si>
  <si>
    <t>NORMA LAURA</t>
  </si>
  <si>
    <t>https://drive.google.com/open?id=1_Tt4DgJ3GFmJNAvCVH0awKkrDTd8vI4u</t>
  </si>
  <si>
    <t>https://drive.google.com/open?id=1vPa1EB2MwgfKo5UpLRiYUA83tp5X0lv8</t>
  </si>
  <si>
    <t>1TKmPe0ZQIuracZHNoHjIp4IX9JlSODMq</t>
  </si>
  <si>
    <t>https://drive.google.com/file/d/1TKmPe0ZQIuracZHNoHjIp4IX9JlSODMq/view?usp=drivesdk</t>
  </si>
  <si>
    <t>Document successfully created; Document successfully merged; PDF created; Emails Sent: [To: 21-garcianavarro.angelraul@cetis57.edu.mx; no-reply: true]; Run via form trigger as gabrielvazquez@cetis57.edu.mx; Timestamp: Aug 2 2023 6:55 PM</t>
  </si>
  <si>
    <t>1rGUjjM5ox-KUhMnbCoCE5GSikS4MwulH</t>
  </si>
  <si>
    <t>https://drive.google.com/file/d/1rGUjjM5ox-KUhMnbCoCE5GSikS4MwulH/view?usp=drivesdk</t>
  </si>
  <si>
    <t>Document successfully created; Document successfully merged; PDF created; Emails Sent: [To: 21-garcianavarro.angelraul@cetis57.edu.mx; no-reply: true]; Run via form trigger as gabrielvazquez@cetis57.edu.mx; Timestamp: Aug 3 2023 4:36 PM</t>
  </si>
  <si>
    <t>https://drive.google.com/open?id=1aWWJz-F1eVhjQNvjC6EQD_IUNWL3m8pK</t>
  </si>
  <si>
    <t xml:space="preserve">PALMILLAS 16 LT 6 MZN 22 </t>
  </si>
  <si>
    <t>FACHADA BEIGE, TRES PINOS AFUERA, ZAGUAN CAFE</t>
  </si>
  <si>
    <t>ADRIAN VARGAS RUIZ</t>
  </si>
  <si>
    <t>https://drive.google.com/open?id=1e6qUrozoNKC0ysxwE6GPDMpGwFPVCMdN</t>
  </si>
  <si>
    <t>https://drive.google.com/open?id=13XxZugSpqudZhLDVElBVEOlW-DncppeO</t>
  </si>
  <si>
    <t>https://drive.google.com/open?id=1NKQ4n3gPfcV83UANopLFpktA2vfzNpaz</t>
  </si>
  <si>
    <t>https://drive.google.com/open?id=1mnvsLFlRjePBg68o4d6bAHzETpJnh6To</t>
  </si>
  <si>
    <t>1l36LDtPy7A7yLs7c2RAaFcnoTL5lGLBe</t>
  </si>
  <si>
    <t>https://drive.google.com/file/d/1l36LDtPy7A7yLs7c2RAaFcnoTL5lGLBe/view?usp=drivesdk</t>
  </si>
  <si>
    <t>Document successfully created; Document successfully merged; PDF created; Emails Sent: [To: 22-vargasrivera.christianalexander@cetis57.edu.mx; no-reply: true]; Run via form trigger as gabrielvazquez@cetis57.edu.mx; Timestamp: Aug 2 2023 3:46 AM</t>
  </si>
  <si>
    <t>131DYGLqDyad1hRqRnlIHchWeK1DXMI0I</t>
  </si>
  <si>
    <t>https://drive.google.com/file/d/131DYGLqDyad1hRqRnlIHchWeK1DXMI0I/view?usp=drivesdk</t>
  </si>
  <si>
    <t>Document successfully created; Document successfully merged; PDF created; Emails Sent: [To: 22-vargasrivera.christianalexander@cetis57.edu.mx; no-reply: true]; Run via form trigger as gabrielvazquez@cetis57.edu.mx; Timestamp: Aug 3 2023 4:36 PM</t>
  </si>
  <si>
    <t>https://drive.google.com/open?id=1f6aCBdrSHYXhzeZAdvJayaw5FCSKbi4n</t>
  </si>
  <si>
    <t>INDUSTRIAL 438</t>
  </si>
  <si>
    <t>ATRAS DE IMSS 78</t>
  </si>
  <si>
    <t xml:space="preserve">MARIA FELIX PANTOJA CARRILLO </t>
  </si>
  <si>
    <t>https://drive.google.com/open?id=1f0GycFX8knsL5Qt-e-ks6ACY9Ox2bj2s</t>
  </si>
  <si>
    <t xml:space="preserve">MARIA FELIX </t>
  </si>
  <si>
    <t>https://drive.google.com/open?id=1V7EhtHGrX65HMG085Vve7KKzIEMWYUje</t>
  </si>
  <si>
    <t>https://drive.google.com/open?id=1WBSCOSte_YV1Efnh0mdniCc8ax0JJp3j</t>
  </si>
  <si>
    <t>https://drive.google.com/open?id=1lpRmKsWfYb4d53K_tHSVY_nR7sfXo7q3</t>
  </si>
  <si>
    <t>1_0CUXlzOIOlWuE-QQKYMd7dyfOf_RXki</t>
  </si>
  <si>
    <t>https://drive.google.com/file/d/1_0CUXlzOIOlWuE-QQKYMd7dyfOf_RXki/view?usp=drivesdk</t>
  </si>
  <si>
    <t>Document successfully created; Invalid image URL [http://doc.google.com/uc?id=1V7EhtHGrX65HMG085Vve7KKzIEMWYUje], make sure that it is public; Document successfully merged; PDF created; Emails Sent: [To: 21-eliaspantoja.alejandro@cetis57.edu.mx]; Run via form trigger as gabrielvazquez@cetis57.edu.mx; Timestamp: Aug 3 2023 6:10 PM</t>
  </si>
  <si>
    <t>1b5eBOh1PYdgY6FwQFcu3aER_602epD1L</t>
  </si>
  <si>
    <t>https://drive.google.com/file/d/1b5eBOh1PYdgY6FwQFcu3aER_602epD1L/view?usp=drivesdk</t>
  </si>
  <si>
    <t>Document successfully created; Document successfully merged; PDF created; Emails Sent: [To: 21-eliaspantoja.alejandro@cetis57.edu.mx; no-reply: true]; Run via form trigger as gabrielvazquez@cetis57.edu.mx; Timestamp: Aug 3 2023 4:37 PM</t>
  </si>
  <si>
    <t>https://drive.google.com/open?id=1JqOMUPPdYWtt-IhnNvADSW8-gWNY9JRo</t>
  </si>
  <si>
    <t xml:space="preserve">CALLE BALBUENA 346 </t>
  </si>
  <si>
    <t xml:space="preserve">INEXISTENTE </t>
  </si>
  <si>
    <t xml:space="preserve">CASA VERDE DE DOS PISOS COLOR VERDE AGUA PORTON DE COLOR GRIS </t>
  </si>
  <si>
    <t>https://drive.google.com/open?id=1twFDqfXuVXKiafb5BTE7P0vsCMo5OENL</t>
  </si>
  <si>
    <t>contrerasmarinnancimatilde@gmail.com</t>
  </si>
  <si>
    <t>santiagojuan2703@gmail.com</t>
  </si>
  <si>
    <t>https://drive.google.com/open?id=1OualOwrSJkgfsNAwJ--n1EndiPhzVNaM</t>
  </si>
  <si>
    <t>lizanaira98@gmail.com</t>
  </si>
  <si>
    <t>https://drive.google.com/open?id=18-DYuD7nUbC6AD3eEbmdms2gFEAt6i7U</t>
  </si>
  <si>
    <t>https://drive.google.com/open?id=1vsPuX4oHQT9kO9lKy2c-oPIMdpEjKncm</t>
  </si>
  <si>
    <t>19DU4pPCc4NhBNug1zVsLNOg0VXX3Vgwf</t>
  </si>
  <si>
    <t>https://drive.google.com/file/d/19DU4pPCc4NhBNug1zVsLNOg0VXX3Vgwf/view?usp=drivesdk</t>
  </si>
  <si>
    <t>Document successfully created; Document successfully merged; PDF created; Emails Sent: [To: 21-santiagocontreras.karenitzel@cetis57.edu.mx; no-reply: true]; Run via form trigger as gabrielvazquez@cetis57.edu.mx; Timestamp: Aug 2 2023 7:09 PM</t>
  </si>
  <si>
    <t>1oa-GrQXLXj_lKceWjVX02oWhiGoN_I2L</t>
  </si>
  <si>
    <t>https://drive.google.com/file/d/1oa-GrQXLXj_lKceWjVX02oWhiGoN_I2L/view?usp=drivesdk</t>
  </si>
  <si>
    <t>Document successfully created; Document successfully merged; PDF created; Emails Sent: [To: 21-santiagocontreras.karenitzel@cetis57.edu.mx; no-reply: true]; Run via form trigger as gabrielvazquez@cetis57.edu.mx; Timestamp: Aug 3 2023 11:47 PM</t>
  </si>
  <si>
    <t>https://drive.google.com/open?id=1QHg7mtA7RQDUHlSa-ghGY2zZYUx6L8aN</t>
  </si>
  <si>
    <t>CDA DE LIMA MZ 160 LT 30 COL IXTLAHUACAN</t>
  </si>
  <si>
    <t>ENTRE AVENIDA MEXICO Y EUCALIPTO A UN LADO DE EL CETIS 42</t>
  </si>
  <si>
    <t>GUSTAVO RAMOS GONZALEZ</t>
  </si>
  <si>
    <t>https://drive.google.com/open?id=1Flya9i5yBDeaDB73VrFTjg5tCxwKAyPv</t>
  </si>
  <si>
    <t>RAMOSMIGUELANGEL71@GMAIL.COM</t>
  </si>
  <si>
    <t>https://drive.google.com/open?id=1aYcrOU0t5AHIn-U1ujPStjsAjtGeI-mq</t>
  </si>
  <si>
    <t>ANDREARAMOSAGUILAR11@GMAIL.COM</t>
  </si>
  <si>
    <t>https://drive.google.com/open?id=1-X6ja3EtXgc4Y6AGiX2ho5jc6L3jAjob</t>
  </si>
  <si>
    <t>https://drive.google.com/open?id=1BTrb2m-qZiSpHpkjabEZo63zeqw-onf6</t>
  </si>
  <si>
    <t>1l9_bqt1MAWF-HQE_WCg1Z7_sbpMSWHIj</t>
  </si>
  <si>
    <t>https://drive.google.com/file/d/1l9_bqt1MAWF-HQE_WCg1Z7_sbpMSWHIj/view?usp=drivesdk</t>
  </si>
  <si>
    <t>Document successfully created; Document successfully merged; PDF created; Emails Sent: [To: 21-ramosvera.miguelangel@cetis57.edu.mx; no-reply: true]; Run via form trigger as gabrielvazquez@cetis57.edu.mx; Timestamp: Aug 2 2023 1:31 AM</t>
  </si>
  <si>
    <t>1LtXcicL2pddrpIoZFGPSI4sFqbgy8D9_</t>
  </si>
  <si>
    <t>https://drive.google.com/file/d/1LtXcicL2pddrpIoZFGPSI4sFqbgy8D9_/view?usp=drivesdk</t>
  </si>
  <si>
    <t>Document successfully created; Document successfully merged; PDF created; Emails Sent: [To: 21-ramosvera.miguelangel@cetis57.edu.mx; no-reply: true]; Run via form trigger as gabrielvazquez@cetis57.edu.mx; Timestamp: Aug 3 2023 11:48 PM</t>
  </si>
  <si>
    <t>https://drive.google.com/open?id=1UsA1AY_CJERZHOpSB5uYlYbN_77pbpkm</t>
  </si>
  <si>
    <t>METROPOLITANA PRIMERA SECCION CORDOBANES Y FLAMINGOS 170</t>
  </si>
  <si>
    <t xml:space="preserve">FARMACIA EN LA ESQUINA </t>
  </si>
  <si>
    <t xml:space="preserve">HERNANDEZ VIRGIL JENNIFER BELEN </t>
  </si>
  <si>
    <t>https://drive.google.com/open?id=1wHHrwiYdX9JJj0RPl5ft5pbcB-r6B_E1</t>
  </si>
  <si>
    <t>jennifervirgil29@gmail.com</t>
  </si>
  <si>
    <t>https://drive.google.com/open?id=140t4hGXv4IKVud7_aWLh4VeYTLRr9ao0</t>
  </si>
  <si>
    <t xml:space="preserve">LIAM YONTE </t>
  </si>
  <si>
    <t>yontehz12@gmail.com</t>
  </si>
  <si>
    <t>https://drive.google.com/open?id=1Zoj-Ww8tzfKS_i3vkxMONw4KFiy0Cb3H</t>
  </si>
  <si>
    <t>https://drive.google.com/open?id=1bdFXPihbVPd-jr0O0wVukT7vnz5RkPh_</t>
  </si>
  <si>
    <t>https://drive.google.com/open?id=11FuaWzIp-ux-IBuVMK9xTjSkKG7MgsnJ</t>
  </si>
  <si>
    <t xml:space="preserve">CASA CON ZAGUAN NEGRO  </t>
  </si>
  <si>
    <t xml:space="preserve">CUEVAS PACHECO NOHEMI ADRIANA </t>
  </si>
  <si>
    <t>https://drive.google.com/open?id=1JVdXiyEJeNOR8oKf-9WFZGUKgCVvBLiW</t>
  </si>
  <si>
    <t xml:space="preserve">MARIO ARMANDO </t>
  </si>
  <si>
    <t>mts5854@gmail.com</t>
  </si>
  <si>
    <t>https://drive.google.com/open?id=1O1pJM_qoL1b2UDb7zzzSvrkd86Ui_0FI</t>
  </si>
  <si>
    <t xml:space="preserve">NOHEMI ADRIANA </t>
  </si>
  <si>
    <t>https://drive.google.com/open?id=1n6r_N3O6zwjFpi99fQ7SLj43X2NFJBGw</t>
  </si>
  <si>
    <t>https://drive.google.com/open?id=1OB0jJfp4YhA9N6fUgsjvkjPuUuCp2ZcC</t>
  </si>
  <si>
    <t>1DLTEZGnG8gCRd7Om51r7BM5fu0BCoOwx</t>
  </si>
  <si>
    <t>https://drive.google.com/file/d/1DLTEZGnG8gCRd7Om51r7BM5fu0BCoOwx/view?usp=drivesdk</t>
  </si>
  <si>
    <t>Document successfully created; Document successfully merged; PDF created; Emails Sent: [To: 22-diosdadocuevas.zoedanae@cetis57.edu.mx; no-reply: true]; Run via form trigger as gabrielvazquez@cetis57.edu.mx; Timestamp: Aug 2 2023 1:31 AM</t>
  </si>
  <si>
    <t>19uMZ6RXc9NKmRbchg7Oj7ZP8EPCo4dHO</t>
  </si>
  <si>
    <t>https://drive.google.com/file/d/19uMZ6RXc9NKmRbchg7Oj7ZP8EPCo4dHO/view?usp=drivesdk</t>
  </si>
  <si>
    <t>Document successfully created; Document successfully merged; PDF created; Emails Sent: [To: 22-diosdadocuevas.zoedanae@cetis57.edu.mx; no-reply: true]; Run via form trigger as gabrielvazquez@cetis57.edu.mx; Timestamp: Aug 3 2023 11:50 PM</t>
  </si>
  <si>
    <t>https://drive.google.com/open?id=1Qsr_i6s6tkTcim98S5HeePNI84EZdV1w</t>
  </si>
  <si>
    <t xml:space="preserve">EDGARDO ALMICAR </t>
  </si>
  <si>
    <t xml:space="preserve">FRENTE A UN PARQUE ALADO DE UN PRESCOLAR </t>
  </si>
  <si>
    <t xml:space="preserve">ANGELICA MARIA SALGADO BONILLA </t>
  </si>
  <si>
    <t>https://drive.google.com/open?id=1zdvWwhxv96gen994cTTa4wTQCMzI30kn</t>
  </si>
  <si>
    <t>https://drive.google.com/open?id=1W2iOy5gbi02HHiJEnBuhfeGdAhYvDUXH</t>
  </si>
  <si>
    <t xml:space="preserve">VICTOR SAUL </t>
  </si>
  <si>
    <t>https://drive.google.com/open?id=1qilbczuAOdVhst2bWS1yaHSAm4MRnHqM</t>
  </si>
  <si>
    <t xml:space="preserve">ESCUELA MEDICO NAVAL SEMAR </t>
  </si>
  <si>
    <t>https://drive.google.com/open?id=1TXJaNWpp94FacBaZGjrz3HULInr6ekUH</t>
  </si>
  <si>
    <t>12ccDsrq_cmtcPk6oBT2ExTzcRXCym7l-</t>
  </si>
  <si>
    <t>https://drive.google.com/file/d/12ccDsrq_cmtcPk6oBT2ExTzcRXCym7l-/view?usp=drivesdk</t>
  </si>
  <si>
    <t>Document successfully created; Document successfully merged; PDF created; Emails Sent: [To: 21-hernandezsalgado.cynthiaitzel@cetis57.edu.mx; no-reply: true]; Run via form trigger as gabrielvazquez@cetis57.edu.mx; Timestamp: Aug 2 2023 1:32 AM</t>
  </si>
  <si>
    <t>1GHO6uPC6W2AA9KQ3S5elldOOAy8LNVLk</t>
  </si>
  <si>
    <t>https://drive.google.com/file/d/1GHO6uPC6W2AA9KQ3S5elldOOAy8LNVLk/view?usp=drivesdk</t>
  </si>
  <si>
    <t>Document successfully created; Document successfully merged; PDF created; Emails Sent: [To: 21-hernandezsalgado.cynthiaitzel@cetis57.edu.mx; no-reply: true]; Run via form trigger as gabrielvazquez@cetis57.edu.mx; Timestamp: Aug 3 2023 11:50 PM</t>
  </si>
  <si>
    <t>https://drive.google.com/open?id=1XNJqfLhDUR_FH16s1Cqh85sjoqC4Xy3o</t>
  </si>
  <si>
    <t xml:space="preserve">Lago tequesquitengo numero 178 </t>
  </si>
  <si>
    <t>CERCAS DE LA IGLECIA DE SANFRANCISCO DE ASIS</t>
  </si>
  <si>
    <t>ISELA CARREON MARTINEZ</t>
  </si>
  <si>
    <t>https://drive.google.com/open?id=15P5mu9xbYVaMWZVAugYhkpLamsF6IvLU</t>
  </si>
  <si>
    <t>epo267taniacarreonvezper2do@gmail.com</t>
  </si>
  <si>
    <t>ALONDRA COMCEPCION</t>
  </si>
  <si>
    <t>epo267taniacarreonvesper2do@gmail.com</t>
  </si>
  <si>
    <t>https://drive.google.com/open?id=1mYkcHyaRBjZXoaBim4Jl4J90EtnAr_PY</t>
  </si>
  <si>
    <t xml:space="preserve">TANIA JAZZMIN </t>
  </si>
  <si>
    <t>jazzmimcarreonmartinez@gmail.com</t>
  </si>
  <si>
    <t>https://drive.google.com/open?id=1ge_qAy2hC2a4YNw1CgKe2Vhl-yjEnv0d</t>
  </si>
  <si>
    <t>https://drive.google.com/open?id=1CZgkX7lA6mFTRue2wDZzaUSzhtQnUors</t>
  </si>
  <si>
    <t>1pZ7_LZXS2OMCYFmn8G6Ql4hE4PpnGZIb</t>
  </si>
  <si>
    <t>https://drive.google.com/file/d/1pZ7_LZXS2OMCYFmn8G6Ql4hE4PpnGZIb/view?usp=drivesdk</t>
  </si>
  <si>
    <t>Document successfully created; Document successfully merged; PDF created; Emails Sent: [To: 22-carreonmartinez.adelitamayte@cetis57.edu.mx; no-reply: true]; Run via form trigger as gabrielvazquez@cetis57.edu.mx; Timestamp: Aug 2 2023 1:33 AM</t>
  </si>
  <si>
    <t>1iAkOWBgJdFeSCe2Miv9uKrkSEE1f9meI</t>
  </si>
  <si>
    <t>https://drive.google.com/file/d/1iAkOWBgJdFeSCe2Miv9uKrkSEE1f9meI/view?usp=drivesdk</t>
  </si>
  <si>
    <t>Document successfully created; Document successfully merged; PDF created; Emails Sent: [To: 22-carreonmartinez.adelitamayte@cetis57.edu.mx; no-reply: true]; Run via form trigger as gabrielvazquez@cetis57.edu.mx; Timestamp: Aug 3 2023 11:51 PM</t>
  </si>
  <si>
    <t>https://drive.google.com/open?id=19I7pszX2b7BEYV3hw4CeKDKVfuE-Sh1w</t>
  </si>
  <si>
    <t>LOMAS DE SAN SEBASTIAN CALLE 14 LOT.9 MNZ.94</t>
  </si>
  <si>
    <t xml:space="preserve">ENFRENTE DE UNA ESCUELA </t>
  </si>
  <si>
    <t>MARIA DE JESUS  CORTES GALICIA</t>
  </si>
  <si>
    <t>https://drive.google.com/open?id=1L2wyukjIlFERs1FS68A0Lh0CP9mlxOj8</t>
  </si>
  <si>
    <t>yare.rosita2011@gmail.com</t>
  </si>
  <si>
    <t>https://drive.google.com/open?id=1-QO05jDJXTym3ue1DVF4l1Kr_pwtjNzq</t>
  </si>
  <si>
    <t>MARIA DOMINGA</t>
  </si>
  <si>
    <t>https://drive.google.com/open?id=1u76zW216Wvt3S4GOj4V8gIab86vqbvku</t>
  </si>
  <si>
    <t>TRATAMIENTO PARA QUISTES EN EL OVARIO</t>
  </si>
  <si>
    <t>https://drive.google.com/open?id=1aJgKfWCzFnDpSM4KFKmJQJolQBEKX5M_</t>
  </si>
  <si>
    <t>08210715507</t>
  </si>
  <si>
    <t>1jtgNkVHU6KFzJkHdtNwWcePwOtmE5zAN</t>
  </si>
  <si>
    <t>https://drive.google.com/file/d/1jtgNkVHU6KFzJkHdtNwWcePwOtmE5zAN/view?usp=drivesdk</t>
  </si>
  <si>
    <t>Document successfully created; Document successfully merged; PDF created; Emails Sent: [To: 22-hernandezcortes.guadalupeyareli@cetis57.edu.mx; no-reply: true]; Run via form trigger as gabrielvazquez@cetis57.edu.mx; Timestamp: Aug 2 2023 1:33 AM</t>
  </si>
  <si>
    <t>1bF02XuVJtpK25WMY3OBQOWw0yvda_ht0</t>
  </si>
  <si>
    <t>https://drive.google.com/file/d/1bF02XuVJtpK25WMY3OBQOWw0yvda_ht0/view?usp=drivesdk</t>
  </si>
  <si>
    <t>Document successfully created; Document successfully merged; PDF created; Emails Sent: [To: 22-hernandezcortes.guadalupeyareli@cetis57.edu.mx; no-reply: true]; Run via form trigger as gabrielvazquez@cetis57.edu.mx; Timestamp: Aug 3 2023 11:52 PM</t>
  </si>
  <si>
    <t>ZOSAYAS</t>
  </si>
  <si>
    <t>https://drive.google.com/open?id=10RP9M0pHXl2vf5HGzoa8uPQTYsqg4tF2</t>
  </si>
  <si>
    <t>RAZG070817MMCMSDA1</t>
  </si>
  <si>
    <t xml:space="preserve">2da Cerrada de los Pinos </t>
  </si>
  <si>
    <t xml:space="preserve">CERRO DEL MARQUES </t>
  </si>
  <si>
    <t xml:space="preserve">FACHADA DE TABIQUE, ZAGUAN Y PUERTA VERDE </t>
  </si>
  <si>
    <t xml:space="preserve">SANDY KARINA RAMOS ZOSAYAS </t>
  </si>
  <si>
    <t>https://drive.google.com/open?id=1pVCKwCg3p030eoFNHTDs7I51QQsqhJl-</t>
  </si>
  <si>
    <t>https://drive.google.com/open?id=1-BoxIEYw5z4FtbmXMWlRCp9hjQq0LBUT</t>
  </si>
  <si>
    <t xml:space="preserve">ARACELI BIBIANA </t>
  </si>
  <si>
    <t>bibianazosayas@gmail.com</t>
  </si>
  <si>
    <t>https://drive.google.com/open?id=1o3YLiop0VfhHj6MWfEhxH4jZFbww7Leh</t>
  </si>
  <si>
    <t>https://drive.google.com/open?id=1TVqH6gQhxKzMXsJW7xoN8HS3wfzssb7F</t>
  </si>
  <si>
    <t>18_kOI8eqFTV_43C7TLk_AvLKTBorpHsB</t>
  </si>
  <si>
    <t>https://drive.google.com/file/d/18_kOI8eqFTV_43C7TLk_AvLKTBorpHsB/view?usp=drivesdk</t>
  </si>
  <si>
    <t>Document successfully created; Document successfully merged; PDF created; Emails Sent: [To: 22-ramoszosayas.guadalupemichelle@cetis57.edu.mx; no-reply: true]; Run via form trigger as gabrielvazquez@cetis57.edu.mx; Timestamp: Aug 2 2023 3:47 AM</t>
  </si>
  <si>
    <t>1iYQAo8PGCg47s0iwcxl-ZDNZB5s68h6n</t>
  </si>
  <si>
    <t>https://drive.google.com/file/d/1iYQAo8PGCg47s0iwcxl-ZDNZB5s68h6n/view?usp=drivesdk</t>
  </si>
  <si>
    <t>Document successfully created; Document successfully merged; PDF created; Emails Sent: [To: 22-ramoszosayas.guadalupemichelle@cetis57.edu.mx; no-reply: true]; Run via form trigger as gabrielvazquez@cetis57.edu.mx; Timestamp: Aug 3 2023 11:52 PM</t>
  </si>
  <si>
    <t>https://drive.google.com/open?id=1qeBtnV4vlNAt2d7d9OmN3P9clRodY63M</t>
  </si>
  <si>
    <t>HEOI061212HMCRLVA4</t>
  </si>
  <si>
    <t>AVENIDA GENERAL VICENTE VILLADA</t>
  </si>
  <si>
    <t>COLONIA VICENTE VILLADA</t>
  </si>
  <si>
    <t>https://drive.google.com/open?id=18a5VRwDhKRkLmsnHgHqA-_jyrj75tUeA</t>
  </si>
  <si>
    <t>crisolvera2212@gmail.com</t>
  </si>
  <si>
    <t>HIBAN</t>
  </si>
  <si>
    <t>ivancova0805@gmail.com</t>
  </si>
  <si>
    <t>https://drive.google.com/open?id=1JIG1goGdftasrb_aBjpgPGQrVqSdY5sa</t>
  </si>
  <si>
    <t>https://drive.google.com/open?id=1C5AHG3ex2cQl6D83BJIc6twjBoRsAn3J</t>
  </si>
  <si>
    <t>https://drive.google.com/open?id=1b7dVFkfgDh0_g_wnoSLAVwoc-mxLVjju</t>
  </si>
  <si>
    <t>14eosf7uVzZHHFkNtFswNMkxBp76VkZvV</t>
  </si>
  <si>
    <t>https://drive.google.com/file/d/14eosf7uVzZHHFkNtFswNMkxBp76VkZvV/view?usp=drivesdk</t>
  </si>
  <si>
    <t>Document successfully created; Document successfully merged; PDF created; Emails Sent: [To: 21-hernandezolvera.ivan@cetis57.edu.mx; no-reply: true]; Run via form trigger as gabrielvazquez@cetis57.edu.mx; Timestamp: Aug 2 2023 3:48 AM</t>
  </si>
  <si>
    <t>1W2bm6EmfyT8LGOn2EHrmJCZa6KySHsSe</t>
  </si>
  <si>
    <t>https://drive.google.com/file/d/1W2bm6EmfyT8LGOn2EHrmJCZa6KySHsSe/view?usp=drivesdk</t>
  </si>
  <si>
    <t>Document successfully created; Document successfully merged; PDF created; Emails Sent: [To: 21-hernandezolvera.ivan@cetis57.edu.mx; no-reply: true]; Run via form trigger as gabrielvazquez@cetis57.edu.mx; Timestamp: Aug 4 2023 12:04 AM</t>
  </si>
  <si>
    <t>ESDRAS ANTONIO</t>
  </si>
  <si>
    <t>https://drive.google.com/open?id=1xtfdMV5114salyrY4tOq_mmg5T2SqBXS</t>
  </si>
  <si>
    <t>CALLE GUADALUPE VICTORIA MZ LT 269 SANTA MARIA AZTAHUACAN</t>
  </si>
  <si>
    <t>MZ 25 LT 69</t>
  </si>
  <si>
    <t xml:space="preserve">HAY UNA GASOLINERA CERRADA EN LA ESQUINA </t>
  </si>
  <si>
    <t>MARIANA MONSERRAT DIAZ GONZALEZ</t>
  </si>
  <si>
    <t>https://drive.google.com/open?id=1XgY2KJdwms_MbnQsayrP_wJ4bN5RAWHL</t>
  </si>
  <si>
    <t>https://drive.google.com/open?id=1tNrCiGSL4VetDSHVTrw5TMcca9zXspDz</t>
  </si>
  <si>
    <t>https://drive.google.com/open?id=1U1UamDDuFQQ-dwwuApvmrkuc_tecjJDf</t>
  </si>
  <si>
    <t>https://drive.google.com/open?id=1SJdT8KTaej_2q4qdMbGJOym9pTJWxy5g</t>
  </si>
  <si>
    <t>1jWmCUA_zjrCSX3II1V7MK489kFQdUi75</t>
  </si>
  <si>
    <t>https://drive.google.com/file/d/1jWmCUA_zjrCSX3II1V7MK489kFQdUi75/view?usp=drivesdk</t>
  </si>
  <si>
    <t>Document successfully created; Document successfully merged; PDF created; Emails Sent: [To: 22-dominguezdiaz.esdrasantonio@cetis57.edu.mx; no-reply: true]; Run via form trigger as gabrielvazquez@cetis57.edu.mx; Timestamp: Aug 2 2023 4:10 AM</t>
  </si>
  <si>
    <t>1LhYN0vQM6Yg4zPTJROleiKk9t1njcn_n</t>
  </si>
  <si>
    <t>https://drive.google.com/file/d/1LhYN0vQM6Yg4zPTJROleiKk9t1njcn_n/view?usp=drivesdk</t>
  </si>
  <si>
    <t>Document successfully created; Document successfully merged; PDF created; Emails Sent: [To: 22-dominguezdiaz.esdrasantonio@cetis57.edu.mx; no-reply: true]; Run via form trigger as gabrielvazquez@cetis57.edu.mx; Timestamp: Aug 4 2023 12:05 AM</t>
  </si>
  <si>
    <t>https://drive.google.com/open?id=1KwNNt3oGnizGWHdzQltZCTwon39dd3zG</t>
  </si>
  <si>
    <t xml:space="preserve">55 6377 1431 </t>
  </si>
  <si>
    <t xml:space="preserve">AV MÉXICO </t>
  </si>
  <si>
    <t xml:space="preserve">COL IXTLAHUACAN </t>
  </si>
  <si>
    <t>ABAJO DEL CETIS 42, EN LA CERRADA DONDE HAY UN SAGUAN NARANJA</t>
  </si>
  <si>
    <t xml:space="preserve">ANGELICA MIRANDA MEJIA </t>
  </si>
  <si>
    <t>https://drive.google.com/open?id=17EeWrPRT_9KWwkxutCiY9zE5rLYpBkU0</t>
  </si>
  <si>
    <t>https://drive.google.com/open?id=1CWI0FwuXCaqbTVZIYOh9WR0XrZIoQnnG</t>
  </si>
  <si>
    <t>OSCAR ALAN</t>
  </si>
  <si>
    <t xml:space="preserve">Voceador y servidor publico </t>
  </si>
  <si>
    <t>vakdefernanda32@gmail.com</t>
  </si>
  <si>
    <t>https://drive.google.com/open?id=1o3xAz1QS5Ul_t-0Ym2MYv05BiuiCnoOt</t>
  </si>
  <si>
    <t xml:space="preserve">UNIVERSIDAD DE LA SALUD </t>
  </si>
  <si>
    <t>https://drive.google.com/open?id=1esR1v3EsMftNYdt9y_TOItabMSp-ZGzU</t>
  </si>
  <si>
    <t>1Z0A_qojPEltX21wUAbZkbMzZ5YXovNoL</t>
  </si>
  <si>
    <t>https://drive.google.com/file/d/1Z0A_qojPEltX21wUAbZkbMzZ5YXovNoL/view?usp=drivesdk</t>
  </si>
  <si>
    <t>Document successfully created; Document successfully merged; PDF created; Emails Sent: [To: 22-cruzmiranda.mariafernanda@cetis57.edu.mx; no-reply: true]; Run via form trigger as gabrielvazquez@cetis57.edu.mx; Timestamp: Aug 2 2023 4:10 AM</t>
  </si>
  <si>
    <t>1j72Tw_GZhy5BOPxTFQxDi2bI0RhVq3u3</t>
  </si>
  <si>
    <t>https://drive.google.com/file/d/1j72Tw_GZhy5BOPxTFQxDi2bI0RhVq3u3/view?usp=drivesdk</t>
  </si>
  <si>
    <t>Document successfully created; Document successfully merged; PDF created; Emails Sent: [To: 22-cruzmiranda.mariafernanda@cetis57.edu.mx; no-reply: true]; Run via form trigger as gabrielvazquez@cetis57.edu.mx; Timestamp: Aug 4 2023 12:06 AM</t>
  </si>
  <si>
    <t>https://drive.google.com/open?id=1jIr582XW-rNSKLsVFNbjPMRDmiCoEFy1</t>
  </si>
  <si>
    <t xml:space="preserve">CALLE LA PALMA COL. LOMAS DE SANTA CRUZ </t>
  </si>
  <si>
    <t>LOMAS DE SANTA CRUZ</t>
  </si>
  <si>
    <t xml:space="preserve">FRENTE A FARMACIA VISTA HERMOSA, FACHADA VERDE </t>
  </si>
  <si>
    <t xml:space="preserve">OASIS BATSEBA ACOSTA SANCHEZ </t>
  </si>
  <si>
    <t>https://drive.google.com/open?id=1HbMz3DRyV1m3QMcuH44Vyvf1uexJn_Hw</t>
  </si>
  <si>
    <t>fermtzacosta@gmail.com</t>
  </si>
  <si>
    <t xml:space="preserve">LEANDRO </t>
  </si>
  <si>
    <t>pollorodriguez21@gmail.com</t>
  </si>
  <si>
    <t>https://drive.google.com/open?id=13KOjfqOq-7kxPUROQioqnt05jUhiawyy</t>
  </si>
  <si>
    <t xml:space="preserve">OASIS BATSEBA </t>
  </si>
  <si>
    <t>https://drive.google.com/open?id=1RGY4AclVNJkubxc-lW4EHYLRgeT8FKUo</t>
  </si>
  <si>
    <t>SUEROS</t>
  </si>
  <si>
    <t>https://drive.google.com/open?id=1Y3WygJhBCbelGfXrEdGaLTO6_ZtwQOoA</t>
  </si>
  <si>
    <t>1wklE2j-QrtYBviAMbXEeaWfQK3loBzIq</t>
  </si>
  <si>
    <t>https://drive.google.com/file/d/1wklE2j-QrtYBviAMbXEeaWfQK3loBzIq/view?usp=drivesdk</t>
  </si>
  <si>
    <t>Document successfully created; Document successfully merged; PDF created; Emails Sent: [To: 21-riosrodriguez.christian@cetis57.edu.mx; no-reply: true]; Run via form trigger as gabrielvazquez@cetis57.edu.mx; Timestamp: Aug 2 2023 4:11 AM</t>
  </si>
  <si>
    <t>1W7XggAdJRDtjbvLPDS1ZRg1kJBqL66Qe</t>
  </si>
  <si>
    <t>https://drive.google.com/file/d/1W7XggAdJRDtjbvLPDS1ZRg1kJBqL66Qe/view?usp=drivesdk</t>
  </si>
  <si>
    <t>Document successfully created; Document successfully merged; PDF created; Emails Sent: [To: 21-riosrodriguez.christian@cetis57.edu.mx; no-reply: true]; Run via form trigger as gabrielvazquez@cetis57.edu.mx; Timestamp: Aug 4 2023 12:07 AM</t>
  </si>
  <si>
    <t>https://drive.google.com/open?id=1ceT-2kyekvS-NCQ1BL9WXmxdgYveUARQ</t>
  </si>
  <si>
    <t xml:space="preserve"> 55 7924 4367</t>
  </si>
  <si>
    <t>CALLE UVAS MNZ 24 LOTE 7</t>
  </si>
  <si>
    <t xml:space="preserve"> NO TENGO</t>
  </si>
  <si>
    <t xml:space="preserve">PARECE CASTILLO </t>
  </si>
  <si>
    <t>https://drive.google.com/open?id=1HEMVWmuQAFjdymKeItCVUFU2iOgWthdg</t>
  </si>
  <si>
    <t>jaquelinerojasorea@gmail.com</t>
  </si>
  <si>
    <t>https://drive.google.com/open?id=1xNlOeDdgCokqGWLhxn6Wlr_P7wOYCYIF</t>
  </si>
  <si>
    <t>https://drive.google.com/open?id=1CR6h0DaljoPuV1ZvBfweFTR0R_ZCAhDb</t>
  </si>
  <si>
    <t>https://drive.google.com/open?id=1n1ako7FvVinzinsVvZPnhd6y4X6jbC1g</t>
  </si>
  <si>
    <t>1yi9rC68Ptuvv8lwy7ELwG2DDvvgmy8OJ</t>
  </si>
  <si>
    <t>https://drive.google.com/file/d/1yi9rC68Ptuvv8lwy7ELwG2DDvvgmy8OJ/view?usp=drivesdk</t>
  </si>
  <si>
    <t>Document successfully created; Document successfully merged; PDF created; Emails Sent: [To: 21-rojasorea.jaqueline@cetis57.edu.mx]; Run via form trigger as gabrielvazquez@cetis57.edu.mx; Timestamp: Aug 3 2023 9:06 PM</t>
  </si>
  <si>
    <t>1ptHqVG1nM1zRY9INa6sdDIEz9FpV37ki</t>
  </si>
  <si>
    <t>https://drive.google.com/file/d/1ptHqVG1nM1zRY9INa6sdDIEz9FpV37ki/view?usp=drivesdk</t>
  </si>
  <si>
    <t>Document successfully created; Document successfully merged; PDF created; Emails Sent: [To: 21-rojasorea.jaqueline@cetis57.edu.mx; no-reply: true]; Run via form trigger as gabrielvazquez@cetis57.edu.mx; Timestamp: Aug 4 2023 12:07 AM</t>
  </si>
  <si>
    <t>https://drive.google.com/open?id=1mVdUvOwOVOln8iUOHOMSwTikGPyZMrPF</t>
  </si>
  <si>
    <t>ARENAL 1</t>
  </si>
  <si>
    <t xml:space="preserve">PANTEON MUNICIPAL Y ENTRE LAS CALLES AVENIDA ZARAGOZA Y CIRCUITO LA PALMA
</t>
  </si>
  <si>
    <t>MIREYA FLORES GARCIA</t>
  </si>
  <si>
    <t>https://drive.google.com/open?id=10h_vH8z6pOJBcReF45PDrrN7ndkr2Cf8</t>
  </si>
  <si>
    <t xml:space="preserve">TRASLADO DE VALORES </t>
  </si>
  <si>
    <t>https://drive.google.com/open?id=1Zubv1RK1LBkr8Sxjqr1XrgjW_Lo4d-ZM</t>
  </si>
  <si>
    <t>GUADALUPE ALEJANDRA</t>
  </si>
  <si>
    <t xml:space="preserve"> MADRINA</t>
  </si>
  <si>
    <t>https://drive.google.com/open?id=1rtgHFuVkTgeIKznXqcCMr3FjEcGdxa8X</t>
  </si>
  <si>
    <t>POLITECNICO NACIONAL</t>
  </si>
  <si>
    <t>https://drive.google.com/open?id=1Voy8wOV3ipF6_-7J29DozyHxgQL7a_tU</t>
  </si>
  <si>
    <t>1jMlhqTxt9dcarXUD6f4J5Y7UmLGSbTFQ</t>
  </si>
  <si>
    <t>https://drive.google.com/file/d/1jMlhqTxt9dcarXUD6f4J5Y7UmLGSbTFQ/view?usp=drivesdk</t>
  </si>
  <si>
    <t>Document successfully created; Document successfully merged; PDF created; Emails Sent: [To: 22-valdezflores.rafael@cetis57.edu.mx; no-reply: true]; Run via form trigger as gabrielvazquez@cetis57.edu.mx; Timestamp: Aug 2 2023 1:37 AM</t>
  </si>
  <si>
    <t>1aj718N_5J1rJDkKqi2ST8Lw1lszKdtj5</t>
  </si>
  <si>
    <t>https://drive.google.com/file/d/1aj718N_5J1rJDkKqi2ST8Lw1lszKdtj5/view?usp=drivesdk</t>
  </si>
  <si>
    <t>Document successfully created; Document successfully merged; PDF created; Emails Sent: [To: 22-valdezflores.rafael@cetis57.edu.mx; no-reply: true]; Run via form trigger as gabrielvazquez@cetis57.edu.mx; Timestamp: Aug 4 2023 12:33 AM</t>
  </si>
  <si>
    <t>MIRIAM GUADALUPE</t>
  </si>
  <si>
    <t>https://drive.google.com/open?id=1xMXmTGHFV8FZrSaOvvLxyudsNzNRPa5J</t>
  </si>
  <si>
    <t xml:space="preserve">SPZ 2 MANZ 19 LT5 UNIDAD EJTO CONSTITUCIONALISTA </t>
  </si>
  <si>
    <t>SUPERMANZANA 2</t>
  </si>
  <si>
    <t>MANZANA 19 LOTE 5</t>
  </si>
  <si>
    <t xml:space="preserve">SOBRE AVENIDA CONSTITUCION DE APATZINGAN </t>
  </si>
  <si>
    <t xml:space="preserve">MARISELA ANDRADE MENA </t>
  </si>
  <si>
    <t>https://drive.google.com/open?id=1F3JeRgXDe9NgZro0JlQ9pPfg_UfDYlxH</t>
  </si>
  <si>
    <t>https://drive.google.com/open?id=1lZYVQzLtbZJjS5WGIrHGUa8PBOPbaBGh</t>
  </si>
  <si>
    <t>juanisbonita@gmail.com</t>
  </si>
  <si>
    <t>https://drive.google.com/open?id=1DKy3ponVkxuQCuWexEtIRKARWOjdxRG-</t>
  </si>
  <si>
    <t>https://drive.google.com/open?id=1-oLNsPiFP9cBBXEUcJJUeNu9eSMBpzns</t>
  </si>
  <si>
    <t>1LF05dp4JO_ssV3phjvXzVF58F6aJ0MWC</t>
  </si>
  <si>
    <t>https://drive.google.com/file/d/1LF05dp4JO_ssV3phjvXzVF58F6aJ0MWC/view?usp=drivesdk</t>
  </si>
  <si>
    <t>Document successfully created; Document successfully merged; PDF created; Emails Sent: [To: 21-andrademena.miriamguadalupe@cetis57.edu.mx; no-reply: true]; Run via form trigger as gabrielvazquez@cetis57.edu.mx; Timestamp: Aug 2 2023 7:11 PM</t>
  </si>
  <si>
    <t>1Rz5K_9HsuHgZPUulHjMnyvUlCcPlWxQK</t>
  </si>
  <si>
    <t>https://drive.google.com/file/d/1Rz5K_9HsuHgZPUulHjMnyvUlCcPlWxQK/view?usp=drivesdk</t>
  </si>
  <si>
    <t>Document successfully created; Document successfully merged; PDF created; Emails Sent: [To: 21-andrademena.miriamguadalupe@cetis57.edu.mx; no-reply: true]; Run via form trigger as gabrielvazquez@cetis57.edu.mx; Timestamp: Aug 4 2023 12:34 AM</t>
  </si>
  <si>
    <t>JOSUE GAMALIEL</t>
  </si>
  <si>
    <t>https://drive.google.com/open?id=1J6BX_fflqT6gg0plFKmmyhcM-DHw-ndq</t>
  </si>
  <si>
    <t>REDJ071210HMCTZSA7</t>
  </si>
  <si>
    <t>HEMICICLO A JUAREZ #198 COL.METROPOLITANA 2DA SECCION</t>
  </si>
  <si>
    <t>ZAGUAN BLANCO , JARDINERA COLOR VINO</t>
  </si>
  <si>
    <t xml:space="preserve">SAMUEL GOMEZ PEREYRA </t>
  </si>
  <si>
    <t>https://drive.google.com/open?id=1lfKk3Xg1maqrYYKEN7-2MxfstKp_lzYC</t>
  </si>
  <si>
    <t>samuel.gomezpereyra@gmail.com</t>
  </si>
  <si>
    <t>Hildaretizdiaz07@gmail.com</t>
  </si>
  <si>
    <t>https://drive.google.com/open?id=1Qw_xxR57O2TZQ6lCd89moKRs_fFvYk7O</t>
  </si>
  <si>
    <t>ruthGusita@hotmail.com</t>
  </si>
  <si>
    <t>https://drive.google.com/open?id=1V3z0nQ4HkZf6hzJA8H61pzsRtOvpTRZ9</t>
  </si>
  <si>
    <t>https://drive.google.com/open?id=11n8UYDXpdxmwo6MHjuxVFLVOgf1zLzYQ</t>
  </si>
  <si>
    <t>1VFzjLrz6qxtkXEYe8ENRWpjQrO8bdOe-</t>
  </si>
  <si>
    <t>https://drive.google.com/file/d/1VFzjLrz6qxtkXEYe8ENRWpjQrO8bdOe-/view?usp=drivesdk</t>
  </si>
  <si>
    <t>Document successfully created; Document successfully merged; PDF created; Emails Sent: [To: 22-retizdiaz.josuegamaliel@cetis57.edu.mx; no-reply: true]; Run via form trigger as gabrielvazquez@cetis57.edu.mx; Timestamp: Aug 2 2023 1:39 AM</t>
  </si>
  <si>
    <t>1v00qrNC31huTxyeOvvDZ1A5V1gA1bsgw</t>
  </si>
  <si>
    <t>https://drive.google.com/file/d/1v00qrNC31huTxyeOvvDZ1A5V1gA1bsgw/view?usp=drivesdk</t>
  </si>
  <si>
    <t>Document successfully created; Document successfully merged; PDF created; Emails Sent: [To: 22-retizdiaz.josuegamaliel@cetis57.edu.mx; no-reply: true]; Run via form trigger as gabrielvazquez@cetis57.edu.mx; Timestamp: Aug 4 2023 12:35 AM</t>
  </si>
  <si>
    <t>https://drive.google.com/open?id=1859nqaltLJwjT2ETGnHO0V_u4ULEVlwi</t>
  </si>
  <si>
    <t>SMZ2 MNZ4 EDIF9 CASA A</t>
  </si>
  <si>
    <t xml:space="preserve">METROBUS CONSTITUCION DE APATZINGAN </t>
  </si>
  <si>
    <t xml:space="preserve">DIANITA MAGDALENA LUNA AYALA </t>
  </si>
  <si>
    <t>https://drive.google.com/open?id=12OOKrkTnnlxM5MGMg4kx_RrQNLXpF1Yi</t>
  </si>
  <si>
    <t>https://drive.google.com/open?id=1a0Ha5TJ4jLlEOovyMLdRIeoyLK61vjby</t>
  </si>
  <si>
    <t xml:space="preserve">DAFNE YOSELINE </t>
  </si>
  <si>
    <t>https://drive.google.com/open?id=16zTYzMSOuysbSIhZ_kkX-laLYIFlhaBM</t>
  </si>
  <si>
    <t>https://drive.google.com/open?id=1ZO3y_mUbhcN5uQ2fBBHRPO9-AH7U3PPi</t>
  </si>
  <si>
    <t>19x5CbPiMeStPoZZREz_-f_xM5rs_jYzl</t>
  </si>
  <si>
    <t>https://drive.google.com/file/d/19x5CbPiMeStPoZZREz_-f_xM5rs_jYzl/view?usp=drivesdk</t>
  </si>
  <si>
    <t>Document successfully created; Document successfully merged; PDF created; Emails Sent: [To: 22-seguraluna.andreaalejandra@cetis57.edu.mx; no-reply: true]; Run via form trigger as gabrielvazquez@cetis57.edu.mx; Timestamp: Aug 2 2023 1:40 AM</t>
  </si>
  <si>
    <t>1msuqlqoj-KRJAOo_S7RW6oB3BfQsvIo6</t>
  </si>
  <si>
    <t>https://drive.google.com/file/d/1msuqlqoj-KRJAOo_S7RW6oB3BfQsvIo6/view?usp=drivesdk</t>
  </si>
  <si>
    <t>Document successfully created; Document successfully merged; PDF created; Emails Sent: [To: 22-seguraluna.andreaalejandra@cetis57.edu.mx; no-reply: true]; Run via form trigger as gabrielvazquez@cetis57.edu.mx; Timestamp: Aug 4 2023 12:36 AM</t>
  </si>
  <si>
    <t>https://drive.google.com/open?id=15bJbPifePX2D2xpGInSheH4x89vmqohf</t>
  </si>
  <si>
    <t>CALLE CUAUHTÉMOC COL BENITO JUAREZ NORTE XALOSTOC MZ17 LT 8</t>
  </si>
  <si>
    <t xml:space="preserve">BENITO JUAREZ NORTE XALOSTOC </t>
  </si>
  <si>
    <t xml:space="preserve">FACHADA AZUL, ZAGUAN VERDE </t>
  </si>
  <si>
    <t xml:space="preserve">MARICELA GONZALEZ CASTRO </t>
  </si>
  <si>
    <t>https://drive.google.com/open?id=1MZz-G5Qt6gud8wJdhNrvpj8qIBIgGbLm</t>
  </si>
  <si>
    <t xml:space="preserve">CELSO </t>
  </si>
  <si>
    <t>https://drive.google.com/open?id=1R24LI0sHDNfdafysvGVKd9zzhZIgdSjr</t>
  </si>
  <si>
    <t xml:space="preserve">LUCIANA </t>
  </si>
  <si>
    <t xml:space="preserve">NIINGUNA </t>
  </si>
  <si>
    <t>https://drive.google.com/open?id=1h7TtyhBj_CbFGEtW3geA_0LHWnqxfO02</t>
  </si>
  <si>
    <t xml:space="preserve">AVIACION </t>
  </si>
  <si>
    <t>https://drive.google.com/open?id=1BFiMYEU1pHkquAR2bQuuJcNxGb3OHbFb</t>
  </si>
  <si>
    <t>1T1haOPsbyUmDeDzh1L8xBC_pl1SVleUS</t>
  </si>
  <si>
    <t>https://drive.google.com/file/d/1T1haOPsbyUmDeDzh1L8xBC_pl1SVleUS/view?usp=drivesdk</t>
  </si>
  <si>
    <t>Document successfully created; Document successfully merged; PDF created; Emails Sent: [To: 21-martinezgonzalez.fidelricardo@cetis57.edu.mx; no-reply: true]; Run via form trigger as gabrielvazquez@cetis57.edu.mx; Timestamp: Aug 2 2023 1:41 AM</t>
  </si>
  <si>
    <t>1BVAMLKQQe4_s9-phaAso1-RpsgBwQiLC</t>
  </si>
  <si>
    <t>https://drive.google.com/file/d/1BVAMLKQQe4_s9-phaAso1-RpsgBwQiLC/view?usp=drivesdk</t>
  </si>
  <si>
    <t>Document successfully created; Document successfully merged; PDF created; Emails Sent: [To: 21-martinezgonzalez.fidelricardo@cetis57.edu.mx; no-reply: true]; Run via form trigger as gabrielvazquez@cetis57.edu.mx; Timestamp: Aug 4 2023 1:12 AM</t>
  </si>
  <si>
    <t>VITELA</t>
  </si>
  <si>
    <t>https://drive.google.com/open?id=1ZuTNA4LZS8QBrwHrvLiiUMTwOhckJc97</t>
  </si>
  <si>
    <t xml:space="preserve">CALLE 39 NUMERO 68 </t>
  </si>
  <si>
    <t xml:space="preserve">ENTRE 6TA AVENIDA Y AURELIANO RAMOS </t>
  </si>
  <si>
    <t>https://drive.google.com/open?id=1DzqfiW_8stADNG4u_j3FHv4xDMiywobM</t>
  </si>
  <si>
    <t>blancavitela9@gmail.com</t>
  </si>
  <si>
    <t>castellanosefrain13@gmail.com</t>
  </si>
  <si>
    <t>https://drive.google.com/open?id=1O_i-YPcoxK7VhoqyrxAs88uLGliDhCgN</t>
  </si>
  <si>
    <t>blancavitela9@gmaul.com</t>
  </si>
  <si>
    <t>https://drive.google.com/open?id=1WWpbzj1qzZXBWq99eSYmtti_vh7tZNNQ</t>
  </si>
  <si>
    <t xml:space="preserve">FACULTAD DE ESTUDIOS SUPERIOR ZARAGOZA </t>
  </si>
  <si>
    <t>https://drive.google.com/open?id=1QCipbzYanVkj-e5NcQ-HFwHIhilI4IEK</t>
  </si>
  <si>
    <t>14R7_p-EBxuqyV_MNV6eBkifRq-ZhuOf3</t>
  </si>
  <si>
    <t>https://drive.google.com/file/d/14R7_p-EBxuqyV_MNV6eBkifRq-ZhuOf3/view?usp=drivesdk</t>
  </si>
  <si>
    <t>Document successfully created; Document successfully merged; PDF created; Emails Sent: [To: 21-castellanosvitela.darianelizabet@cetis57.edu.mx; no-reply: true]; Run via form trigger as gabrielvazquez@cetis57.edu.mx; Timestamp: Aug 2 2023 7:19 PM</t>
  </si>
  <si>
    <t>1qRjTKKThjVcI0WpEC0eak7hvnAQlypjz</t>
  </si>
  <si>
    <t>https://drive.google.com/file/d/1qRjTKKThjVcI0WpEC0eak7hvnAQlypjz/view?usp=drivesdk</t>
  </si>
  <si>
    <t>Document successfully created; Document successfully merged; PDF created; Emails Sent: [To: 21-castellanosvitela.darianelizabet@cetis57.edu.mx; no-reply: true]; Run via form trigger as gabrielvazquez@cetis57.edu.mx; Timestamp: Aug 4 2023 1:12 AM</t>
  </si>
  <si>
    <t>https://drive.google.com/open?id=1LN-QrJQnyGGACaqikHCCSQWw_kravOGR</t>
  </si>
  <si>
    <t>ZAHUAN BLANCO ALADO DE LA TIENDA JIREH</t>
  </si>
  <si>
    <t>https://drive.google.com/open?id=1vfoGT1DpQ0OEk00-Y0oa-Mf_YatjVQAb</t>
  </si>
  <si>
    <t>https://drive.google.com/open?id=1Jk7xWxdYn_HwvffR6jwFxH14OrL-Phnl</t>
  </si>
  <si>
    <t>https://drive.google.com/open?id=1b0RSpsZy8O7Gk8pWTRPM-b5zNeYsBwud</t>
  </si>
  <si>
    <t>CONTRACTURA MUSCULAR Y ALERGIA</t>
  </si>
  <si>
    <t>https://drive.google.com/open?id=1_0vE4UVJhGiKdJNC0xzYo93QKxPUapRV</t>
  </si>
  <si>
    <t>1BSHdxNbC89_VUOkwhWL4A6NeogADi-jz</t>
  </si>
  <si>
    <t>https://drive.google.com/file/d/1BSHdxNbC89_VUOkwhWL4A6NeogADi-jz/view?usp=drivesdk</t>
  </si>
  <si>
    <t>Document successfully created; Document successfully merged; PDF created; Emails Sent: [To: 21-hernandezterrazas.naomiaolani@cetis57.edu.mx; no-reply: true]; Run via form trigger as gabrielvazquez@cetis57.edu.mx; Timestamp: Aug 2 2023 4:12 AM</t>
  </si>
  <si>
    <t>1m65hqJecrYuIWUTeroPd0OYyZVRK6bX6</t>
  </si>
  <si>
    <t>https://drive.google.com/file/d/1m65hqJecrYuIWUTeroPd0OYyZVRK6bX6/view?usp=drivesdk</t>
  </si>
  <si>
    <t>Document successfully created; Document successfully merged; PDF created; Emails Sent: [To: 21-hernandezterrazas.naomiaolani@cetis57.edu.mx; no-reply: true]; Run via form trigger as gabrielvazquez@cetis57.edu.mx; Timestamp: Aug 4 2023 1:13 AM</t>
  </si>
  <si>
    <t>https://drive.google.com/open?id=1nAf6EKaZD-47Hlt60PtdsbasOI4VGBJD</t>
  </si>
  <si>
    <t xml:space="preserve">SM2MZ9EDIF1DEPBU.H EJERCITO COSTITUCIONALISTA </t>
  </si>
  <si>
    <t xml:space="preserve">EJERCITO COSTITUCIONALISTA </t>
  </si>
  <si>
    <t>EDF1</t>
  </si>
  <si>
    <t>INTERIOR B</t>
  </si>
  <si>
    <t xml:space="preserve">SOBRE LA AVENIDA APATZINGAN </t>
  </si>
  <si>
    <t>https://drive.google.com/open?id=1QVQD8Sp62pblYgRZutg5oIgR-Nx2q0Rt</t>
  </si>
  <si>
    <t>guadalupeacuautlaromero@gmail.com</t>
  </si>
  <si>
    <t>juarezgaecisaraceli03@gmail.com</t>
  </si>
  <si>
    <t>https://drive.google.com/open?id=14sc-FwMeKtbtCBRE0ofZzvsWBuMfSroh</t>
  </si>
  <si>
    <t>karinaacuautla@gamail.com</t>
  </si>
  <si>
    <t>https://drive.google.com/open?id=1Rcin_39H3cqpHjYyY2G52sJNTpDJsQWS</t>
  </si>
  <si>
    <t xml:space="preserve">IGNACIO ZARAGOZA </t>
  </si>
  <si>
    <t>https://drive.google.com/open?id=1BNp1knpTW-E5iAf1000N8pX5rc9wAWyv</t>
  </si>
  <si>
    <t>1eCJGogHZLjsrBC4fqoZYV060mrykUyTR</t>
  </si>
  <si>
    <t>https://drive.google.com/file/d/1eCJGogHZLjsrBC4fqoZYV060mrykUyTR/view?usp=drivesdk</t>
  </si>
  <si>
    <t>Document successfully created; Document successfully merged; PDF created; Emails Sent: [To: 21-juarezacuautla.emilyximena@cetis57.edu.mx; no-reply: true]; Run via form trigger as gabrielvazquez@cetis57.edu.mx; Timestamp: Aug 2 2023 7:20 PM</t>
  </si>
  <si>
    <t>1xCQlncXYP3wcmCGuwdtjeGysl1dDjOj0</t>
  </si>
  <si>
    <t>https://drive.google.com/file/d/1xCQlncXYP3wcmCGuwdtjeGysl1dDjOj0/view?usp=drivesdk</t>
  </si>
  <si>
    <t>Document successfully created; Document successfully merged; PDF created; Emails Sent: [To: 21-juarezacuautla.emilyximena@cetis57.edu.mx; no-reply: true]; Run via form trigger as gabrielvazquez@cetis57.edu.mx; Timestamp: Aug 4 2023 1:13 AM</t>
  </si>
  <si>
    <t>https://drive.google.com/open?id=1T8DTRq7qJwOoEuXx-6eAAJQskn_PWQGF</t>
  </si>
  <si>
    <t>ORIENTE 257 #263 COLONIA AGRICOLA ORIENTAL</t>
  </si>
  <si>
    <t>ROSA ELENA HERNANDEZ ZARZA</t>
  </si>
  <si>
    <t>https://drive.google.com/open?id=1_zWE-blxtnXYqP2T6j1eWQ0RkmXX8ZDa</t>
  </si>
  <si>
    <t>BOMBERO</t>
  </si>
  <si>
    <t>https://drive.google.com/open?id=1ElrMT1GoimYPImac5SsoD2sMZmypa_PJ</t>
  </si>
  <si>
    <t>https://drive.google.com/open?id=1ibUNAyqXZSuD0pmxPLsDo_4DFL0HlKi3</t>
  </si>
  <si>
    <t>Cirujano Maxilofacial</t>
  </si>
  <si>
    <t>https://drive.google.com/open?id=1GtmQ1Ut830vwmcWK-ucY7Kqwfk3fgvvA</t>
  </si>
  <si>
    <t>MAVA8402137</t>
  </si>
  <si>
    <t>10jOrzRudAZo_kk7DravZW9hnc3aOMlQa</t>
  </si>
  <si>
    <t>https://drive.google.com/file/d/10jOrzRudAZo_kk7DravZW9hnc3aOMlQa/view?usp=drivesdk</t>
  </si>
  <si>
    <t>Document successfully created; Document successfully merged; PDF created; Emails Sent: [To: 21-martinezhernandez.diego@cetis57.edu.mx; no-reply: true]; Run via form trigger as gabrielvazquez@cetis57.edu.mx; Timestamp: Aug 2 2023 7:21 PM</t>
  </si>
  <si>
    <t>1Zswd_3RO1H7bztXFotFkcu7zxA52Xjuk</t>
  </si>
  <si>
    <t>https://drive.google.com/file/d/1Zswd_3RO1H7bztXFotFkcu7zxA52Xjuk/view?usp=drivesdk</t>
  </si>
  <si>
    <t>Document successfully created; Document successfully merged; PDF created; Emails Sent: [To: 21-martinezhernandez.diego@cetis57.edu.mx; no-reply: true]; Run via form trigger as gabrielvazquez@cetis57.edu.mx; Timestamp: Aug 4 2023 1:14 AM</t>
  </si>
  <si>
    <t>https://drive.google.com/open?id=1toMN3-v_GnQFruYDcLdgNIGdAB8yvIst</t>
  </si>
  <si>
    <t>AV. MANUEL AVILA CAMACHO</t>
  </si>
  <si>
    <t>MZA 46 LT 31</t>
  </si>
  <si>
    <t>ZAGUAN BLANCO Y FACHADA DE COLOR VERDE</t>
  </si>
  <si>
    <t>https://drive.google.com/open?id=1REsWz0VNNNYaAZ-1h7K7pJW2Dzn05e9e</t>
  </si>
  <si>
    <t>michelleevelynd17@gmail.com</t>
  </si>
  <si>
    <t>https://drive.google.com/open?id=1nCAGS4ssDVtqww53V2jbzhAjLQbH0lNM</t>
  </si>
  <si>
    <t>https://drive.google.com/open?id=1I2PrnNoUWRuA0pOTertfsO3oHFpYrrHU</t>
  </si>
  <si>
    <t>https://drive.google.com/open?id=1ni6efb8vji13kx59GULvQyyGGPoKyXlf</t>
  </si>
  <si>
    <t>1DKDZWjNsJvH5VdJ17BBFTvXcmSWuq90-</t>
  </si>
  <si>
    <t>https://drive.google.com/file/d/1DKDZWjNsJvH5VdJ17BBFTvXcmSWuq90-/view?usp=drivesdk</t>
  </si>
  <si>
    <t>Document successfully created; Document successfully merged; PDF created; Emails Sent: [To: 22-dominguezgranados.samantha@cetis57.edu.mx; no-reply: true]; Run via form trigger as gabrielvazquez@cetis57.edu.mx; Timestamp: Aug 2 2023 4:14 AM</t>
  </si>
  <si>
    <t>1gMc84JdbfblQztyI7GC_RRS3OATgkR7B</t>
  </si>
  <si>
    <t>https://drive.google.com/file/d/1gMc84JdbfblQztyI7GC_RRS3OATgkR7B/view?usp=drivesdk</t>
  </si>
  <si>
    <t>Document successfully created; Document successfully merged; PDF created; Emails Sent: [To: 22-dominguezgranados.samantha@cetis57.edu.mx; no-reply: true]; Run via form trigger as gabrielvazquez@cetis57.edu.mx; Timestamp: Aug 4 2023 1:15 AM</t>
  </si>
  <si>
    <t xml:space="preserve">BRAYAN </t>
  </si>
  <si>
    <t>https://drive.google.com/open?id=1dUp4_pgebp4gyhp2LlMnizAk1IxMyxYQ</t>
  </si>
  <si>
    <t xml:space="preserve">CALLE CORONADO MZ5 LT39 COLONIA PARAISO </t>
  </si>
  <si>
    <t>A UN LADO DEL MERCADO PARAISO, TOPANDO CON PARED</t>
  </si>
  <si>
    <t xml:space="preserve">ALEJANDRA ELIZABETH ZAMORA YAÑEZ </t>
  </si>
  <si>
    <t>https://drive.google.com/open?id=172bLHCh2VlLHM5_MVPh138txgOhzCKEA</t>
  </si>
  <si>
    <t>https://drive.google.com/open?id=1nanar5BCetKslfK8T49Qd-lvsIscE_8f</t>
  </si>
  <si>
    <t xml:space="preserve">SERGIO ANTONIO </t>
  </si>
  <si>
    <t>https://drive.google.com/open?id=1gcHBfa1P6Sx3Y9BBWRMshyaThU_I6tNc</t>
  </si>
  <si>
    <t>https://drive.google.com/open?id=1r2GwlfMy28J48onUWikmUIw19q5UpDM5</t>
  </si>
  <si>
    <t>1lQHUf7-hRE-j2F-1xRkUfuJnZ8Wol1QI</t>
  </si>
  <si>
    <t>https://drive.google.com/file/d/1lQHUf7-hRE-j2F-1xRkUfuJnZ8Wol1QI/view?usp=drivesdk</t>
  </si>
  <si>
    <t>Document successfully created; Document successfully merged; PDF created; Emails Sent: [To: 21-floreszamora.brayan@cetis57.edu.mx; no-reply: true]; Run via form trigger as gabrielvazquez@cetis57.edu.mx; Timestamp: Aug 2 2023 12:37 AM</t>
  </si>
  <si>
    <t>11k8bNBl0euUOmmNFsA4wkkRDgGMMvEtM</t>
  </si>
  <si>
    <t>https://drive.google.com/file/d/11k8bNBl0euUOmmNFsA4wkkRDgGMMvEtM/view?usp=drivesdk</t>
  </si>
  <si>
    <t>Document successfully created; Document successfully merged; PDF created; Emails Sent: [To: 21-floreszamora.brayan@cetis57.edu.mx; no-reply: true]; Run via form trigger as gabrielvazquez@cetis57.edu.mx; Timestamp: Aug 4 2023 1:15 AM</t>
  </si>
  <si>
    <t>https://drive.google.com/open?id=11z6o4j3m6oew9uNT0esh8bPgGcZPqQLk</t>
  </si>
  <si>
    <t xml:space="preserve">AND. DONATO GUERRA </t>
  </si>
  <si>
    <t xml:space="preserve">GUELATAO DE JUAREZ II </t>
  </si>
  <si>
    <t xml:space="preserve">ENTRE EMILIO BALLI Y CALLE 3 </t>
  </si>
  <si>
    <t xml:space="preserve">MONSERRAT GUEVARA DELGADILLO </t>
  </si>
  <si>
    <t>https://drive.google.com/open?id=1EFrjbQ29k9VT9lQSHFhOCBP4mgeJ7jcM</t>
  </si>
  <si>
    <t xml:space="preserve">SIXTO VALENTIN </t>
  </si>
  <si>
    <t>https://drive.google.com/open?id=1B7xdCPStD6WLZsGPfE4t3OwtGZPOGCRU</t>
  </si>
  <si>
    <t>elmer32371188@gmail.com</t>
  </si>
  <si>
    <t>https://drive.google.com/open?id=1oZlDO_nKWbJD0iOoafh_mHuuOI1esWfy</t>
  </si>
  <si>
    <t>https://drive.google.com/open?id=1quG24MkCAjDdP9XqzXodREU3ZVfip8rq</t>
  </si>
  <si>
    <t>1_Q3hwZs5iZ4QSMdQaw59YtcgjJzO4Tz2</t>
  </si>
  <si>
    <t>https://drive.google.com/file/d/1_Q3hwZs5iZ4QSMdQaw59YtcgjJzO4Tz2/view?usp=drivesdk</t>
  </si>
  <si>
    <t>Document successfully created; Document successfully merged; PDF created; Emails Sent: [To: 22-francoguevara.victorjosue@cetis57.edu.mx]; Manually run by gabrielvazquez@cetis57.edu.mx; Timestamp: Aug 4 2023 7:38 PM</t>
  </si>
  <si>
    <t>1OywOEwR_w2mSZYXORbIyiqHqZoMBlt5-</t>
  </si>
  <si>
    <t>https://drive.google.com/file/d/1OywOEwR_w2mSZYXORbIyiqHqZoMBlt5-/view?usp=drivesdk</t>
  </si>
  <si>
    <t>Document successfully created; Document successfully merged; PDF created; Emails Sent: [To: 22-francoguevara.victorjosue@cetis57.edu.mx; no-reply: true]; Run via form trigger as gabrielvazquez@cetis57.edu.mx; Timestamp: Aug 4 2023 1:30 AM</t>
  </si>
  <si>
    <t>https://drive.google.com/open?id=1M8Y57ooKx3Be6TllzR0z98O536MnSRmw</t>
  </si>
  <si>
    <t>VICENTE GUERRERO MZ H LOTE 55</t>
  </si>
  <si>
    <t>LOTE 55</t>
  </si>
  <si>
    <t>CASA AZUL CON DETALLES BLANCOS</t>
  </si>
  <si>
    <t>DEBORA SARAHI VAZQUEZ CARRILLO</t>
  </si>
  <si>
    <t>https://drive.google.com/open?id=1xlTn3_ic3BsnQGkbFer3MideV2HT_37s</t>
  </si>
  <si>
    <t>DEBORA SARAHI</t>
  </si>
  <si>
    <t xml:space="preserve">SERVICIO A CLIENTES </t>
  </si>
  <si>
    <t>https://drive.google.com/open?id=1ezGLA_2Rqavwq9QdgAc8ZXuoiiuqXv6S</t>
  </si>
  <si>
    <t xml:space="preserve">DEBORA SARAHI </t>
  </si>
  <si>
    <t>https://drive.google.com/open?id=1SxG-r7am17Io_xWur9JhbEjuWyxKFiOx</t>
  </si>
  <si>
    <t>https://drive.google.com/open?id=1MXeOkQPEoQdC4HqCipnkHak4_gTfmc8z</t>
  </si>
  <si>
    <t>08230693841</t>
  </si>
  <si>
    <t>1bxB83rUbO8fZgCuhMe4q_f3QxYQi1yWL</t>
  </si>
  <si>
    <t>https://drive.google.com/file/d/1bxB83rUbO8fZgCuhMe4q_f3QxYQi1yWL/view?usp=drivesdk</t>
  </si>
  <si>
    <t>Document successfully created; Document successfully merged; PDF created; Emails Sent: [To: 21-vazquezcarrillo.christian@cetis57.edu.mx; no-reply: true]; Run via form trigger as gabrielvazquez@cetis57.edu.mx; Timestamp: Aug 2 2023 7:22 PM</t>
  </si>
  <si>
    <t>17hf_voohVSanSn2xxSc8drIbvDaVIpto</t>
  </si>
  <si>
    <t>https://drive.google.com/file/d/17hf_voohVSanSn2xxSc8drIbvDaVIpto/view?usp=drivesdk</t>
  </si>
  <si>
    <t>Document successfully created; Document successfully merged; PDF created; Emails Sent: [To: 21-vazquezcarrillo.christian@cetis57.edu.mx; no-reply: true]; Run via form trigger as gabrielvazquez@cetis57.edu.mx; Timestamp: Aug 4 2023 1:31 AM</t>
  </si>
  <si>
    <t>https://drive.google.com/open?id=1g3cT0vmkDJxoRtKaIICDzWzHEZDw4fID</t>
  </si>
  <si>
    <t xml:space="preserve"> EL VERGEL </t>
  </si>
  <si>
    <t xml:space="preserve">9-B </t>
  </si>
  <si>
    <t xml:space="preserve">ENTRE CALLE JACARANDAS Y CINEMATOGRAFISTAS </t>
  </si>
  <si>
    <t xml:space="preserve">LAURA XOCHITL CRUZ TORRES </t>
  </si>
  <si>
    <t>https://drive.google.com/open?id=1J1I2YOYDypmEvnuADBen_O8jwwwzscg4</t>
  </si>
  <si>
    <t xml:space="preserve">LAURO </t>
  </si>
  <si>
    <t>https://drive.google.com/open?id=1JHGv9uB3fMREbKV-qk7vYDhtNGVTPMoB</t>
  </si>
  <si>
    <t xml:space="preserve">FOTOGRAFO </t>
  </si>
  <si>
    <t>daalex624@gmail.com</t>
  </si>
  <si>
    <t>https://drive.google.com/open?id=1XNBnoe4K9QU3eKwPwZrl9EYgtnq6dRDQ</t>
  </si>
  <si>
    <t>https://drive.google.com/open?id=1mE0moeOjl_Osrdl6-Ix1DO7jfqNc8Nel</t>
  </si>
  <si>
    <t>1dwW_1xbviZ4HuoRccQ7dt-csw6_dsEkL</t>
  </si>
  <si>
    <t>https://drive.google.com/file/d/1dwW_1xbviZ4HuoRccQ7dt-csw6_dsEkL/view?usp=drivesdk</t>
  </si>
  <si>
    <t>Document successfully created; Document successfully merged; PDF created; Emails Sent: [To: 22-lopezcruz.laurayoseline@cetis57.edu.mx; no-reply: true]; Run via form trigger as gabrielvazquez@cetis57.edu.mx; Timestamp: Aug 2 2023 12:40 AM</t>
  </si>
  <si>
    <t>1jG0kn-yOF8AVSI8Mk_VXPvahevkmPizo</t>
  </si>
  <si>
    <t>https://drive.google.com/file/d/1jG0kn-yOF8AVSI8Mk_VXPvahevkmPizo/view?usp=drivesdk</t>
  </si>
  <si>
    <t>Document successfully created; Document successfully merged; PDF created; Emails Sent: [To: 22-lopezcruz.laurayoseline@cetis57.edu.mx; no-reply: true]; Run via form trigger as gabrielvazquez@cetis57.edu.mx; Timestamp: Aug 3 2023 5:33 PM</t>
  </si>
  <si>
    <t>https://drive.google.com/open?id=1wmGvDWbBAHrQgvW1GtAIC30jhzKXHArk</t>
  </si>
  <si>
    <t>SAN JERONIMO MZ 16B LT 16</t>
  </si>
  <si>
    <t>16B</t>
  </si>
  <si>
    <t>FACHADA AMARILLA, ZAGUAN AZUL</t>
  </si>
  <si>
    <t>MARIA DE LOS ANGELES ROSAS TIBURCIO</t>
  </si>
  <si>
    <t>https://drive.google.com/open?id=12v1tQmPvQpN1V8hppO7apSrdHeWlcoeg</t>
  </si>
  <si>
    <t>https://drive.google.com/open?id=1U0D_Q5LSoOAVaCSZUqBUFtAGXmUn3NPu</t>
  </si>
  <si>
    <t>TBURCIO</t>
  </si>
  <si>
    <t>https://drive.google.com/open?id=1T41hWDcVK7vQtfLrRoK0R3Zt3Z8YTWD7</t>
  </si>
  <si>
    <t>https://drive.google.com/open?id=1CZZAtFicVaIc-78smiGn23DbEby0R-tz</t>
  </si>
  <si>
    <t>1MVaikJ-GvWoejJ7J8WKCPmCTnapivji3</t>
  </si>
  <si>
    <t>https://drive.google.com/file/d/1MVaikJ-GvWoejJ7J8WKCPmCTnapivji3/view?usp=drivesdk</t>
  </si>
  <si>
    <t>Document successfully created; Document successfully merged; PDF created; Emails Sent: [To: 21-rosastiburcio.areliquetzally@cetis57.edu.mx; no-reply: true]; Run via form trigger as gabrielvazquez@cetis57.edu.mx; Timestamp: Aug 2 2023 5:13 AM</t>
  </si>
  <si>
    <t>1xM4gfALDPji1Z3-aupWj91arfY-Tdn1Y</t>
  </si>
  <si>
    <t>https://drive.google.com/file/d/1xM4gfALDPji1Z3-aupWj91arfY-Tdn1Y/view?usp=drivesdk</t>
  </si>
  <si>
    <t>Document successfully created; Document successfully merged; PDF created; Emails Sent: [To: 21-rosastiburcio.areliquetzally@cetis57.edu.mx; no-reply: true]; Run via form trigger as gabrielvazquez@cetis57.edu.mx; Timestamp: Aug 4 2023 1:31 AM</t>
  </si>
  <si>
    <t>https://drive.google.com/open?id=1FUq0oVrlmE2b6jcW5M3vpQ8BPrdqul10</t>
  </si>
  <si>
    <t>CALLÉ ROBERTO CRUZ #26</t>
  </si>
  <si>
    <t xml:space="preserve">ENTRE BATALLA DE ACAPONETA Y BATALLA DE CELAYA </t>
  </si>
  <si>
    <t>VICENTE ESTRADA OLGUIN</t>
  </si>
  <si>
    <t>https://drive.google.com/open?id=1e0eoXQL_nsyy41TIW2-DJyUkaMCyF0uh</t>
  </si>
  <si>
    <t>https://drive.google.com/open?id=19-8c4etrSHiR9qxon6qq3rbulqX0YAAI</t>
  </si>
  <si>
    <t>https://drive.google.com/open?id=1mgYJ_zNVlYPsl08FMGEMx5u-PgPbYUBc</t>
  </si>
  <si>
    <t>PSQUIATRICO</t>
  </si>
  <si>
    <t>https://drive.google.com/open?id=1PxqSJvUdvk6Eml-m9ZZSGk1nlU4bdk34</t>
  </si>
  <si>
    <t>https://drive.google.com/open?id=1PH4VqIQnPOjvgk90Awppo0nWt-D7NFay</t>
  </si>
  <si>
    <t>1faXb_vNOPlD5yL4Mtfbns7pVgjfN0f6F</t>
  </si>
  <si>
    <t>https://drive.google.com/file/d/1faXb_vNOPlD5yL4Mtfbns7pVgjfN0f6F/view?usp=drivesdk</t>
  </si>
  <si>
    <t>Document successfully created; Document successfully merged; PDF created; Emails Sent: [To: 21-estradagarcia.joseenrique@cetis57.edu.mx; no-reply: true]; Run via form trigger as gabrielvazquez@cetis57.edu.mx; Timestamp: Aug 2 2023 7:37 PM</t>
  </si>
  <si>
    <t>1lMEFGe3m-QSyv2rRM50GRuAu9CrD-uUJ</t>
  </si>
  <si>
    <t>https://drive.google.com/file/d/1lMEFGe3m-QSyv2rRM50GRuAu9CrD-uUJ/view?usp=drivesdk</t>
  </si>
  <si>
    <t>Document successfully created; Document successfully merged; PDF created; Emails Sent: [To: 21-estradagarcia.joseenrique@cetis57.edu.mx; no-reply: true]; Run via form trigger as gabrielvazquez@cetis57.edu.mx; Timestamp: Aug 4 2023 1:32 AM</t>
  </si>
  <si>
    <t>https://drive.google.com/open?id=1_gOtsRkNZGU04CWIEklkwT2kpRbe7c6c</t>
  </si>
  <si>
    <t>1CDA DE PRIMAVERA MZ23 LT29, 2DA AMP SANTIAGO ACAHUALTPEC</t>
  </si>
  <si>
    <t>ENTRE 4A.CDA.PRIMAVERA Y AV.PRIMAVERA</t>
  </si>
  <si>
    <t>https://drive.google.com/open?id=19QNdev3uvcPdMZQQguQbLnTS4ZcICPIi</t>
  </si>
  <si>
    <t>ausenciaherrera63@gmail.com</t>
  </si>
  <si>
    <t xml:space="preserve">AMPUDIA </t>
  </si>
  <si>
    <t xml:space="preserve">LICENCIADA </t>
  </si>
  <si>
    <t>https://drive.google.com/open?id=1mw3WsKG-UpBcbvW1csOHom0Va49slvkZ</t>
  </si>
  <si>
    <t>estefaniacruzsoto06@gmail.com</t>
  </si>
  <si>
    <t>https://drive.google.com/open?id=15pyhotYcWVAOWg6AbOjItxQ6B-z_599Q</t>
  </si>
  <si>
    <t>https://drive.google.com/open?id=1up8Sn6Ia3SUxJeYyXj3yQUpZdXHYXoi_</t>
  </si>
  <si>
    <t>06210631031</t>
  </si>
  <si>
    <t>17xcfEaWc5kT99oO17aGA16u1rfwr7dsI</t>
  </si>
  <si>
    <t>https://drive.google.com/file/d/17xcfEaWc5kT99oO17aGA16u1rfwr7dsI/view?usp=drivesdk</t>
  </si>
  <si>
    <t>Document successfully created; Document successfully merged; PDF created; Emails Sent: [To: 21-cruzsoto.estefania@cetis57.edu.mx; no-reply: true]; Run via form trigger as gabrielvazquez@cetis57.edu.mx; Timestamp: Aug 2 2023 5:14 AM</t>
  </si>
  <si>
    <t>1xqh-FsrIQbs1-fEruuyGA3jSciRyDMv5</t>
  </si>
  <si>
    <t>https://drive.google.com/file/d/1xqh-FsrIQbs1-fEruuyGA3jSciRyDMv5/view?usp=drivesdk</t>
  </si>
  <si>
    <t>Document successfully created; Document successfully merged; PDF created; Emails Sent: [To: 21-cruzsoto.estefania@cetis57.edu.mx; no-reply: true]; Run via form trigger as gabrielvazquez@cetis57.edu.mx; Timestamp: Aug 4 2023 1:32 AM</t>
  </si>
  <si>
    <t xml:space="preserve">RODALES </t>
  </si>
  <si>
    <t>https://drive.google.com/open?id=13UmeQg2YYF8pdemc8v9KhfKWR9glCZ-R</t>
  </si>
  <si>
    <t>AV CONSTITUCIÓN DE APATZINGAN 239 COLONIA EJERCITO CONSTITUCIONALISTA DEPTO 501 B-7 B ENTRADA B</t>
  </si>
  <si>
    <t>B-7 B entrada B DEPTO 501</t>
  </si>
  <si>
    <t>LA UNIDAD QUE ESTA ALADO DEL CONALEP</t>
  </si>
  <si>
    <t xml:space="preserve">VICTOR MANUEL RODALES ARVIZU </t>
  </si>
  <si>
    <t>https://drive.google.com/open?id=19fAPcBTOsRIBVPvtKxJuXQTzPVkmwzxV</t>
  </si>
  <si>
    <t>Rodalesv8@gmail.com</t>
  </si>
  <si>
    <t xml:space="preserve">ARVIZU </t>
  </si>
  <si>
    <t xml:space="preserve">VERONICA JESUS </t>
  </si>
  <si>
    <t>https://drive.google.com/open?id=15oJ2kVaMBRoULNvyup4-9lMIlpCujIRI</t>
  </si>
  <si>
    <t>arvizualvaradomaria@gmail.com</t>
  </si>
  <si>
    <t>https://drive.google.com/open?id=10X-B35YItfPjUBP_wc4ZNrF8did6E8D-</t>
  </si>
  <si>
    <t>MAMA,TIOS,ABUELA,HERMANA Y PRIMA</t>
  </si>
  <si>
    <t>Laboratorista farmacobiologica</t>
  </si>
  <si>
    <t>https://drive.google.com/open?id=1dBrwTwcOTLFD7m2b1Zt64_5haQwaLUVk</t>
  </si>
  <si>
    <t>1X-F1JfLExjrO36ZYP0vZLQAXvl8dG3A8</t>
  </si>
  <si>
    <t>https://drive.google.com/file/d/1X-F1JfLExjrO36ZYP0vZLQAXvl8dG3A8/view?usp=drivesdk</t>
  </si>
  <si>
    <t>Document successfully created; Document successfully merged; PDF created; Emails Sent: [To: 22-lararodales.isabellarenata@cetis57.edu.mx; no-reply: true]; Run via form trigger as gabrielvazquez@cetis57.edu.mx; Timestamp: Aug 2 2023 5:15 AM</t>
  </si>
  <si>
    <t>1sk68Gyukzg2z7-dkcI0S--fY7Cz7GAer</t>
  </si>
  <si>
    <t>https://drive.google.com/file/d/1sk68Gyukzg2z7-dkcI0S--fY7Cz7GAer/view?usp=drivesdk</t>
  </si>
  <si>
    <t>Document successfully created; Document successfully merged; PDF created; Emails Sent: [To: 22-lararodales.isabellarenata@cetis57.edu.mx; no-reply: true]; Run via form trigger as gabrielvazquez@cetis57.edu.mx; Timestamp: Aug 4 2023 1:33 AM</t>
  </si>
  <si>
    <t>ADAMARY HAYDEE</t>
  </si>
  <si>
    <t>https://drive.google.com/open?id=1jfVJ_l0mn_5phXzalqrceOEdWUboVyrC</t>
  </si>
  <si>
    <t>ESTUDIOS SAN ANGEL INN #65</t>
  </si>
  <si>
    <t xml:space="preserve">ENFRENTE DE UN PARQUE </t>
  </si>
  <si>
    <t>MARIA HAYDEE  PACHECO ROJAS</t>
  </si>
  <si>
    <t>https://drive.google.com/open?id=1hunFnDoGYmax_LwNNdiHBDAV328Ck4nY</t>
  </si>
  <si>
    <t>haydeerojas089@gmail.com</t>
  </si>
  <si>
    <t>https://drive.google.com/open?id=1tVKk3IFidYZsah9HBo3HPapyuX6HovbR</t>
  </si>
  <si>
    <t>MALVAES</t>
  </si>
  <si>
    <t xml:space="preserve">ADMINISTRACION DE EMPRESAS </t>
  </si>
  <si>
    <t>https://drive.google.com/open?id=12ooIBxLxq7a2fKiMeFQCXBYz2t3mYsDv</t>
  </si>
  <si>
    <t>https://drive.google.com/open?id=1e2kkM7O7sUuHvt3mvohqD-He04MhUbNP</t>
  </si>
  <si>
    <t>1BdREQQu0FseZPZyhTUNOb-ksbSY-FyOI</t>
  </si>
  <si>
    <t>https://drive.google.com/file/d/1BdREQQu0FseZPZyhTUNOb-ksbSY-FyOI/view?usp=drivesdk</t>
  </si>
  <si>
    <t>Document successfully created; Document successfully merged; PDF created; Emails Sent: [To: 22-alcalapacheco.adamaryaydee@cetis57.edu.mx; no-reply: true]; Run via form trigger as gabrielvazquez@cetis57.edu.mx; Timestamp: Aug 2 2023 5:16 AM</t>
  </si>
  <si>
    <t>1EL55Yg9j6haEerBZRCgAJUdvHPCV_ijM</t>
  </si>
  <si>
    <t>https://drive.google.com/file/d/1EL55Yg9j6haEerBZRCgAJUdvHPCV_ijM/view?usp=drivesdk</t>
  </si>
  <si>
    <t>Document successfully created; Document successfully merged; PDF created; Emails Sent: [To: 22-alcalapacheco.adamaryaydee@cetis57.edu.mx; no-reply: true]; Run via form trigger as gabrielvazquez@cetis57.edu.mx; Timestamp: Aug 4 2023 2:17 AM</t>
  </si>
  <si>
    <t>https://drive.google.com/open?id=15Ir1rNoC7vBrGWFMDvooeHwX2fkXQs2D</t>
  </si>
  <si>
    <t xml:space="preserve">ENTRE ARROYO FRIO </t>
  </si>
  <si>
    <t xml:space="preserve">CLAUDIA AYDE ESTRADA ALAMILLA </t>
  </si>
  <si>
    <t>https://drive.google.com/open?id=1OeXfbLFqK84VFNMPce8SpFTbxwb8wgDo</t>
  </si>
  <si>
    <t xml:space="preserve"> ALAMILLA</t>
  </si>
  <si>
    <t>https://drive.google.com/open?id=1qBQ15k91LyAhEhmZQUDdQTGnVeXjJr-b</t>
  </si>
  <si>
    <t xml:space="preserve">RESÉNDIZ </t>
  </si>
  <si>
    <t xml:space="preserve">JOSÉ RUPERTO </t>
  </si>
  <si>
    <t>https://drive.google.com/open?id=14jW2jOm-U3YUbrRUtb7jKvMQB6s-gMfP</t>
  </si>
  <si>
    <t>https://drive.google.com/open?id=1w0WiFyn9fsLV-pAb2jRJuygTMd6XdKKy</t>
  </si>
  <si>
    <t>1QvrXIoetk6kzXTVhcgvhtpOQ7krvc04h</t>
  </si>
  <si>
    <t>https://drive.google.com/file/d/1QvrXIoetk6kzXTVhcgvhtpOQ7krvc04h/view?usp=drivesdk</t>
  </si>
  <si>
    <t>Document successfully created; Document successfully merged; PDF created; Emails Sent: [To: 22-segundoestrada.nadiaayde@cetis57.edu.mx; no-reply: true]; Run via form trigger as gabrielvazquez@cetis57.edu.mx; Timestamp: Aug 2 2023 5:16 AM</t>
  </si>
  <si>
    <t>1MeZk6lbuc75-oGz2iLiMDEiL4v0sFB8P</t>
  </si>
  <si>
    <t>https://drive.google.com/file/d/1MeZk6lbuc75-oGz2iLiMDEiL4v0sFB8P/view?usp=drivesdk</t>
  </si>
  <si>
    <t>Document successfully created; Document successfully merged; PDF created; Emails Sent: [To: 22-segundoestrada.nadiaayde@cetis57.edu.mx; no-reply: true]; Run via form trigger as gabrielvazquez@cetis57.edu.mx; Timestamp: Aug 4 2023 2:17 AM</t>
  </si>
  <si>
    <t>https://drive.google.com/open?id=1NgoQGtletASJF1OjBuxEFD2LyxQKHa6e</t>
  </si>
  <si>
    <t>OCTAVIO MARTINEZ CHAVEZ</t>
  </si>
  <si>
    <t>https://drive.google.com/open?id=1xu8LXEtOK7OF6wh8URTguMjLNzNsSim4</t>
  </si>
  <si>
    <t>https://drive.google.com/open?id=1kpsF810RPBKcnB1433Piexm8NnwLzJqb</t>
  </si>
  <si>
    <t xml:space="preserve">OSCAR OMAR </t>
  </si>
  <si>
    <t>https://drive.google.com/open?id=1jdAra0Tps8F7_Z3w1uVY5R7Bvj3aoRsq</t>
  </si>
  <si>
    <t>https://drive.google.com/open?id=1xSRcZ-qnoOyHh5xsybfu55d04qw5TyNo</t>
  </si>
  <si>
    <t>1ze6a7ZXetWFwo2JEYJxZ3zASq5hAWW1I</t>
  </si>
  <si>
    <t>https://drive.google.com/file/d/1ze6a7ZXetWFwo2JEYJxZ3zASq5hAWW1I/view?usp=drivesdk</t>
  </si>
  <si>
    <t>Document successfully created; Document successfully merged; PDF created; Emails Sent: [To: 21-martinezcebrero.lorena@cetis57.edu.mx; no-reply: true]; Run via form trigger as gabrielvazquez@cetis57.edu.mx; Timestamp: Aug 2 2023 7:38 PM</t>
  </si>
  <si>
    <t>1uQoN0_MTPJOSwe87FN2H9bvVuFYuwg-T</t>
  </si>
  <si>
    <t>https://drive.google.com/file/d/1uQoN0_MTPJOSwe87FN2H9bvVuFYuwg-T/view?usp=drivesdk</t>
  </si>
  <si>
    <t>Document successfully created; Document successfully merged; PDF created; Emails Sent: [To: 21-martinezcebrero.lorena@cetis57.edu.mx; no-reply: true]; Run via form trigger as gabrielvazquez@cetis57.edu.mx; Timestamp: Aug 4 2023 2:18 AM</t>
  </si>
  <si>
    <t>https://drive.google.com/open?id=1iC7kSbn1ChR5D1-3_mg_mEGsprGsxsB2</t>
  </si>
  <si>
    <t>EZEQUIEL MONTES MZ 13 LT11</t>
  </si>
  <si>
    <t xml:space="preserve">1RA APLIACION SANTIAGO ACAHUALTEPEC </t>
  </si>
  <si>
    <t>MZ 13 LT 11</t>
  </si>
  <si>
    <t>EN CONTRA ESQUINA DE LA FARMACIA ISRAEL ENTRE ROSA BLANCA Y ROSA MORADA</t>
  </si>
  <si>
    <t>ANA LILIA RUIZ ZERMEÑO</t>
  </si>
  <si>
    <t>https://drive.google.com/open?id=10hdUY1BEWPPAfkZTI-hWLujE2Qm5BlFi</t>
  </si>
  <si>
    <t xml:space="preserve">GOMEZ  </t>
  </si>
  <si>
    <t>https://drive.google.com/open?id=1Nvpn3hUxklWjyYT3k3BJ3EVqNoVzb1rs</t>
  </si>
  <si>
    <t xml:space="preserve"> RUIZ</t>
  </si>
  <si>
    <t>DIANA YAZMIN</t>
  </si>
  <si>
    <t>https://drive.google.com/open?id=1cwCZ3TQojQlbXPapwr2daaBKBfmdH6lM</t>
  </si>
  <si>
    <t>https://drive.google.com/open?id=1mAp4-5rkf-d5u9pO3ev5SnbPAvgPgAw2</t>
  </si>
  <si>
    <t>1wcLH-P-sBk1cxKysHoMOPscqQG1iaaJl</t>
  </si>
  <si>
    <t>https://drive.google.com/file/d/1wcLH-P-sBk1cxKysHoMOPscqQG1iaaJl/view?usp=drivesdk</t>
  </si>
  <si>
    <t>Document successfully created; Document successfully merged; PDF created; Emails Sent: [To: 22-lopezruiz.valeriayemaya@cetis57.edu.mx; no-reply: true]; Run via form trigger as gabrielvazquez@cetis57.edu.mx; Timestamp: Aug 2 2023 1:51 AM</t>
  </si>
  <si>
    <t>1VN-q9Sa1OQmqW7lNtF7ORvFtRtn9xH9Q</t>
  </si>
  <si>
    <t>https://drive.google.com/file/d/1VN-q9Sa1OQmqW7lNtF7ORvFtRtn9xH9Q/view?usp=drivesdk</t>
  </si>
  <si>
    <t>Document successfully created; Document successfully merged; PDF created; Emails Sent: [To: 22-lopezruiz.valeriayemaya@cetis57.edu.mx; no-reply: true]; Run via form trigger as gabrielvazquez@cetis57.edu.mx; Timestamp: Aug 4 2023 2:19 AM</t>
  </si>
  <si>
    <t>https://drive.google.com/open?id=1dr5Jttiei9N0cMBUmKnovAYysNgeh9gf</t>
  </si>
  <si>
    <t xml:space="preserve"> CALLE DIEGO RIVERA MZ. 2 LT.1 </t>
  </si>
  <si>
    <t>ESQUINA PRIMARIA TIERRA Y LIBERTAD A LADO DEL DOMICILIO FARMACIA RENE</t>
  </si>
  <si>
    <t xml:space="preserve">RAMIRO ROLON MARIA EUGENIA </t>
  </si>
  <si>
    <t>https://drive.google.com/open?id=1X8pLfmsZcGs2oNbvQAILi3AWkm6eJe38</t>
  </si>
  <si>
    <t>RAMIRO</t>
  </si>
  <si>
    <t>EDWIN WILIANS</t>
  </si>
  <si>
    <t>https://drive.google.com/open?id=1jZjKqOgK4zY0G9vIkP5jrka9f4oyV3H0</t>
  </si>
  <si>
    <t>MATURANO</t>
  </si>
  <si>
    <t>LINDA NATHALY</t>
  </si>
  <si>
    <t xml:space="preserve">EMPLEADO  GENERAL  </t>
  </si>
  <si>
    <t>natha.lymaturano@gmail.com</t>
  </si>
  <si>
    <t>https://drive.google.com/open?id=1M_WndQwI4YLiGBi8BnpC1hl2BQPlDDAd</t>
  </si>
  <si>
    <t>CON MI MAMÁ Y HERMANA</t>
  </si>
  <si>
    <t>COLEGIO MEXICANO DE ESPECIALISTAS EN GINECOLOGÍA Y OBSTETRICIA A.C</t>
  </si>
  <si>
    <t xml:space="preserve">	GINECO OBSTETRICIA</t>
  </si>
  <si>
    <t>https://drive.google.com/open?id=1JjmxPovLEQz133hI-UfE41qCyhVUH3BQ</t>
  </si>
  <si>
    <t>1U2ajPZjyCJp5DL1RqQSZkpDvO9huM87x</t>
  </si>
  <si>
    <t>https://drive.google.com/file/d/1U2ajPZjyCJp5DL1RqQSZkpDvO9huM87x/view?usp=drivesdk</t>
  </si>
  <si>
    <t>Document successfully created; Document successfully merged; PDF created; Emails Sent: [To: 21-uballaramiro.mitzybrillanthy@cetis57.edu.mx; no-reply: true]; Run via form trigger as gabrielvazquez@cetis57.edu.mx; Timestamp: Aug 2 2023 7:39 PM</t>
  </si>
  <si>
    <t>1cdWR5HfnrH2qadEwWjr200UyRTXpq7WI</t>
  </si>
  <si>
    <t>https://drive.google.com/file/d/1cdWR5HfnrH2qadEwWjr200UyRTXpq7WI/view?usp=drivesdk</t>
  </si>
  <si>
    <t>Document successfully created; Invalid image URL [http://doc.google.com/uc?id=1X8pLfmsZcGs2oNbvQAILi3AWkm6eJe38], make sure that it is public; Document successfully merged; PDF created; Emails Sent: [To: 21-uballaramiro.mitzybrillanthy@cetis57.edu.mx; no-reply: true]; Run via form trigger as gabrielvazquez@cetis57.edu.mx; Timestamp: Aug 3 2023 5:48 PM</t>
  </si>
  <si>
    <t xml:space="preserve">ANET MICHELLE </t>
  </si>
  <si>
    <t>https://drive.google.com/open?id=156vZ0hLRI3X1_KoAkyX5Qm8WaOPtVzlj</t>
  </si>
  <si>
    <t>SUR 145 #1709</t>
  </si>
  <si>
    <t xml:space="preserve">UNA TIENDA EN LA ESQUINA Y UNA CAPILLA AFUERA </t>
  </si>
  <si>
    <t xml:space="preserve">OCAMPO CASTILLO SARAHI </t>
  </si>
  <si>
    <t>https://drive.google.com/open?id=1G7o6CLQovOw6Ry0I4jPhXFBa_Qy0e8_S</t>
  </si>
  <si>
    <t xml:space="preserve">SANDRA IVONNE </t>
  </si>
  <si>
    <t>https://drive.google.com/open?id=1Df-_qnsyibfEoQQZE-j1Kmw49j92EMgb</t>
  </si>
  <si>
    <t xml:space="preserve">TECNICO EN AIRE ACONDICIONADO </t>
  </si>
  <si>
    <t>ocammar861@gmail.com</t>
  </si>
  <si>
    <t>https://drive.google.com/open?id=131moavihdOa-cPX5k5Nzq4PR4q0qm2ca</t>
  </si>
  <si>
    <t>https://drive.google.com/open?id=1Ijtm36tqjsqvTcDQE8eMsikQyOSWuIrv</t>
  </si>
  <si>
    <t>1ib2WKyOzcmJCD133f-9Oqy3carIxsukj</t>
  </si>
  <si>
    <t>https://drive.google.com/file/d/1ib2WKyOzcmJCD133f-9Oqy3carIxsukj/view?usp=drivesdk</t>
  </si>
  <si>
    <t>Document successfully created; Document successfully merged; PDF created; Emails Sent: [To: 22-ocampocastillo.anetmichelle@cetis57.edu.mx; no-reply: true]; Run via form trigger as gabrielvazquez@cetis57.edu.mx; Timestamp: Aug 2 2023 1:53 AM</t>
  </si>
  <si>
    <t>1UF_O3zdZP7Nq9lTa2Ph85E0gfaCt1P73</t>
  </si>
  <si>
    <t>https://drive.google.com/file/d/1UF_O3zdZP7Nq9lTa2Ph85E0gfaCt1P73/view?usp=drivesdk</t>
  </si>
  <si>
    <t>Document successfully created; Document successfully merged; PDF created; Emails Sent: [To: 22-ocampocastillo.anetmichelle@cetis57.edu.mx; no-reply: true]; Run via form trigger as gabrielvazquez@cetis57.edu.mx; Timestamp: Aug 3 2023 5:49 PM</t>
  </si>
  <si>
    <t>https://drive.google.com/open?id=1RThAae0PL0Zz-TksbAw5uO4cci0IHcm1</t>
  </si>
  <si>
    <t>CANTERA MZ. 4 LT. 7</t>
  </si>
  <si>
    <t>PEÑAS, UNIDAD TEATINOS</t>
  </si>
  <si>
    <t>EVENCIA ROMERO ALVAREZ</t>
  </si>
  <si>
    <t>https://drive.google.com/open?id=1_uWB_VlICPzzLOJUdhH5_VzkzOFFj7WH</t>
  </si>
  <si>
    <t>https://drive.google.com/open?id=11huhnJhAfyW33Z7MnR4u260eBRle3HDb</t>
  </si>
  <si>
    <t>https://drive.google.com/open?id=1Qbm47PvC-qB-FSOLCRR47o6XTslHB_Gm</t>
  </si>
  <si>
    <t>https://drive.google.com/open?id=10taT1o539Z2A5tCRPbIIyJj9uz4AoweO</t>
  </si>
  <si>
    <t>02180602266</t>
  </si>
  <si>
    <t>134Kce65q8lAX7Hvw4ahzwveeKlLeffqn</t>
  </si>
  <si>
    <t>https://drive.google.com/file/d/134Kce65q8lAX7Hvw4ahzwveeKlLeffqn/view?usp=drivesdk</t>
  </si>
  <si>
    <t>Document successfully created; Document successfully merged; PDF created; Emails Sent: [To: 21-sandovalromero.leonardo@cetis57.edu.mx; no-reply: true]; Run via form trigger as gabrielvazquez@cetis57.edu.mx; Timestamp: Aug 2 2023 1:53 AM</t>
  </si>
  <si>
    <t>1Hj7aNn-ystMIH3Dy08M7XmtfJRcW8dac</t>
  </si>
  <si>
    <t>https://drive.google.com/file/d/1Hj7aNn-ystMIH3Dy08M7XmtfJRcW8dac/view?usp=drivesdk</t>
  </si>
  <si>
    <t>Document successfully created; Document successfully merged; PDF created; Emails Sent: [To: 21-sandovalromero.leonardo@cetis57.edu.mx; no-reply: true]; Run via form trigger as gabrielvazquez@cetis57.edu.mx; Timestamp: Aug 3 2023 5:50 PM</t>
  </si>
  <si>
    <t>https://drive.google.com/open?id=1_9JT_3-onuin8sxcD7pwXZF8djZ8TaiA</t>
  </si>
  <si>
    <t>CERRADA VILLA INFERIOR MZ.3 LT.12</t>
  </si>
  <si>
    <t>Mz.3 lt.12</t>
  </si>
  <si>
    <t>EN LA ESQUINA UNA TORTILLERIA Y UNA REPARADORA DE CALZADO</t>
  </si>
  <si>
    <t>IRIS MARLEN GRANADOS RINCON</t>
  </si>
  <si>
    <t>https://drive.google.com/open?id=1wJ_akVvyVl380Boijd7G4Ngx4hm9X1y5</t>
  </si>
  <si>
    <t>RINCON</t>
  </si>
  <si>
    <t>EDGAR ALAN</t>
  </si>
  <si>
    <t>https://drive.google.com/open?id=1hHWPUyd7WeAFOQMER0hrfNJQZc1CS_OR</t>
  </si>
  <si>
    <t>MARIA ANTONIA</t>
  </si>
  <si>
    <t>https://drive.google.com/open?id=1kUctJsx6Dd07VOL9kWILaXvyUoPNKny0</t>
  </si>
  <si>
    <t>https://drive.google.com/open?id=11LYJrDMurp2VnLlwh94JLphCjeFDs_HI</t>
  </si>
  <si>
    <t>1LOxD1TwK1OCAqsRcFSfNJyrPOe0Er-VL</t>
  </si>
  <si>
    <t>https://drive.google.com/file/d/1LOxD1TwK1OCAqsRcFSfNJyrPOe0Er-VL/view?usp=drivesdk</t>
  </si>
  <si>
    <t>Document successfully created; Document successfully merged; PDF created; Emails Sent: [To: 22-granadosgonzalez.luisarmando@cetis57.edu.mx; no-reply: true]; Run via form trigger as gabrielvazquez@cetis57.edu.mx; Timestamp: Aug 2 2023 1:55 AM</t>
  </si>
  <si>
    <t>1V_uerHWynhH3F0sgr8i2P1_V4d-TBG6G</t>
  </si>
  <si>
    <t>https://drive.google.com/file/d/1V_uerHWynhH3F0sgr8i2P1_V4d-TBG6G/view?usp=drivesdk</t>
  </si>
  <si>
    <t>Document successfully created; Invalid image URL [http://doc.google.com/uc?id=1kUctJsx6Dd07VOL9kWILaXvyUoPNKny0], make sure that it is public; Document successfully merged; PDF created; Emails Sent: [To: 22-granadosgonzalez.luisarmando@cetis57.edu.mx; no-reply: true]; Run via form trigger as gabrielvazquez@cetis57.edu.mx; Timestamp: Aug 3 2023 5:51 PM</t>
  </si>
  <si>
    <t>TOCA</t>
  </si>
  <si>
    <t>https://drive.google.com/open?id=1cLX7QexFWCgyIRHag56yL2YqSL-z89ym</t>
  </si>
  <si>
    <t>TOOC070127MMCCLRA0</t>
  </si>
  <si>
    <t xml:space="preserve">LUIS GARCIA MZ86 LT6 </t>
  </si>
  <si>
    <t xml:space="preserve">Luis García Mz86 Lt6 </t>
  </si>
  <si>
    <t>METRO PEÑON VIEJO</t>
  </si>
  <si>
    <t xml:space="preserve">ARACELI OLVERA CRUZ </t>
  </si>
  <si>
    <t>https://drive.google.com/open?id=1LkmTnQoxw2fxC_gxg8dSFWTK3EaLar15</t>
  </si>
  <si>
    <t xml:space="preserve">VENDE EN LOS TIANGUIS </t>
  </si>
  <si>
    <t>https://drive.google.com/open?id=1b4tzHCXdTCaFb8PAe1GNLSUM00IltaGN</t>
  </si>
  <si>
    <t>https://drive.google.com/open?id=1z35YZGsg_8iJGm3fjbobysb52Lw5PDjG</t>
  </si>
  <si>
    <t>https://drive.google.com/open?id=1uRjku_G8JP2UrX_hKqjJBkD0n1SqjUVM</t>
  </si>
  <si>
    <t>1cph1q4I_YbTA8C991IePU1Q31LXilBsH</t>
  </si>
  <si>
    <t>https://drive.google.com/file/d/1cph1q4I_YbTA8C991IePU1Q31LXilBsH/view?usp=drivesdk</t>
  </si>
  <si>
    <t>Document successfully created; Document successfully merged; PDF created; Emails Sent: [To: 22-tocaolvera.carenalesandra@cetis57.edu.mx; no-reply: true]; Run via form trigger as gabrielvazquez@cetis57.edu.mx; Timestamp: Aug 2 2023 5:17 AM</t>
  </si>
  <si>
    <t>1Y-tYYCWxUzQozKmmFdAH2hBOm2f3ucem</t>
  </si>
  <si>
    <t>https://drive.google.com/file/d/1Y-tYYCWxUzQozKmmFdAH2hBOm2f3ucem/view?usp=drivesdk</t>
  </si>
  <si>
    <t>Document successfully created; Document successfully merged; PDF created; Emails Sent: [To: 22-tocaolvera.carenalesandra@cetis57.edu.mx; no-reply: true]; Run via form trigger as gabrielvazquez@cetis57.edu.mx; Timestamp: Aug 4 2023 2:20 AM</t>
  </si>
  <si>
    <t xml:space="preserve">ENCARNACION </t>
  </si>
  <si>
    <t>https://drive.google.com/open?id=1Wsp-9fCsim5kpuuXxQ1DjN1cBUIZsZ4P</t>
  </si>
  <si>
    <t>MAEA071108MDFRNLA2</t>
  </si>
  <si>
    <t xml:space="preserve">CDA 2A VILLA BUENA DE ALAVA MZ1 L35 </t>
  </si>
  <si>
    <t xml:space="preserve">MANUEL CAÑAS E INSURGENTES </t>
  </si>
  <si>
    <t>BEATRIZ VAZQUEZ CARDOSO</t>
  </si>
  <si>
    <t>https://drive.google.com/open?id=1CPEkjwXl2jEuni3dk37Jft6cbqglyMe1</t>
  </si>
  <si>
    <t xml:space="preserve">FABIOLA KAREN </t>
  </si>
  <si>
    <t>https://drive.google.com/open?id=1OCgBoRVAxKzZPwG3E4Oaj-_3BldMUKBz</t>
  </si>
  <si>
    <t>https://drive.google.com/open?id=1iSev-BLkiu62GkesB0HHKq2GQbnoIjY_</t>
  </si>
  <si>
    <t>https://drive.google.com/open?id=1NqnipIeYRs5KzxFfnu_7VvyZEuXqWWFX</t>
  </si>
  <si>
    <t>1btiNJ_iG6ZTlHsl8wQycPibEMOmuYEHI</t>
  </si>
  <si>
    <t>https://drive.google.com/file/d/1btiNJ_iG6ZTlHsl8wQycPibEMOmuYEHI/view?usp=drivesdk</t>
  </si>
  <si>
    <t>Document successfully created; Document successfully merged; PDF created; Emails Sent: [To: 22-marquezencarnacion.alejandraguadalupe@cetis57.edu.mx; no-reply: true]; Run via form trigger as gabrielvazquez@cetis57.edu.mx; Timestamp: Aug 2 2023 5:49 AM</t>
  </si>
  <si>
    <t>16uL4hQwu9kl9k5c6OiBC6MIut5Bgriep</t>
  </si>
  <si>
    <t>https://drive.google.com/file/d/16uL4hQwu9kl9k5c6OiBC6MIut5Bgriep/view?usp=drivesdk</t>
  </si>
  <si>
    <t>Document successfully created; Document successfully merged; PDF created; Emails Sent: [To: 22-marquezencarnacion.alejandraguadalupe@cetis57.edu.mx; no-reply: true]; Run via form trigger as gabrielvazquez@cetis57.edu.mx; Timestamp: Aug 4 2023 10:58 AM</t>
  </si>
  <si>
    <t>https://drive.google.com/open?id=1sOg2Ero8QDYnUt-7P7rWY1w1Fvc6_q4U</t>
  </si>
  <si>
    <t>11 depto.6</t>
  </si>
  <si>
    <t>REFORMA FISCAL NO.11, DEPTO. 6, COLONIA-REFORMA POLITICA</t>
  </si>
  <si>
    <t xml:space="preserve">KINDER T. MENDOZA </t>
  </si>
  <si>
    <t xml:space="preserve">MARIA EDITH AGUILAR HERNANDEZ </t>
  </si>
  <si>
    <t>https://drive.google.com/open?id=1cToLdMbcXBSbwY-Wh9XFp-XRzSevRyQN</t>
  </si>
  <si>
    <t>https://drive.google.com/open?id=1zUeJr2TarHc-O2O8tr1foYRTUooiR8TE</t>
  </si>
  <si>
    <t xml:space="preserve">ANGUELA METZTLI </t>
  </si>
  <si>
    <t>leonardoalik05@gmail.com</t>
  </si>
  <si>
    <t>https://drive.google.com/open?id=10y4VqG4iWkur7eZ1RYKCpySNlhKskrpW</t>
  </si>
  <si>
    <t xml:space="preserve">Médico Forense </t>
  </si>
  <si>
    <t>https://drive.google.com/open?id=1_TUtqJhH66wFTCLUeAgNVl3eNjwQ9uwC</t>
  </si>
  <si>
    <t>1wkPQ2O0Gm5VHUnMSUDrEwosAb7obzCLl</t>
  </si>
  <si>
    <t>https://drive.google.com/file/d/1wkPQ2O0Gm5VHUnMSUDrEwosAb7obzCLl/view?usp=drivesdk</t>
  </si>
  <si>
    <t>Document successfully created; Document successfully merged; PDF created; Emails Sent: [To: 22-mendozaaguilar.alexaquetzalli@cetis57.edu.mx; no-reply: true]; Run via form trigger as gabrielvazquez@cetis57.edu.mx; Timestamp: Aug 2 2023 5:50 AM</t>
  </si>
  <si>
    <t>1e-Oj_G1hb-79LgEhW1ZKjI5GOIVSK7dm</t>
  </si>
  <si>
    <t>https://drive.google.com/file/d/1e-Oj_G1hb-79LgEhW1ZKjI5GOIVSK7dm/view?usp=drivesdk</t>
  </si>
  <si>
    <t>Document successfully created; Document successfully merged; PDF created; Emails Sent: [To: 22-mendozaaguilar.alexaquetzalli@cetis57.edu.mx; no-reply: true]; Run via form trigger as gabrielvazquez@cetis57.edu.mx; Timestamp: Aug 4 2023 10:59 AM</t>
  </si>
  <si>
    <t>https://drive.google.com/open?id=1nTkwQnxIPdnZxE2VFyX9DN_cj0AbUYEA</t>
  </si>
  <si>
    <t xml:space="preserve">CALLE MODESTO DOMINGUEZ </t>
  </si>
  <si>
    <t>ESQUINA IGLESIA A LADO ESCUELA DE NATACION</t>
  </si>
  <si>
    <t xml:space="preserve">BLANCA GRACIELA FIGUEROA </t>
  </si>
  <si>
    <t>https://drive.google.com/open?id=19rAyiWeM_k1pjUFp_zWjqi7Ez1Y18ZJ5</t>
  </si>
  <si>
    <t>blancagraciela388@gmail.com</t>
  </si>
  <si>
    <t>FIGUROA</t>
  </si>
  <si>
    <t>https://drive.google.com/open?id=1LHdN26FR2f2qOvd0Z5d9y_1jUrxD-wBg</t>
  </si>
  <si>
    <t xml:space="preserve">FIGUROA </t>
  </si>
  <si>
    <t>bettiluu.67@gmail.com</t>
  </si>
  <si>
    <t>https://drive.google.com/open?id=1RyVCeM1UJQWb__iBiA91tgfomdjXAVo4</t>
  </si>
  <si>
    <t xml:space="preserve">VOCACIONAL 7 ERMITA IZTAPALAPA </t>
  </si>
  <si>
    <t>https://drive.google.com/open?id=1GqmXRAjX2g2bvml2_CJ0_V0xWQFZycoQ</t>
  </si>
  <si>
    <t>1k-nff5tSbfaPEK1j-tcaKQcBQefgxuwx</t>
  </si>
  <si>
    <t>https://drive.google.com/file/d/1k-nff5tSbfaPEK1j-tcaKQcBQefgxuwx/view?usp=drivesdk</t>
  </si>
  <si>
    <t>Document successfully created; Document successfully merged; PDF created; Emails Sent: [To: 22-ramirezmiranda.aylin@cetis57.edu.mx; no-reply: true]; Run via form trigger as gabrielvazquez@cetis57.edu.mx; Timestamp: Aug 2 2023 5:50 AM</t>
  </si>
  <si>
    <t>18xOlhkppYCJwXfSOA9Lt_A8VBd67ZqoI</t>
  </si>
  <si>
    <t>https://drive.google.com/file/d/18xOlhkppYCJwXfSOA9Lt_A8VBd67ZqoI/view?usp=drivesdk</t>
  </si>
  <si>
    <t>Document successfully created; Document successfully merged; PDF created; Emails Sent: [To: 22-ramirezmiranda.aylin@cetis57.edu.mx; no-reply: true]; Run via form trigger as gabrielvazquez@cetis57.edu.mx; Timestamp: Aug 4 2023 10:59 AM</t>
  </si>
  <si>
    <t>https://drive.google.com/open?id=1sOaA6mTbiUP74HFBHRB0Ge5mNVpEAlO8</t>
  </si>
  <si>
    <t>AND. 3 DE J GONZALES ORTEGA #3</t>
  </si>
  <si>
    <t xml:space="preserve">EJECITO DE ORIENTE </t>
  </si>
  <si>
    <t xml:space="preserve">ENTRE RETORNO 1 Y 2  DE LANCEROS DE OAXACA </t>
  </si>
  <si>
    <t xml:space="preserve">ALEJANDRA FERNANDEZ JIMENEZ </t>
  </si>
  <si>
    <t>https://drive.google.com/open?id=1XpCcaxugqM5AepLZzFfjr6kSSzmHHZLW</t>
  </si>
  <si>
    <t>https://drive.google.com/open?id=1inwg532djGkVlVHHLljiLhxP0zQKFlAc</t>
  </si>
  <si>
    <t>EPIFANIO RUBEN</t>
  </si>
  <si>
    <t>PADRR</t>
  </si>
  <si>
    <t>https://drive.google.com/open?id=14M0f-j07ZW44Q2ZCZ3G42MXhffUMEaGj</t>
  </si>
  <si>
    <t>https://drive.google.com/open?id=1fJov4nOMldGRekBLq4t9-LLEy1Jv8ro4</t>
  </si>
  <si>
    <t>1CK1eZQouhlCg9Bgt5GnphTo5OFD73C4-</t>
  </si>
  <si>
    <t>https://drive.google.com/file/d/1CK1eZQouhlCg9Bgt5GnphTo5OFD73C4-/view?usp=drivesdk</t>
  </si>
  <si>
    <t>Document successfully created; Document successfully merged; PDF created; Emails Sent: [To: 22-alvarezfernandez.jazmin@cetis57.edu.mx; no-reply: true]; Run via form trigger as gabrielvazquez@cetis57.edu.mx; Timestamp: Aug 2 2023 5:51 AM</t>
  </si>
  <si>
    <t>1HKWhQ9ghsypZTiWWbImsastg_MVEuynA</t>
  </si>
  <si>
    <t>https://drive.google.com/file/d/1HKWhQ9ghsypZTiWWbImsastg_MVEuynA/view?usp=drivesdk</t>
  </si>
  <si>
    <t>Document successfully created; Document successfully merged; PDF created; Emails Sent: [To: 22-alvarezfernandez.jazmin@cetis57.edu.mx; no-reply: true]; Run via form trigger as gabrielvazquez@cetis57.edu.mx; Timestamp: Aug 3 2023 2:33 PM</t>
  </si>
  <si>
    <t>VALERIA YAQUELIN</t>
  </si>
  <si>
    <t>https://drive.google.com/open?id=1hp95kaJYKexMejBeJMyP4CGwfASShejj</t>
  </si>
  <si>
    <t xml:space="preserve">CALLE ORQUÍDEA </t>
  </si>
  <si>
    <t xml:space="preserve">COLONIAL LOMAS DE ALTAVISTA </t>
  </si>
  <si>
    <t>MZ.4 LT.105</t>
  </si>
  <si>
    <t>CASA VERDE CON ESCALERAS AFUERA</t>
  </si>
  <si>
    <t xml:space="preserve">BLANCA VEGA CAPORAL </t>
  </si>
  <si>
    <t>https://drive.google.com/open?id=1MgdC9dJWOCsAJpvFkajz9e-eTaUUiBMG</t>
  </si>
  <si>
    <t>blancavega529.bv@gmail.com</t>
  </si>
  <si>
    <t>HIPOLITO FELIPE</t>
  </si>
  <si>
    <t>https://drive.google.com/open?id=1b8Ix7PkJYXxfwc1bVRftyArsga7Cv04M</t>
  </si>
  <si>
    <t>https://drive.google.com/open?id=1oaILvLWFxxapCXouOx8tPRGiJEGfF94h</t>
  </si>
  <si>
    <t>https://drive.google.com/open?id=1c75t1-CI2z_MPGGAxyup6QrGzQImkcoi</t>
  </si>
  <si>
    <t>1a1EBcpUl3uGEQHFH-yvmv5py253V7Ty0</t>
  </si>
  <si>
    <t>https://drive.google.com/file/d/1a1EBcpUl3uGEQHFH-yvmv5py253V7Ty0/view?usp=drivesdk</t>
  </si>
  <si>
    <t>Document successfully created; Document successfully merged; PDF created; Emails Sent: [To: 22-moravega.valeriayaquelin@cetis57.edu.mx; no-reply: true]; Run via form trigger as gabrielvazquez@cetis57.edu.mx; Timestamp: Aug 2 2023 5:52 AM</t>
  </si>
  <si>
    <t>1bsW04ewIup2r0yX95WStwTSuUKprm9c2</t>
  </si>
  <si>
    <t>https://drive.google.com/file/d/1bsW04ewIup2r0yX95WStwTSuUKprm9c2/view?usp=drivesdk</t>
  </si>
  <si>
    <t>Document successfully created; Document successfully merged; PDF created; Emails Sent: [To: 22-moravega.valeriayaquelin@cetis57.edu.mx; no-reply: true]; Run via form trigger as gabrielvazquez@cetis57.edu.mx; Timestamp: Aug 3 2023 2:34 PM</t>
  </si>
  <si>
    <t>https://drive.google.com/open?id=1Ag9BUBGYIw4nIIGQf1UjZWjiV2XC4ZDy</t>
  </si>
  <si>
    <t>CARRETERA FEDERAL MEXICO PUEBLA NO.25</t>
  </si>
  <si>
    <t>LOS REYES ACAQUILPAN CENTRO</t>
  </si>
  <si>
    <t xml:space="preserve">CALLEJON LOS REYES Y CALLE SIMON BOLIVAR </t>
  </si>
  <si>
    <t>BERENICE MENDEZ HUERTA</t>
  </si>
  <si>
    <t>https://drive.google.com/open?id=1oKtdxXKfgh5fLeAkYiUbhfYGnEyqRljh</t>
  </si>
  <si>
    <t>mhberenice84@gmail.com</t>
  </si>
  <si>
    <t>HUGO RICARDO</t>
  </si>
  <si>
    <t>lphugo1981@gmail.com</t>
  </si>
  <si>
    <t>https://drive.google.com/open?id=1ZioPNV0wmRCEEf7nTKN6igSs-XQK83SZ</t>
  </si>
  <si>
    <t>https://drive.google.com/open?id=1zu9Py_OSNm-fRk_nw-u7iWwumzDDtI-E</t>
  </si>
  <si>
    <t>https://drive.google.com/open?id=1WDFuVXCUntZYi2qfUs3eCXeFA2ydtrJ2</t>
  </si>
  <si>
    <t>1nMxl3xplK7vVEZXVbg0APFvCeWP03vEP</t>
  </si>
  <si>
    <t>https://drive.google.com/file/d/1nMxl3xplK7vVEZXVbg0APFvCeWP03vEP/view?usp=drivesdk</t>
  </si>
  <si>
    <t>Document successfully created; Document successfully merged; PDF created; Emails Sent: [To: 21-mendozamendez.joseantonio@cetis57.edu.mx; no-reply: true]; Run via form trigger as gabrielvazquez@cetis57.edu.mx; Timestamp: Aug 2 2023 5:52 AM</t>
  </si>
  <si>
    <t>1lFveJ-44_4mdDauACrQmsXjOZ3QJho6B</t>
  </si>
  <si>
    <t>https://drive.google.com/file/d/1lFveJ-44_4mdDauACrQmsXjOZ3QJho6B/view?usp=drivesdk</t>
  </si>
  <si>
    <t>Document successfully created; Document successfully merged; PDF created; Emails Sent: [To: 21-mendozamendez.joseantonio@cetis57.edu.mx; no-reply: true]; Run via form trigger as gabrielvazquez@cetis57.edu.mx; Timestamp: Aug 3 2023 2:35 PM</t>
  </si>
  <si>
    <t>https://drive.google.com/open?id=1QMslQ9tgL7kJWx_e8rVoLOgD4renbk-g</t>
  </si>
  <si>
    <t>1ERA DIONICIO ACOSTA SM1M4 LT13</t>
  </si>
  <si>
    <t xml:space="preserve">ESTAMOS A CUATRO CUADRAS DEL CHEDRAUI </t>
  </si>
  <si>
    <t>DIANA PINAL HERMANDEZ</t>
  </si>
  <si>
    <t>https://drive.google.com/open?id=1B_EXMoJndlyEKLqNdESKquI3Nff70rfZ</t>
  </si>
  <si>
    <t xml:space="preserve">MATILDE GUADALUPE </t>
  </si>
  <si>
    <t>https://drive.google.com/open?id=1yJBkAwC3rsnRxzMR5nl3aOErZ_5x37Cn</t>
  </si>
  <si>
    <t>VIVAS</t>
  </si>
  <si>
    <t>abelleyravictor2022@gmail.com</t>
  </si>
  <si>
    <t>https://drive.google.com/open?id=1QPpSs9fsGBV6RkkrWi8Q9ykoYOKg1fth</t>
  </si>
  <si>
    <t>https://drive.google.com/open?id=1N2sbbG9rLtOve6SavuUKCr1iE5LNG9EK</t>
  </si>
  <si>
    <t>1pF0iO_PVDnY7Nnk2bfe9Qdlpce6H_9XP</t>
  </si>
  <si>
    <t>https://drive.google.com/file/d/1pF0iO_PVDnY7Nnk2bfe9Qdlpce6H_9XP/view?usp=drivesdk</t>
  </si>
  <si>
    <t>Document successfully created; Document successfully merged; PDF created; Emails Sent: [To: 21-abelleyrapinal.jacqueline@cetis57.edu.mx; no-reply: true]; Run via form trigger as gabrielvazquez@cetis57.edu.mx; Timestamp: Aug 2 2023 5:53 AM</t>
  </si>
  <si>
    <t>1ep4IOuwoFDyDcqP_p15EPgTzu__rx6m2</t>
  </si>
  <si>
    <t>https://drive.google.com/file/d/1ep4IOuwoFDyDcqP_p15EPgTzu__rx6m2/view?usp=drivesdk</t>
  </si>
  <si>
    <t>Document successfully created; Document successfully merged; PDF created; Emails Sent: [To: 21-abelleyrapinal.jacqueline@cetis57.edu.mx; no-reply: true]; Run via form trigger as gabrielvazquez@cetis57.edu.mx; Timestamp: Aug 3 2023 2:35 PM</t>
  </si>
  <si>
    <t>MIRIAM ARLET</t>
  </si>
  <si>
    <t>https://drive.google.com/open?id=10-iDro85rpl8OM-nauYHbVK28DZ0ziMb</t>
  </si>
  <si>
    <t xml:space="preserve">RTNO CONSTITUCION DE APATZINGAN MZ13 LT18 3ERA SECCIÓN UNIDAD ERMITA ZARAGOZA </t>
  </si>
  <si>
    <t>MZ13</t>
  </si>
  <si>
    <t>LT18</t>
  </si>
  <si>
    <t xml:space="preserve">POR LA PRIMARIA RAFAEL LOPEZ </t>
  </si>
  <si>
    <t xml:space="preserve">CARMEN CASTRO MONROY </t>
  </si>
  <si>
    <t>https://drive.google.com/open?id=1QbawYU9RM304Od-IQenJVlp789HoQh6e</t>
  </si>
  <si>
    <t>MAESTRA DE DANZA</t>
  </si>
  <si>
    <t>https://drive.google.com/open?id=1r92PRdEJCXjzLDINoIodH4WMbolOohoQ</t>
  </si>
  <si>
    <t>https://drive.google.com/open?id=1QDI8FCO6EFPcvfEFiTmzrMVgsJ7p4wzv</t>
  </si>
  <si>
    <t xml:space="preserve">Facultad de Estudios Superiores Zaragoza. </t>
  </si>
  <si>
    <t>https://drive.google.com/open?id=11He7YKt5pHx6q9Ce20VUjFo4h2zJuXsC</t>
  </si>
  <si>
    <t>1Q5uU5jnsgHeGOZ3lnCDMhZun49H4kc7N</t>
  </si>
  <si>
    <t>https://drive.google.com/file/d/1Q5uU5jnsgHeGOZ3lnCDMhZun49H4kc7N/view?usp=drivesdk</t>
  </si>
  <si>
    <t>Document successfully created; Document successfully merged; PDF created; Emails Sent: [To: 21-perezprieto.miriamarlet@cetis57.edu.mx; no-reply: true]; Run via form trigger as gabrielvazquez@cetis57.edu.mx; Timestamp: Aug 2 2023 9:45 AM</t>
  </si>
  <si>
    <t>1ZViWTTeDhQ8RS0URxd7QUzl0smlmE3FY</t>
  </si>
  <si>
    <t>https://drive.google.com/file/d/1ZViWTTeDhQ8RS0URxd7QUzl0smlmE3FY/view?usp=drivesdk</t>
  </si>
  <si>
    <t>Document successfully created; Document successfully merged; PDF created; Emails Sent: [To: 21-perezprieto.miriamarlet@cetis57.edu.mx; no-reply: true]; Run via form trigger as gabrielvazquez@cetis57.edu.mx; Timestamp: Aug 3 2023 2:36 PM</t>
  </si>
  <si>
    <t xml:space="preserve">MELISA ASTRID </t>
  </si>
  <si>
    <t>https://drive.google.com/open?id=1TeNMf01_5zQD2pVWp66jUbrYyBALBIa9</t>
  </si>
  <si>
    <t xml:space="preserve">Calle Villa de Allende </t>
  </si>
  <si>
    <t>Atlacomulco</t>
  </si>
  <si>
    <t xml:space="preserve">CALLE ESCALERILLAS E INDIO TRISTE </t>
  </si>
  <si>
    <t xml:space="preserve">ELSA NEGRETE BETANCOURT </t>
  </si>
  <si>
    <t>https://drive.google.com/open?id=1hB3Nrct-NepJTD41ROxAOaDrYULO8kO_</t>
  </si>
  <si>
    <t>https://drive.google.com/open?id=1NnUmL6wSprGvoHuO77MsT5wfI1AtP7Ur</t>
  </si>
  <si>
    <t>https://drive.google.com/open?id=1Eq3QSVwAlDCVxjiVNCtKyvkT3UTYQDsg</t>
  </si>
  <si>
    <t xml:space="preserve">No e pensado en una universidad en especial </t>
  </si>
  <si>
    <t>https://drive.google.com/open?id=1QBBl-DYsTaJhgX3yRpmLSmm8Mnml_g2Z</t>
  </si>
  <si>
    <t>1bO3_Kbz6ZfybvPejfvlrNtNm8OqeHOaa</t>
  </si>
  <si>
    <t>https://drive.google.com/file/d/1bO3_Kbz6ZfybvPejfvlrNtNm8OqeHOaa/view?usp=drivesdk</t>
  </si>
  <si>
    <t>Document successfully created; Document successfully merged; PDF created; Emails Sent: [To: 22-ramireznegrete.melisaastrid@cetis57.edu.mx; no-reply: true]; Run via form trigger as gabrielvazquez@cetis57.edu.mx; Timestamp: Aug 2 2023 9:45 AM</t>
  </si>
  <si>
    <t>Starting at Thu Aug 03 2023 18:04:13 GMT-0400 (EDT)</t>
  </si>
  <si>
    <t xml:space="preserve">YOSELIN YAMILET </t>
  </si>
  <si>
    <t>https://drive.google.com/open?id=18igOkMjiE_KCEbmcBz_16UjNyF0SNgtR</t>
  </si>
  <si>
    <t>RETORNO 8 DE SUR 20</t>
  </si>
  <si>
    <t>ENTRE LA 259 Y SUR 12</t>
  </si>
  <si>
    <t>VANEGAS CAMPOS JOSE</t>
  </si>
  <si>
    <t>https://drive.google.com/open?id=1QBS7xqacF0HxaT83Sm9dz0hLET-irV8w</t>
  </si>
  <si>
    <t>jazmin.venegas@jenner.com.mx</t>
  </si>
  <si>
    <t>VENGAS</t>
  </si>
  <si>
    <t xml:space="preserve">YASMIN ELIZABETH </t>
  </si>
  <si>
    <t>https://drive.google.com/open?id=14j5JLNxbwv0OAE-Q0dlFhHNNp1VQf3dD</t>
  </si>
  <si>
    <t>https://drive.google.com/open?id=1Yf5DSp2SKpx_1xcPwqExaFDNJkaT1AHe</t>
  </si>
  <si>
    <t>https://drive.google.com/open?id=1HiLfOaMdN_LQ--FCppyaOufO9yexnNr4</t>
  </si>
  <si>
    <t>1Sx6lzaQqEwikgWlqWy0Qv3h75EMx4MzA</t>
  </si>
  <si>
    <t>https://drive.google.com/file/d/1Sx6lzaQqEwikgWlqWy0Qv3h75EMx4MzA/view?usp=drivesdk</t>
  </si>
  <si>
    <t>Document successfully created; Document successfully merged; PDF created; Emails Sent: [To: 21-vanegasgonzalez.yamiletjoselin@cetis57.edu.mx]; Run via form trigger as gabrielvazquez@cetis57.edu.mx; Timestamp: Aug 3 2023 8:39 PM</t>
  </si>
  <si>
    <t>13L-sxvU8B8GBnbqnpLSlpa3PeHrtjXSj</t>
  </si>
  <si>
    <t>https://drive.google.com/file/d/13L-sxvU8B8GBnbqnpLSlpa3PeHrtjXSj/view?usp=drivesdk</t>
  </si>
  <si>
    <t>Document successfully created; Document successfully merged; PDF created; Emails Sent: [To: 22-ramireznegrete.melisaastrid@cetis57.edu.mx; no-reply: true]; Run via form trigger as gabrielvazquez@cetis57.edu.mx; Timestamp: Aug 3 2023 6:05 PM</t>
  </si>
  <si>
    <t>https://drive.google.com/open?id=1GAUy03VrVoJeqOyD15fIGtEmygh4sYkE</t>
  </si>
  <si>
    <t xml:space="preserve">1ERA CERRADA DE 13 DE SEPTIEMBRE MZ 127 LT 31 </t>
  </si>
  <si>
    <t xml:space="preserve">CASA DE UN PISO CON ZAGUAN BLANCO </t>
  </si>
  <si>
    <t xml:space="preserve">NANCY VIRIDIANA LOPEZ RAYMUNDO </t>
  </si>
  <si>
    <t>https://drive.google.com/open?id=195hVXBBRPRM8V9N3DOtCswGwF9dd-X8T</t>
  </si>
  <si>
    <t xml:space="preserve">NANCY  VIRIDIANA </t>
  </si>
  <si>
    <t>https://drive.google.com/open?id=1s8TzYnXJvA4zRKPu7WZdRz9SRGO1iLef</t>
  </si>
  <si>
    <t xml:space="preserve">VIRIDIANA AYLIN </t>
  </si>
  <si>
    <t>https://drive.google.com/open?id=1bJcCtZQ52YTmOgJrYiHA2IkLHnmST_C3</t>
  </si>
  <si>
    <t>https://drive.google.com/open?id=1lh5kK4UJZ4xgiBs4KD5-bxZV-f6WSCpL</t>
  </si>
  <si>
    <t>01210692560</t>
  </si>
  <si>
    <t>1RHjOu6LShRmCALSBIamnit-Js3mfw1zJ</t>
  </si>
  <si>
    <t>https://drive.google.com/file/d/1RHjOu6LShRmCALSBIamnit-Js3mfw1zJ/view?usp=drivesdk</t>
  </si>
  <si>
    <t>Document successfully created; Document successfully merged; PDF created; Emails Sent: [To: 21-barcolopez.melany@cetis57.edu.mx; no-reply: true]; Run via form trigger as gabrielvazquez@cetis57.edu.mx; Timestamp: Aug 2 2023 2:02 AM</t>
  </si>
  <si>
    <t>12KlSZbC4Vaz6-RBDKaLC24js7IEXGwXb</t>
  </si>
  <si>
    <t>https://drive.google.com/file/d/12KlSZbC4Vaz6-RBDKaLC24js7IEXGwXb/view?usp=drivesdk</t>
  </si>
  <si>
    <t>Document successfully created; Document successfully merged; PDF created; Emails Sent: [To: 21-vanegasgonzalez.yamiletjoselin@cetis57.edu.mx; no-reply: true]; Run via form trigger as gabrielvazquez@cetis57.edu.mx; Timestamp: Aug 3 2023 6:06 PM</t>
  </si>
  <si>
    <t>https://drive.google.com/open?id=1DWrKzuHpuwI2Cu_V4QxZgJO1fYTt1Vf3</t>
  </si>
  <si>
    <t>CALLE XIUTETELCO N99</t>
  </si>
  <si>
    <t>N99</t>
  </si>
  <si>
    <t xml:space="preserve">CERCA DE LA ALADEMA ORIENTE Y LA CALLE 7 TENIENDO UN MERCADO CERCA Y UN QUIOSCO </t>
  </si>
  <si>
    <t xml:space="preserve">MERCEDES LOPEZ SERRANO </t>
  </si>
  <si>
    <t>https://drive.google.com/open?id=1RjzCL8zC7R7dOJKxIIG5esQX1OXH7CoF</t>
  </si>
  <si>
    <t xml:space="preserve">ALBARRAN </t>
  </si>
  <si>
    <t>https://drive.google.com/open?id=12AvY8AZSRoUkITM_xnZnkTgDFjjME6Xb</t>
  </si>
  <si>
    <t>silvestre_xd@hotmail.com</t>
  </si>
  <si>
    <t>https://drive.google.com/open?id=1fDolvF-EFj99WyAxW1ZKp07flmNA6i4_</t>
  </si>
  <si>
    <t xml:space="preserve">AUN NO SE QUE UNIVERSIDAD </t>
  </si>
  <si>
    <t>https://drive.google.com/open?id=1yS_x3tcIS1oRIzDch0VCEV5x1jRvyyIK</t>
  </si>
  <si>
    <t>1KbnvcK-ZQqrJ02eJuXwZEe0oLJPL2Cmn</t>
  </si>
  <si>
    <t>https://drive.google.com/file/d/1KbnvcK-ZQqrJ02eJuXwZEe0oLJPL2Cmn/view?usp=drivesdk</t>
  </si>
  <si>
    <t>Document successfully created; Document successfully merged; PDF created; Emails Sent: [To: 22-osoriolopez.fernandaoddet@cetis57.edu.mx; no-reply: true]; Run via form trigger as gabrielvazquez@cetis57.edu.mx; Timestamp: Aug 2 2023 2:03 AM</t>
  </si>
  <si>
    <t>1r7dXuYguDUf_0c30-2ogzqbz7XagLqmB</t>
  </si>
  <si>
    <t>https://drive.google.com/file/d/1r7dXuYguDUf_0c30-2ogzqbz7XagLqmB/view?usp=drivesdk</t>
  </si>
  <si>
    <t>Document successfully created; Document successfully merged; PDF created; Emails Sent: [To: 22-osoriolopez.fernandaoddet@cetis57.edu.mx; no-reply: true]; Run via form trigger as gabrielvazquez@cetis57.edu.mx; Timestamp: Aug 4 2023 11:00 AM</t>
  </si>
  <si>
    <t>https://drive.google.com/open?id=1v3QSj8L5DZWPHpwQBUusK7id0shoeYWi</t>
  </si>
  <si>
    <t>VALENTIN GOMEZ FARIAS MZ.19 L.3</t>
  </si>
  <si>
    <t xml:space="preserve">CAMPAMENTO 2 OCTUBRE </t>
  </si>
  <si>
    <t xml:space="preserve">A LADO DE EL FORO CULTURAL </t>
  </si>
  <si>
    <t xml:space="preserve">ABUELO PATERNO </t>
  </si>
  <si>
    <t>https://drive.google.com/open?id=1sH36eaI9NwREyUPZsJzEotEBlEDUEspz</t>
  </si>
  <si>
    <t>https://drive.google.com/open?id=1Z_4RCsPdOgM5pkTeUE7Dh41wmlZV1gHM</t>
  </si>
  <si>
    <t>https://drive.google.com/open?id=1QWoehAK90BQ8JKMMzLOJkEilf8_RYosd</t>
  </si>
  <si>
    <t>https://drive.google.com/open?id=1eFh4t6Jrm7UCcOvxqcbgojLWKhVYxJeS</t>
  </si>
  <si>
    <t>1q_Uj25KGK0pYyFj9r2Kk1I6723RoUdIs</t>
  </si>
  <si>
    <t>https://drive.google.com/file/d/1q_Uj25KGK0pYyFj9r2Kk1I6723RoUdIs/view?usp=drivesdk</t>
  </si>
  <si>
    <t>Document successfully created; Document successfully merged; PDF created; Emails Sent: [To: 22-alcalapacheco.danielamichelle@cetis57.edu.mx; no-reply: true]; Run via form trigger as gabrielvazquez@cetis57.edu.mx; Timestamp: Aug 2 2023 12:52 AM</t>
  </si>
  <si>
    <t>1P6O_H1iyR34DW8dFBiWk989IfEKPe2jn</t>
  </si>
  <si>
    <t>https://drive.google.com/file/d/1P6O_H1iyR34DW8dFBiWk989IfEKPe2jn/view?usp=drivesdk</t>
  </si>
  <si>
    <t>Document successfully created; Document successfully merged; PDF created; Emails Sent: [To: 22-alcalapacheco.danielamichelle@cetis57.edu.mx; no-reply: true]; Run via form trigger as gabrielvazquez@cetis57.edu.mx; Timestamp: Aug 4 2023 11:01 AM</t>
  </si>
  <si>
    <t>https://drive.google.com/open?id=1nsfr8aXTgOlBQ0pWSsCnHnyMK9M1elRn</t>
  </si>
  <si>
    <t>ZAMM061207MMCRGCA3</t>
  </si>
  <si>
    <t xml:space="preserve">AVENIDA INDEPENDENCIA NÚMERO 201  </t>
  </si>
  <si>
    <t xml:space="preserve">ENTRE CALLE MATAMOROS Y ALDAMA </t>
  </si>
  <si>
    <t xml:space="preserve">AMALIA MAGAÑA SANCHEZ </t>
  </si>
  <si>
    <t>https://drive.google.com/open?id=1-BeaSAQ1z4j_Ep-IEW4FDj7cKdTrQZbn</t>
  </si>
  <si>
    <t>https://drive.google.com/open?id=1JPGrfnzGea61Lry1sIG4TnqvKk7JS_3u</t>
  </si>
  <si>
    <t xml:space="preserve">JOHANNA ILIANA </t>
  </si>
  <si>
    <t>https://drive.google.com/open?id=1FC9Uawd-M-TFRKxfMmT6A9zMLHet8x5j</t>
  </si>
  <si>
    <t>https://drive.google.com/open?id=1s2tz7_doODFnnmLYBs7Vlow-OrIe274G</t>
  </si>
  <si>
    <t>1qMcEw8JVtzc7oX3wYpErbMbXJuVTZVF4</t>
  </si>
  <si>
    <t>https://drive.google.com/file/d/1qMcEw8JVtzc7oX3wYpErbMbXJuVTZVF4/view?usp=drivesdk</t>
  </si>
  <si>
    <t>Document successfully created; Document successfully merged; PDF created; Emails Sent: [To: 22-zaratemagana.michelyoselin@cetis57.edu.mx; no-reply: true]; Run via form trigger as gabrielvazquez@cetis57.edu.mx; Timestamp: Aug 2 2023 12:52 AM</t>
  </si>
  <si>
    <t>1h2Qif1m0X3d1eVMwgC8Jcb47Fh7fl7bJ</t>
  </si>
  <si>
    <t>https://drive.google.com/file/d/1h2Qif1m0X3d1eVMwgC8Jcb47Fh7fl7bJ/view?usp=drivesdk</t>
  </si>
  <si>
    <t>Document successfully created; Document successfully merged; PDF created; Emails Sent: [To: 22-zaratemagana.michelyoselin@cetis57.edu.mx; no-reply: true]; Run via form trigger as gabrielvazquez@cetis57.edu.mx; Timestamp: Aug 3 2023 6:23 PM</t>
  </si>
  <si>
    <t>YAHUTENTZI</t>
  </si>
  <si>
    <t>https://drive.google.com/open?id=1ELrC5sQtP_5Xiy2yPGO7u4WkxcrhaSYI</t>
  </si>
  <si>
    <t xml:space="preserve">CALLE TLELT  1 SECCION </t>
  </si>
  <si>
    <t xml:space="preserve"> MZ.15</t>
  </si>
  <si>
    <t>LT. 6</t>
  </si>
  <si>
    <t xml:space="preserve">CALLE PRINCIPAL DONDE PASAN LAS COMBIS </t>
  </si>
  <si>
    <t xml:space="preserve">JAZMIN YAHUTENTZI ROSALES </t>
  </si>
  <si>
    <t>https://drive.google.com/open?id=10rFkKwaMfdISYEP7417LS1IP10Obbsw6</t>
  </si>
  <si>
    <t>https://drive.google.com/open?id=1PxDjVMY6KFXCPgsHUcmwQsIw-0KRPe-Q</t>
  </si>
  <si>
    <t>madelpilarosales@gmail.com</t>
  </si>
  <si>
    <t>https://drive.google.com/open?id=1D2lIEabxmFgmf6ILpVwEnfCLf0qkYmI8</t>
  </si>
  <si>
    <t xml:space="preserve">MADRE Y PADRE </t>
  </si>
  <si>
    <t>https://drive.google.com/open?id=1SNmQLi8ak-odCQlEPL7I36FZafs6IfJZ</t>
  </si>
  <si>
    <t>1lDzXUumbkVcSWm5JEdECJhyFnNTf9mdH</t>
  </si>
  <si>
    <t>https://drive.google.com/file/d/1lDzXUumbkVcSWm5JEdECJhyFnNTf9mdH/view?usp=drivesdk</t>
  </si>
  <si>
    <t>Document successfully created; Document successfully merged; PDF created; Emails Sent: [To: 22-guzmanyahutentzi.melanieailyn@cetis57.edu.mx; no-reply: true]; Run via form trigger as gabrielvazquez@cetis57.edu.mx; Timestamp: Aug 2 2023 12:53 AM</t>
  </si>
  <si>
    <t>1bw8FxFeaDncqUjIb1WubRZQRn34gJB2b</t>
  </si>
  <si>
    <t>https://drive.google.com/file/d/1bw8FxFeaDncqUjIb1WubRZQRn34gJB2b/view?usp=drivesdk</t>
  </si>
  <si>
    <t>Document successfully created; Document successfully merged; PDF created; Emails Sent: [To: 22-guzmanyahutentzi.melanieailyn@cetis57.edu.mx; no-reply: true]; Run via form trigger as gabrielvazquez@cetis57.edu.mx; Timestamp: Aug 4 2023 2:01 PM</t>
  </si>
  <si>
    <t>https://drive.google.com/open?id=1DzC7LDjAFW6TXj3_74W7G5Ia40aHlDKC</t>
  </si>
  <si>
    <t xml:space="preserve">NARCISO MENDOZA </t>
  </si>
  <si>
    <t xml:space="preserve">UN SAGUAN BLANCO A UN LADO HAY UNA ARBOL DE DURAZNO Y LA FACHADA ES VERDE AGUA AL FONDO DE OA CALLE HAY UNA VIRGEN </t>
  </si>
  <si>
    <t xml:space="preserve">MARTINEZ LORETO OMAR IGNACIO </t>
  </si>
  <si>
    <t>https://drive.google.com/open?id=1ubtSY4mc9m5iRWoWBM3ZupZmslPqRUTE</t>
  </si>
  <si>
    <t>jackrex47@gmail.com</t>
  </si>
  <si>
    <t>https://drive.google.com/open?id=1aYVKO40QtoJv_fOnbnVvSwmBNngsv2r1</t>
  </si>
  <si>
    <t>https://drive.google.com/open?id=1lhVzvJabBYt824fLhSmMtQTfNqpQGYjq</t>
  </si>
  <si>
    <t xml:space="preserve">AUN NO LO SE </t>
  </si>
  <si>
    <t>https://drive.google.com/open?id=1-ZWvT8s3mjyuoXFTp8qTPxoG2cQDX2OD</t>
  </si>
  <si>
    <t>1MbutjIzzrU0zH2OfbjmOe7LWcLDecj6H</t>
  </si>
  <si>
    <t>https://drive.google.com/file/d/1MbutjIzzrU0zH2OfbjmOe7LWcLDecj6H/view?usp=drivesdk</t>
  </si>
  <si>
    <t>Document successfully created; Document successfully merged; PDF created; Emails Sent: [To: 22-martinezloreto.edwinulises@cetis57.edu.mx; no-reply: true]; Run via form trigger as gabrielvazquez@cetis57.edu.mx; Timestamp: Aug 2 2023 12:54 AM</t>
  </si>
  <si>
    <t>1bW8cF_ebACTLrgi3KZTbacKGG6LdQi-k</t>
  </si>
  <si>
    <t>https://drive.google.com/file/d/1bW8cF_ebACTLrgi3KZTbacKGG6LdQi-k/view?usp=drivesdk</t>
  </si>
  <si>
    <t>Document successfully created; Document successfully merged; PDF created; Emails Sent: [To: 22-martinezloreto.edwinulises@cetis57.edu.mx; no-reply: true]; Run via form trigger as gabrielvazquez@cetis57.edu.mx; Timestamp: Aug 4 2023 2:01 PM</t>
  </si>
  <si>
    <t>IRVIN ABRAHAM</t>
  </si>
  <si>
    <t>https://drive.google.com/open?id=1pXcNUSl1htChz745TwaC0e4J6T25xRUy</t>
  </si>
  <si>
    <t xml:space="preserve">CANAL DE GARAY </t>
  </si>
  <si>
    <t>ENFRENTE DEL MERCADO SAN JUAN JOYA,LA CASA CON FACAHADA ROJA Y ZAGUAN NEGRO</t>
  </si>
  <si>
    <t xml:space="preserve">BERNARDA NIEVES PAISINDO </t>
  </si>
  <si>
    <t>https://drive.google.com/open?id=1KCeVE5jWpwoQQMuiDGsMdknSkySrT1Nt</t>
  </si>
  <si>
    <t>arturito0317@gmail.com</t>
  </si>
  <si>
    <t>https://drive.google.com/open?id=1H0z86za87TvvKsWfDlM60mPamdgvIKmF</t>
  </si>
  <si>
    <t>https://drive.google.com/open?id=1Kng9N-AXKikhYeY0wNcFdNnapQandzw3</t>
  </si>
  <si>
    <t>CONTROL DE DIABETES</t>
  </si>
  <si>
    <t>NO DEFINIDO</t>
  </si>
  <si>
    <t>LICENCIATURA EN ACTIVIDAD FISICA Y DEPORTE</t>
  </si>
  <si>
    <t>https://drive.google.com/open?id=1T1TwurRBvYPcwDvTLqhheNucylR8oJHf</t>
  </si>
  <si>
    <t>1nKrbGV2N0PfDWgX-rIyNa314a8X0m04H</t>
  </si>
  <si>
    <t>https://drive.google.com/file/d/1nKrbGV2N0PfDWgX-rIyNa314a8X0m04H/view?usp=drivesdk</t>
  </si>
  <si>
    <t>Document successfully created; Document successfully merged; PDF created; Emails Sent: [To: 21-leonnieves.irvinabraham@cetis57.edu.mx; no-reply: true]; Run via form trigger as gabrielvazquez@cetis57.edu.mx; Timestamp: Aug 2 2023 7:40 PM</t>
  </si>
  <si>
    <t>1Zh72oR4ztcJqely5Eh4bWzYTDiVwCd4A</t>
  </si>
  <si>
    <t>https://drive.google.com/file/d/1Zh72oR4ztcJqely5Eh4bWzYTDiVwCd4A/view?usp=drivesdk</t>
  </si>
  <si>
    <t>Document successfully created; Document successfully merged; PDF created; Emails Sent: [To: 21-leonnieves.irvinabraham@cetis57.edu.mx; no-reply: true]; Run via form trigger as gabrielvazquez@cetis57.edu.mx; Timestamp: Aug 4 2023 2:02 PM</t>
  </si>
  <si>
    <t>https://drive.google.com/open?id=1mSlqylOaM2WXflXh9ARMpe7SuSD9RZbY</t>
  </si>
  <si>
    <t xml:space="preserve">AV. EXPLORADORES DE EJERCITO DE ORIENTE MZ.51 LT.1 COLONIA EJERCITO DE ORIENTE ZONA PEÑON </t>
  </si>
  <si>
    <t>MZA 51 LT 1</t>
  </si>
  <si>
    <t>PARED DE LADRILLO ROJO,BARANDAL Y REJA BLANCOS,EN ESQUINA</t>
  </si>
  <si>
    <t xml:space="preserve">MIREYA ROMERO SALAS </t>
  </si>
  <si>
    <t>https://drive.google.com/open?id=1jiZFIIsGP2BCEZnsjcysFZ8zAeTASjMu</t>
  </si>
  <si>
    <t xml:space="preserve">AYUDANTE DE MECANICO </t>
  </si>
  <si>
    <t>https://drive.google.com/open?id=1ublXlS4EyPIEZzfETgqjGxe9DuqhPa3n</t>
  </si>
  <si>
    <t>https://drive.google.com/open?id=1StnWrftK6xoWx-fShPFuEZsGB1BoFcqu</t>
  </si>
  <si>
    <t>https://drive.google.com/open?id=1NABxqqisgF4WY9lUfCKPdzUOfRavkbN0</t>
  </si>
  <si>
    <t>0161456065</t>
  </si>
  <si>
    <t>1HltQdoo-GYuxM4Uk5C_geBaYsiD_SQUD</t>
  </si>
  <si>
    <t>https://drive.google.com/file/d/1HltQdoo-GYuxM4Uk5C_geBaYsiD_SQUD/view?usp=drivesdk</t>
  </si>
  <si>
    <t>Document successfully created; Document successfully merged; PDF created; Emails Sent: [To: 22-garciaromero.gabrielaldebaran@cetis57.edu.mx; no-reply: true]; Run via form trigger as gabrielvazquez@cetis57.edu.mx; Timestamp: Aug 2 2023 2:03 AM</t>
  </si>
  <si>
    <t>1jmMirRXertP-5igUMf8WDXRoJiFoRmVN</t>
  </si>
  <si>
    <t>https://drive.google.com/file/d/1jmMirRXertP-5igUMf8WDXRoJiFoRmVN/view?usp=drivesdk</t>
  </si>
  <si>
    <t>Document successfully created; Document successfully merged; PDF created; Emails Sent: [To: 22-garciaromero.gabrielaldebaran@cetis57.edu.mx; no-reply: true]; Manually run by josealberto.diazt@cetis57.edu.mx; Timestamp: Aug 4 2023 11:44 AM</t>
  </si>
  <si>
    <t>https://drive.google.com/open?id=1ssJB-q0yj9WGgE8Gk88Dc_LzEOOjinVl</t>
  </si>
  <si>
    <t xml:space="preserve">CASA AZUL CON UN PINO GRANDE Y PATOS BLANCOS </t>
  </si>
  <si>
    <t xml:space="preserve">NERIA CRUZ LUSI HAZEL </t>
  </si>
  <si>
    <t>https://drive.google.com/open?id=1h0Sk3HJeAFWj1LiiBlbksb_JpoCRauOL</t>
  </si>
  <si>
    <t>https://drive.google.com/open?id=142jugKH-OlaIyBJzcsSXlALYZ8eBy968</t>
  </si>
  <si>
    <t>https://drive.google.com/open?id=1nprtk4KG_VCkRLh0jII2-ENVnybcfHvf</t>
  </si>
  <si>
    <t xml:space="preserve">UNIVERSIDAD AUTÓNOMA METROPOLITANA </t>
  </si>
  <si>
    <t>https://drive.google.com/open?id=1pNxcSsWzXozLnWKZMLr7uqYEmtu3zc3d</t>
  </si>
  <si>
    <t>1jb5ODMpYBl5uwyKVZsVjUB-nXYOkQGgl</t>
  </si>
  <si>
    <t>https://drive.google.com/file/d/1jb5ODMpYBl5uwyKVZsVjUB-nXYOkQGgl/view?usp=drivesdk</t>
  </si>
  <si>
    <t>Document successfully created; Document successfully merged; PDF created; Emails Sent: [To: 21-neriacruz.melanyyamilet@cetis57.edu.mx; no-reply: true]; Run via form trigger as gabrielvazquez@cetis57.edu.mx; Timestamp: Aug 2 2023 2:04 AM</t>
  </si>
  <si>
    <t>1Rz6VkkT-_OsZwWiiL18ZMH6tfuD04ZMT</t>
  </si>
  <si>
    <t>https://drive.google.com/file/d/1Rz6VkkT-_OsZwWiiL18ZMH6tfuD04ZMT/view?usp=drivesdk</t>
  </si>
  <si>
    <t>Document successfully created; Document successfully merged; PDF created; Emails Sent: [To: 21-neriacruz.melanyyamilet@cetis57.edu.mx; no-reply: true]; Manually run by josealberto.diazt@cetis57.edu.mx; Timestamp: Aug 4 2023 11:45 AM</t>
  </si>
  <si>
    <t>20-perezreyes.nahumricardo@cetis57.edu.mx</t>
  </si>
  <si>
    <t xml:space="preserve">NAHUM RICARDO </t>
  </si>
  <si>
    <t>https://drive.google.com/open?id=1WfNSsTqfkeMfd_98XyztjnF04mfptgTV</t>
  </si>
  <si>
    <t>PERN050321HDFRYHA6</t>
  </si>
  <si>
    <t>CALLE PLATEROS #235</t>
  </si>
  <si>
    <t xml:space="preserve">CASA COLOR MENTA </t>
  </si>
  <si>
    <t xml:space="preserve">MARTHA REYES MESTIZA </t>
  </si>
  <si>
    <t>https://drive.google.com/open?id=1mNRyodQc6Tsvsal6sXLfs9IrrehRYd4C</t>
  </si>
  <si>
    <t>rp235712@gmail.com</t>
  </si>
  <si>
    <t>https://drive.google.com/open?id=1xk35aXlcc9Wscz7FYCnhx6SEAPXmjHQy</t>
  </si>
  <si>
    <t xml:space="preserve">MEJÍA </t>
  </si>
  <si>
    <t xml:space="preserve">ARMANDO ENRIQUE </t>
  </si>
  <si>
    <t xml:space="preserve">CONYUGE </t>
  </si>
  <si>
    <t>https://drive.google.com/open?id=1tMrYEOZHb7qFhjhOKTPjTxwfvBzMQv5G</t>
  </si>
  <si>
    <t>https://drive.google.com/open?id=19lQ3iOpRSlKDXJ-J4-Hor9xOHUtGDrNX</t>
  </si>
  <si>
    <t>https://drive.google.com/open?id=1isWYO3A35FvUezCBcoSkwX6rikn2qEvf</t>
  </si>
  <si>
    <t>SOR JUANA INES DE LA CRUZ MZ13 LT30 B</t>
  </si>
  <si>
    <t xml:space="preserve">CANCHAS DE FUTBOOL RAPIDO </t>
  </si>
  <si>
    <t>https://drive.google.com/open?id=16MQb2uvdhpQJS5bCV9eXpsifGjvkksUP</t>
  </si>
  <si>
    <t>brendi20002@outlook.com</t>
  </si>
  <si>
    <t>https://drive.google.com/open?id=1Jg_ETWMV_eoASaS8OvoOcJlQ_zyAm_KX</t>
  </si>
  <si>
    <t>MAIVIS</t>
  </si>
  <si>
    <t>https://drive.google.com/open?id=1JMBzMUb6LNdN113RfUutWRqU56OHGZrI</t>
  </si>
  <si>
    <t>https://drive.google.com/open?id=1JOUAurzFuNaeM9dKfI3aiwhza9HLZwt9</t>
  </si>
  <si>
    <t>1_Fy0Xwl9LckzE_Mc1ZielmMUS2d8TQGT</t>
  </si>
  <si>
    <t>https://drive.google.com/file/d/1_Fy0Xwl9LckzE_Mc1ZielmMUS2d8TQGT/view?usp=drivesdk</t>
  </si>
  <si>
    <t>Document successfully created; Document successfully merged; PDF created; Emails Sent: [To: 21-cortestorres.daniela@cetis57.edu.mx; no-reply: true]; Run via form trigger as gabrielvazquez@cetis57.edu.mx; Timestamp: Aug 2 2023 2:04 AM</t>
  </si>
  <si>
    <t>1z2kYVOpDoup435ys7eUtVi6yiWvDspnM</t>
  </si>
  <si>
    <t>https://drive.google.com/file/d/1z2kYVOpDoup435ys7eUtVi6yiWvDspnM/view?usp=drivesdk</t>
  </si>
  <si>
    <t>Document successfully created; Document successfully merged; PDF created; Emails Sent: [To: 21-cortestorres.daniela@cetis57.edu.mx; no-reply: true]; Run via form trigger as gabrielvazquez@cetis57.edu.mx; Timestamp: Aug 3 2023 2:47 PM</t>
  </si>
  <si>
    <t xml:space="preserve">LUZ DELFINA </t>
  </si>
  <si>
    <t>https://drive.google.com/open?id=1br8ApKiZVn1zRulDx2CB7MOoY2001zdQ</t>
  </si>
  <si>
    <t xml:space="preserve">GEOVILLAS SAN JACINTO  </t>
  </si>
  <si>
    <t>SAN JACINTO</t>
  </si>
  <si>
    <t>CONDOMINIO 6B</t>
  </si>
  <si>
    <t>CASA 183</t>
  </si>
  <si>
    <t>ATRAS DE GALERIAS IXTAPALUCA</t>
  </si>
  <si>
    <t>MARIA DE LA LUZ VAZQUEZ AVILA</t>
  </si>
  <si>
    <t>https://drive.google.com/open?id=1THSRQYcyWiIWlsp2p1OimwkdT7Zoou1q</t>
  </si>
  <si>
    <t xml:space="preserve">CONSTANTINA TERESA </t>
  </si>
  <si>
    <t>https://drive.google.com/open?id=1Tl9PnuGEKli3PtrEpff6QF9GP5zU4F2U</t>
  </si>
  <si>
    <t>DENA</t>
  </si>
  <si>
    <t>https://drive.google.com/open?id=1eejGTD2AE2nZCjTGvVrEfNXgl8vuid8F</t>
  </si>
  <si>
    <t>https://drive.google.com/open?id=1jLZU_7iJUsiZhyImtLajTXFCNzoKLd79</t>
  </si>
  <si>
    <t>1vy-h7p5DyLD7plXzoq1VPCnEuw2HIz63</t>
  </si>
  <si>
    <t>https://drive.google.com/file/d/1vy-h7p5DyLD7plXzoq1VPCnEuw2HIz63/view?usp=drivesdk</t>
  </si>
  <si>
    <t>Document successfully created; Document successfully merged; PDF created; Emails Sent: [To: 22-martinezvazquez.luzdelfina@cetis57.edu.mx; no-reply: true]; Run via form trigger as gabrielvazquez@cetis57.edu.mx; Timestamp: Aug 2 2023 2:05 AM</t>
  </si>
  <si>
    <t>https://drive.google.com/open?id=10uYlAUMEAjZMlSLj6hLxsHz4OVE0thoD</t>
  </si>
  <si>
    <t>MUHD050311MMCXRNA0</t>
  </si>
  <si>
    <t xml:space="preserve">Cda 5 de mayo 44 Pablo Santa Martha Acatitla </t>
  </si>
  <si>
    <t>ENTRE CALLE VENUSTIANO CARRANZA Y 5 DE MAYO ATRAS DE LA PENITENCIARIA DE MUJERES</t>
  </si>
  <si>
    <t xml:space="preserve">MARIA DEL CARMEN HERRERA TORRES </t>
  </si>
  <si>
    <t>https://drive.google.com/open?id=1XD07wZoLfZGTMK-uADDA0J8H8oLMPwin</t>
  </si>
  <si>
    <t>carmenherreratorres74@gmail.com</t>
  </si>
  <si>
    <t>https://drive.google.com/open?id=1tDefKjNwhnEBc4IWRn_mikF_TA-fWZm1</t>
  </si>
  <si>
    <t>https://drive.google.com/open?id=111McYVvrGEZY7fRj_uuwJK-c5qPuz2dF</t>
  </si>
  <si>
    <t>https://drive.google.com/open?id=1eLLbXKgG-wsQM0937kOzalaEq1wLvWZI</t>
  </si>
  <si>
    <t>1VZjhpbqJQMrzmaqalcZRm9f40Bkjc52d</t>
  </si>
  <si>
    <t>https://drive.google.com/file/d/1VZjhpbqJQMrzmaqalcZRm9f40Bkjc52d/view?usp=drivesdk</t>
  </si>
  <si>
    <t>Document successfully created; Document successfully merged; PDF created; Emails Sent: [To: 21-munozherrera.dianalaura@cetis57.edu.mx; no-reply: true]; Run via form trigger as gabrielvazquez@cetis57.edu.mx; Timestamp: Aug 2 2023 7:41 PM</t>
  </si>
  <si>
    <t>10NEIHQGStzDDzHqcyxnK5IrEgYBbQTTv</t>
  </si>
  <si>
    <t>https://drive.google.com/file/d/10NEIHQGStzDDzHqcyxnK5IrEgYBbQTTv/view?usp=drivesdk</t>
  </si>
  <si>
    <t>Document successfully created; Document successfully merged; PDF created; Emails Sent: [To: 21-munozherrera.dianalaura@cetis57.edu.mx; no-reply: true]; Run via form trigger as gabrielvazquez@cetis57.edu.mx; Timestamp: Aug 3 2023 6:32 PM</t>
  </si>
  <si>
    <t>https://drive.google.com/open?id=1h-0BfuFZQ8fWnZlrNL-t2KpOW1xqVTDQ</t>
  </si>
  <si>
    <t>SUR 56</t>
  </si>
  <si>
    <t>Mz103</t>
  </si>
  <si>
    <t xml:space="preserve">FACHADA AZUL MARINO CON BLANCO </t>
  </si>
  <si>
    <t xml:space="preserve">SOLANO GARCIA MARIA LAURA </t>
  </si>
  <si>
    <t>https://drive.google.com/open?id=1L8DO1j9JjgFiUYOxIufjM9Ogwfxf5CaO</t>
  </si>
  <si>
    <t>laaura.sola18@gmail.com</t>
  </si>
  <si>
    <t>https://drive.google.com/open?id=1qBLwEsr-Q2F5WsF-qaU9-Bb-9V0ZQXJM</t>
  </si>
  <si>
    <t>https://drive.google.com/open?id=15nRuHXlrS1ZOebqnXMPycAsfowndpxAq</t>
  </si>
  <si>
    <t>https://drive.google.com/open?id=13dwv5ruuUs1RjW7s5nO_sFQyOPBi5Xu7</t>
  </si>
  <si>
    <t>1gjnXfkWveR5OGhE647XWZYTFlbiaZycX</t>
  </si>
  <si>
    <t>https://drive.google.com/file/d/1gjnXfkWveR5OGhE647XWZYTFlbiaZycX/view?usp=drivesdk</t>
  </si>
  <si>
    <t>Document successfully created; Document successfully merged; PDF created; Emails Sent: [To: 22-perezsolano.montserratguadalupe@cetis57.edu.mx; no-reply: true]; Run via form trigger as gabrielvazquez@cetis57.edu.mx; Timestamp: Aug 2 2023 2:10 AM</t>
  </si>
  <si>
    <t>1wcsCgVQsZsWudz-EbIDVn3NMr7lfh97H</t>
  </si>
  <si>
    <t>https://drive.google.com/file/d/1wcsCgVQsZsWudz-EbIDVn3NMr7lfh97H/view?usp=drivesdk</t>
  </si>
  <si>
    <t>Document successfully created; Document successfully merged; PDF created; Emails Sent: [To: 22-perezsolano.montserratguadalupe@cetis57.edu.mx; no-reply: true]; Run via form trigger as gabrielvazquez@cetis57.edu.mx; Timestamp: Aug 3 2023 6:33 PM</t>
  </si>
  <si>
    <t xml:space="preserve">DELGADO </t>
  </si>
  <si>
    <t>https://drive.google.com/open?id=1722bAVnIPrYh-vlYol-OBqdO2TKZp5D0</t>
  </si>
  <si>
    <t xml:space="preserve">CALLE 18 MANZANA 163 LOTE 21 </t>
  </si>
  <si>
    <t xml:space="preserve">ENFRENTE SE ENCUENTRA UNA TIENDA </t>
  </si>
  <si>
    <t xml:space="preserve">MARCOS EDER SANCHEZ VERA </t>
  </si>
  <si>
    <t>https://drive.google.com/open?id=1fY2waU6xoXZWkUULJ-KifMavqkXrt1vE</t>
  </si>
  <si>
    <t xml:space="preserve">CARRIZAL </t>
  </si>
  <si>
    <t>https://drive.google.com/open?id=19-CZ-Ew1TWV-YGLY1DdfWMwoJh3YLK0K</t>
  </si>
  <si>
    <t>https://drive.google.com/open?id=1z0qEfATwxBOpdQWoDbSlDhEjJJbRs5rK</t>
  </si>
  <si>
    <t>https://drive.google.com/open?id=1DcnGG_Wqxk2Rn_kSZ7bTnZDWFjpzkBsE</t>
  </si>
  <si>
    <t>10k0993OvLPCDRgTpbzFKpVIjpX5cBvh_</t>
  </si>
  <si>
    <t>https://drive.google.com/file/d/10k0993OvLPCDRgTpbzFKpVIjpX5cBvh_/view?usp=drivesdk</t>
  </si>
  <si>
    <t>Document successfully created; Document successfully merged; PDF created; Emails Sent: [To: 22-sanchezdelgado.melanie@cetis57.edu.mx; no-reply: true]; Run via form trigger as gabrielvazquez@cetis57.edu.mx; Timestamp: Aug 2 2023 2:11 AM</t>
  </si>
  <si>
    <t>1PqZILYcr0uhB21isN0PblC-Yh2kH4_Zy</t>
  </si>
  <si>
    <t>https://drive.google.com/file/d/1PqZILYcr0uhB21isN0PblC-Yh2kH4_Zy/view?usp=drivesdk</t>
  </si>
  <si>
    <t>Document successfully created; Document successfully merged; PDF created; Emails Sent: [To: 22-sanchezdelgado.melanie@cetis57.edu.mx; no-reply: true]; Run via form trigger as gabrielvazquez@cetis57.edu.mx; Timestamp: Aug 3 2023 6:34 PM</t>
  </si>
  <si>
    <t xml:space="preserve">LAURA ALONDRA </t>
  </si>
  <si>
    <t>https://drive.google.com/open?id=1Ck0eDFHzRAAX8kzwnzjSjZ5AGK-XXAFW</t>
  </si>
  <si>
    <t xml:space="preserve">ORIENTE 20 #274 </t>
  </si>
  <si>
    <t xml:space="preserve">UBICADA ENFRENTE DE UNA ESCUELA PRIMARIA </t>
  </si>
  <si>
    <t>LAURA GUTIERREZ BADILLO</t>
  </si>
  <si>
    <t>https://drive.google.com/open?id=1YQOg-prjSZV82Rmxbd1XfjCueWDzX9tu</t>
  </si>
  <si>
    <t>laliz221213@gmail.com</t>
  </si>
  <si>
    <t xml:space="preserve">NO TRABAJA </t>
  </si>
  <si>
    <t>lauris122009@hotmail.com</t>
  </si>
  <si>
    <t>https://drive.google.com/open?id=1T0SB9dZ60jPpjrDa6lLeKrnV-eT_9ciT</t>
  </si>
  <si>
    <t xml:space="preserve">PEDRO FERNANDO </t>
  </si>
  <si>
    <t>logan.lobezno@gmail.com</t>
  </si>
  <si>
    <t>https://drive.google.com/open?id=1m94G3co8ceimLq2uQXm0ZMyyPf0TAI3K</t>
  </si>
  <si>
    <t>https://drive.google.com/open?id=1N0BUcibSGr1mpdSxS_0xoTvuKyJMPNOG</t>
  </si>
  <si>
    <t>1945PzWgqavoHrR3VOSd1IBoJvbEl3TXt</t>
  </si>
  <si>
    <t>https://drive.google.com/file/d/1945PzWgqavoHrR3VOSd1IBoJvbEl3TXt/view?usp=drivesdk</t>
  </si>
  <si>
    <t>Document successfully created; Document successfully merged; PDF created; Emails Sent: [To: 22-ramirezgutierrez.lauraalondra@cetis57.edu.mx; no-reply: true]; Run via form trigger as gabrielvazquez@cetis57.edu.mx; Timestamp: Aug 2 2023 2:12 AM</t>
  </si>
  <si>
    <t>1zbP4cP1xsHiDUbAJaCBv2lZzQxv7MF39</t>
  </si>
  <si>
    <t>https://drive.google.com/file/d/1zbP4cP1xsHiDUbAJaCBv2lZzQxv7MF39/view?usp=drivesdk</t>
  </si>
  <si>
    <t>Document successfully created; Document successfully merged; PDF created; Emails Sent: [To: 22-ramirezgutierrez.lauraalondra@cetis57.edu.mx; no-reply: true]; Manually run by josealberto.diazt@cetis57.edu.mx; Timestamp: Aug 4 2023 11:46 AM</t>
  </si>
  <si>
    <t>https://drive.google.com/open?id=1Dn7ZKHYjgRUHj-9vhTwwhgZoQCE-DLE2</t>
  </si>
  <si>
    <t xml:space="preserve">EVA SMANAO </t>
  </si>
  <si>
    <t xml:space="preserve">2A AMPL. SANTIAGO </t>
  </si>
  <si>
    <t>LT.26</t>
  </si>
  <si>
    <t>MZA.2</t>
  </si>
  <si>
    <t>ENTRE MARGARITA MAZA DE JUAREZ Y LEON A VICARIO</t>
  </si>
  <si>
    <t>LETICIA HERNADEZ MONDRAGON</t>
  </si>
  <si>
    <t>https://drive.google.com/open?id=1I2hXZemaCGUxolqx-AUNmQvp-KVdy7L_</t>
  </si>
  <si>
    <t>https://drive.google.com/open?id=1F4b0ugMcY8MEXIjUUUPDuxz41t1B-Xsr</t>
  </si>
  <si>
    <t>leodangalois@gmail.com</t>
  </si>
  <si>
    <t>https://drive.google.com/open?id=1tk5zVivHVqjonMoVMV4mjHO1zcrLh_eM</t>
  </si>
  <si>
    <t>https://drive.google.com/open?id=1FuxUTBmG1JWadzDm-7QiGvliZIwDc2E9</t>
  </si>
  <si>
    <t>1qo8KemEJ9VFaMc-JuFOzIzfajiHQ9ZsA</t>
  </si>
  <si>
    <t>https://drive.google.com/file/d/1qo8KemEJ9VFaMc-JuFOzIzfajiHQ9ZsA/view?usp=drivesdk</t>
  </si>
  <si>
    <t>Document successfully created; Document successfully merged; PDF created; !!Error Sending Emails: Límite excedido: Tamaño total de los archivos adjuntos del correo electrónico.; Run via form trigger as gabrielvazquez@cetis57.edu.mx; Timestamp: Aug 2 2023 2:14 AM</t>
  </si>
  <si>
    <t>1Bm1qGjmQFyZ9Ip19gJ2XqUgImFayotNs</t>
  </si>
  <si>
    <t>https://drive.google.com/file/d/1Bm1qGjmQFyZ9Ip19gJ2XqUgImFayotNs/view?usp=drivesdk</t>
  </si>
  <si>
    <t>Document successfully created; Invalid image URL [http://doc.google.com/uc?id=1I2hXZemaCGUxolqx-AUNmQvp-KVdy7L_], make sure that it is public; Document successfully merged; PDF created; Emails Sent: [To: 22-torreshernandez.brayanarath@cetis57.edu.mx; no-reply: true]; Manually run by josealberto.diazt@cetis57.edu.mx; Timestamp: Aug 4 2023 11:47 AM</t>
  </si>
  <si>
    <t>MIRIAM ITZEL</t>
  </si>
  <si>
    <t>https://drive.google.com/open?id=1SJk3GuVgXP2fYdfbxWhsp51vU2R9prsU</t>
  </si>
  <si>
    <t>2DA DE CARLOS M RINCON NUMERO INTERIOR W NUMERO EXTERIOR 2</t>
  </si>
  <si>
    <t xml:space="preserve">ENFRENTE DE LA SECUNDARIA 239 PLUTARCO ELIAS CALLES </t>
  </si>
  <si>
    <t xml:space="preserve">ISRAEL RIVERA REYES </t>
  </si>
  <si>
    <t>https://drive.google.com/open?id=126arQVFr5mUtTvzEq2Aa_e-FL1-8xFi_</t>
  </si>
  <si>
    <t xml:space="preserve">CIEVAS </t>
  </si>
  <si>
    <t>https://drive.google.com/open?id=1eMhY0JNTbtqd2vZ21MycogQ6Uc2ve0Gc</t>
  </si>
  <si>
    <t>concepcion.reyes.garcia1965@gmail.com</t>
  </si>
  <si>
    <t>https://drive.google.com/open?id=1iLpC0DDiTReqjlS0frp9r5QYFHHBO49n</t>
  </si>
  <si>
    <t>https://drive.google.com/open?id=1Gph2ikjFEf3YNsD7BbCphvqmrPZnGZze</t>
  </si>
  <si>
    <t>10_Tc2CfNYFWYdDuDzzeUCGFQnxMEffGh</t>
  </si>
  <si>
    <t>https://drive.google.com/file/d/10_Tc2CfNYFWYdDuDzzeUCGFQnxMEffGh/view?usp=drivesdk</t>
  </si>
  <si>
    <t>Document successfully created; Document successfully merged; PDF created; Emails Sent: [To: 22-riverareyes.miriamitzel@cetis57.edu.mx; no-reply: true]; Run via form trigger as gabrielvazquez@cetis57.edu.mx; Timestamp: Aug 2 2023 9:46 AM</t>
  </si>
  <si>
    <t>1SWYqoq66QGbsPJfQvlJJLW2ULVp2TJ-w</t>
  </si>
  <si>
    <t>https://drive.google.com/file/d/1SWYqoq66QGbsPJfQvlJJLW2ULVp2TJ-w/view?usp=drivesdk</t>
  </si>
  <si>
    <t>Document successfully created; Document successfully merged; PDF created; Emails Sent: [To: 22-riverareyes.miriamitzel@cetis57.edu.mx; no-reply: true]; Run via form trigger as gabrielvazquez@cetis57.edu.mx; Timestamp: Aug 4 2023 2:03 PM</t>
  </si>
  <si>
    <t>https://drive.google.com/open?id=19wRx9it3PzJ-fWiOuHgQVB1QgA6nnxM_</t>
  </si>
  <si>
    <t>GAMF061108MDFRZRA7</t>
  </si>
  <si>
    <t xml:space="preserve">2DO CALLEJÓN DE GENERAL ANAYA NUMERO 9BIS </t>
  </si>
  <si>
    <t xml:space="preserve">BARRIO SANTA BARBARA </t>
  </si>
  <si>
    <t>MI DOMICILIO SE ENCUENTRA ATRAS DE UNOS EDIFICIOS COLOR ROJO , CON PUERTA COLOR NEGRA.</t>
  </si>
  <si>
    <t>MARIA DEL CARMEN MEZA ZARAZUA</t>
  </si>
  <si>
    <t>https://drive.google.com/open?id=1hLqBvoVTa3wH14zI-ucnZ8QLX6NXpTow</t>
  </si>
  <si>
    <t>https://drive.google.com/open?id=1HEH6PujElEFJewzO_cP3mBFGnmCI3BNl</t>
  </si>
  <si>
    <t>https://drive.google.com/open?id=1-yf6xUscBNc-1lQCYz08ZQAB4x1JtUDG</t>
  </si>
  <si>
    <t xml:space="preserve">VIVO CON PAPAS </t>
  </si>
  <si>
    <t xml:space="preserve">OFTALMOLÓGICA </t>
  </si>
  <si>
    <t>https://drive.google.com/open?id=1IHVwnYJFet24Vcd-Zs_PPdF1ibR-m5EG</t>
  </si>
  <si>
    <t>1ywskdZbYRmlp-HHpA81dFQPq3qK33BvB</t>
  </si>
  <si>
    <t>https://drive.google.com/file/d/1ywskdZbYRmlp-HHpA81dFQPq3qK33BvB/view?usp=drivesdk</t>
  </si>
  <si>
    <t>Document successfully created; Document successfully merged; PDF created; Emails Sent: [To: 21-garciameza.mariafernanda@cetis57.edu.mx; no-reply: true]; Run via form trigger as gabrielvazquez@cetis57.edu.mx; Timestamp: Aug 2 2023 7:44 PM</t>
  </si>
  <si>
    <t>1MGCibzleoKEYlemhwTbrffm1JtrmqsMp</t>
  </si>
  <si>
    <t>https://drive.google.com/file/d/1MGCibzleoKEYlemhwTbrffm1JtrmqsMp/view?usp=drivesdk</t>
  </si>
  <si>
    <t>Document successfully created; Document successfully merged; PDF created; Emails Sent: [To: 21-garciameza.mariafernanda@cetis57.edu.mx; no-reply: true]; Run via form trigger as gabrielvazquez@cetis57.edu.mx; Timestamp: Aug 3 2023 6:38 PM</t>
  </si>
  <si>
    <t>https://drive.google.com/open?id=1v7xldkpev49_yOJduH2D0o-dvAnE954g</t>
  </si>
  <si>
    <t xml:space="preserve">CALLE CALLI MZ138 LT38, IXTLAHUACAN </t>
  </si>
  <si>
    <t>CASA DE DOS PISOS CON SAGUAN NEGRO, FACHASA VINO</t>
  </si>
  <si>
    <t>MARIA GUADALUPE DELGADO JIMENEZ</t>
  </si>
  <si>
    <t>https://drive.google.com/open?id=1tAELcvYmjg746SWte8rBi6ub6SvFCg-O</t>
  </si>
  <si>
    <t>maryjimenez.77@hotmail.com</t>
  </si>
  <si>
    <t>cuiji7057184@gmail.com</t>
  </si>
  <si>
    <t>https://drive.google.com/open?id=1gxu2ZgPco9yvtW9veqlZzyh8D2nqhU7E</t>
  </si>
  <si>
    <t>https://drive.google.com/open?id=1C4Sygk3SrRt8VKRzYr287gDjFnVFkIoh</t>
  </si>
  <si>
    <t xml:space="preserve">AVENIDA UNIVERSIDAD </t>
  </si>
  <si>
    <t>https://drive.google.com/open?id=1SEEIGDgV6h-e_UP1cMtBmCKZY1urfOcg</t>
  </si>
  <si>
    <t>1cZ4gW0gDU-tLuyt_7iJCE4LjOu0It-hT</t>
  </si>
  <si>
    <t>https://drive.google.com/file/d/1cZ4gW0gDU-tLuyt_7iJCE4LjOu0It-hT/view?usp=drivesdk</t>
  </si>
  <si>
    <t>Document successfully created; Document successfully merged; PDF created; Emails Sent: [To: 21-lopezdelgado.alina@cetis57.edu.mx; no-reply: true]; Run via form trigger as gabrielvazquez@cetis57.edu.mx; Timestamp: Aug 2 2023 10:46 PM</t>
  </si>
  <si>
    <t>1iBLN5WQwTcDXTqZKr0m0P_ETdmfr9gjN</t>
  </si>
  <si>
    <t>https://drive.google.com/file/d/1iBLN5WQwTcDXTqZKr0m0P_ETdmfr9gjN/view?usp=drivesdk</t>
  </si>
  <si>
    <t>Document successfully created; Document successfully merged; PDF created; Emails Sent: [To: 21-lopezdelgado.alina@cetis57.edu.mx; no-reply: true]; Run via form trigger as gabrielvazquez@cetis57.edu.mx; Timestamp: Aug 3 2023 6:39 PM</t>
  </si>
  <si>
    <t>https://drive.google.com/open?id=1NkaWu0wTz2cEac28jgKNcpOBj3Mx_gqp</t>
  </si>
  <si>
    <t>CERRADA DEL RANCHO MZ21B L66 DESARROLLO URBANO QUETZALCOATL C.P 09700 IZTAPALAPA D.F</t>
  </si>
  <si>
    <t>MZ21B L66</t>
  </si>
  <si>
    <t>EN LA ESQUINA HAY UN TALLER DE BICIQLETAS, A LA VUELTA ESTA LA ESCUELA PRIMARIA "GENOVEVA CORTES".</t>
  </si>
  <si>
    <t>https://drive.google.com/open?id=1c7tQY-5Pje0ycT8M9_7rcR5bqJ0iqRJv</t>
  </si>
  <si>
    <t>https://drive.google.com/open?id=1Wl_Pn5shdS-ZT5wDOv8uTG9bUlFYnA0G</t>
  </si>
  <si>
    <t>maular643@gmail.com</t>
  </si>
  <si>
    <t>https://drive.google.com/open?id=14_xWPIWwa6wdjbHgYia7afp0MS-akqOg</t>
  </si>
  <si>
    <t>CON LOS DOS</t>
  </si>
  <si>
    <t>https://drive.google.com/open?id=1F0xf19Bj9lf0bSbrffqjbvQ-dxMZ3JQf</t>
  </si>
  <si>
    <t>10YwketOJ_zMFZaPEPw5E3f05bgZ0GakE</t>
  </si>
  <si>
    <t>https://drive.google.com/file/d/10YwketOJ_zMFZaPEPw5E3f05bgZ0GakE/view?usp=drivesdk</t>
  </si>
  <si>
    <t>Document successfully created; Document successfully merged; PDF created; Emails Sent: [To: 21-martinezventura.araluz@cetis57.edu.mx; no-reply: true]; Run via form trigger as gabrielvazquez@cetis57.edu.mx; Timestamp: Aug 2 2023 9:48 AM</t>
  </si>
  <si>
    <t>17jCWXKH2FT4T1XMd5Vy3ssmMLiCv7sG1</t>
  </si>
  <si>
    <t>https://drive.google.com/file/d/17jCWXKH2FT4T1XMd5Vy3ssmMLiCv7sG1/view?usp=drivesdk</t>
  </si>
  <si>
    <t>Document successfully created; Document successfully merged; PDF created; Emails Sent: [To: 21-martinezventura.araluz@cetis57.edu.mx; no-reply: true]; Run via form trigger as gabrielvazquez@cetis57.edu.mx; Timestamp: Aug 3 2023 6:39 PM</t>
  </si>
  <si>
    <t>OMAR ALEXIS</t>
  </si>
  <si>
    <t>https://drive.google.com/open?id=1b5F7Lw71XZtmRgIA23aw3wApNo6k-6A-</t>
  </si>
  <si>
    <t>CIUDAD DE MÉXICO, IZTAPALAPA, COLONIA BUENAVISTA MANZANA 41 B LOTE UNO</t>
  </si>
  <si>
    <t>CASA AZUL TURQUESA, PORTON NEGRO, AFUERA HAY UN AUTO VERDE DATSUN</t>
  </si>
  <si>
    <t>CARLOTA SILES CASTAÑEDA</t>
  </si>
  <si>
    <t>https://drive.google.com/open?id=1V_s6pp4haTR0dnaEPd2_8VRm0Sc5xhB6</t>
  </si>
  <si>
    <t>https://drive.google.com/open?id=1fIgjSN121fo2kgwv-iPq74IcPjChtijB</t>
  </si>
  <si>
    <t>https://drive.google.com/open?id=1lTJzblV9FMZ8pbkJrjKcaafYA50mLCHZ</t>
  </si>
  <si>
    <t>NO SE AUN</t>
  </si>
  <si>
    <t>Dónde sea</t>
  </si>
  <si>
    <t>NO SEEEE</t>
  </si>
  <si>
    <t>https://drive.google.com/open?id=1tcDIHo6s3kv0tgOWqnEmU4WPJGHyoeFd</t>
  </si>
  <si>
    <t>1m8-RdawkPMRjkvUIpsufxDGCYAY6G-yQ</t>
  </si>
  <si>
    <t>https://drive.google.com/file/d/1m8-RdawkPMRjkvUIpsufxDGCYAY6G-yQ/view?usp=drivesdk</t>
  </si>
  <si>
    <t>Document successfully created; Document successfully merged; PDF created; Emails Sent: [To: 20-lemussanchez.omaralexis@cetis57.edu.mx; no-reply: true]; Run via form trigger as gabrielvazquez@cetis57.edu.mx; Timestamp: Aug 2 2023 10:47 PM</t>
  </si>
  <si>
    <t>1as8xXOAI-IRe4_O_7q4kVbC6aCn5Q45k</t>
  </si>
  <si>
    <t>https://drive.google.com/file/d/1as8xXOAI-IRe4_O_7q4kVbC6aCn5Q45k/view?usp=drivesdk</t>
  </si>
  <si>
    <t>Document successfully created; Document successfully merged; PDF created; Emails Sent: [To: 20-lemussanchez.omaralexis@cetis57.edu.mx; no-reply: true]; Run via form trigger as gabrielvazquez@cetis57.edu.mx; Timestamp: Aug 3 2023 6:41 PM</t>
  </si>
  <si>
    <t>https://drive.google.com/open?id=1XGa5FMXQlt7_BCvPckWKx7SlJQAsiu9u</t>
  </si>
  <si>
    <t>NICARAGUA MZ.17 LT.18 IN2</t>
  </si>
  <si>
    <t>L</t>
  </si>
  <si>
    <t xml:space="preserve">GRICEL BERANIS MENDOZA SANCHEZ </t>
  </si>
  <si>
    <t>https://drive.google.com/open?id=18h6ELEkVzx9tn8D1JlWIJb6ASZ3lqjjA</t>
  </si>
  <si>
    <t>https://drive.google.com/open?id=1QXeAMM2rZBIBNXOv2AgzmX5Af_WWX2IS</t>
  </si>
  <si>
    <t>andreamendoza2616@gmail.com</t>
  </si>
  <si>
    <t>https://drive.google.com/open?id=1VYKWgvtlWGGgz8dfUPYW_3vYVjgbiRPh</t>
  </si>
  <si>
    <t>https://drive.google.com/open?id=1dZC68Ilhv_mfVDY26pW9wrau2OD5LXvu</t>
  </si>
  <si>
    <t>134WUFgM7PrQK_JogmDV3en4Ciur-Byl5</t>
  </si>
  <si>
    <t>https://drive.google.com/file/d/134WUFgM7PrQK_JogmDV3en4Ciur-Byl5/view?usp=drivesdk</t>
  </si>
  <si>
    <t>Document successfully created; Document successfully merged; PDF created; Emails Sent: [To: 21-jimenezmendoza.andreabelen@cetis57.edu.mx; no-reply: true]; Run via form trigger as gabrielvazquez@cetis57.edu.mx; Timestamp: Aug 2 2023 1:07 AM</t>
  </si>
  <si>
    <t>1c3tCbg0lPxeoEjQoZV6_Eqj7QZops7CO</t>
  </si>
  <si>
    <t>https://drive.google.com/file/d/1c3tCbg0lPxeoEjQoZV6_Eqj7QZops7CO/view?usp=drivesdk</t>
  </si>
  <si>
    <t>Document successfully created; Document successfully merged; PDF created; Emails Sent: [To: 21-jimenezmendoza.andreabelen@cetis57.edu.mx; no-reply: true]; Run via form trigger as gabrielvazquez@cetis57.edu.mx; Timestamp: Aug 4 2023 2:03 PM</t>
  </si>
  <si>
    <t>JAIME EDUARDO</t>
  </si>
  <si>
    <t>https://drive.google.com/open?id=1aL7WuUjSO3UDJjL52dMOEh855uKOU7Ps</t>
  </si>
  <si>
    <t xml:space="preserve">CARLOS HANK GONZALES </t>
  </si>
  <si>
    <t>SAN MIGUEL TEOTOGNO</t>
  </si>
  <si>
    <t xml:space="preserve">MANZANA 6 </t>
  </si>
  <si>
    <t xml:space="preserve">ENFRENTE DE UN CAMPO DE FUTBOL Y UNA TIENDA </t>
  </si>
  <si>
    <t>JAIME JUAREZ VALERDE</t>
  </si>
  <si>
    <t>https://drive.google.com/open?id=1UVb37v3mK25cUNoEksfKlfr0NJK0DxT1</t>
  </si>
  <si>
    <t>https://drive.google.com/open?id=1yawAH3pG6pjQJS1UiTG-cqepj9mogqJx</t>
  </si>
  <si>
    <t>https://drive.google.com/open?id=1hZ9vcl_2e3rpPSlmuY3E1PVy_WWsOOCH</t>
  </si>
  <si>
    <t>https://drive.google.com/open?id=1nf-e1kCcDeeGMsZeJhrpESQdeQPK9Uyk</t>
  </si>
  <si>
    <t>1e0vmSXVTg9EsJn4BFo7ndcKWXDiJt6wR</t>
  </si>
  <si>
    <t>https://drive.google.com/file/d/1e0vmSXVTg9EsJn4BFo7ndcKWXDiJt6wR/view?usp=drivesdk</t>
  </si>
  <si>
    <t>Document successfully created; Document successfully merged; PDF created; Emails Sent: [To: 22-juarezgarcia.jaimeeduardo@cetis57.edu.mx; no-reply: true]; Run via form trigger as gabrielvazquez@cetis57.edu.mx; Timestamp: Aug 2 2023 1:08 AM</t>
  </si>
  <si>
    <t>15gANN1btdaws1JzUnOuloOMzvQUTa9pU</t>
  </si>
  <si>
    <t>https://drive.google.com/file/d/15gANN1btdaws1JzUnOuloOMzvQUTa9pU/view?usp=drivesdk</t>
  </si>
  <si>
    <t>Document successfully created; Document successfully merged; PDF created; Emails Sent: [To: 22-juarezgarcia.jaimeeduardo@cetis57.edu.mx; no-reply: true]; Run via form trigger as gabrielvazquez@cetis57.edu.mx; Timestamp: Aug 4 2023 2:04 PM</t>
  </si>
  <si>
    <t>https://drive.google.com/open?id=1wyDi3f9emzdAE36zcMMbPGsXtXHe_O6l</t>
  </si>
  <si>
    <t xml:space="preserve">AV POZOS MZ 47 B LT 11 COLONIA BUENAVISTA </t>
  </si>
  <si>
    <t xml:space="preserve">FACHADA AZUL </t>
  </si>
  <si>
    <t xml:space="preserve">SAINZ GONZALEZ JOSEFINA </t>
  </si>
  <si>
    <t>https://drive.google.com/open?id=1W4kpvM1WiENYp0pxCmP1Yfq6MbCl3OOe</t>
  </si>
  <si>
    <t>gusylov@gmail.com</t>
  </si>
  <si>
    <t>https://drive.google.com/open?id=173M9h_E8a_uJAlOy-puxlhp2L24gERQS</t>
  </si>
  <si>
    <t>atk13@gmail.com</t>
  </si>
  <si>
    <t>https://drive.google.com/open?id=1WhzqdsuwsAEX0Axbzl1FOYCNkVkwEAxq</t>
  </si>
  <si>
    <t>https://drive.google.com/open?id=1QnDBl-89PpaEGMWcuYP37-15SDpFBIUG</t>
  </si>
  <si>
    <t>1LnRZ3MF6Kokhvhoc5qkIPjIWnzSmho5R</t>
  </si>
  <si>
    <t>https://drive.google.com/file/d/1LnRZ3MF6Kokhvhoc5qkIPjIWnzSmho5R/view?usp=drivesdk</t>
  </si>
  <si>
    <t>Document successfully created; Invalid image URL [http://doc.google.com/uc?id=1W4kpvM1WiENYp0pxCmP1Yfq6MbCl3OOe], make sure that it is public; Document successfully merged; PDF created; Emails Sent: [To: 21-romerosainz.katianaomy@cetis57.edu.mx]; Run via form trigger as gabrielvazquez@cetis57.edu.mx; Timestamp: Aug 3 2023 6:10 PM</t>
  </si>
  <si>
    <t>16nVdNEmISf1ZfSeFzfqeJohcmiUZj3_4</t>
  </si>
  <si>
    <t>https://drive.google.com/file/d/16nVdNEmISf1ZfSeFzfqeJohcmiUZj3_4/view?usp=drivesdk</t>
  </si>
  <si>
    <t>Document successfully created; Document successfully merged; PDF created; Emails Sent: [To: 21-romerosainz.katianaomy@cetis57.edu.mx; no-reply: true]; Run via form trigger as gabrielvazquez@cetis57.edu.mx; Timestamp: Aug 4 2023 2:05 PM</t>
  </si>
  <si>
    <t>HEIDI CRISTAL</t>
  </si>
  <si>
    <t>https://drive.google.com/open?id=10OMY3WDWLXTmWCHrQHOJFb5y2ftZw4HD</t>
  </si>
  <si>
    <t>ORQUIDEA MZ 8 LOTE 15 CASA 145</t>
  </si>
  <si>
    <t>GEOVILLAS DE SANTA BARBARA</t>
  </si>
  <si>
    <t>MZ8 LOTE 15</t>
  </si>
  <si>
    <t xml:space="preserve">TIENDAS NETO Y FARMACIAS SIMILARES </t>
  </si>
  <si>
    <t xml:space="preserve">OLGA HERNANDEZ VERA </t>
  </si>
  <si>
    <t>https://drive.google.com/open?id=1IA4uu1z-v-z_A0fSz7TdfW2Abriyi3Ak</t>
  </si>
  <si>
    <t>https://drive.google.com/open?id=1_XyjZ1BzMXiUXe5LVIUlMvF0Mg1EbBWj</t>
  </si>
  <si>
    <t>https://drive.google.com/open?id=1H6pTVFenJtmpSmAShafIr6sACPJ28aUn</t>
  </si>
  <si>
    <t xml:space="preserve">ANTICONCEPTIVOS </t>
  </si>
  <si>
    <t>Tecnicatura Universitaria en Gestión Hotelera</t>
  </si>
  <si>
    <t>https://drive.google.com/open?id=1NPaX9FXhta6IR3QvNOmEwgbsUJ5o_23M</t>
  </si>
  <si>
    <t>1RBpoFoMs4oInTRUbp7iiLPTZf_j7SEOz</t>
  </si>
  <si>
    <t>https://drive.google.com/file/d/1RBpoFoMs4oInTRUbp7iiLPTZf_j7SEOz/view?usp=drivesdk</t>
  </si>
  <si>
    <t>Document successfully created; Document successfully merged; PDF created; Emails Sent: [To: 21-galindohernandez.heidicristal@cetis57.edu.mx; no-reply: true]; Run via form trigger as gabrielvazquez@cetis57.edu.mx; Timestamp: Aug 2 2023 1:09 AM</t>
  </si>
  <si>
    <t>1nTU77BoYj9Ym9hiBfcgrKCqdhyX1GWzd</t>
  </si>
  <si>
    <t>https://drive.google.com/file/d/1nTU77BoYj9Ym9hiBfcgrKCqdhyX1GWzd/view?usp=drivesdk</t>
  </si>
  <si>
    <t>Document successfully created; Document successfully merged; PDF created; Emails Sent: [To: 21-galindohernandez.heidicristal@cetis57.edu.mx; no-reply: true]; Run via form trigger as gabrielvazquez@cetis57.edu.mx; Timestamp: Aug 4 2023 2:13 PM</t>
  </si>
  <si>
    <t>https://drive.google.com/open?id=1KpPYavxlZyJTdUjye3c8cyQlh8N9kLcw</t>
  </si>
  <si>
    <t>ITURBIDE #23 ENTRE AV CONSTITUCION DE APATZINGAN Y REVOLUCION</t>
  </si>
  <si>
    <t xml:space="preserve">ENFRENTE DE LA CASA SE ENCUENTRA UNA TIENDA, UNA CARPINTERIA, UN MOLINO, EN LAS ESQUINAS SE ENCUENTRAN OTRAS DOS TIENDAS Y A LADO DE MI CASA ESTA UNA POLLERIA </t>
  </si>
  <si>
    <t xml:space="preserve">JORGER FRANSISCO MENDOZA ROLDAN </t>
  </si>
  <si>
    <t>https://drive.google.com/open?id=13WsUJhstSmg58-v2AWSnDoF3IQjuOwbz</t>
  </si>
  <si>
    <t>jorgefmr790510@yahoo.com.mx</t>
  </si>
  <si>
    <t>DENNYS HERTZ</t>
  </si>
  <si>
    <t>danielisaias1980@gmail.com</t>
  </si>
  <si>
    <t>https://drive.google.com/open?id=1NgEQ-QJ9TB2lC67KPmy-IwthHcO85jfU</t>
  </si>
  <si>
    <t>perezy88@yahoo.com</t>
  </si>
  <si>
    <t>https://drive.google.com/open?id=11ncbv2CXmGbXk8v6boX_-DvMAROjD4gw</t>
  </si>
  <si>
    <t>CON MIS TIOS</t>
  </si>
  <si>
    <t>https://drive.google.com/open?id=1NRoIVjJM8lJiFXgnpG0jWyBXxU8sgT20</t>
  </si>
  <si>
    <t>1ra1AJOETOK9sg0ARjRE9PEQjAyUuBvSe</t>
  </si>
  <si>
    <t>https://drive.google.com/file/d/1ra1AJOETOK9sg0ARjRE9PEQjAyUuBvSe/view?usp=drivesdk</t>
  </si>
  <si>
    <t>Document successfully created; Document successfully merged; PDF created; Emails Sent: [To: 22-perezquintero.damariszurisaday@cetis57.edu.mx; no-reply: true]; Run via form trigger as gabrielvazquez@cetis57.edu.mx; Timestamp: Aug 2 2023 1:09 AM</t>
  </si>
  <si>
    <t>1MK6cFlwU4rZQtdc_1J4KCuwxJpQewLNp</t>
  </si>
  <si>
    <t>https://drive.google.com/file/d/1MK6cFlwU4rZQtdc_1J4KCuwxJpQewLNp/view?usp=drivesdk</t>
  </si>
  <si>
    <t>Document successfully created; Document successfully merged; PDF created; Emails Sent: [To: 22-perezquintero.damariszurisaday@cetis57.edu.mx; no-reply: true]; Run via form trigger as gabrielvazquez@cetis57.edu.mx; Timestamp: Aug 4 2023 2:13 PM</t>
  </si>
  <si>
    <t>autocratn</t>
  </si>
  <si>
    <t>autocratp</t>
  </si>
  <si>
    <t>dataSheetName</t>
  </si>
  <si>
    <t>"ALUMNO CON DERECHO"</t>
  </si>
  <si>
    <t>v</t>
  </si>
  <si>
    <t>"5.1"</t>
  </si>
  <si>
    <t>dataSheetId</t>
  </si>
  <si>
    <t>"3.44412196E8"</t>
  </si>
  <si>
    <t>updateTime</t>
  </si>
  <si>
    <t>"1.691706211128E12"</t>
  </si>
  <si>
    <t>vp</t>
  </si>
  <si>
    <t>ssId</t>
  </si>
  <si>
    <t>"1YmZZrwxAgu2QPLiwpC9iwoMRP4bgen5bzUIjf537T_M"</t>
  </si>
  <si>
    <t>ZAAO010828HMCVNMA4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</si>
</sst>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/m/yyyy\ h:mm:ss"/>
  </numFmts>
  <fonts count="1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FFFFFF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Montserrat"/>
    </font>
    <font>
      <b/>
      <i/>
      <sz val="10"/>
      <color rgb="FF000000"/>
      <name val="Montserrat"/>
    </font>
    <font>
      <sz val="10"/>
      <color theme="1"/>
      <name val="Arial"/>
    </font>
    <font>
      <b/>
      <sz val="10"/>
      <color rgb="FFFFFFFF"/>
      <name val="Montserrat"/>
    </font>
    <font>
      <b/>
      <i/>
      <sz val="11"/>
      <color rgb="FFFFFFFF"/>
      <name val="Calibri"/>
    </font>
    <font>
      <b/>
      <i/>
      <sz val="11"/>
      <color theme="1"/>
      <name val="Calibri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1"/>
      <color rgb="FF1155CC"/>
      <name val="Inconsolata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45818E"/>
        <bgColor rgb="FF45818E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4" borderId="2" xfId="0" applyFont="1" applyFill="1" applyBorder="1"/>
    <xf numFmtId="0" fontId="5" fillId="4" borderId="3" xfId="0" applyFont="1" applyFill="1" applyBorder="1"/>
    <xf numFmtId="2" fontId="5" fillId="4" borderId="3" xfId="0" applyNumberFormat="1" applyFont="1" applyFill="1" applyBorder="1" applyAlignment="1">
      <alignment horizontal="center"/>
    </xf>
    <xf numFmtId="0" fontId="5" fillId="5" borderId="0" xfId="0" applyFont="1" applyFill="1"/>
    <xf numFmtId="0" fontId="8" fillId="2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2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5" fillId="8" borderId="2" xfId="0" applyFont="1" applyFill="1" applyBorder="1"/>
    <xf numFmtId="0" fontId="5" fillId="8" borderId="3" xfId="0" applyFont="1" applyFill="1" applyBorder="1"/>
    <xf numFmtId="2" fontId="5" fillId="8" borderId="3" xfId="0" applyNumberFormat="1" applyFont="1" applyFill="1" applyBorder="1" applyAlignment="1">
      <alignment horizontal="center"/>
    </xf>
    <xf numFmtId="0" fontId="5" fillId="8" borderId="0" xfId="0" applyFont="1" applyFill="1"/>
    <xf numFmtId="0" fontId="5" fillId="9" borderId="2" xfId="0" applyFont="1" applyFill="1" applyBorder="1"/>
    <xf numFmtId="0" fontId="5" fillId="9" borderId="3" xfId="0" applyFont="1" applyFill="1" applyBorder="1"/>
    <xf numFmtId="2" fontId="5" fillId="9" borderId="3" xfId="0" applyNumberFormat="1" applyFont="1" applyFill="1" applyBorder="1" applyAlignment="1">
      <alignment horizontal="center"/>
    </xf>
    <xf numFmtId="0" fontId="5" fillId="9" borderId="0" xfId="0" applyFont="1" applyFill="1"/>
    <xf numFmtId="0" fontId="5" fillId="10" borderId="2" xfId="0" applyFont="1" applyFill="1" applyBorder="1"/>
    <xf numFmtId="0" fontId="5" fillId="10" borderId="3" xfId="0" applyFont="1" applyFill="1" applyBorder="1"/>
    <xf numFmtId="2" fontId="5" fillId="10" borderId="3" xfId="0" applyNumberFormat="1" applyFont="1" applyFill="1" applyBorder="1" applyAlignment="1">
      <alignment horizontal="center"/>
    </xf>
    <xf numFmtId="0" fontId="5" fillId="10" borderId="0" xfId="0" applyFont="1" applyFill="1"/>
    <xf numFmtId="0" fontId="5" fillId="11" borderId="2" xfId="0" applyFont="1" applyFill="1" applyBorder="1"/>
    <xf numFmtId="0" fontId="5" fillId="11" borderId="3" xfId="0" applyFont="1" applyFill="1" applyBorder="1"/>
    <xf numFmtId="2" fontId="5" fillId="11" borderId="3" xfId="0" applyNumberFormat="1" applyFont="1" applyFill="1" applyBorder="1" applyAlignment="1">
      <alignment horizontal="center"/>
    </xf>
    <xf numFmtId="0" fontId="5" fillId="11" borderId="0" xfId="0" applyFont="1" applyFill="1"/>
    <xf numFmtId="0" fontId="5" fillId="12" borderId="2" xfId="0" applyFont="1" applyFill="1" applyBorder="1"/>
    <xf numFmtId="0" fontId="5" fillId="12" borderId="3" xfId="0" applyFont="1" applyFill="1" applyBorder="1"/>
    <xf numFmtId="2" fontId="5" fillId="12" borderId="3" xfId="0" applyNumberFormat="1" applyFont="1" applyFill="1" applyBorder="1" applyAlignment="1">
      <alignment horizontal="center"/>
    </xf>
    <xf numFmtId="0" fontId="5" fillId="12" borderId="0" xfId="0" applyFont="1" applyFill="1"/>
    <xf numFmtId="0" fontId="5" fillId="13" borderId="2" xfId="0" applyFont="1" applyFill="1" applyBorder="1"/>
    <xf numFmtId="0" fontId="5" fillId="13" borderId="3" xfId="0" applyFont="1" applyFill="1" applyBorder="1"/>
    <xf numFmtId="2" fontId="5" fillId="13" borderId="3" xfId="0" applyNumberFormat="1" applyFont="1" applyFill="1" applyBorder="1" applyAlignment="1">
      <alignment horizontal="center"/>
    </xf>
    <xf numFmtId="0" fontId="5" fillId="13" borderId="0" xfId="0" applyFont="1" applyFill="1"/>
    <xf numFmtId="0" fontId="6" fillId="14" borderId="0" xfId="0" applyFont="1" applyFill="1"/>
    <xf numFmtId="14" fontId="1" fillId="0" borderId="0" xfId="0" applyNumberFormat="1" applyFont="1"/>
    <xf numFmtId="19" fontId="1" fillId="0" borderId="0" xfId="0" applyNumberFormat="1" applyFont="1"/>
    <xf numFmtId="46" fontId="1" fillId="0" borderId="0" xfId="0" applyNumberFormat="1" applyFont="1"/>
    <xf numFmtId="0" fontId="1" fillId="0" borderId="0" xfId="0" quotePrefix="1" applyFont="1"/>
    <xf numFmtId="0" fontId="7" fillId="0" borderId="0" xfId="0" applyFont="1"/>
    <xf numFmtId="0" fontId="7" fillId="0" borderId="5" xfId="0" applyFont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 wrapText="1"/>
    </xf>
    <xf numFmtId="0" fontId="11" fillId="0" borderId="0" xfId="0" applyFont="1"/>
    <xf numFmtId="0" fontId="12" fillId="0" borderId="2" xfId="0" applyFont="1" applyBorder="1"/>
    <xf numFmtId="0" fontId="13" fillId="0" borderId="0" xfId="0" applyFont="1"/>
    <xf numFmtId="0" fontId="14" fillId="3" borderId="0" xfId="0" applyFont="1" applyFill="1"/>
    <xf numFmtId="0" fontId="15" fillId="0" borderId="3" xfId="0" applyFont="1" applyBorder="1"/>
    <xf numFmtId="165" fontId="5" fillId="4" borderId="0" xfId="0" applyNumberFormat="1" applyFont="1" applyFill="1"/>
    <xf numFmtId="165" fontId="7" fillId="0" borderId="0" xfId="0" applyNumberFormat="1" applyFont="1" applyAlignment="1">
      <alignment horizontal="right"/>
    </xf>
    <xf numFmtId="0" fontId="7" fillId="0" borderId="1" xfId="0" applyFont="1" applyBorder="1"/>
    <xf numFmtId="165" fontId="7" fillId="0" borderId="0" xfId="0" applyNumberFormat="1" applyFont="1"/>
    <xf numFmtId="165" fontId="1" fillId="0" borderId="0" xfId="0" applyNumberFormat="1" applyFont="1"/>
    <xf numFmtId="0" fontId="16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rive.google.com/file/d/1BdREQQu0FseZPZyhTUNOb-ksbSY-FyOI/view?usp=drivesdk" TargetMode="External"/><Relationship Id="rId1827" Type="http://schemas.openxmlformats.org/officeDocument/2006/relationships/hyperlink" Target="https://drive.google.com/file/d/1nTU77BoYj9Ym9hiBfcgrKCqdhyX1GWzd/view?usp=drivesdk" TargetMode="External"/><Relationship Id="rId21" Type="http://schemas.openxmlformats.org/officeDocument/2006/relationships/hyperlink" Target="https://drive.google.com/open?id=1Bl-Wc711dYu6Fauu2OyYV2u6VTh64ME-" TargetMode="External"/><Relationship Id="rId170" Type="http://schemas.openxmlformats.org/officeDocument/2006/relationships/hyperlink" Target="https://drive.google.com/open?id=1-0RyjljekbV7T1WpDFAfuoqg39gt1K_t" TargetMode="External"/><Relationship Id="rId268" Type="http://schemas.openxmlformats.org/officeDocument/2006/relationships/hyperlink" Target="https://drive.google.com/open?id=1kmkJfqPTnaxEsEfSgkrsyqjv0P5Gi61G" TargetMode="External"/><Relationship Id="rId475" Type="http://schemas.openxmlformats.org/officeDocument/2006/relationships/hyperlink" Target="https://drive.google.com/open?id=1cmCbc-DHvyADSrNRovZD_uBuR46C8WbT" TargetMode="External"/><Relationship Id="rId682" Type="http://schemas.openxmlformats.org/officeDocument/2006/relationships/hyperlink" Target="https://drive.google.com/file/d/1QyCRreH8-glkZTTyDZdl_Ic6JxtwIgx_/view?usp=drivesdk" TargetMode="External"/><Relationship Id="rId128" Type="http://schemas.openxmlformats.org/officeDocument/2006/relationships/hyperlink" Target="https://drive.google.com/open?id=1x_PBKmXLPPbwxFq-MSCmvwdmrzKliMK8" TargetMode="External"/><Relationship Id="rId335" Type="http://schemas.openxmlformats.org/officeDocument/2006/relationships/hyperlink" Target="https://drive.google.com/open?id=18N-Z0eSe5tEr3KDZVgo3h5ztj_Mne3_w" TargetMode="External"/><Relationship Id="rId542" Type="http://schemas.openxmlformats.org/officeDocument/2006/relationships/hyperlink" Target="https://drive.google.com/file/d/1NTPF6JDMQw-nTdtW3QXfwb2ordOmYJkF/view?usp=drivesdk" TargetMode="External"/><Relationship Id="rId987" Type="http://schemas.openxmlformats.org/officeDocument/2006/relationships/hyperlink" Target="https://drive.google.com/open?id=1WY984EgV9gDFoCErMIkMYQcxzjubkl9g" TargetMode="External"/><Relationship Id="rId1172" Type="http://schemas.openxmlformats.org/officeDocument/2006/relationships/hyperlink" Target="https://drive.google.com/open?id=12a3o20VBC45poMxobsc05AxI2x0jSzFf" TargetMode="External"/><Relationship Id="rId402" Type="http://schemas.openxmlformats.org/officeDocument/2006/relationships/hyperlink" Target="https://drive.google.com/open?id=1WzCK5s-KajHxV656biPyhHqCTiw9NstP" TargetMode="External"/><Relationship Id="rId847" Type="http://schemas.openxmlformats.org/officeDocument/2006/relationships/hyperlink" Target="https://drive.google.com/open?id=1m0f1DzzupROGKRlpl3wYVxGWpQBAXgph" TargetMode="External"/><Relationship Id="rId1032" Type="http://schemas.openxmlformats.org/officeDocument/2006/relationships/hyperlink" Target="https://drive.google.com/open?id=13PVvhLYy0kAiJRGrvppyhF9XdJJ_dXCa" TargetMode="External"/><Relationship Id="rId1477" Type="http://schemas.openxmlformats.org/officeDocument/2006/relationships/hyperlink" Target="https://drive.google.com/open?id=1SxG-r7am17Io_xWur9JhbEjuWyxKFiOx" TargetMode="External"/><Relationship Id="rId1684" Type="http://schemas.openxmlformats.org/officeDocument/2006/relationships/hyperlink" Target="https://drive.google.com/open?id=1DzC7LDjAFW6TXj3_74W7G5Ia40aHlDKC" TargetMode="External"/><Relationship Id="rId707" Type="http://schemas.openxmlformats.org/officeDocument/2006/relationships/hyperlink" Target="https://drive.google.com/open?id=10qc_Cr5t284aKtJE4cA0IT9SXzJtXAgd" TargetMode="External"/><Relationship Id="rId914" Type="http://schemas.openxmlformats.org/officeDocument/2006/relationships/hyperlink" Target="https://drive.google.com/file/d/15RTQ85Z5KebHIQ56MpFDIGbhZyM64tJX/view?usp=drivesdk" TargetMode="External"/><Relationship Id="rId1337" Type="http://schemas.openxmlformats.org/officeDocument/2006/relationships/hyperlink" Target="https://drive.google.com/open?id=1ge_qAy2hC2a4YNw1CgKe2Vhl-yjEnv0d" TargetMode="External"/><Relationship Id="rId1544" Type="http://schemas.openxmlformats.org/officeDocument/2006/relationships/hyperlink" Target="https://drive.google.com/file/d/1VN-q9Sa1OQmqW7lNtF7ORvFtRtn9xH9Q/view?usp=drivesdk" TargetMode="External"/><Relationship Id="rId1751" Type="http://schemas.openxmlformats.org/officeDocument/2006/relationships/hyperlink" Target="https://drive.google.com/open?id=1Ck0eDFHzRAAX8kzwnzjSjZ5AGK-XXAFW" TargetMode="External"/><Relationship Id="rId43" Type="http://schemas.openxmlformats.org/officeDocument/2006/relationships/hyperlink" Target="https://drive.google.com/open?id=13BJ7NUda1IlARICEGjQ7wZqpocBcoUaN" TargetMode="External"/><Relationship Id="rId1404" Type="http://schemas.openxmlformats.org/officeDocument/2006/relationships/hyperlink" Target="https://drive.google.com/open?id=1J6BX_fflqT6gg0plFKmmyhcM-DHw-ndq" TargetMode="External"/><Relationship Id="rId1611" Type="http://schemas.openxmlformats.org/officeDocument/2006/relationships/hyperlink" Target="https://drive.google.com/open?id=1oaILvLWFxxapCXouOx8tPRGiJEGfF94h" TargetMode="External"/><Relationship Id="rId192" Type="http://schemas.openxmlformats.org/officeDocument/2006/relationships/hyperlink" Target="https://drive.google.com/open?id=1Bsf72eJOsWiPN6J7wIei1BnZcoMxgqaR" TargetMode="External"/><Relationship Id="rId1709" Type="http://schemas.openxmlformats.org/officeDocument/2006/relationships/hyperlink" Target="https://drive.google.com/open?id=1pNxcSsWzXozLnWKZMLr7uqYEmtu3zc3d" TargetMode="External"/><Relationship Id="rId497" Type="http://schemas.openxmlformats.org/officeDocument/2006/relationships/hyperlink" Target="https://drive.google.com/open?id=1oZjwD-IYNKjh9dD22R6C15AvetmsLfCO" TargetMode="External"/><Relationship Id="rId357" Type="http://schemas.openxmlformats.org/officeDocument/2006/relationships/hyperlink" Target="https://drive.google.com/open?id=1owwAKhymawp5NQ4dhnx3CAh3dwC3QTp-" TargetMode="External"/><Relationship Id="rId1194" Type="http://schemas.openxmlformats.org/officeDocument/2006/relationships/hyperlink" Target="https://drive.google.com/file/d/1PGSGTcWfV8v0AE_F0cbN-DMB6XeFkdIi/view?usp=drivesdk" TargetMode="External"/><Relationship Id="rId217" Type="http://schemas.openxmlformats.org/officeDocument/2006/relationships/hyperlink" Target="https://drive.google.com/open?id=1AIzk0G0wz6RK69NcLp6dy6U_m7_kVBuA" TargetMode="External"/><Relationship Id="rId564" Type="http://schemas.openxmlformats.org/officeDocument/2006/relationships/hyperlink" Target="https://drive.google.com/open?id=1BCqZoAHOqcMwJ1Txu50i4_E_QCSGvmhH" TargetMode="External"/><Relationship Id="rId771" Type="http://schemas.openxmlformats.org/officeDocument/2006/relationships/hyperlink" Target="https://drive.google.com/open?id=1RJ3Duz5nswbs9FtluL8nyeBSIlkyE2bZ" TargetMode="External"/><Relationship Id="rId869" Type="http://schemas.openxmlformats.org/officeDocument/2006/relationships/hyperlink" Target="https://drive.google.com/open?id=1y2300Vx0BNbfETQt7ZajX_UwfAMuPo6q" TargetMode="External"/><Relationship Id="rId1499" Type="http://schemas.openxmlformats.org/officeDocument/2006/relationships/hyperlink" Target="https://drive.google.com/open?id=1PxqSJvUdvk6Eml-m9ZZSGk1nlU4bdk34" TargetMode="External"/><Relationship Id="rId424" Type="http://schemas.openxmlformats.org/officeDocument/2006/relationships/hyperlink" Target="https://drive.google.com/open?id=1SHwuy-d8hEhmh62gcN3a_D0h5LF3ugAi" TargetMode="External"/><Relationship Id="rId631" Type="http://schemas.openxmlformats.org/officeDocument/2006/relationships/hyperlink" Target="https://drive.google.com/open?id=1pgosKLvSlK8i8X2sF4M1MVi4jN_tOXH1" TargetMode="External"/><Relationship Id="rId729" Type="http://schemas.openxmlformats.org/officeDocument/2006/relationships/hyperlink" Target="https://drive.google.com/open?id=1jTu55NzhM2hOvhpnM-Yt__HI7gtC2joY" TargetMode="External"/><Relationship Id="rId1054" Type="http://schemas.openxmlformats.org/officeDocument/2006/relationships/hyperlink" Target="https://drive.google.com/file/d/1ud-0dpbfqVyOqp8KmBmNK3LWM7Z4Spkq/view?usp=drivesdk" TargetMode="External"/><Relationship Id="rId1261" Type="http://schemas.openxmlformats.org/officeDocument/2006/relationships/hyperlink" Target="https://drive.google.com/open?id=16pc8fKSHamcs_MVX1igS8ZisXDcFCbCy" TargetMode="External"/><Relationship Id="rId1359" Type="http://schemas.openxmlformats.org/officeDocument/2006/relationships/hyperlink" Target="https://drive.google.com/open?id=1b7dVFkfgDh0_g_wnoSLAVwoc-mxLVjju" TargetMode="External"/><Relationship Id="rId936" Type="http://schemas.openxmlformats.org/officeDocument/2006/relationships/hyperlink" Target="https://drive.google.com/file/d/1irFlkVwK-v6d1XgAZUMySecyMycoKQSy/view?usp=drivesdk" TargetMode="External"/><Relationship Id="rId1121" Type="http://schemas.openxmlformats.org/officeDocument/2006/relationships/hyperlink" Target="https://drive.google.com/open?id=1gPZVea1y6QyRAp2jr_LjlaCJ4Z_Ksahc" TargetMode="External"/><Relationship Id="rId1219" Type="http://schemas.openxmlformats.org/officeDocument/2006/relationships/hyperlink" Target="https://drive.google.com/open?id=1YCdPxofFLG8mRFxWteCuHh4C9AbyyYKB" TargetMode="External"/><Relationship Id="rId1566" Type="http://schemas.openxmlformats.org/officeDocument/2006/relationships/hyperlink" Target="https://drive.google.com/open?id=1_9JT_3-onuin8sxcD7pwXZF8djZ8TaiA" TargetMode="External"/><Relationship Id="rId1773" Type="http://schemas.openxmlformats.org/officeDocument/2006/relationships/hyperlink" Target="https://drive.google.com/open?id=1hLqBvoVTa3wH14zI-ucnZ8QLX6NXpTow" TargetMode="External"/><Relationship Id="rId65" Type="http://schemas.openxmlformats.org/officeDocument/2006/relationships/hyperlink" Target="https://drive.google.com/open?id=1JIFvKxJTbMK4I4EMBOPC3qOH5NedmmhW" TargetMode="External"/><Relationship Id="rId1426" Type="http://schemas.openxmlformats.org/officeDocument/2006/relationships/hyperlink" Target="https://drive.google.com/open?id=1DzqfiW_8stADNG4u_j3FHv4xDMiywobM" TargetMode="External"/><Relationship Id="rId1633" Type="http://schemas.openxmlformats.org/officeDocument/2006/relationships/hyperlink" Target="https://drive.google.com/open?id=11He7YKt5pHx6q9Ce20VUjFo4h2zJuXsC" TargetMode="External"/><Relationship Id="rId1700" Type="http://schemas.openxmlformats.org/officeDocument/2006/relationships/hyperlink" Target="https://drive.google.com/open?id=1ublXlS4EyPIEZzfETgqjGxe9DuqhPa3n" TargetMode="External"/><Relationship Id="rId281" Type="http://schemas.openxmlformats.org/officeDocument/2006/relationships/hyperlink" Target="https://drive.google.com/open?id=1ZD2Cve6ernmtr4kHr1CCiAHhhnEejuIl" TargetMode="External"/><Relationship Id="rId141" Type="http://schemas.openxmlformats.org/officeDocument/2006/relationships/hyperlink" Target="https://drive.google.com/open?id=1z2QVG5t8xwlMmbmufC4haV19gEL1cGFA" TargetMode="External"/><Relationship Id="rId379" Type="http://schemas.openxmlformats.org/officeDocument/2006/relationships/hyperlink" Target="https://drive.google.com/open?id=1SLuYIJv_m4N_fpGDaBwVL-GDmEk36ukC" TargetMode="External"/><Relationship Id="rId586" Type="http://schemas.openxmlformats.org/officeDocument/2006/relationships/hyperlink" Target="https://drive.google.com/open?id=1cVlQuWI3XfUzpWCl8teLqNJAnQycplSX" TargetMode="External"/><Relationship Id="rId793" Type="http://schemas.openxmlformats.org/officeDocument/2006/relationships/hyperlink" Target="https://drive.google.com/open?id=1aQHJf1N27vV_cIVwEVW_p0X9cy0nRyrG" TargetMode="External"/><Relationship Id="rId7" Type="http://schemas.openxmlformats.org/officeDocument/2006/relationships/hyperlink" Target="https://drive.google.com/open?id=1jLLiTNhHg85iNLEZn-4qT4GlcU5vDDax" TargetMode="External"/><Relationship Id="rId239" Type="http://schemas.openxmlformats.org/officeDocument/2006/relationships/hyperlink" Target="https://drive.google.com/open?id=1f7YLk0VBA6sZzWTte8ia-4PXhwmsk2Sl" TargetMode="External"/><Relationship Id="rId446" Type="http://schemas.openxmlformats.org/officeDocument/2006/relationships/hyperlink" Target="https://drive.google.com/open?id=1KzfC25ueXsxXMEz9ewYVN8kIJAliO7gC" TargetMode="External"/><Relationship Id="rId653" Type="http://schemas.openxmlformats.org/officeDocument/2006/relationships/hyperlink" Target="https://drive.google.com/open?id=1vamlYnmRS38q7yd03YSefItVKX35GvWF" TargetMode="External"/><Relationship Id="rId1076" Type="http://schemas.openxmlformats.org/officeDocument/2006/relationships/hyperlink" Target="https://drive.google.com/file/d/1EMurK5CKUo8vzNgaKg8UpznEMdV5KF1b/view?usp=drivesdk" TargetMode="External"/><Relationship Id="rId1283" Type="http://schemas.openxmlformats.org/officeDocument/2006/relationships/hyperlink" Target="https://drive.google.com/open?id=1_Tt4DgJ3GFmJNAvCVH0awKkrDTd8vI4u" TargetMode="External"/><Relationship Id="rId1490" Type="http://schemas.openxmlformats.org/officeDocument/2006/relationships/hyperlink" Target="https://drive.google.com/open?id=1U0D_Q5LSoOAVaCSZUqBUFtAGXmUn3NPu" TargetMode="External"/><Relationship Id="rId306" Type="http://schemas.openxmlformats.org/officeDocument/2006/relationships/hyperlink" Target="https://drive.google.com/open?id=1tDdEx1F9LKhhYth6oJ9krd8hDBk86u97" TargetMode="External"/><Relationship Id="rId860" Type="http://schemas.openxmlformats.org/officeDocument/2006/relationships/hyperlink" Target="https://drive.google.com/open?id=1bUjMR9PsNHW5eHZ1jhX9vyuHLJr4LFw_" TargetMode="External"/><Relationship Id="rId958" Type="http://schemas.openxmlformats.org/officeDocument/2006/relationships/hyperlink" Target="https://drive.google.com/open?id=1ahZYLjppvMoKLk7-FB5f8v8TlpUtdcOp" TargetMode="External"/><Relationship Id="rId1143" Type="http://schemas.openxmlformats.org/officeDocument/2006/relationships/hyperlink" Target="https://drive.google.com/open?id=16abHlqomsf0P5_8YECjXHaem4ctmHXUH" TargetMode="External"/><Relationship Id="rId1588" Type="http://schemas.openxmlformats.org/officeDocument/2006/relationships/hyperlink" Target="https://drive.google.com/open?id=1cToLdMbcXBSbwY-Wh9XFp-XRzSevRyQN" TargetMode="External"/><Relationship Id="rId1795" Type="http://schemas.openxmlformats.org/officeDocument/2006/relationships/hyperlink" Target="https://drive.google.com/open?id=1fIgjSN121fo2kgwv-iPq74IcPjChtijB" TargetMode="External"/><Relationship Id="rId87" Type="http://schemas.openxmlformats.org/officeDocument/2006/relationships/hyperlink" Target="https://drive.google.com/open?id=1s6AmPWmJJ2zs2sLM3yDuJ0lamYb7dFrI" TargetMode="External"/><Relationship Id="rId513" Type="http://schemas.openxmlformats.org/officeDocument/2006/relationships/hyperlink" Target="https://drive.google.com/file/d/1lGfbmBP3tqcOGqfMWjlLKbOGd4rTzMl0/view?usp=drivesdk" TargetMode="External"/><Relationship Id="rId720" Type="http://schemas.openxmlformats.org/officeDocument/2006/relationships/hyperlink" Target="https://drive.google.com/open?id=1frt_88gv8lIRXpY58m3hpa7w8yRTbtal" TargetMode="External"/><Relationship Id="rId818" Type="http://schemas.openxmlformats.org/officeDocument/2006/relationships/hyperlink" Target="https://drive.google.com/open?id=1805gzZbfXGOeVRKj6xJitFIkC585jQ3x" TargetMode="External"/><Relationship Id="rId1350" Type="http://schemas.openxmlformats.org/officeDocument/2006/relationships/hyperlink" Target="https://drive.google.com/open?id=1-BoxIEYw5z4FtbmXMWlRCp9hjQq0LBUT" TargetMode="External"/><Relationship Id="rId1448" Type="http://schemas.openxmlformats.org/officeDocument/2006/relationships/hyperlink" Target="https://drive.google.com/open?id=1ElrMT1GoimYPImac5SsoD2sMZmypa_PJ" TargetMode="External"/><Relationship Id="rId1655" Type="http://schemas.openxmlformats.org/officeDocument/2006/relationships/hyperlink" Target="https://drive.google.com/file/d/12KlSZbC4Vaz6-RBDKaLC24js7IEXGwXb/view?usp=drivesdk" TargetMode="External"/><Relationship Id="rId1003" Type="http://schemas.openxmlformats.org/officeDocument/2006/relationships/hyperlink" Target="https://drive.google.com/open?id=1p1Z1HFhx4FQUli-beiQRYHEin6AknAbS" TargetMode="External"/><Relationship Id="rId1210" Type="http://schemas.openxmlformats.org/officeDocument/2006/relationships/hyperlink" Target="https://drive.google.com/open?id=1qN5qcgwGYd6vcOIkr7MQUMfl3CwTQmEh" TargetMode="External"/><Relationship Id="rId1308" Type="http://schemas.openxmlformats.org/officeDocument/2006/relationships/hyperlink" Target="https://drive.google.com/open?id=1QHg7mtA7RQDUHlSa-ghGY2zZYUx6L8aN" TargetMode="External"/><Relationship Id="rId1515" Type="http://schemas.openxmlformats.org/officeDocument/2006/relationships/hyperlink" Target="https://drive.google.com/file/d/1X-F1JfLExjrO36ZYP0vZLQAXvl8dG3A8/view?usp=drivesdk" TargetMode="External"/><Relationship Id="rId1722" Type="http://schemas.openxmlformats.org/officeDocument/2006/relationships/hyperlink" Target="https://drive.google.com/file/d/1_Fy0Xwl9LckzE_Mc1ZielmMUS2d8TQGT/view?usp=drivesdk" TargetMode="External"/><Relationship Id="rId14" Type="http://schemas.openxmlformats.org/officeDocument/2006/relationships/hyperlink" Target="https://drive.google.com/open?id=18682IYp7sMu_JCAau-L9kq9V84TQm7RG" TargetMode="External"/><Relationship Id="rId163" Type="http://schemas.openxmlformats.org/officeDocument/2006/relationships/hyperlink" Target="https://drive.google.com/open?id=1UiurjWR3A82lKsQWM3i24DI7j9Bxa0SA" TargetMode="External"/><Relationship Id="rId370" Type="http://schemas.openxmlformats.org/officeDocument/2006/relationships/hyperlink" Target="https://drive.google.com/open?id=1iWelmCRgUH_j4Imv06ClT0OUpf9MyaNR" TargetMode="External"/><Relationship Id="rId230" Type="http://schemas.openxmlformats.org/officeDocument/2006/relationships/hyperlink" Target="https://drive.google.com/open?id=1Ok3a-E3vjTmzcVbAEPAbv_LpvK-HNiqr" TargetMode="External"/><Relationship Id="rId468" Type="http://schemas.openxmlformats.org/officeDocument/2006/relationships/hyperlink" Target="https://drive.google.com/open?id=18LZzmIG6l4xV8Oh_8p5Sb0gXyNVeSmt9" TargetMode="External"/><Relationship Id="rId675" Type="http://schemas.openxmlformats.org/officeDocument/2006/relationships/hyperlink" Target="https://drive.google.com/file/d/1RNz-Oe3g9zB1wFiGSu5QHHzCivpmOTBj/view?usp=drivesdk" TargetMode="External"/><Relationship Id="rId882" Type="http://schemas.openxmlformats.org/officeDocument/2006/relationships/hyperlink" Target="https://drive.google.com/open?id=1JhlKN9FxxdWz2Zy0B16pDRumBcIQ_e37" TargetMode="External"/><Relationship Id="rId1098" Type="http://schemas.openxmlformats.org/officeDocument/2006/relationships/hyperlink" Target="https://drive.google.com/open?id=1cwzuj6oznaO9SuQWSx4_ytWZNG8uRsO4" TargetMode="External"/><Relationship Id="rId328" Type="http://schemas.openxmlformats.org/officeDocument/2006/relationships/hyperlink" Target="https://drive.google.com/open?id=1hfVpmqnfKVmPC4rN1UgfFJ0vw_MEi0I1" TargetMode="External"/><Relationship Id="rId535" Type="http://schemas.openxmlformats.org/officeDocument/2006/relationships/hyperlink" Target="https://drive.google.com/file/d/1ebaEMq-daJjt6oKi_jD7kVeoGiyzFcwq/view?usp=drivesdk" TargetMode="External"/><Relationship Id="rId742" Type="http://schemas.openxmlformats.org/officeDocument/2006/relationships/hyperlink" Target="https://drive.google.com/open?id=1HjXpBeiNKUdF79doZyTcr4PnzYWcTKT9" TargetMode="External"/><Relationship Id="rId1165" Type="http://schemas.openxmlformats.org/officeDocument/2006/relationships/hyperlink" Target="https://drive.google.com/open?id=1MpE9u7-1piroFp29CPI5Cs0sXywEv5rD" TargetMode="External"/><Relationship Id="rId1372" Type="http://schemas.openxmlformats.org/officeDocument/2006/relationships/hyperlink" Target="https://drive.google.com/open?id=1o3xAz1QS5Ul_t-0Ym2MYv05BiuiCnoOt" TargetMode="External"/><Relationship Id="rId602" Type="http://schemas.openxmlformats.org/officeDocument/2006/relationships/hyperlink" Target="https://drive.google.com/open?id=1Kv7XOYc0apcKw9hmqmEVIb0FDFQAdFJw" TargetMode="External"/><Relationship Id="rId1025" Type="http://schemas.openxmlformats.org/officeDocument/2006/relationships/hyperlink" Target="https://drive.google.com/open?id=14tKMlFmWxOSpMHERhXOFby2lKPMwkyEc" TargetMode="External"/><Relationship Id="rId1232" Type="http://schemas.openxmlformats.org/officeDocument/2006/relationships/hyperlink" Target="https://drive.google.com/open?id=1ZHatG1g3LDL0sNm1NARNI-378XXGaB5P" TargetMode="External"/><Relationship Id="rId1677" Type="http://schemas.openxmlformats.org/officeDocument/2006/relationships/hyperlink" Target="https://drive.google.com/open?id=1ELrC5sQtP_5Xiy2yPGO7u4WkxcrhaSYI" TargetMode="External"/><Relationship Id="rId907" Type="http://schemas.openxmlformats.org/officeDocument/2006/relationships/hyperlink" Target="https://drive.google.com/file/d/1P0Yc3XuYE7ua5m1CQVl0wVOqsHWI7s1e/view?usp=drivesdk" TargetMode="External"/><Relationship Id="rId1537" Type="http://schemas.openxmlformats.org/officeDocument/2006/relationships/hyperlink" Target="https://drive.google.com/file/d/1uQoN0_MTPJOSwe87FN2H9bvVuFYuwg-T/view?usp=drivesdk" TargetMode="External"/><Relationship Id="rId1744" Type="http://schemas.openxmlformats.org/officeDocument/2006/relationships/hyperlink" Target="https://drive.google.com/open?id=1722bAVnIPrYh-vlYol-OBqdO2TKZp5D0" TargetMode="External"/><Relationship Id="rId36" Type="http://schemas.openxmlformats.org/officeDocument/2006/relationships/hyperlink" Target="https://drive.google.com/open?id=1IWIznNmz-zW6Osh7bIbbkrjzJrpFqwUi" TargetMode="External"/><Relationship Id="rId1604" Type="http://schemas.openxmlformats.org/officeDocument/2006/relationships/hyperlink" Target="https://drive.google.com/open?id=14M0f-j07ZW44Q2ZCZ3G42MXhffUMEaGj" TargetMode="External"/><Relationship Id="rId185" Type="http://schemas.openxmlformats.org/officeDocument/2006/relationships/hyperlink" Target="https://drive.google.com/open?id=1cctZSH_3_JglbtI-seOSgIydRkZv5nYM" TargetMode="External"/><Relationship Id="rId1811" Type="http://schemas.openxmlformats.org/officeDocument/2006/relationships/hyperlink" Target="https://drive.google.com/open?id=1nf-e1kCcDeeGMsZeJhrpESQdeQPK9Uyk" TargetMode="External"/><Relationship Id="rId392" Type="http://schemas.openxmlformats.org/officeDocument/2006/relationships/hyperlink" Target="https://drive.google.com/open?id=1EObNG36zZuT6BgEAQQHTiny5u988Mb96" TargetMode="External"/><Relationship Id="rId697" Type="http://schemas.openxmlformats.org/officeDocument/2006/relationships/hyperlink" Target="https://drive.google.com/file/d/13_VzGMCle1nZKLHKIXXvggGpru28WU-s/view?usp=drivesdk" TargetMode="External"/><Relationship Id="rId252" Type="http://schemas.openxmlformats.org/officeDocument/2006/relationships/hyperlink" Target="https://drive.google.com/open?id=1j54GcmDQVePD_m72QH1uQXkXu7Fw8gD2" TargetMode="External"/><Relationship Id="rId1187" Type="http://schemas.openxmlformats.org/officeDocument/2006/relationships/hyperlink" Target="https://drive.google.com/file/d/1yPau46tV8EQmv6tpZh1j_y_H0cUy5zrg/view?usp=drivesdk" TargetMode="External"/><Relationship Id="rId112" Type="http://schemas.openxmlformats.org/officeDocument/2006/relationships/hyperlink" Target="https://drive.google.com/open?id=1ysw_1oFEzOb2j46VMVp3sfwdDnaFX2SR" TargetMode="External"/><Relationship Id="rId557" Type="http://schemas.openxmlformats.org/officeDocument/2006/relationships/hyperlink" Target="https://drive.google.com/open?id=1QiLLHAqAdky5D0pUfTOQGCO09rVy_Iwe" TargetMode="External"/><Relationship Id="rId764" Type="http://schemas.openxmlformats.org/officeDocument/2006/relationships/hyperlink" Target="https://drive.google.com/open?id=1IDSq9UoS6aUwoxohmpGDb-mQH52nF7K8" TargetMode="External"/><Relationship Id="rId971" Type="http://schemas.openxmlformats.org/officeDocument/2006/relationships/hyperlink" Target="https://drive.google.com/file/d/1gIkxZwV_mIUI6Yjv8eQYZ3GlT-rrMPkh/view?usp=drivesdk" TargetMode="External"/><Relationship Id="rId1394" Type="http://schemas.openxmlformats.org/officeDocument/2006/relationships/hyperlink" Target="https://drive.google.com/open?id=1Voy8wOV3ipF6_-7J29DozyHxgQL7a_tU" TargetMode="External"/><Relationship Id="rId1699" Type="http://schemas.openxmlformats.org/officeDocument/2006/relationships/hyperlink" Target="https://drive.google.com/open?id=1jiZFIIsGP2BCEZnsjcysFZ8zAeTASjMu" TargetMode="External"/><Relationship Id="rId417" Type="http://schemas.openxmlformats.org/officeDocument/2006/relationships/hyperlink" Target="https://drive.google.com/open?id=1sxaSzsOPr97Y8CFucSfdQXOfxbfipcrl" TargetMode="External"/><Relationship Id="rId624" Type="http://schemas.openxmlformats.org/officeDocument/2006/relationships/hyperlink" Target="https://drive.google.com/open?id=1da0yvCd3MHSDbW7wexFRdtX9JOerU-uK" TargetMode="External"/><Relationship Id="rId831" Type="http://schemas.openxmlformats.org/officeDocument/2006/relationships/hyperlink" Target="https://drive.google.com/file/d/1BuBEDfvYhBwi5YdXro0DOgykbfMKse3M/view?usp=drivesdk" TargetMode="External"/><Relationship Id="rId1047" Type="http://schemas.openxmlformats.org/officeDocument/2006/relationships/hyperlink" Target="https://drive.google.com/file/d/1r2M53qCDYkCqMooNY_4oeLndb_7CC1v5/view?usp=drivesdk" TargetMode="External"/><Relationship Id="rId1254" Type="http://schemas.openxmlformats.org/officeDocument/2006/relationships/hyperlink" Target="https://drive.google.com/open?id=1Q5TJLvW2EwrL1SJDs1Ca42mykLUrfc6H" TargetMode="External"/><Relationship Id="rId1461" Type="http://schemas.openxmlformats.org/officeDocument/2006/relationships/hyperlink" Target="https://drive.google.com/open?id=172bLHCh2VlLHM5_MVPh138txgOhzCKEA" TargetMode="External"/><Relationship Id="rId929" Type="http://schemas.openxmlformats.org/officeDocument/2006/relationships/hyperlink" Target="https://drive.google.com/file/d/1hqK6J6vBaEYIaaAVFyrHPPTChrk25-l2/view?usp=drivesdk" TargetMode="External"/><Relationship Id="rId1114" Type="http://schemas.openxmlformats.org/officeDocument/2006/relationships/hyperlink" Target="https://drive.google.com/open?id=1jBBj1GLn0q8V9gwetK83hk-gJ2fLBiqB" TargetMode="External"/><Relationship Id="rId1321" Type="http://schemas.openxmlformats.org/officeDocument/2006/relationships/hyperlink" Target="https://drive.google.com/open?id=1JVdXiyEJeNOR8oKf-9WFZGUKgCVvBLiW" TargetMode="External"/><Relationship Id="rId1559" Type="http://schemas.openxmlformats.org/officeDocument/2006/relationships/hyperlink" Target="https://drive.google.com/open?id=1RThAae0PL0Zz-TksbAw5uO4cci0IHcm1" TargetMode="External"/><Relationship Id="rId1766" Type="http://schemas.openxmlformats.org/officeDocument/2006/relationships/hyperlink" Target="https://drive.google.com/open?id=126arQVFr5mUtTvzEq2Aa_e-FL1-8xFi_" TargetMode="External"/><Relationship Id="rId58" Type="http://schemas.openxmlformats.org/officeDocument/2006/relationships/hyperlink" Target="https://drive.google.com/open?id=1V1YGh7M5aMVPrBV8h_2GnXk-gy8pGjwG" TargetMode="External"/><Relationship Id="rId1419" Type="http://schemas.openxmlformats.org/officeDocument/2006/relationships/hyperlink" Target="https://drive.google.com/open?id=1MZz-G5Qt6gud8wJdhNrvpj8qIBIgGbLm" TargetMode="External"/><Relationship Id="rId1626" Type="http://schemas.openxmlformats.org/officeDocument/2006/relationships/hyperlink" Target="https://drive.google.com/open?id=1N2sbbG9rLtOve6SavuUKCr1iE5LNG9EK" TargetMode="External"/><Relationship Id="rId1833" Type="http://schemas.openxmlformats.org/officeDocument/2006/relationships/hyperlink" Target="https://drive.google.com/file/d/1ra1AJOETOK9sg0ARjRE9PEQjAyUuBvSe/view?usp=drivesdk" TargetMode="External"/><Relationship Id="rId274" Type="http://schemas.openxmlformats.org/officeDocument/2006/relationships/hyperlink" Target="https://drive.google.com/open?id=1WHJEayk3AX0CNoXJovPjXvcJu_HQRC-c" TargetMode="External"/><Relationship Id="rId481" Type="http://schemas.openxmlformats.org/officeDocument/2006/relationships/hyperlink" Target="https://drive.google.com/open?id=1J0SGwbkbmLR8crBpTGWlMulHBy9H4KBL" TargetMode="External"/><Relationship Id="rId134" Type="http://schemas.openxmlformats.org/officeDocument/2006/relationships/hyperlink" Target="https://drive.google.com/open?id=1FfbLw-LMALfg_ABNRou7jbCK-N_LA9b4" TargetMode="External"/><Relationship Id="rId579" Type="http://schemas.openxmlformats.org/officeDocument/2006/relationships/hyperlink" Target="https://drive.google.com/open?id=1fcUmOV3Gyo6OWvgkcrsZ7Bh3D1nxp1b7" TargetMode="External"/><Relationship Id="rId786" Type="http://schemas.openxmlformats.org/officeDocument/2006/relationships/hyperlink" Target="https://drive.google.com/open?id=1Nvr4MTgCsPAid4z-YIIqXXLqx8UEM5p3" TargetMode="External"/><Relationship Id="rId993" Type="http://schemas.openxmlformats.org/officeDocument/2006/relationships/hyperlink" Target="https://drive.google.com/open?id=1PETcrjGgdZFbO9eTV_T_3RuBQtKTHJtv" TargetMode="External"/><Relationship Id="rId341" Type="http://schemas.openxmlformats.org/officeDocument/2006/relationships/hyperlink" Target="https://drive.google.com/file/d/18IjRf3MrPCKhpAByF9UT18_BX03poFPB/view?usp=drivesdk" TargetMode="External"/><Relationship Id="rId439" Type="http://schemas.openxmlformats.org/officeDocument/2006/relationships/hyperlink" Target="https://drive.google.com/open?id=1y4p9znYS_x7UkPqoEmr1JpBjupwD4n2h" TargetMode="External"/><Relationship Id="rId646" Type="http://schemas.openxmlformats.org/officeDocument/2006/relationships/hyperlink" Target="https://drive.google.com/open?id=1P2qGeiVhCemN1o7kOduZQBhq2cb8riMA" TargetMode="External"/><Relationship Id="rId1069" Type="http://schemas.openxmlformats.org/officeDocument/2006/relationships/hyperlink" Target="https://drive.google.com/file/d/1k1kmL6O1a9peZEpMlGIwJQdknwQI8MyL/view?usp=drivesdk" TargetMode="External"/><Relationship Id="rId1276" Type="http://schemas.openxmlformats.org/officeDocument/2006/relationships/hyperlink" Target="https://drive.google.com/open?id=1sQYxrD8uokyj-ld0OtfHBJZ9FrMCJL84" TargetMode="External"/><Relationship Id="rId1483" Type="http://schemas.openxmlformats.org/officeDocument/2006/relationships/hyperlink" Target="https://drive.google.com/open?id=1JHGv9uB3fMREbKV-qk7vYDhtNGVTPMoB" TargetMode="External"/><Relationship Id="rId201" Type="http://schemas.openxmlformats.org/officeDocument/2006/relationships/hyperlink" Target="https://drive.google.com/open?id=1LzJ2wulyyOtocEeeDmSkyhKOhySWTb9m" TargetMode="External"/><Relationship Id="rId506" Type="http://schemas.openxmlformats.org/officeDocument/2006/relationships/hyperlink" Target="https://drive.google.com/file/d/1ILxAaGHUilHO7ezP84tQoVLS2K_BO0qf/view?usp=drivesdk" TargetMode="External"/><Relationship Id="rId853" Type="http://schemas.openxmlformats.org/officeDocument/2006/relationships/hyperlink" Target="https://drive.google.com/open?id=1fWyAGTHHknrGMBRBeg5Gy81HKQw9QZnt" TargetMode="External"/><Relationship Id="rId1136" Type="http://schemas.openxmlformats.org/officeDocument/2006/relationships/hyperlink" Target="https://drive.google.com/open?id=1RppWtn2YxaWY4-3bhad-AFwF4_Vl0pEo" TargetMode="External"/><Relationship Id="rId1690" Type="http://schemas.openxmlformats.org/officeDocument/2006/relationships/hyperlink" Target="https://drive.google.com/file/d/1bW8cF_ebACTLrgi3KZTbacKGG6LdQi-k/view?usp=drivesdk" TargetMode="External"/><Relationship Id="rId1788" Type="http://schemas.openxmlformats.org/officeDocument/2006/relationships/hyperlink" Target="https://drive.google.com/open?id=1Wl_Pn5shdS-ZT5wDOv8uTG9bUlFYnA0G" TargetMode="External"/><Relationship Id="rId713" Type="http://schemas.openxmlformats.org/officeDocument/2006/relationships/hyperlink" Target="https://drive.google.com/open?id=1XM31D989wr74WCj_kqDnLc9sQyh_HqKc" TargetMode="External"/><Relationship Id="rId920" Type="http://schemas.openxmlformats.org/officeDocument/2006/relationships/hyperlink" Target="https://drive.google.com/open?id=1wdlNGmUj3EVii6kYB23oA7yDPiiI0dFv" TargetMode="External"/><Relationship Id="rId1343" Type="http://schemas.openxmlformats.org/officeDocument/2006/relationships/hyperlink" Target="https://drive.google.com/open?id=1-QO05jDJXTym3ue1DVF4l1Kr_pwtjNzq" TargetMode="External"/><Relationship Id="rId1550" Type="http://schemas.openxmlformats.org/officeDocument/2006/relationships/hyperlink" Target="https://drive.google.com/file/d/1U2ajPZjyCJp5DL1RqQSZkpDvO9huM87x/view?usp=drivesdk" TargetMode="External"/><Relationship Id="rId1648" Type="http://schemas.openxmlformats.org/officeDocument/2006/relationships/hyperlink" Target="https://drive.google.com/file/d/13L-sxvU8B8GBnbqnpLSlpa3PeHrtjXSj/view?usp=drivesdk" TargetMode="External"/><Relationship Id="rId1203" Type="http://schemas.openxmlformats.org/officeDocument/2006/relationships/hyperlink" Target="https://drive.google.com/open?id=1sw2WIIsN1gqEEECaphY3pXwZYLkNuqFz" TargetMode="External"/><Relationship Id="rId1410" Type="http://schemas.openxmlformats.org/officeDocument/2006/relationships/hyperlink" Target="https://drive.google.com/file/d/1v00qrNC31huTxyeOvvDZ1A5V1gA1bsgw/view?usp=drivesdk" TargetMode="External"/><Relationship Id="rId1508" Type="http://schemas.openxmlformats.org/officeDocument/2006/relationships/hyperlink" Target="https://drive.google.com/file/d/17xcfEaWc5kT99oO17aGA16u1rfwr7dsI/view?usp=drivesdk" TargetMode="External"/><Relationship Id="rId1715" Type="http://schemas.openxmlformats.org/officeDocument/2006/relationships/hyperlink" Target="https://drive.google.com/open?id=1tMrYEOZHb7qFhjhOKTPjTxwfvBzMQv5G" TargetMode="External"/><Relationship Id="rId296" Type="http://schemas.openxmlformats.org/officeDocument/2006/relationships/hyperlink" Target="https://drive.google.com/open?id=19zV652lzfB2K2nf9RNpw5QoPCAAzC8sI" TargetMode="External"/><Relationship Id="rId156" Type="http://schemas.openxmlformats.org/officeDocument/2006/relationships/hyperlink" Target="https://drive.google.com/open?id=1BSwBnVMDr81DgHG8FXNLfhXeViq7g5V2" TargetMode="External"/><Relationship Id="rId363" Type="http://schemas.openxmlformats.org/officeDocument/2006/relationships/hyperlink" Target="https://drive.google.com/open?id=1OURaM714IMwZg3IfY5-JBmMEgKW-agwL" TargetMode="External"/><Relationship Id="rId570" Type="http://schemas.openxmlformats.org/officeDocument/2006/relationships/hyperlink" Target="https://drive.google.com/file/d/1ZzVs7LOo7C_bHAXhl7d74fLpSpLz1m1D/view?usp=drivesdk" TargetMode="External"/><Relationship Id="rId223" Type="http://schemas.openxmlformats.org/officeDocument/2006/relationships/hyperlink" Target="https://drive.google.com/open?id=1aNRHjTHlkRDjywpkgDhesA0HeV9HYgf4" TargetMode="External"/><Relationship Id="rId430" Type="http://schemas.openxmlformats.org/officeDocument/2006/relationships/hyperlink" Target="https://drive.google.com/file/d/1o3s59HfDCwbURa7WeUoB27GC48bswMCr/view?usp=drivesdk" TargetMode="External"/><Relationship Id="rId668" Type="http://schemas.openxmlformats.org/officeDocument/2006/relationships/hyperlink" Target="https://drive.google.com/file/d/1eqc_l9b48s5oHcLghK-OUZc0hXdaswiZ/view?usp=drivesdk" TargetMode="External"/><Relationship Id="rId875" Type="http://schemas.openxmlformats.org/officeDocument/2006/relationships/hyperlink" Target="https://drive.google.com/open?id=1tV6-2_kVtyyYdS_9VVDjS9HSUV-BVIUV" TargetMode="External"/><Relationship Id="rId1060" Type="http://schemas.openxmlformats.org/officeDocument/2006/relationships/hyperlink" Target="https://drive.google.com/open?id=1PI_suTOOn87tALHedd3BBEw5-Qoiw8Wc" TargetMode="External"/><Relationship Id="rId1298" Type="http://schemas.openxmlformats.org/officeDocument/2006/relationships/hyperlink" Target="https://drive.google.com/open?id=1lpRmKsWfYb4d53K_tHSVY_nR7sfXo7q3" TargetMode="External"/><Relationship Id="rId528" Type="http://schemas.openxmlformats.org/officeDocument/2006/relationships/hyperlink" Target="https://drive.google.com/file/d/1mEFH9bHvD75-MFjCR0MbtncQ2htZf3-t/view?usp=drivesdk" TargetMode="External"/><Relationship Id="rId735" Type="http://schemas.openxmlformats.org/officeDocument/2006/relationships/hyperlink" Target="https://drive.google.com/open?id=1_eY8_8r2B-ARTlDmfn29b6UxFvMYKQyM" TargetMode="External"/><Relationship Id="rId942" Type="http://schemas.openxmlformats.org/officeDocument/2006/relationships/hyperlink" Target="https://drive.google.com/file/d/1aRjiuZBaC59hBaPmCtP3PzmuRgwL_IU2/view?usp=drivesdk" TargetMode="External"/><Relationship Id="rId1158" Type="http://schemas.openxmlformats.org/officeDocument/2006/relationships/hyperlink" Target="https://drive.google.com/open?id=10dyRBD0qgQYgmenoFVn9PoItquhhq4uV" TargetMode="External"/><Relationship Id="rId1365" Type="http://schemas.openxmlformats.org/officeDocument/2006/relationships/hyperlink" Target="https://drive.google.com/open?id=1U1UamDDuFQQ-dwwuApvmrkuc_tecjJDf" TargetMode="External"/><Relationship Id="rId1572" Type="http://schemas.openxmlformats.org/officeDocument/2006/relationships/hyperlink" Target="https://drive.google.com/file/d/1V_uerHWynhH3F0sgr8i2P1_V4d-TBG6G/view?usp=drivesdk" TargetMode="External"/><Relationship Id="rId1018" Type="http://schemas.openxmlformats.org/officeDocument/2006/relationships/hyperlink" Target="https://drive.google.com/open?id=18XRoBzpWx_szxXN4_lgA9Fdkgj7Y6XeL" TargetMode="External"/><Relationship Id="rId1225" Type="http://schemas.openxmlformats.org/officeDocument/2006/relationships/hyperlink" Target="https://drive.google.com/open?id=1mFvC3LQSd2vVyMYiJyWHN0QrerdSwGqF" TargetMode="External"/><Relationship Id="rId1432" Type="http://schemas.openxmlformats.org/officeDocument/2006/relationships/hyperlink" Target="https://drive.google.com/open?id=1LN-QrJQnyGGACaqikHCCSQWw_kravOGR" TargetMode="External"/><Relationship Id="rId71" Type="http://schemas.openxmlformats.org/officeDocument/2006/relationships/hyperlink" Target="https://drive.google.com/open?id=10ebVrKBOdbfpspkcMIx-HPjZ903b1NxJ" TargetMode="External"/><Relationship Id="rId802" Type="http://schemas.openxmlformats.org/officeDocument/2006/relationships/hyperlink" Target="https://drive.google.com/file/d/1x3eTME3jMr3o5zzaEzxUw8CpqlNBHN5S/view?usp=drivesdk" TargetMode="External"/><Relationship Id="rId1737" Type="http://schemas.openxmlformats.org/officeDocument/2006/relationships/hyperlink" Target="https://drive.google.com/open?id=1h-0BfuFZQ8fWnZlrNL-t2KpOW1xqVTDQ" TargetMode="External"/><Relationship Id="rId29" Type="http://schemas.openxmlformats.org/officeDocument/2006/relationships/hyperlink" Target="https://drive.google.com/open?id=1pH9GH3324bL90zL9ceccP9WjRCubd9pV" TargetMode="External"/><Relationship Id="rId178" Type="http://schemas.openxmlformats.org/officeDocument/2006/relationships/hyperlink" Target="https://drive.google.com/open?id=1fPxj3H-Z4bLK_S7a8xgXLKXpwMCo8DKC" TargetMode="External"/><Relationship Id="rId1804" Type="http://schemas.openxmlformats.org/officeDocument/2006/relationships/hyperlink" Target="https://drive.google.com/open?id=1dZC68Ilhv_mfVDY26pW9wrau2OD5LXvu" TargetMode="External"/><Relationship Id="rId385" Type="http://schemas.openxmlformats.org/officeDocument/2006/relationships/hyperlink" Target="https://drive.google.com/open?id=1xKIZjc2CtGGSTeJMGbiP35zLdTeLjtCp" TargetMode="External"/><Relationship Id="rId592" Type="http://schemas.openxmlformats.org/officeDocument/2006/relationships/hyperlink" Target="https://drive.google.com/open?id=1HZMtaOO2pMZ6BXkZbFajePlvIbBrBj1I" TargetMode="External"/><Relationship Id="rId245" Type="http://schemas.openxmlformats.org/officeDocument/2006/relationships/hyperlink" Target="https://drive.google.com/open?id=1Pfa6bkHMkmIbLIcAyghigD4MLkDDS2RJ" TargetMode="External"/><Relationship Id="rId452" Type="http://schemas.openxmlformats.org/officeDocument/2006/relationships/hyperlink" Target="https://drive.google.com/open?id=19fVXYIl-9gVWlg52YlEwPq3JrHJAdTGF" TargetMode="External"/><Relationship Id="rId897" Type="http://schemas.openxmlformats.org/officeDocument/2006/relationships/hyperlink" Target="https://drive.google.com/open?id=1a9Fjdsn-gYmQ6z33STrTQPYaNeBSfRLy" TargetMode="External"/><Relationship Id="rId1082" Type="http://schemas.openxmlformats.org/officeDocument/2006/relationships/hyperlink" Target="https://drive.google.com/file/d/14goHheFUt3QlcCg8ZkrQiCulmeN9aZwX/view?usp=drivesdk" TargetMode="External"/><Relationship Id="rId105" Type="http://schemas.openxmlformats.org/officeDocument/2006/relationships/hyperlink" Target="https://drive.google.com/open?id=1Ic7OoTexi69pyYEpjLjaM-dNzFjiYrnE" TargetMode="External"/><Relationship Id="rId312" Type="http://schemas.openxmlformats.org/officeDocument/2006/relationships/hyperlink" Target="https://drive.google.com/file/d/1dYT9eSzldOhDlkLJGqh-2GKCzcjflCUf/view?usp=drivesdk" TargetMode="External"/><Relationship Id="rId757" Type="http://schemas.openxmlformats.org/officeDocument/2006/relationships/hyperlink" Target="https://drive.google.com/open?id=10wL_f4YgHfQEzD9H5HvOtYrU29Mhw8RT" TargetMode="External"/><Relationship Id="rId964" Type="http://schemas.openxmlformats.org/officeDocument/2006/relationships/hyperlink" Target="https://drive.google.com/file/d/1jwZQWjqXlNBqStPHvHMpYD50o-ELYQpJ/view?usp=drivesdk" TargetMode="External"/><Relationship Id="rId1387" Type="http://schemas.openxmlformats.org/officeDocument/2006/relationships/hyperlink" Target="https://drive.google.com/open?id=1n1ako7FvVinzinsVvZPnhd6y4X6jbC1g" TargetMode="External"/><Relationship Id="rId1594" Type="http://schemas.openxmlformats.org/officeDocument/2006/relationships/hyperlink" Target="https://drive.google.com/open?id=1nTkwQnxIPdnZxE2VFyX9DN_cj0AbUYEA" TargetMode="External"/><Relationship Id="rId93" Type="http://schemas.openxmlformats.org/officeDocument/2006/relationships/hyperlink" Target="https://drive.google.com/open?id=1oJYQjLFGR4BzzSbePkc8H-yArOTQC9Y1" TargetMode="External"/><Relationship Id="rId617" Type="http://schemas.openxmlformats.org/officeDocument/2006/relationships/hyperlink" Target="https://drive.google.com/open?id=1ozSqTuTgLviTJjF48XgHHp6ADSDyToMq" TargetMode="External"/><Relationship Id="rId824" Type="http://schemas.openxmlformats.org/officeDocument/2006/relationships/hyperlink" Target="https://drive.google.com/file/d/14-IdX0hkDoWUGLC1RuLJEJEzxBtmtNQX/view?usp=drivesdk" TargetMode="External"/><Relationship Id="rId1247" Type="http://schemas.openxmlformats.org/officeDocument/2006/relationships/hyperlink" Target="https://drive.google.com/open?id=1XjKHXvHtUFrScPHXzhHlqhL8G5zs9mnI" TargetMode="External"/><Relationship Id="rId1454" Type="http://schemas.openxmlformats.org/officeDocument/2006/relationships/hyperlink" Target="https://drive.google.com/open?id=1REsWz0VNNNYaAZ-1h7K7pJW2Dzn05e9e" TargetMode="External"/><Relationship Id="rId1661" Type="http://schemas.openxmlformats.org/officeDocument/2006/relationships/hyperlink" Target="https://drive.google.com/file/d/1KbnvcK-ZQqrJ02eJuXwZEe0oLJPL2Cmn/view?usp=drivesdk" TargetMode="External"/><Relationship Id="rId1107" Type="http://schemas.openxmlformats.org/officeDocument/2006/relationships/hyperlink" Target="https://drive.google.com/open?id=1cUeVoSWtQabSZEWc1XlhvcpZV0g-98uM" TargetMode="External"/><Relationship Id="rId1314" Type="http://schemas.openxmlformats.org/officeDocument/2006/relationships/hyperlink" Target="https://drive.google.com/file/d/1LtXcicL2pddrpIoZFGPSI4sFqbgy8D9_/view?usp=drivesdk" TargetMode="External"/><Relationship Id="rId1521" Type="http://schemas.openxmlformats.org/officeDocument/2006/relationships/hyperlink" Target="https://drive.google.com/open?id=1e2kkM7O7sUuHvt3mvohqD-He04MhUbNP" TargetMode="External"/><Relationship Id="rId1759" Type="http://schemas.openxmlformats.org/officeDocument/2006/relationships/hyperlink" Target="https://drive.google.com/open?id=1I2hXZemaCGUxolqx-AUNmQvp-KVdy7L_" TargetMode="External"/><Relationship Id="rId1619" Type="http://schemas.openxmlformats.org/officeDocument/2006/relationships/hyperlink" Target="https://drive.google.com/open?id=1WDFuVXCUntZYi2qfUs3eCXeFA2ydtrJ2" TargetMode="External"/><Relationship Id="rId1826" Type="http://schemas.openxmlformats.org/officeDocument/2006/relationships/hyperlink" Target="https://drive.google.com/file/d/1RBpoFoMs4oInTRUbp7iiLPTZf_j7SEOz/view?usp=drivesdk" TargetMode="External"/><Relationship Id="rId20" Type="http://schemas.openxmlformats.org/officeDocument/2006/relationships/hyperlink" Target="https://drive.google.com/open?id=1FH9UHRGwPtLgSnB4FrRAtseWOJWuBy9E" TargetMode="External"/><Relationship Id="rId267" Type="http://schemas.openxmlformats.org/officeDocument/2006/relationships/hyperlink" Target="https://drive.google.com/open?id=125vVm1qDChlGqlmrfno2FjFv7brJZP7x" TargetMode="External"/><Relationship Id="rId474" Type="http://schemas.openxmlformats.org/officeDocument/2006/relationships/hyperlink" Target="https://drive.google.com/open?id=1lsANNAYx-trT1zsCbDMYOEIPPy_aFqSn" TargetMode="External"/><Relationship Id="rId127" Type="http://schemas.openxmlformats.org/officeDocument/2006/relationships/hyperlink" Target="https://drive.google.com/open?id=1n_NuQRoSDt1wn0PxhGUAURJLmNqSIejd" TargetMode="External"/><Relationship Id="rId681" Type="http://schemas.openxmlformats.org/officeDocument/2006/relationships/hyperlink" Target="https://drive.google.com/open?id=19590Uz_QS2lbcPoGpMKY8QIb9Jqw3D_l" TargetMode="External"/><Relationship Id="rId779" Type="http://schemas.openxmlformats.org/officeDocument/2006/relationships/hyperlink" Target="https://drive.google.com/open?id=1l6dHEDTAqeZRVfWZRI-Y5iUseJikrpT9" TargetMode="External"/><Relationship Id="rId986" Type="http://schemas.openxmlformats.org/officeDocument/2006/relationships/hyperlink" Target="https://drive.google.com/open?id=1RVPhhD80e53Fbarc1lsLmFrWyb9FQLjd" TargetMode="External"/><Relationship Id="rId334" Type="http://schemas.openxmlformats.org/officeDocument/2006/relationships/hyperlink" Target="https://drive.google.com/open?id=1yRJkIpPaQgW33L_JCkiwBzo7XkgMwICM" TargetMode="External"/><Relationship Id="rId541" Type="http://schemas.openxmlformats.org/officeDocument/2006/relationships/hyperlink" Target="https://drive.google.com/file/d/1Sjc9-jhL8fK3TFdNlmEQY922oVE_5h5u/view?usp=drivesdk" TargetMode="External"/><Relationship Id="rId639" Type="http://schemas.openxmlformats.org/officeDocument/2006/relationships/hyperlink" Target="https://drive.google.com/open?id=1Q4pCAC3zP99Bg7EVg_exZoDMPsINv1PE" TargetMode="External"/><Relationship Id="rId1171" Type="http://schemas.openxmlformats.org/officeDocument/2006/relationships/hyperlink" Target="https://drive.google.com/open?id=1UQvxHPvwVAGt2RCqtcOiQzL5XBerXY1P" TargetMode="External"/><Relationship Id="rId1269" Type="http://schemas.openxmlformats.org/officeDocument/2006/relationships/hyperlink" Target="https://drive.google.com/open?id=1KEMzaIcEVFi6dB9TG8VsZrDjk1jrnu7e" TargetMode="External"/><Relationship Id="rId1476" Type="http://schemas.openxmlformats.org/officeDocument/2006/relationships/hyperlink" Target="https://drive.google.com/open?id=1ezGLA_2Rqavwq9QdgAc8ZXuoiiuqXv6S" TargetMode="External"/><Relationship Id="rId401" Type="http://schemas.openxmlformats.org/officeDocument/2006/relationships/hyperlink" Target="https://drive.google.com/open?id=18q94gyvpHIhyG-OZNkUNSsJ3vlAphh0B" TargetMode="External"/><Relationship Id="rId846" Type="http://schemas.openxmlformats.org/officeDocument/2006/relationships/hyperlink" Target="https://drive.google.com/open?id=1xcguf59m_v5yYhpWseog1Lkvj_Rj-Moy" TargetMode="External"/><Relationship Id="rId1031" Type="http://schemas.openxmlformats.org/officeDocument/2006/relationships/hyperlink" Target="https://drive.google.com/open?id=1FjYwC8RnxKmQ0xB9fbaPjBEGwtc9c4_L" TargetMode="External"/><Relationship Id="rId1129" Type="http://schemas.openxmlformats.org/officeDocument/2006/relationships/hyperlink" Target="https://drive.google.com/open?id=1fg2Qp4jy6Gz5_-6fSe2OiHElehKuVqxh" TargetMode="External"/><Relationship Id="rId1683" Type="http://schemas.openxmlformats.org/officeDocument/2006/relationships/hyperlink" Target="https://drive.google.com/file/d/1bw8FxFeaDncqUjIb1WubRZQRn34gJB2b/view?usp=drivesdk" TargetMode="External"/><Relationship Id="rId706" Type="http://schemas.openxmlformats.org/officeDocument/2006/relationships/hyperlink" Target="https://drive.google.com/open?id=177BabVkyDhcjJpjO1o6KXGj2Ok9H79VB" TargetMode="External"/><Relationship Id="rId913" Type="http://schemas.openxmlformats.org/officeDocument/2006/relationships/hyperlink" Target="https://drive.google.com/open?id=1Zkw_8Y6Z2sivjSpOIstFRIgW3VKNVQnM" TargetMode="External"/><Relationship Id="rId1336" Type="http://schemas.openxmlformats.org/officeDocument/2006/relationships/hyperlink" Target="https://drive.google.com/open?id=1mYkcHyaRBjZXoaBim4Jl4J90EtnAr_PY" TargetMode="External"/><Relationship Id="rId1543" Type="http://schemas.openxmlformats.org/officeDocument/2006/relationships/hyperlink" Target="https://drive.google.com/file/d/1wcLH-P-sBk1cxKysHoMOPscqQG1iaaJl/view?usp=drivesdk" TargetMode="External"/><Relationship Id="rId1750" Type="http://schemas.openxmlformats.org/officeDocument/2006/relationships/hyperlink" Target="https://drive.google.com/file/d/1PqZILYcr0uhB21isN0PblC-Yh2kH4_Zy/view?usp=drivesdk" TargetMode="External"/><Relationship Id="rId42" Type="http://schemas.openxmlformats.org/officeDocument/2006/relationships/hyperlink" Target="https://drive.google.com/open?id=1kl3NvOqtd6zFs7B_bM_i8k1CteCI52Oc" TargetMode="External"/><Relationship Id="rId1403" Type="http://schemas.openxmlformats.org/officeDocument/2006/relationships/hyperlink" Target="https://drive.google.com/file/d/1Rz5K_9HsuHgZPUulHjMnyvUlCcPlWxQK/view?usp=drivesdk" TargetMode="External"/><Relationship Id="rId1610" Type="http://schemas.openxmlformats.org/officeDocument/2006/relationships/hyperlink" Target="https://drive.google.com/open?id=1b8Ix7PkJYXxfwc1bVRftyArsga7Cv04M" TargetMode="External"/><Relationship Id="rId191" Type="http://schemas.openxmlformats.org/officeDocument/2006/relationships/hyperlink" Target="https://drive.google.com/open?id=1mBTyNvPBdS17Qe59HNXIC04hJpILzbDy" TargetMode="External"/><Relationship Id="rId1708" Type="http://schemas.openxmlformats.org/officeDocument/2006/relationships/hyperlink" Target="https://drive.google.com/open?id=1nprtk4KG_VCkRLh0jII2-ENVnybcfHvf" TargetMode="External"/><Relationship Id="rId289" Type="http://schemas.openxmlformats.org/officeDocument/2006/relationships/hyperlink" Target="https://drive.google.com/open?id=1e_YxT7OoaGaFHFJ0d-KWbokG-2N5Hj9O" TargetMode="External"/><Relationship Id="rId496" Type="http://schemas.openxmlformats.org/officeDocument/2006/relationships/hyperlink" Target="https://drive.google.com/open?id=1usFSt57SN6tuaBEBDvqzfktcExug5YU1" TargetMode="External"/><Relationship Id="rId149" Type="http://schemas.openxmlformats.org/officeDocument/2006/relationships/hyperlink" Target="https://drive.google.com/open?id=154gNNgC4Ur-Kf9VBIHgbIu0aNolQQi7U" TargetMode="External"/><Relationship Id="rId356" Type="http://schemas.openxmlformats.org/officeDocument/2006/relationships/hyperlink" Target="https://drive.google.com/open?id=1M1H74k2EIqQ26IAYytWlPHUCpQTTnp2u" TargetMode="External"/><Relationship Id="rId563" Type="http://schemas.openxmlformats.org/officeDocument/2006/relationships/hyperlink" Target="https://drive.google.com/file/d/1EcH5JThUqMA0Thl5HWxzrlkxi184_Klj/view?usp=drivesdk" TargetMode="External"/><Relationship Id="rId770" Type="http://schemas.openxmlformats.org/officeDocument/2006/relationships/hyperlink" Target="https://drive.google.com/open?id=1yb7VUnbMa04x2jY4dtW_-0g1t100tS3D" TargetMode="External"/><Relationship Id="rId1193" Type="http://schemas.openxmlformats.org/officeDocument/2006/relationships/hyperlink" Target="https://drive.google.com/open?id=1QzAyFicnJp4BIKTAhrb3eNHdC3RrOUfu" TargetMode="External"/><Relationship Id="rId216" Type="http://schemas.openxmlformats.org/officeDocument/2006/relationships/hyperlink" Target="https://drive.google.com/open?id=1C71dNXoblbKnJ7pAnZE8OIc12Oc4PGi0" TargetMode="External"/><Relationship Id="rId423" Type="http://schemas.openxmlformats.org/officeDocument/2006/relationships/hyperlink" Target="https://drive.google.com/file/d/19Q-QGH_EguGjpE6zueKC2CKER7Z9Uo0h/view?usp=drivesdk" TargetMode="External"/><Relationship Id="rId868" Type="http://schemas.openxmlformats.org/officeDocument/2006/relationships/hyperlink" Target="https://drive.google.com/open?id=1FTRg2va8Wo49V1mTHxZjQZgJ6AN_2eW1" TargetMode="External"/><Relationship Id="rId1053" Type="http://schemas.openxmlformats.org/officeDocument/2006/relationships/hyperlink" Target="https://drive.google.com/open?id=1AqQmqV5ysUONB0UQIWlGpXvddd0UeUhP" TargetMode="External"/><Relationship Id="rId1260" Type="http://schemas.openxmlformats.org/officeDocument/2006/relationships/hyperlink" Target="https://drive.google.com/open?id=1i9iqqQ5D7qFJDEyacW7oh-1DDqNafYqL" TargetMode="External"/><Relationship Id="rId1498" Type="http://schemas.openxmlformats.org/officeDocument/2006/relationships/hyperlink" Target="https://drive.google.com/open?id=1mgYJ_zNVlYPsl08FMGEMx5u-PgPbYUBc" TargetMode="External"/><Relationship Id="rId630" Type="http://schemas.openxmlformats.org/officeDocument/2006/relationships/hyperlink" Target="https://drive.google.com/open?id=1H2NsGHF--4ISOhUqofeQZUCor8WrSO8T" TargetMode="External"/><Relationship Id="rId728" Type="http://schemas.openxmlformats.org/officeDocument/2006/relationships/hyperlink" Target="https://drive.google.com/open?id=1LL-0FFqUzNnW6m4qPbxxHKloV9WA6ryR" TargetMode="External"/><Relationship Id="rId935" Type="http://schemas.openxmlformats.org/officeDocument/2006/relationships/hyperlink" Target="https://drive.google.com/file/d/1iErGWENPZBSHq1enB0TSdbow83IAMtlt/view?usp=drivesdk" TargetMode="External"/><Relationship Id="rId1358" Type="http://schemas.openxmlformats.org/officeDocument/2006/relationships/hyperlink" Target="https://drive.google.com/open?id=1C5AHG3ex2cQl6D83BJIc6twjBoRsAn3J" TargetMode="External"/><Relationship Id="rId1565" Type="http://schemas.openxmlformats.org/officeDocument/2006/relationships/hyperlink" Target="https://drive.google.com/file/d/1Hj7aNn-ystMIH3Dy08M7XmtfJRcW8dac/view?usp=drivesdk" TargetMode="External"/><Relationship Id="rId1772" Type="http://schemas.openxmlformats.org/officeDocument/2006/relationships/hyperlink" Target="https://drive.google.com/open?id=19wRx9it3PzJ-fWiOuHgQVB1QgA6nnxM_" TargetMode="External"/><Relationship Id="rId64" Type="http://schemas.openxmlformats.org/officeDocument/2006/relationships/hyperlink" Target="https://drive.google.com/open?id=1vhzq0mQXF7nTLIjy1OZmHEfkIr6-7vv3" TargetMode="External"/><Relationship Id="rId1120" Type="http://schemas.openxmlformats.org/officeDocument/2006/relationships/hyperlink" Target="https://drive.google.com/open?id=1nYs8sio6i8HWRRS3TXh-ZpLzIMCI2eFI" TargetMode="External"/><Relationship Id="rId1218" Type="http://schemas.openxmlformats.org/officeDocument/2006/relationships/hyperlink" Target="https://drive.google.com/open?id=1ateXW2r43SSDeh5JNe5zr3llJRDfIHBg" TargetMode="External"/><Relationship Id="rId1425" Type="http://schemas.openxmlformats.org/officeDocument/2006/relationships/hyperlink" Target="https://drive.google.com/open?id=1ZuTNA4LZS8QBrwHrvLiiUMTwOhckJc97" TargetMode="External"/><Relationship Id="rId1632" Type="http://schemas.openxmlformats.org/officeDocument/2006/relationships/hyperlink" Target="https://drive.google.com/open?id=1QDI8FCO6EFPcvfEFiTmzrMVgsJ7p4wzv" TargetMode="External"/><Relationship Id="rId280" Type="http://schemas.openxmlformats.org/officeDocument/2006/relationships/hyperlink" Target="https://drive.google.com/open?id=1Z5IjlDgYz5DFbvS_J5VkGJuriaN-yn76" TargetMode="External"/><Relationship Id="rId140" Type="http://schemas.openxmlformats.org/officeDocument/2006/relationships/hyperlink" Target="https://drive.google.com/open?id=1WBfLaFpol01jPNXLhIQvdG5aAjHHuAam" TargetMode="External"/><Relationship Id="rId378" Type="http://schemas.openxmlformats.org/officeDocument/2006/relationships/hyperlink" Target="https://drive.google.com/open?id=1gNo0sRNvo_9BluLGgm7TWt7uxvurjnXO" TargetMode="External"/><Relationship Id="rId585" Type="http://schemas.openxmlformats.org/officeDocument/2006/relationships/hyperlink" Target="https://drive.google.com/open?id=1eiIEUHm1jZyQqIXvGhIWXROjOZ0uIHBC" TargetMode="External"/><Relationship Id="rId792" Type="http://schemas.openxmlformats.org/officeDocument/2006/relationships/hyperlink" Target="https://drive.google.com/open?id=1uzTnb3cezEAc_YnBvLXFjHLOIdSNw1IK" TargetMode="External"/><Relationship Id="rId6" Type="http://schemas.openxmlformats.org/officeDocument/2006/relationships/hyperlink" Target="https://drive.google.com/open?id=1sBZ3Ket9DrmCONOY8FfJUao6WlboyCR0" TargetMode="External"/><Relationship Id="rId238" Type="http://schemas.openxmlformats.org/officeDocument/2006/relationships/hyperlink" Target="https://drive.google.com/open?id=1M5vbxRvbw6Uy_CaXYBnOBhHwwoDcm0eb" TargetMode="External"/><Relationship Id="rId445" Type="http://schemas.openxmlformats.org/officeDocument/2006/relationships/hyperlink" Target="https://drive.google.com/open?id=12ElDjHbRPkVuy4yoZi8A0su5oRRkg2j4" TargetMode="External"/><Relationship Id="rId652" Type="http://schemas.openxmlformats.org/officeDocument/2006/relationships/hyperlink" Target="https://drive.google.com/open?id=1xFPsi6MeB2cfb-SgrpVFT3pPpE1abdAu" TargetMode="External"/><Relationship Id="rId1075" Type="http://schemas.openxmlformats.org/officeDocument/2006/relationships/hyperlink" Target="https://drive.google.com/file/d/1R_tq8pPHkXvY5w1HLjm3256xqeOSJCbF/view?usp=drivesdk" TargetMode="External"/><Relationship Id="rId1282" Type="http://schemas.openxmlformats.org/officeDocument/2006/relationships/hyperlink" Target="https://drive.google.com/open?id=19u-YYZRnb7zuSXO1T2YdCkPI1qyusYk0" TargetMode="External"/><Relationship Id="rId305" Type="http://schemas.openxmlformats.org/officeDocument/2006/relationships/hyperlink" Target="https://drive.google.com/file/d/1hd0593MMSQZM1oQbHtsJB497YArXlTme/view?usp=drivesdk" TargetMode="External"/><Relationship Id="rId512" Type="http://schemas.openxmlformats.org/officeDocument/2006/relationships/hyperlink" Target="https://drive.google.com/open?id=1832DWnkxfU9Bel4MHKsFk5-HYneMlXum" TargetMode="External"/><Relationship Id="rId957" Type="http://schemas.openxmlformats.org/officeDocument/2006/relationships/hyperlink" Target="https://drive.google.com/file/d/1qXtht83vsPfc05R3xFIYPJypGZ1OLLRk/view?usp=drivesdk" TargetMode="External"/><Relationship Id="rId1142" Type="http://schemas.openxmlformats.org/officeDocument/2006/relationships/hyperlink" Target="https://drive.google.com/open?id=1yFjZCLgPDYoDBb_XHr7P5su0Dk4ycL9I" TargetMode="External"/><Relationship Id="rId1587" Type="http://schemas.openxmlformats.org/officeDocument/2006/relationships/hyperlink" Target="https://drive.google.com/open?id=1sOg2Ero8QDYnUt-7P7rWY1w1Fvc6_q4U" TargetMode="External"/><Relationship Id="rId1794" Type="http://schemas.openxmlformats.org/officeDocument/2006/relationships/hyperlink" Target="https://drive.google.com/open?id=1V_s6pp4haTR0dnaEPd2_8VRm0Sc5xhB6" TargetMode="External"/><Relationship Id="rId86" Type="http://schemas.openxmlformats.org/officeDocument/2006/relationships/hyperlink" Target="https://drive.google.com/open?id=18bB1r2dn6BJV8fXNeX0U-LoZlMjExrw_" TargetMode="External"/><Relationship Id="rId817" Type="http://schemas.openxmlformats.org/officeDocument/2006/relationships/hyperlink" Target="https://drive.google.com/file/d/1QLJLpyObO8N7RAM7Is7_ZzW1Mra5TiKl/view?usp=drivesdk" TargetMode="External"/><Relationship Id="rId1002" Type="http://schemas.openxmlformats.org/officeDocument/2006/relationships/hyperlink" Target="https://drive.google.com/open?id=1BGsmbbSv0pQbL-XbWEFcLWX8BMs_4RQ8" TargetMode="External"/><Relationship Id="rId1447" Type="http://schemas.openxmlformats.org/officeDocument/2006/relationships/hyperlink" Target="https://drive.google.com/open?id=1_zWE-blxtnXYqP2T6j1eWQ0RkmXX8ZDa" TargetMode="External"/><Relationship Id="rId1654" Type="http://schemas.openxmlformats.org/officeDocument/2006/relationships/hyperlink" Target="https://drive.google.com/file/d/1RHjOu6LShRmCALSBIamnit-Js3mfw1zJ/view?usp=drivesdk" TargetMode="External"/><Relationship Id="rId1307" Type="http://schemas.openxmlformats.org/officeDocument/2006/relationships/hyperlink" Target="https://drive.google.com/file/d/1oa-GrQXLXj_lKceWjVX02oWhiGoN_I2L/view?usp=drivesdk" TargetMode="External"/><Relationship Id="rId1514" Type="http://schemas.openxmlformats.org/officeDocument/2006/relationships/hyperlink" Target="https://drive.google.com/open?id=1dBrwTwcOTLFD7m2b1Zt64_5haQwaLUVk" TargetMode="External"/><Relationship Id="rId1721" Type="http://schemas.openxmlformats.org/officeDocument/2006/relationships/hyperlink" Target="https://drive.google.com/open?id=1JOUAurzFuNaeM9dKfI3aiwhza9HLZwt9" TargetMode="External"/><Relationship Id="rId13" Type="http://schemas.openxmlformats.org/officeDocument/2006/relationships/hyperlink" Target="https://drive.google.com/open?id=1ZQtgBLUHsXT9LCo_M3cxEIHLDg4PuJis" TargetMode="External"/><Relationship Id="rId1819" Type="http://schemas.openxmlformats.org/officeDocument/2006/relationships/hyperlink" Target="https://drive.google.com/file/d/1LnRZ3MF6Kokhvhoc5qkIPjIWnzSmho5R/view?usp=drivesdk" TargetMode="External"/><Relationship Id="rId162" Type="http://schemas.openxmlformats.org/officeDocument/2006/relationships/hyperlink" Target="https://drive.google.com/open?id=1swEM5XxYDBct0aZ6-xe8mmx1HjwYXh6F" TargetMode="External"/><Relationship Id="rId467" Type="http://schemas.openxmlformats.org/officeDocument/2006/relationships/hyperlink" Target="https://drive.google.com/open?id=1VUmgaMEr6zDHrRYtBIrdAL22flGoyoFw" TargetMode="External"/><Relationship Id="rId1097" Type="http://schemas.openxmlformats.org/officeDocument/2006/relationships/hyperlink" Target="https://drive.google.com/file/d/17VN-1LkM4Rr__Q-wmsD9hjRVqsdOJ7ku/view?usp=drivesdk" TargetMode="External"/><Relationship Id="rId674" Type="http://schemas.openxmlformats.org/officeDocument/2006/relationships/hyperlink" Target="https://drive.google.com/open?id=1ldAJtx0pDdgV78vCACz6H0n0BZxp_0dj" TargetMode="External"/><Relationship Id="rId881" Type="http://schemas.openxmlformats.org/officeDocument/2006/relationships/hyperlink" Target="https://drive.google.com/open?id=1QuoqL9XZ0DHa2jMFcjcJDtuQGyml1Lh4" TargetMode="External"/><Relationship Id="rId979" Type="http://schemas.openxmlformats.org/officeDocument/2006/relationships/hyperlink" Target="https://drive.google.com/open?id=1of5eSJ2NfA9o6h_9hLaIN1ShDyR6i2GJ" TargetMode="External"/><Relationship Id="rId327" Type="http://schemas.openxmlformats.org/officeDocument/2006/relationships/hyperlink" Target="https://drive.google.com/open?id=1nhyIm413yMTA3aeet1Qp8nxl7R_Tqnap" TargetMode="External"/><Relationship Id="rId534" Type="http://schemas.openxmlformats.org/officeDocument/2006/relationships/hyperlink" Target="https://drive.google.com/file/d/1tQ-sTxIlkFwfPXjyQJoJrjK1vGY5O88j/view?usp=drivesdk" TargetMode="External"/><Relationship Id="rId741" Type="http://schemas.openxmlformats.org/officeDocument/2006/relationships/hyperlink" Target="https://drive.google.com/open?id=1s3dKD34DPo6l38zmRJA6w1Y5w20ZNUtK" TargetMode="External"/><Relationship Id="rId839" Type="http://schemas.openxmlformats.org/officeDocument/2006/relationships/hyperlink" Target="https://drive.google.com/open?id=1vCLB7sGaGaZrHmlgdhCDjG3hLe0PEWu3" TargetMode="External"/><Relationship Id="rId1164" Type="http://schemas.openxmlformats.org/officeDocument/2006/relationships/hyperlink" Target="https://drive.google.com/open?id=1XZZ0EPfbNKKdRtYnkjFgeinfF8rmAvfB" TargetMode="External"/><Relationship Id="rId1371" Type="http://schemas.openxmlformats.org/officeDocument/2006/relationships/hyperlink" Target="https://drive.google.com/open?id=1CWI0FwuXCaqbTVZIYOh9WR0XrZIoQnnG" TargetMode="External"/><Relationship Id="rId1469" Type="http://schemas.openxmlformats.org/officeDocument/2006/relationships/hyperlink" Target="https://drive.google.com/open?id=1B7xdCPStD6WLZsGPfE4t3OwtGZPOGCRU" TargetMode="External"/><Relationship Id="rId601" Type="http://schemas.openxmlformats.org/officeDocument/2006/relationships/hyperlink" Target="https://drive.google.com/open?id=1cGsdI7v-Em_1gmODJSYraDoIeW1osDZG" TargetMode="External"/><Relationship Id="rId1024" Type="http://schemas.openxmlformats.org/officeDocument/2006/relationships/hyperlink" Target="https://drive.google.com/open?id=1zDvcpT9XmMfJ2FlJFmmjkbTy97MNENwj" TargetMode="External"/><Relationship Id="rId1231" Type="http://schemas.openxmlformats.org/officeDocument/2006/relationships/hyperlink" Target="https://drive.google.com/open?id=1aQDt3mt4--eYdQmDdgfKb3UbWK_4D5eF" TargetMode="External"/><Relationship Id="rId1676" Type="http://schemas.openxmlformats.org/officeDocument/2006/relationships/hyperlink" Target="https://drive.google.com/file/d/1h2Qif1m0X3d1eVMwgC8Jcb47Fh7fl7bJ/view?usp=drivesdk" TargetMode="External"/><Relationship Id="rId906" Type="http://schemas.openxmlformats.org/officeDocument/2006/relationships/hyperlink" Target="https://drive.google.com/open?id=11PjgqURF9_ypAWNF-06vL7jYrhOUTy6w" TargetMode="External"/><Relationship Id="rId1329" Type="http://schemas.openxmlformats.org/officeDocument/2006/relationships/hyperlink" Target="https://drive.google.com/open?id=1W2iOy5gbi02HHiJEnBuhfeGdAhYvDUXH" TargetMode="External"/><Relationship Id="rId1536" Type="http://schemas.openxmlformats.org/officeDocument/2006/relationships/hyperlink" Target="https://drive.google.com/file/d/1ze6a7ZXetWFwo2JEYJxZ3zASq5hAWW1I/view?usp=drivesdk" TargetMode="External"/><Relationship Id="rId1743" Type="http://schemas.openxmlformats.org/officeDocument/2006/relationships/hyperlink" Target="https://drive.google.com/file/d/1wcsCgVQsZsWudz-EbIDVn3NMr7lfh97H/view?usp=drivesdk" TargetMode="External"/><Relationship Id="rId35" Type="http://schemas.openxmlformats.org/officeDocument/2006/relationships/hyperlink" Target="https://drive.google.com/open?id=1DzWDYcGmDm-Y6qjj-rt4LsX43bOzak2R" TargetMode="External"/><Relationship Id="rId1603" Type="http://schemas.openxmlformats.org/officeDocument/2006/relationships/hyperlink" Target="https://drive.google.com/open?id=1inwg532djGkVlVHHLljiLhxP0zQKFlAc" TargetMode="External"/><Relationship Id="rId1810" Type="http://schemas.openxmlformats.org/officeDocument/2006/relationships/hyperlink" Target="https://drive.google.com/open?id=1hZ9vcl_2e3rpPSlmuY3E1PVy_WWsOOCH" TargetMode="External"/><Relationship Id="rId184" Type="http://schemas.openxmlformats.org/officeDocument/2006/relationships/hyperlink" Target="https://drive.google.com/open?id=1Dyzk8gwU9eQzLaaNzPd8L9NsiMnspvKv" TargetMode="External"/><Relationship Id="rId391" Type="http://schemas.openxmlformats.org/officeDocument/2006/relationships/hyperlink" Target="https://drive.google.com/open?id=1XzkS71I18pomIHZyVuemK6OXSiMshqC9" TargetMode="External"/><Relationship Id="rId251" Type="http://schemas.openxmlformats.org/officeDocument/2006/relationships/hyperlink" Target="https://drive.google.com/open?id=1sH1R0H0zVoslwNZEAQhpqyvetQzgLCJk" TargetMode="External"/><Relationship Id="rId489" Type="http://schemas.openxmlformats.org/officeDocument/2006/relationships/hyperlink" Target="https://drive.google.com/open?id=1t5p4P5JoeR9epvmYN53-78v9BH8XXhcS" TargetMode="External"/><Relationship Id="rId696" Type="http://schemas.openxmlformats.org/officeDocument/2006/relationships/hyperlink" Target="https://drive.google.com/file/d/16sXzjAOOpE5nen6H7c7NKAT8AC6O3PRF/view?usp=drivesdk" TargetMode="External"/><Relationship Id="rId349" Type="http://schemas.openxmlformats.org/officeDocument/2006/relationships/hyperlink" Target="https://drive.google.com/open?id=1evibt4BR76RbIAPyjw0jlZ6U2NDAOq6V" TargetMode="External"/><Relationship Id="rId556" Type="http://schemas.openxmlformats.org/officeDocument/2006/relationships/hyperlink" Target="https://drive.google.com/file/d/1sk2K5FjrfdT_6DkJCOaYfrcWJ1fRfxJE/view?usp=drivesdk" TargetMode="External"/><Relationship Id="rId763" Type="http://schemas.openxmlformats.org/officeDocument/2006/relationships/hyperlink" Target="https://drive.google.com/open?id=10Wsu_Z_qBcnD7x1_Oq59xw1MZGlNWKZS" TargetMode="External"/><Relationship Id="rId1186" Type="http://schemas.openxmlformats.org/officeDocument/2006/relationships/hyperlink" Target="https://drive.google.com/open?id=1BfQ7ydc9bHbm2ScbN2mlVWCzZYOnSzN9" TargetMode="External"/><Relationship Id="rId1393" Type="http://schemas.openxmlformats.org/officeDocument/2006/relationships/hyperlink" Target="https://drive.google.com/open?id=1rtgHFuVkTgeIKznXqcCMr3FjEcGdxa8X" TargetMode="External"/><Relationship Id="rId111" Type="http://schemas.openxmlformats.org/officeDocument/2006/relationships/hyperlink" Target="https://drive.google.com/open?id=1fYsRLyL264rhf2rZyMiE6iQyM7_7Gp5S" TargetMode="External"/><Relationship Id="rId209" Type="http://schemas.openxmlformats.org/officeDocument/2006/relationships/hyperlink" Target="https://drive.google.com/open?id=1HxGAUkGhDwPNTZm4N1DFPVmLt8VsnZeT" TargetMode="External"/><Relationship Id="rId416" Type="http://schemas.openxmlformats.org/officeDocument/2006/relationships/hyperlink" Target="https://drive.google.com/open?id=1voVxqIM_thrHPfwcNkUws73I_UvY_-7m" TargetMode="External"/><Relationship Id="rId970" Type="http://schemas.openxmlformats.org/officeDocument/2006/relationships/hyperlink" Target="https://drive.google.com/file/d/176rKbOAu2OfSJRjT9nrhCC5IjDrzntqa/view?usp=drivesdk" TargetMode="External"/><Relationship Id="rId1046" Type="http://schemas.openxmlformats.org/officeDocument/2006/relationships/hyperlink" Target="https://drive.google.com/open?id=1tFAfOrMRr86TqHfV7iPPZ7xOMSq_5epf" TargetMode="External"/><Relationship Id="rId1253" Type="http://schemas.openxmlformats.org/officeDocument/2006/relationships/hyperlink" Target="https://drive.google.com/open?id=1chPieSZvaWgT02wrChgmpRh6HXVFiT7e" TargetMode="External"/><Relationship Id="rId1698" Type="http://schemas.openxmlformats.org/officeDocument/2006/relationships/hyperlink" Target="https://drive.google.com/open?id=1mSlqylOaM2WXflXh9ARMpe7SuSD9RZbY" TargetMode="External"/><Relationship Id="rId623" Type="http://schemas.openxmlformats.org/officeDocument/2006/relationships/hyperlink" Target="https://drive.google.com/open?id=1qf6ZFJfZXF88f-xNgqz7EGKDTlpROI7f" TargetMode="External"/><Relationship Id="rId830" Type="http://schemas.openxmlformats.org/officeDocument/2006/relationships/hyperlink" Target="https://drive.google.com/file/d/1j4PxIuwCLZDi5NayMWj5T4cRnR_rQJ8S/view?usp=drivesdk" TargetMode="External"/><Relationship Id="rId928" Type="http://schemas.openxmlformats.org/officeDocument/2006/relationships/hyperlink" Target="https://drive.google.com/file/d/1ekI0BenVw-kb6B-8YZb1I3oe5dTHPsaQ/view?usp=drivesdk" TargetMode="External"/><Relationship Id="rId1460" Type="http://schemas.openxmlformats.org/officeDocument/2006/relationships/hyperlink" Target="https://drive.google.com/open?id=1dUp4_pgebp4gyhp2LlMnizAk1IxMyxYQ" TargetMode="External"/><Relationship Id="rId1558" Type="http://schemas.openxmlformats.org/officeDocument/2006/relationships/hyperlink" Target="https://drive.google.com/file/d/1UF_O3zdZP7Nq9lTa2Ph85E0gfaCt1P73/view?usp=drivesdk" TargetMode="External"/><Relationship Id="rId1765" Type="http://schemas.openxmlformats.org/officeDocument/2006/relationships/hyperlink" Target="https://drive.google.com/open?id=1SJk3GuVgXP2fYdfbxWhsp51vU2R9prsU" TargetMode="External"/><Relationship Id="rId57" Type="http://schemas.openxmlformats.org/officeDocument/2006/relationships/hyperlink" Target="https://drive.google.com/open?id=1rD32GoSAR6sLceZ7L77an1xyDk2IMnSq" TargetMode="External"/><Relationship Id="rId1113" Type="http://schemas.openxmlformats.org/officeDocument/2006/relationships/hyperlink" Target="https://drive.google.com/open?id=1HncZGsr-0OhARAV-1MNNydaMHcGbz_6U" TargetMode="External"/><Relationship Id="rId1320" Type="http://schemas.openxmlformats.org/officeDocument/2006/relationships/hyperlink" Target="https://drive.google.com/open?id=11FuaWzIp-ux-IBuVMK9xTjSkKG7MgsnJ" TargetMode="External"/><Relationship Id="rId1418" Type="http://schemas.openxmlformats.org/officeDocument/2006/relationships/hyperlink" Target="https://drive.google.com/open?id=15bJbPifePX2D2xpGInSheH4x89vmqohf" TargetMode="External"/><Relationship Id="rId1625" Type="http://schemas.openxmlformats.org/officeDocument/2006/relationships/hyperlink" Target="https://drive.google.com/open?id=1QPpSs9fsGBV6RkkrWi8Q9ykoYOKg1fth" TargetMode="External"/><Relationship Id="rId1832" Type="http://schemas.openxmlformats.org/officeDocument/2006/relationships/hyperlink" Target="https://drive.google.com/open?id=1NRoIVjJM8lJiFXgnpG0jWyBXxU8sgT20" TargetMode="External"/><Relationship Id="rId273" Type="http://schemas.openxmlformats.org/officeDocument/2006/relationships/hyperlink" Target="https://drive.google.com/open?id=1uB80FKQJ3DHh9ytooSNcIJ9FrNof7F45" TargetMode="External"/><Relationship Id="rId480" Type="http://schemas.openxmlformats.org/officeDocument/2006/relationships/hyperlink" Target="https://drive.google.com/open?id=1cG5zCCcKSdb0sUtOOs3TvGERP4i0ereV" TargetMode="External"/><Relationship Id="rId133" Type="http://schemas.openxmlformats.org/officeDocument/2006/relationships/hyperlink" Target="https://drive.google.com/open?id=1jgQgPGGUqH6xrrfFOBEGXSeIyExBUmuZ" TargetMode="External"/><Relationship Id="rId340" Type="http://schemas.openxmlformats.org/officeDocument/2006/relationships/hyperlink" Target="https://drive.google.com/file/d/1yzW16xAPD4zDzmSYoFHKnF_HeP8B9Gel/view?usp=drivesdk" TargetMode="External"/><Relationship Id="rId578" Type="http://schemas.openxmlformats.org/officeDocument/2006/relationships/hyperlink" Target="https://drive.google.com/open?id=18elcoEplB5mQV11Q_H_zpWLSqRLlHPKM" TargetMode="External"/><Relationship Id="rId785" Type="http://schemas.openxmlformats.org/officeDocument/2006/relationships/hyperlink" Target="https://drive.google.com/open?id=1xdTY6x6BDyPNdwcs2ofS0ApTkkmgfMcw" TargetMode="External"/><Relationship Id="rId992" Type="http://schemas.openxmlformats.org/officeDocument/2006/relationships/hyperlink" Target="https://drive.google.com/file/d/1fYhWld0DskIZQRHvQJXMYTk6KdmVEDX0/view?usp=drivesdk" TargetMode="External"/><Relationship Id="rId200" Type="http://schemas.openxmlformats.org/officeDocument/2006/relationships/hyperlink" Target="https://drive.google.com/file/d/1xGhGAfIslt_tNYZNrbGArzBFeEPmtl84/view?usp=drivesdk" TargetMode="External"/><Relationship Id="rId438" Type="http://schemas.openxmlformats.org/officeDocument/2006/relationships/hyperlink" Target="https://drive.google.com/open?id=1fQwr57ZxYC38kWSv3qzllQHpC3O2yUJt" TargetMode="External"/><Relationship Id="rId645" Type="http://schemas.openxmlformats.org/officeDocument/2006/relationships/hyperlink" Target="https://drive.google.com/open?id=1J39y_hAM_-_gJhw6wXYJkK4M0b0nME8V" TargetMode="External"/><Relationship Id="rId852" Type="http://schemas.openxmlformats.org/officeDocument/2006/relationships/hyperlink" Target="https://drive.google.com/file/d/17Ez_lLUmRzCZcimrMV4pJFhgoANMWP9f/view?usp=drivesdk" TargetMode="External"/><Relationship Id="rId1068" Type="http://schemas.openxmlformats.org/officeDocument/2006/relationships/hyperlink" Target="https://drive.google.com/file/d/1qP-nk2gGNV7axEE3ejlGOU-5Tebs_kr_/view?usp=drivesdk" TargetMode="External"/><Relationship Id="rId1275" Type="http://schemas.openxmlformats.org/officeDocument/2006/relationships/hyperlink" Target="https://drive.google.com/open?id=16Du6MGFjjrUvMlRDNJe-g86-gP9ooKHN" TargetMode="External"/><Relationship Id="rId1482" Type="http://schemas.openxmlformats.org/officeDocument/2006/relationships/hyperlink" Target="https://drive.google.com/open?id=1J1I2YOYDypmEvnuADBen_O8jwwwzscg4" TargetMode="External"/><Relationship Id="rId505" Type="http://schemas.openxmlformats.org/officeDocument/2006/relationships/hyperlink" Target="https://drive.google.com/open?id=1yY7_TzpeNbaSWH9bxhpYyG1Z-43hiyd_" TargetMode="External"/><Relationship Id="rId712" Type="http://schemas.openxmlformats.org/officeDocument/2006/relationships/hyperlink" Target="https://drive.google.com/open?id=1YgTLR9MWug5-jLDOsZpkTdMJ0_dEDt6i" TargetMode="External"/><Relationship Id="rId1135" Type="http://schemas.openxmlformats.org/officeDocument/2006/relationships/hyperlink" Target="https://drive.google.com/open?id=1kptxNJ_DmR1jRtoCnacjf6RfinK1fYSq" TargetMode="External"/><Relationship Id="rId1342" Type="http://schemas.openxmlformats.org/officeDocument/2006/relationships/hyperlink" Target="https://drive.google.com/open?id=1L2wyukjIlFERs1FS68A0Lh0CP9mlxOj8" TargetMode="External"/><Relationship Id="rId1787" Type="http://schemas.openxmlformats.org/officeDocument/2006/relationships/hyperlink" Target="https://drive.google.com/open?id=1c7tQY-5Pje0ycT8M9_7rcR5bqJ0iqRJv" TargetMode="External"/><Relationship Id="rId79" Type="http://schemas.openxmlformats.org/officeDocument/2006/relationships/hyperlink" Target="https://drive.google.com/open?id=14xAkhd4skYzkgdZdfuNhv0c1bBhDV0se" TargetMode="External"/><Relationship Id="rId1202" Type="http://schemas.openxmlformats.org/officeDocument/2006/relationships/hyperlink" Target="https://drive.google.com/file/d/1uEOu5MWwnXzLes4B2i3wAVgpf1lyJMnF/view?usp=drivesdk" TargetMode="External"/><Relationship Id="rId1647" Type="http://schemas.openxmlformats.org/officeDocument/2006/relationships/hyperlink" Target="https://drive.google.com/file/d/1Sx6lzaQqEwikgWlqWy0Qv3h75EMx4MzA/view?usp=drivesdk" TargetMode="External"/><Relationship Id="rId1507" Type="http://schemas.openxmlformats.org/officeDocument/2006/relationships/hyperlink" Target="https://drive.google.com/open?id=1up8Sn6Ia3SUxJeYyXj3yQUpZdXHYXoi_" TargetMode="External"/><Relationship Id="rId1714" Type="http://schemas.openxmlformats.org/officeDocument/2006/relationships/hyperlink" Target="https://drive.google.com/open?id=1xk35aXlcc9Wscz7FYCnhx6SEAPXmjHQy" TargetMode="External"/><Relationship Id="rId295" Type="http://schemas.openxmlformats.org/officeDocument/2006/relationships/hyperlink" Target="https://drive.google.com/open?id=19QfmfdSD4D6TRtBcbA-0xLYmL1Uf9ZDx" TargetMode="External"/><Relationship Id="rId155" Type="http://schemas.openxmlformats.org/officeDocument/2006/relationships/hyperlink" Target="https://drive.google.com/open?id=1T46kAR_bdirlWNiBzhzMdAhkaQ5bGYF2" TargetMode="External"/><Relationship Id="rId362" Type="http://schemas.openxmlformats.org/officeDocument/2006/relationships/hyperlink" Target="https://drive.google.com/file/d/112k3thbXkTHF2skTWW7BjRi3nI6XRDqJ/view?usp=drivesdk" TargetMode="External"/><Relationship Id="rId1297" Type="http://schemas.openxmlformats.org/officeDocument/2006/relationships/hyperlink" Target="https://drive.google.com/open?id=1WBSCOSte_YV1Efnh0mdniCc8ax0JJp3j" TargetMode="External"/><Relationship Id="rId222" Type="http://schemas.openxmlformats.org/officeDocument/2006/relationships/hyperlink" Target="https://drive.google.com/open?id=1jCctQ4lY3b6UtpVV2UjdZLWjT_HlRJM8" TargetMode="External"/><Relationship Id="rId667" Type="http://schemas.openxmlformats.org/officeDocument/2006/relationships/hyperlink" Target="https://drive.google.com/open?id=13AQwPHRF0zDomNTj7B5vhmOWnfiZVKNY" TargetMode="External"/><Relationship Id="rId874" Type="http://schemas.openxmlformats.org/officeDocument/2006/relationships/hyperlink" Target="https://drive.google.com/open?id=16JG2nR_K4Ejp_U2Kw813oidAsba476Na" TargetMode="External"/><Relationship Id="rId527" Type="http://schemas.openxmlformats.org/officeDocument/2006/relationships/hyperlink" Target="https://drive.google.com/file/d/14ySiKqY9nFGqPoC7rkdGEvtjuwQWF93e/view?usp=drivesdk" TargetMode="External"/><Relationship Id="rId734" Type="http://schemas.openxmlformats.org/officeDocument/2006/relationships/hyperlink" Target="https://drive.google.com/open?id=1tXdCyrIrR7MCRTT8_cXxBelV_JqAz0cf" TargetMode="External"/><Relationship Id="rId941" Type="http://schemas.openxmlformats.org/officeDocument/2006/relationships/hyperlink" Target="https://drive.google.com/open?id=1t2dFeaEQtXCIORQMYLeyco13o32695Ib" TargetMode="External"/><Relationship Id="rId1157" Type="http://schemas.openxmlformats.org/officeDocument/2006/relationships/hyperlink" Target="https://drive.google.com/open?id=1Y4Ic3bgNrL3OVrkZiDenEn6Kjl3X7LyK" TargetMode="External"/><Relationship Id="rId1364" Type="http://schemas.openxmlformats.org/officeDocument/2006/relationships/hyperlink" Target="https://drive.google.com/open?id=1tNrCiGSL4VetDSHVTrw5TMcca9zXspDz" TargetMode="External"/><Relationship Id="rId1571" Type="http://schemas.openxmlformats.org/officeDocument/2006/relationships/hyperlink" Target="https://drive.google.com/file/d/1LOxD1TwK1OCAqsRcFSfNJyrPOe0Er-VL/view?usp=drivesdk" TargetMode="External"/><Relationship Id="rId70" Type="http://schemas.openxmlformats.org/officeDocument/2006/relationships/hyperlink" Target="https://drive.google.com/open?id=1deze63Ewo8cUP2aAiF4EBJlcCPNUiDcn" TargetMode="External"/><Relationship Id="rId801" Type="http://schemas.openxmlformats.org/officeDocument/2006/relationships/hyperlink" Target="https://drive.google.com/open?id=1MZLp-Xd0KNkX7USSeP7fWVITnDDRBN7Q" TargetMode="External"/><Relationship Id="rId1017" Type="http://schemas.openxmlformats.org/officeDocument/2006/relationships/hyperlink" Target="https://drive.google.com/open?id=13rPirthoSYHWMsk8_hpVkQWQ4O4SrJIu" TargetMode="External"/><Relationship Id="rId1224" Type="http://schemas.openxmlformats.org/officeDocument/2006/relationships/hyperlink" Target="https://drive.google.com/open?id=1lI0AGm_ghfO4byLLZV3g2_EplVePmEkp" TargetMode="External"/><Relationship Id="rId1431" Type="http://schemas.openxmlformats.org/officeDocument/2006/relationships/hyperlink" Target="https://drive.google.com/file/d/1qRjTKKThjVcI0WpEC0eak7hvnAQlypjz/view?usp=drivesdk" TargetMode="External"/><Relationship Id="rId1669" Type="http://schemas.openxmlformats.org/officeDocument/2006/relationships/hyperlink" Target="https://drive.google.com/file/d/1P6O_H1iyR34DW8dFBiWk989IfEKPe2jn/view?usp=drivesdk" TargetMode="External"/><Relationship Id="rId1529" Type="http://schemas.openxmlformats.org/officeDocument/2006/relationships/hyperlink" Target="https://drive.google.com/file/d/1QvrXIoetk6kzXTVhcgvhtpOQ7krvc04h/view?usp=drivesdk" TargetMode="External"/><Relationship Id="rId1736" Type="http://schemas.openxmlformats.org/officeDocument/2006/relationships/hyperlink" Target="https://drive.google.com/file/d/10NEIHQGStzDDzHqcyxnK5IrEgYBbQTTv/view?usp=drivesdk" TargetMode="External"/><Relationship Id="rId28" Type="http://schemas.openxmlformats.org/officeDocument/2006/relationships/hyperlink" Target="https://drive.google.com/open?id=1GqNuL16hRqbQllMAPXU1YlR99PreW7bs" TargetMode="External"/><Relationship Id="rId1803" Type="http://schemas.openxmlformats.org/officeDocument/2006/relationships/hyperlink" Target="https://drive.google.com/open?id=1VYKWgvtlWGGgz8dfUPYW_3vYVjgbiRPh" TargetMode="External"/><Relationship Id="rId177" Type="http://schemas.openxmlformats.org/officeDocument/2006/relationships/hyperlink" Target="https://drive.google.com/open?id=1dGgou2us4V2Hx3ty2aM52tvn2MhtTf74" TargetMode="External"/><Relationship Id="rId384" Type="http://schemas.openxmlformats.org/officeDocument/2006/relationships/hyperlink" Target="https://drive.google.com/open?id=1oLX5jGH9GdhmmUCx20D14qBI0HvE2WJ9" TargetMode="External"/><Relationship Id="rId591" Type="http://schemas.openxmlformats.org/officeDocument/2006/relationships/hyperlink" Target="https://drive.google.com/file/d/1nfNggPIKi41wm0p4D2xkRYsfo2lSZkar/view?usp=drivesdk" TargetMode="External"/><Relationship Id="rId244" Type="http://schemas.openxmlformats.org/officeDocument/2006/relationships/hyperlink" Target="https://drive.google.com/open?id=1Vd6jAaOkGxgl7Jzi-FLby4C01cXUDwr2" TargetMode="External"/><Relationship Id="rId689" Type="http://schemas.openxmlformats.org/officeDocument/2006/relationships/hyperlink" Target="https://drive.google.com/file/d/18qcx3vgXz9WLE3ZL9I9NQJfhGEyB53PO/view?usp=drivesdk" TargetMode="External"/><Relationship Id="rId896" Type="http://schemas.openxmlformats.org/officeDocument/2006/relationships/hyperlink" Target="https://drive.google.com/open?id=1mwC8obdjrjsbOuhn0WZbOC1sznLat_H3" TargetMode="External"/><Relationship Id="rId1081" Type="http://schemas.openxmlformats.org/officeDocument/2006/relationships/hyperlink" Target="https://drive.google.com/open?id=1YsFxob4Aj1mGzlz8T2g7gUBKiF_MPkR-" TargetMode="External"/><Relationship Id="rId451" Type="http://schemas.openxmlformats.org/officeDocument/2006/relationships/hyperlink" Target="https://drive.google.com/file/d/1M6T3O3BiBlDcmK8mLPeW2g1q_7l1qwos/view?usp=drivesdk" TargetMode="External"/><Relationship Id="rId549" Type="http://schemas.openxmlformats.org/officeDocument/2006/relationships/hyperlink" Target="https://drive.google.com/file/d/1BvYSjHan107z5EpMASlmpNd8pd763M2V/view?usp=drivesdk" TargetMode="External"/><Relationship Id="rId756" Type="http://schemas.openxmlformats.org/officeDocument/2006/relationships/hyperlink" Target="https://drive.google.com/open?id=1qBtSxCNgLBdw202c7qwRyov3HlyQFeXi" TargetMode="External"/><Relationship Id="rId1179" Type="http://schemas.openxmlformats.org/officeDocument/2006/relationships/hyperlink" Target="https://drive.google.com/open?id=1k2Kes9KoBw23GTwIhaQxelNZCFrRgf0N" TargetMode="External"/><Relationship Id="rId1386" Type="http://schemas.openxmlformats.org/officeDocument/2006/relationships/hyperlink" Target="https://drive.google.com/open?id=1CR6h0DaljoPuV1ZvBfweFTR0R_ZCAhDb" TargetMode="External"/><Relationship Id="rId1593" Type="http://schemas.openxmlformats.org/officeDocument/2006/relationships/hyperlink" Target="https://drive.google.com/file/d/1e-Oj_G1hb-79LgEhW1ZKjI5GOIVSK7dm/view?usp=drivesdk" TargetMode="External"/><Relationship Id="rId104" Type="http://schemas.openxmlformats.org/officeDocument/2006/relationships/hyperlink" Target="https://drive.google.com/open?id=1nhMYi4crW7GV854qKHGSdAAIpl3TpboK" TargetMode="External"/><Relationship Id="rId311" Type="http://schemas.openxmlformats.org/officeDocument/2006/relationships/hyperlink" Target="https://drive.google.com/file/d/1NL1uCzX9UI_RD-WHkRyormWhE9V8Ye30/view?usp=drivesdk" TargetMode="External"/><Relationship Id="rId409" Type="http://schemas.openxmlformats.org/officeDocument/2006/relationships/hyperlink" Target="https://drive.google.com/open?id=14eTvzy2-QQvPSfsfpYa4BOerUOoL_8z3" TargetMode="External"/><Relationship Id="rId963" Type="http://schemas.openxmlformats.org/officeDocument/2006/relationships/hyperlink" Target="https://drive.google.com/file/d/1W2HddunLqpSk3-Dy0p1NXIUwjg3VKkXn/view?usp=drivesdk" TargetMode="External"/><Relationship Id="rId1039" Type="http://schemas.openxmlformats.org/officeDocument/2006/relationships/hyperlink" Target="https://drive.google.com/open?id=1cvbv22raPdVNtC69PEXAvSSsSaFUA4Fv" TargetMode="External"/><Relationship Id="rId1246" Type="http://schemas.openxmlformats.org/officeDocument/2006/relationships/hyperlink" Target="https://drive.google.com/open?id=14HeZud0ki96W2vyTfqIrJSOKKJA6KTcj" TargetMode="External"/><Relationship Id="rId92" Type="http://schemas.openxmlformats.org/officeDocument/2006/relationships/hyperlink" Target="https://drive.google.com/open?id=1Pl8Mix8B1doTUyNduFnISntDt7m9NHh4" TargetMode="External"/><Relationship Id="rId616" Type="http://schemas.openxmlformats.org/officeDocument/2006/relationships/hyperlink" Target="https://drive.google.com/open?id=1LqD3xh5u5egsfAMg_zyIQ_h5Wg4TUZAq" TargetMode="External"/><Relationship Id="rId823" Type="http://schemas.openxmlformats.org/officeDocument/2006/relationships/hyperlink" Target="https://drive.google.com/file/d/1UPVHeSnbKJA_Frj7-m0D9_tGjAG8gg4q/view?usp=drivesdk" TargetMode="External"/><Relationship Id="rId1453" Type="http://schemas.openxmlformats.org/officeDocument/2006/relationships/hyperlink" Target="https://drive.google.com/open?id=1toMN3-v_GnQFruYDcLdgNIGdAB8yvIst" TargetMode="External"/><Relationship Id="rId1660" Type="http://schemas.openxmlformats.org/officeDocument/2006/relationships/hyperlink" Target="https://drive.google.com/open?id=1yS_x3tcIS1oRIzDch0VCEV5x1jRvyyIK" TargetMode="External"/><Relationship Id="rId1758" Type="http://schemas.openxmlformats.org/officeDocument/2006/relationships/hyperlink" Target="https://drive.google.com/open?id=1Dn7ZKHYjgRUHj-9vhTwwhgZoQCE-DLE2" TargetMode="External"/><Relationship Id="rId1106" Type="http://schemas.openxmlformats.org/officeDocument/2006/relationships/hyperlink" Target="https://drive.google.com/open?id=1inLu6keLTLyfbqVOS-FPcrsR98F_ys2y" TargetMode="External"/><Relationship Id="rId1313" Type="http://schemas.openxmlformats.org/officeDocument/2006/relationships/hyperlink" Target="https://drive.google.com/file/d/1l9_bqt1MAWF-HQE_WCg1Z7_sbpMSWHIj/view?usp=drivesdk" TargetMode="External"/><Relationship Id="rId1520" Type="http://schemas.openxmlformats.org/officeDocument/2006/relationships/hyperlink" Target="https://drive.google.com/open?id=12ooIBxLxq7a2fKiMeFQCXBYz2t3mYsDv" TargetMode="External"/><Relationship Id="rId1618" Type="http://schemas.openxmlformats.org/officeDocument/2006/relationships/hyperlink" Target="https://drive.google.com/open?id=1zu9Py_OSNm-fRk_nw-u7iWwumzDDtI-E" TargetMode="External"/><Relationship Id="rId1825" Type="http://schemas.openxmlformats.org/officeDocument/2006/relationships/hyperlink" Target="https://drive.google.com/open?id=1NPaX9FXhta6IR3QvNOmEwgbsUJ5o_23M" TargetMode="External"/><Relationship Id="rId199" Type="http://schemas.openxmlformats.org/officeDocument/2006/relationships/hyperlink" Target="https://drive.google.com/file/d/1EllzMHDnbtF_-iNJILt9quYOYffFwwxW/view?usp=drivesdk" TargetMode="External"/><Relationship Id="rId266" Type="http://schemas.openxmlformats.org/officeDocument/2006/relationships/hyperlink" Target="https://drive.google.com/open?id=1MBVhgKeiZvn8cOICz_OL33ggs1cD51qw" TargetMode="External"/><Relationship Id="rId473" Type="http://schemas.openxmlformats.org/officeDocument/2006/relationships/hyperlink" Target="https://drive.google.com/open?id=1NchE0hl6gdW8N1H0kJaQYFTtXHULRu2y" TargetMode="External"/><Relationship Id="rId680" Type="http://schemas.openxmlformats.org/officeDocument/2006/relationships/hyperlink" Target="https://drive.google.com/open?id=1pvGzBsTuRlzQHDAbz09l0w2B0SGv_UZ3" TargetMode="External"/><Relationship Id="rId126" Type="http://schemas.openxmlformats.org/officeDocument/2006/relationships/hyperlink" Target="https://drive.google.com/open?id=1tROwPgmbMb2cuBSCsdNuzUbY8aNgjHnt" TargetMode="External"/><Relationship Id="rId333" Type="http://schemas.openxmlformats.org/officeDocument/2006/relationships/hyperlink" Target="https://drive.google.com/file/d/1OLdBLoNG734CiwcqxtAerlhq8i2n_kwF/view?usp=drivesdk" TargetMode="External"/><Relationship Id="rId540" Type="http://schemas.openxmlformats.org/officeDocument/2006/relationships/hyperlink" Target="https://drive.google.com/open?id=1atFCU5DjP9HjnB82RMp4Y0gvYeMvaFHk" TargetMode="External"/><Relationship Id="rId778" Type="http://schemas.openxmlformats.org/officeDocument/2006/relationships/hyperlink" Target="https://drive.google.com/open?id=1w_q7eT4i70hKpgiYT2WXM63l4BjEvA3H" TargetMode="External"/><Relationship Id="rId985" Type="http://schemas.openxmlformats.org/officeDocument/2006/relationships/hyperlink" Target="https://drive.google.com/file/d/12WMr1S3sd-gf9pdQngiNLCO6w7l59bbd/view?usp=drivesdk" TargetMode="External"/><Relationship Id="rId1170" Type="http://schemas.openxmlformats.org/officeDocument/2006/relationships/hyperlink" Target="https://drive.google.com/open?id=10bquEyE6KwCzGipZujFiRWRZV2qmuKUT" TargetMode="External"/><Relationship Id="rId638" Type="http://schemas.openxmlformats.org/officeDocument/2006/relationships/hyperlink" Target="https://drive.google.com/open?id=1312j_wMRXSX3kdbGLWRiFiv6uuUzCmdH" TargetMode="External"/><Relationship Id="rId845" Type="http://schemas.openxmlformats.org/officeDocument/2006/relationships/hyperlink" Target="https://drive.google.com/file/d/1R46dDbjI5wD4MlkCOGN2KsESO2cfLkCS/view?usp=drivesdk" TargetMode="External"/><Relationship Id="rId1030" Type="http://schemas.openxmlformats.org/officeDocument/2006/relationships/hyperlink" Target="https://drive.google.com/open?id=1STrl8lyLRADmofJiBejJrZqf8Wvo9-iG" TargetMode="External"/><Relationship Id="rId1268" Type="http://schemas.openxmlformats.org/officeDocument/2006/relationships/hyperlink" Target="https://drive.google.com/open?id=1e239Q-tmXPmcF3jUFFBEAHvyNZ70JfGH" TargetMode="External"/><Relationship Id="rId1475" Type="http://schemas.openxmlformats.org/officeDocument/2006/relationships/hyperlink" Target="https://drive.google.com/open?id=1xlTn3_ic3BsnQGkbFer3MideV2HT_37s" TargetMode="External"/><Relationship Id="rId1682" Type="http://schemas.openxmlformats.org/officeDocument/2006/relationships/hyperlink" Target="https://drive.google.com/file/d/1lDzXUumbkVcSWm5JEdECJhyFnNTf9mdH/view?usp=drivesdk" TargetMode="External"/><Relationship Id="rId400" Type="http://schemas.openxmlformats.org/officeDocument/2006/relationships/hyperlink" Target="https://drive.google.com/open?id=1BP1vNuuTICNrWk3qQJCczq4FIwVamhZE" TargetMode="External"/><Relationship Id="rId705" Type="http://schemas.openxmlformats.org/officeDocument/2006/relationships/hyperlink" Target="https://drive.google.com/open?id=19yOOSdnL-bZtPU5dHJmfgArasS_ZcHty" TargetMode="External"/><Relationship Id="rId1128" Type="http://schemas.openxmlformats.org/officeDocument/2006/relationships/hyperlink" Target="https://drive.google.com/open?id=1zjQi12jiQxa3pPygUHn70uFnGxX7qxGE" TargetMode="External"/><Relationship Id="rId1335" Type="http://schemas.openxmlformats.org/officeDocument/2006/relationships/hyperlink" Target="https://drive.google.com/open?id=15P5mu9xbYVaMWZVAugYhkpLamsF6IvLU" TargetMode="External"/><Relationship Id="rId1542" Type="http://schemas.openxmlformats.org/officeDocument/2006/relationships/hyperlink" Target="https://drive.google.com/open?id=1mAp4-5rkf-d5u9pO3ev5SnbPAvgPgAw2" TargetMode="External"/><Relationship Id="rId912" Type="http://schemas.openxmlformats.org/officeDocument/2006/relationships/hyperlink" Target="https://drive.google.com/open?id=1cin2wLXYHvqJn9HkQVrA1w2acdNSUF8F" TargetMode="External"/><Relationship Id="rId41" Type="http://schemas.openxmlformats.org/officeDocument/2006/relationships/hyperlink" Target="https://drive.google.com/open?id=1v8mCDEvvSESPC4daSvQ6CSuIoxIZNGba" TargetMode="External"/><Relationship Id="rId1402" Type="http://schemas.openxmlformats.org/officeDocument/2006/relationships/hyperlink" Target="https://drive.google.com/file/d/1LF05dp4JO_ssV3phjvXzVF58F6aJ0MWC/view?usp=drivesdk" TargetMode="External"/><Relationship Id="rId1707" Type="http://schemas.openxmlformats.org/officeDocument/2006/relationships/hyperlink" Target="https://drive.google.com/open?id=142jugKH-OlaIyBJzcsSXlALYZ8eBy968" TargetMode="External"/><Relationship Id="rId190" Type="http://schemas.openxmlformats.org/officeDocument/2006/relationships/hyperlink" Target="https://drive.google.com/open?id=1BZDqDZHccrnh1lUdYaZs841j2YT8Dd89" TargetMode="External"/><Relationship Id="rId288" Type="http://schemas.openxmlformats.org/officeDocument/2006/relationships/hyperlink" Target="https://drive.google.com/open?id=1v8gg3jfleXp0tkQUUpv8h8a9H1fZD1jB" TargetMode="External"/><Relationship Id="rId495" Type="http://schemas.openxmlformats.org/officeDocument/2006/relationships/hyperlink" Target="https://drive.google.com/open?id=1gYfcbDhYyQalmwfi6aqlE0QhQaa1vdIy" TargetMode="External"/><Relationship Id="rId148" Type="http://schemas.openxmlformats.org/officeDocument/2006/relationships/hyperlink" Target="https://drive.google.com/open?id=1u4Yr-XEJnck2KOXQBbhD12u4Szet-z1J" TargetMode="External"/><Relationship Id="rId355" Type="http://schemas.openxmlformats.org/officeDocument/2006/relationships/hyperlink" Target="https://drive.google.com/file/d/1LKT5B8m2gvKBH6hFEXUp7kEMurDzF38x/view?usp=drivesdk" TargetMode="External"/><Relationship Id="rId562" Type="http://schemas.openxmlformats.org/officeDocument/2006/relationships/hyperlink" Target="https://drive.google.com/file/d/1FBQ6pXTC5gURdO6SsLt29TYl8nwgcNWK/view?usp=drivesdk" TargetMode="External"/><Relationship Id="rId1192" Type="http://schemas.openxmlformats.org/officeDocument/2006/relationships/hyperlink" Target="https://drive.google.com/open?id=1lhiyVpy26BDiZWUV6MvpSK4648lwG7Vf" TargetMode="External"/><Relationship Id="rId215" Type="http://schemas.openxmlformats.org/officeDocument/2006/relationships/hyperlink" Target="https://drive.google.com/open?id=1djWR34DUW3iim2h1L0BPdQJseQsw_-o5" TargetMode="External"/><Relationship Id="rId422" Type="http://schemas.openxmlformats.org/officeDocument/2006/relationships/hyperlink" Target="https://drive.google.com/file/d/18r-EX3q5oMFPFlpj_4hNqKT5hIXIpmo3/view?usp=drivesdk" TargetMode="External"/><Relationship Id="rId867" Type="http://schemas.openxmlformats.org/officeDocument/2006/relationships/hyperlink" Target="https://drive.google.com/open?id=1sRzQCgB6lZ-pHSI6mrQH2SoFlWgUjPs8" TargetMode="External"/><Relationship Id="rId1052" Type="http://schemas.openxmlformats.org/officeDocument/2006/relationships/hyperlink" Target="https://drive.google.com/open?id=14VKVdC2eIL6ptsMziByBGLwxndyQQqWH" TargetMode="External"/><Relationship Id="rId1497" Type="http://schemas.openxmlformats.org/officeDocument/2006/relationships/hyperlink" Target="https://drive.google.com/open?id=19-8c4etrSHiR9qxon6qq3rbulqX0YAAI" TargetMode="External"/><Relationship Id="rId727" Type="http://schemas.openxmlformats.org/officeDocument/2006/relationships/hyperlink" Target="https://drive.google.com/open?id=19KW2Vc3xV5fO_RIXlUCO-cKCiMoBZofB" TargetMode="External"/><Relationship Id="rId934" Type="http://schemas.openxmlformats.org/officeDocument/2006/relationships/hyperlink" Target="https://drive.google.com/open?id=1ZUmpyMsc2t6BXeeTLDrnT-i_IwMWyz6z" TargetMode="External"/><Relationship Id="rId1357" Type="http://schemas.openxmlformats.org/officeDocument/2006/relationships/hyperlink" Target="https://drive.google.com/open?id=1JIG1goGdftasrb_aBjpgPGQrVqSdY5sa" TargetMode="External"/><Relationship Id="rId1564" Type="http://schemas.openxmlformats.org/officeDocument/2006/relationships/hyperlink" Target="https://drive.google.com/file/d/134Kce65q8lAX7Hvw4ahzwveeKlLeffqn/view?usp=drivesdk" TargetMode="External"/><Relationship Id="rId1771" Type="http://schemas.openxmlformats.org/officeDocument/2006/relationships/hyperlink" Target="https://drive.google.com/file/d/1SWYqoq66QGbsPJfQvlJJLW2ULVp2TJ-w/view?usp=drivesdk" TargetMode="External"/><Relationship Id="rId63" Type="http://schemas.openxmlformats.org/officeDocument/2006/relationships/hyperlink" Target="https://drive.google.com/open?id=1rPXUsiq8VsDSTOJDM4KLAHFf8yKZ3qeW" TargetMode="External"/><Relationship Id="rId1217" Type="http://schemas.openxmlformats.org/officeDocument/2006/relationships/hyperlink" Target="https://drive.google.com/open?id=1c93kAil7u3Mf3KKnIfOvRz2jrqktwMAZ" TargetMode="External"/><Relationship Id="rId1424" Type="http://schemas.openxmlformats.org/officeDocument/2006/relationships/hyperlink" Target="https://drive.google.com/file/d/1BVAMLKQQe4_s9-phaAso1-RpsgBwQiLC/view?usp=drivesdk" TargetMode="External"/><Relationship Id="rId1631" Type="http://schemas.openxmlformats.org/officeDocument/2006/relationships/hyperlink" Target="https://drive.google.com/open?id=1r92PRdEJCXjzLDINoIodH4WMbolOohoQ" TargetMode="External"/><Relationship Id="rId1729" Type="http://schemas.openxmlformats.org/officeDocument/2006/relationships/hyperlink" Target="https://drive.google.com/file/d/1vy-h7p5DyLD7plXzoq1VPCnEuw2HIz63/view?usp=drivesdk" TargetMode="External"/><Relationship Id="rId377" Type="http://schemas.openxmlformats.org/officeDocument/2006/relationships/hyperlink" Target="https://drive.google.com/open?id=1Qi-Z_Ri9lj7PeuQrXfl2RPiXNhTMR5PD" TargetMode="External"/><Relationship Id="rId584" Type="http://schemas.openxmlformats.org/officeDocument/2006/relationships/hyperlink" Target="https://drive.google.com/file/d/1EBBOxC7_LaU9WW9SSR2BDqsKllnba-Xd/view?usp=drivesdk" TargetMode="External"/><Relationship Id="rId5" Type="http://schemas.openxmlformats.org/officeDocument/2006/relationships/hyperlink" Target="https://drive.google.com/open?id=1F9ynQw10cqa0nnDbKAXmxGjioyEGSbo-" TargetMode="External"/><Relationship Id="rId237" Type="http://schemas.openxmlformats.org/officeDocument/2006/relationships/hyperlink" Target="https://drive.google.com/open?id=1M0E8VIgSLkaYH8yIosvNNO8glnm8ap9K" TargetMode="External"/><Relationship Id="rId791" Type="http://schemas.openxmlformats.org/officeDocument/2006/relationships/hyperlink" Target="https://drive.google.com/open?id=1bowFcLmzdAia3Bwa4sMFNc8FBGneHv7k" TargetMode="External"/><Relationship Id="rId889" Type="http://schemas.openxmlformats.org/officeDocument/2006/relationships/hyperlink" Target="https://drive.google.com/open?id=1wUzCar1P0FmeYJyF6GHrXwGqkfJ82_A7" TargetMode="External"/><Relationship Id="rId1074" Type="http://schemas.openxmlformats.org/officeDocument/2006/relationships/hyperlink" Target="https://drive.google.com/open?id=1X31a90bJb5a-_Gta2f7oJnKKV98p3JkC" TargetMode="External"/><Relationship Id="rId444" Type="http://schemas.openxmlformats.org/officeDocument/2006/relationships/hyperlink" Target="https://drive.google.com/file/d/1LOPB58gtp31nePL780SD1YYf0O6bY6Z4/view?usp=drivesdk" TargetMode="External"/><Relationship Id="rId651" Type="http://schemas.openxmlformats.org/officeDocument/2006/relationships/hyperlink" Target="https://drive.google.com/open?id=1nK0_cNr0tjMTu1DAv0mvclvUPKiW6OsP" TargetMode="External"/><Relationship Id="rId749" Type="http://schemas.openxmlformats.org/officeDocument/2006/relationships/hyperlink" Target="https://drive.google.com/open?id=19rdm4J-i8bQ4V4Vm3znaGnAx3pKlSVTJ" TargetMode="External"/><Relationship Id="rId1281" Type="http://schemas.openxmlformats.org/officeDocument/2006/relationships/hyperlink" Target="https://drive.google.com/open?id=1jPz5dJciSr2DDFAOHx0yDXcsn-FTyM35" TargetMode="External"/><Relationship Id="rId1379" Type="http://schemas.openxmlformats.org/officeDocument/2006/relationships/hyperlink" Target="https://drive.google.com/open?id=1RGY4AclVNJkubxc-lW4EHYLRgeT8FKUo" TargetMode="External"/><Relationship Id="rId1586" Type="http://schemas.openxmlformats.org/officeDocument/2006/relationships/hyperlink" Target="https://drive.google.com/file/d/16uL4hQwu9kl9k5c6OiBC6MIut5Bgriep/view?usp=drivesdk" TargetMode="External"/><Relationship Id="rId304" Type="http://schemas.openxmlformats.org/officeDocument/2006/relationships/hyperlink" Target="https://drive.google.com/file/d/15RkxYaQkdL9ISWDflHkezJE0csE5ETTl/view?usp=drivesdk" TargetMode="External"/><Relationship Id="rId511" Type="http://schemas.openxmlformats.org/officeDocument/2006/relationships/hyperlink" Target="https://drive.google.com/open?id=1LQBS39tAailhiZhSSMZwbX3-yAW-LIkS" TargetMode="External"/><Relationship Id="rId609" Type="http://schemas.openxmlformats.org/officeDocument/2006/relationships/hyperlink" Target="https://drive.google.com/open?id=1T6xydEQgsgYO0J67dqd5iZJoVoAU8fAQ" TargetMode="External"/><Relationship Id="rId956" Type="http://schemas.openxmlformats.org/officeDocument/2006/relationships/hyperlink" Target="https://drive.google.com/file/d/1M3j0MU3ROkcWYmrJ0iSm-PGbb0lyUeGl/view?usp=drivesdk" TargetMode="External"/><Relationship Id="rId1141" Type="http://schemas.openxmlformats.org/officeDocument/2006/relationships/hyperlink" Target="https://drive.google.com/open?id=1BGNx9zcHnom1_dSLCQDB9K2iornRmcEC" TargetMode="External"/><Relationship Id="rId1239" Type="http://schemas.openxmlformats.org/officeDocument/2006/relationships/hyperlink" Target="https://drive.google.com/open?id=1Z8MRAl_KQ_zZ7j491DvnRgjKvwPkmNeT" TargetMode="External"/><Relationship Id="rId1793" Type="http://schemas.openxmlformats.org/officeDocument/2006/relationships/hyperlink" Target="https://drive.google.com/open?id=1b5F7Lw71XZtmRgIA23aw3wApNo6k-6A-" TargetMode="External"/><Relationship Id="rId85" Type="http://schemas.openxmlformats.org/officeDocument/2006/relationships/hyperlink" Target="https://drive.google.com/open?id=1PXoLUL6L0OJRSq3zSgINm5IGeGT5ccgE" TargetMode="External"/><Relationship Id="rId816" Type="http://schemas.openxmlformats.org/officeDocument/2006/relationships/hyperlink" Target="https://drive.google.com/file/d/1BDof5uJ9-qUex2iJHEoWwgOgvc7jezS1/view?usp=drivesdk" TargetMode="External"/><Relationship Id="rId1001" Type="http://schemas.openxmlformats.org/officeDocument/2006/relationships/hyperlink" Target="https://drive.google.com/open?id=1cJVXYiZvxoyJTKqqo6o-Nm4I91XYJAhD" TargetMode="External"/><Relationship Id="rId1446" Type="http://schemas.openxmlformats.org/officeDocument/2006/relationships/hyperlink" Target="https://drive.google.com/open?id=1T8DTRq7qJwOoEuXx-6eAAJQskn_PWQGF" TargetMode="External"/><Relationship Id="rId1653" Type="http://schemas.openxmlformats.org/officeDocument/2006/relationships/hyperlink" Target="https://drive.google.com/open?id=1lh5kK4UJZ4xgiBs4KD5-bxZV-f6WSCpL" TargetMode="External"/><Relationship Id="rId1306" Type="http://schemas.openxmlformats.org/officeDocument/2006/relationships/hyperlink" Target="https://drive.google.com/file/d/19DU4pPCc4NhBNug1zVsLNOg0VXX3Vgwf/view?usp=drivesdk" TargetMode="External"/><Relationship Id="rId1513" Type="http://schemas.openxmlformats.org/officeDocument/2006/relationships/hyperlink" Target="https://drive.google.com/open?id=10X-B35YItfPjUBP_wc4ZNrF8did6E8D-" TargetMode="External"/><Relationship Id="rId1720" Type="http://schemas.openxmlformats.org/officeDocument/2006/relationships/hyperlink" Target="https://drive.google.com/open?id=1JMBzMUb6LNdN113RfUutWRqU56OHGZrI" TargetMode="External"/><Relationship Id="rId12" Type="http://schemas.openxmlformats.org/officeDocument/2006/relationships/hyperlink" Target="https://drive.google.com/file/d/1w7oC-PYx5RffbMdqv_7P1POHsgvgIdZ4/view?usp=drivesdk" TargetMode="External"/><Relationship Id="rId1818" Type="http://schemas.openxmlformats.org/officeDocument/2006/relationships/hyperlink" Target="https://drive.google.com/open?id=1QnDBl-89PpaEGMWcuYP37-15SDpFBIUG" TargetMode="External"/><Relationship Id="rId161" Type="http://schemas.openxmlformats.org/officeDocument/2006/relationships/hyperlink" Target="https://drive.google.com/open?id=1JYvCy3PlLBrqpsb9zPYOPq4PCccDoFzp" TargetMode="External"/><Relationship Id="rId399" Type="http://schemas.openxmlformats.org/officeDocument/2006/relationships/hyperlink" Target="https://drive.google.com/open?id=14iU3cnAhx2tllod6p5pfybbEHTg_BMBG" TargetMode="External"/><Relationship Id="rId259" Type="http://schemas.openxmlformats.org/officeDocument/2006/relationships/hyperlink" Target="https://drive.google.com/open?id=1LhRtL026C13TK3IJkWQ-JbYfM8n6Qyqj" TargetMode="External"/><Relationship Id="rId466" Type="http://schemas.openxmlformats.org/officeDocument/2006/relationships/hyperlink" Target="https://drive.google.com/open?id=1V12nKIlpbe8Lhj8EaMbVcB97HOF9tZ4F" TargetMode="External"/><Relationship Id="rId673" Type="http://schemas.openxmlformats.org/officeDocument/2006/relationships/hyperlink" Target="https://drive.google.com/open?id=1TU1KgDrmucKNKAvQtxibB6FmG6L7FUru" TargetMode="External"/><Relationship Id="rId880" Type="http://schemas.openxmlformats.org/officeDocument/2006/relationships/hyperlink" Target="https://drive.google.com/file/d/1l0DqIRIWH8jt4-vg44SAUQiYqZM2GNT9/view?usp=drivesdk" TargetMode="External"/><Relationship Id="rId1096" Type="http://schemas.openxmlformats.org/officeDocument/2006/relationships/hyperlink" Target="https://drive.google.com/file/d/17kcsYz5s9u9fMjXnXjsZ1EvLywxAQUgR/view?usp=drivesdk" TargetMode="External"/><Relationship Id="rId119" Type="http://schemas.openxmlformats.org/officeDocument/2006/relationships/hyperlink" Target="https://drive.google.com/open?id=1s8kfj-UdxL3k40dDihKwivW4Kw0Yg1kN" TargetMode="External"/><Relationship Id="rId326" Type="http://schemas.openxmlformats.org/officeDocument/2006/relationships/hyperlink" Target="https://drive.google.com/file/d/1fnPZZpzgbgvELnTohf68RT381FSwADTh/view?usp=drivesdk" TargetMode="External"/><Relationship Id="rId533" Type="http://schemas.openxmlformats.org/officeDocument/2006/relationships/hyperlink" Target="https://drive.google.com/open?id=1HfKOHqJLIxx21l2g0eNsz5AB7qtq97yE" TargetMode="External"/><Relationship Id="rId978" Type="http://schemas.openxmlformats.org/officeDocument/2006/relationships/hyperlink" Target="https://drive.google.com/file/d/19bpznPSiBZfWXt3i6vSkzuichGwaVAUX/view?usp=drivesdk" TargetMode="External"/><Relationship Id="rId1163" Type="http://schemas.openxmlformats.org/officeDocument/2006/relationships/hyperlink" Target="https://drive.google.com/open?id=1tommmsuclpAK8-PshWl-gGhK_Kb0yhX9" TargetMode="External"/><Relationship Id="rId1370" Type="http://schemas.openxmlformats.org/officeDocument/2006/relationships/hyperlink" Target="https://drive.google.com/open?id=17EeWrPRT_9KWwkxutCiY9zE5rLYpBkU0" TargetMode="External"/><Relationship Id="rId740" Type="http://schemas.openxmlformats.org/officeDocument/2006/relationships/hyperlink" Target="https://drive.google.com/open?id=1gk9tbx13rI5emo5pOFmDahK35HRO34Vj" TargetMode="External"/><Relationship Id="rId838" Type="http://schemas.openxmlformats.org/officeDocument/2006/relationships/hyperlink" Target="https://drive.google.com/file/d/1PLikmrgSFfSLt0Ap2syEGF8VrDq9L73Z/view?usp=drivesdk" TargetMode="External"/><Relationship Id="rId1023" Type="http://schemas.openxmlformats.org/officeDocument/2006/relationships/hyperlink" Target="https://drive.google.com/open?id=1PkmYDta5zVXaferSSZ0eQ--ZapgZYN-S" TargetMode="External"/><Relationship Id="rId1468" Type="http://schemas.openxmlformats.org/officeDocument/2006/relationships/hyperlink" Target="https://drive.google.com/open?id=1EFrjbQ29k9VT9lQSHFhOCBP4mgeJ7jcM" TargetMode="External"/><Relationship Id="rId1675" Type="http://schemas.openxmlformats.org/officeDocument/2006/relationships/hyperlink" Target="https://drive.google.com/file/d/1qMcEw8JVtzc7oX3wYpErbMbXJuVTZVF4/view?usp=drivesdk" TargetMode="External"/><Relationship Id="rId600" Type="http://schemas.openxmlformats.org/officeDocument/2006/relationships/hyperlink" Target="https://drive.google.com/open?id=16q9Jh8vwa3PXesltK9NH8cexnf3w9Sc3" TargetMode="External"/><Relationship Id="rId1230" Type="http://schemas.openxmlformats.org/officeDocument/2006/relationships/hyperlink" Target="https://drive.google.com/file/d/1sVUIQzciQhZ--bio1WAp0uGC4eVHOZR1/view?usp=drivesdk" TargetMode="External"/><Relationship Id="rId1328" Type="http://schemas.openxmlformats.org/officeDocument/2006/relationships/hyperlink" Target="https://drive.google.com/open?id=1zdvWwhxv96gen994cTTa4wTQCMzI30kn" TargetMode="External"/><Relationship Id="rId1535" Type="http://schemas.openxmlformats.org/officeDocument/2006/relationships/hyperlink" Target="https://drive.google.com/open?id=1xSRcZ-qnoOyHh5xsybfu55d04qw5TyNo" TargetMode="External"/><Relationship Id="rId905" Type="http://schemas.openxmlformats.org/officeDocument/2006/relationships/hyperlink" Target="https://drive.google.com/open?id=14JA2lpSSMQXKbKei41AI8yXk1iEQejtc" TargetMode="External"/><Relationship Id="rId1742" Type="http://schemas.openxmlformats.org/officeDocument/2006/relationships/hyperlink" Target="https://drive.google.com/file/d/1gjnXfkWveR5OGhE647XWZYTFlbiaZycX/view?usp=drivesdk" TargetMode="External"/><Relationship Id="rId34" Type="http://schemas.openxmlformats.org/officeDocument/2006/relationships/hyperlink" Target="https://drive.google.com/open?id=1dnpTjQ0un2XsePCSxmnYfFQglSCh9PBb" TargetMode="External"/><Relationship Id="rId1602" Type="http://schemas.openxmlformats.org/officeDocument/2006/relationships/hyperlink" Target="https://drive.google.com/open?id=1XpCcaxugqM5AepLZzFfjr6kSSzmHHZLW" TargetMode="External"/><Relationship Id="rId183" Type="http://schemas.openxmlformats.org/officeDocument/2006/relationships/hyperlink" Target="https://drive.google.com/open?id=14BtpWi_V4UF7o508KGMp6si8hDbz8IL1" TargetMode="External"/><Relationship Id="rId390" Type="http://schemas.openxmlformats.org/officeDocument/2006/relationships/hyperlink" Target="https://drive.google.com/file/d/11Cd6tZ9vWRb0K08_0n_FwE2ffvI8DWzU/view?usp=drivesdk" TargetMode="External"/><Relationship Id="rId250" Type="http://schemas.openxmlformats.org/officeDocument/2006/relationships/hyperlink" Target="https://drive.google.com/open?id=1Ntly1OlyCfiMdVvnSz6tvbBkiusf1tqA" TargetMode="External"/><Relationship Id="rId488" Type="http://schemas.openxmlformats.org/officeDocument/2006/relationships/hyperlink" Target="https://drive.google.com/open?id=15uMqHmur-LQlgOZdSfR5jU5S6MhfWBf2" TargetMode="External"/><Relationship Id="rId695" Type="http://schemas.openxmlformats.org/officeDocument/2006/relationships/hyperlink" Target="https://drive.google.com/open?id=1WTl_2oV9teJEnJnPsQkluTBFfol1AV9s" TargetMode="External"/><Relationship Id="rId110" Type="http://schemas.openxmlformats.org/officeDocument/2006/relationships/hyperlink" Target="https://drive.google.com/file/d/1vpI-PLPnph_UpG7KhZuaJet599F6a7Rj/view?usp=drivesdk" TargetMode="External"/><Relationship Id="rId348" Type="http://schemas.openxmlformats.org/officeDocument/2006/relationships/hyperlink" Target="https://drive.google.com/file/d/1rf0Ga5PkCxoCx92_zMQ_DZ2CfIFbGYy6/view?usp=drivesdk" TargetMode="External"/><Relationship Id="rId555" Type="http://schemas.openxmlformats.org/officeDocument/2006/relationships/hyperlink" Target="https://drive.google.com/file/d/1mIJ-XyxU5Ezx0cXoNuplYfkfd1ImJb1R/view?usp=drivesdk" TargetMode="External"/><Relationship Id="rId762" Type="http://schemas.openxmlformats.org/officeDocument/2006/relationships/hyperlink" Target="https://drive.google.com/open?id=1-25vCtfZu41xAQg_CR1C3-jbGRBUqYOb" TargetMode="External"/><Relationship Id="rId1185" Type="http://schemas.openxmlformats.org/officeDocument/2006/relationships/hyperlink" Target="https://drive.google.com/open?id=1CthIDNP2VVZtJJPzddSvzz3bHWcnaNog" TargetMode="External"/><Relationship Id="rId1392" Type="http://schemas.openxmlformats.org/officeDocument/2006/relationships/hyperlink" Target="https://drive.google.com/open?id=1Zubv1RK1LBkr8Sxjqr1XrgjW_Lo4d-ZM" TargetMode="External"/><Relationship Id="rId208" Type="http://schemas.openxmlformats.org/officeDocument/2006/relationships/hyperlink" Target="https://drive.google.com/open?id=1lUf55B_8jr3fP6aMItidx67lURyfhCvL" TargetMode="External"/><Relationship Id="rId415" Type="http://schemas.openxmlformats.org/officeDocument/2006/relationships/hyperlink" Target="https://drive.google.com/open?id=1R49Ra4onr7oP86MYI4f1x4ZciNb-YpKU" TargetMode="External"/><Relationship Id="rId622" Type="http://schemas.openxmlformats.org/officeDocument/2006/relationships/hyperlink" Target="https://drive.google.com/open?id=1bIo0kmoM3yosIfRv7qQy6cGhXPFO8e4w" TargetMode="External"/><Relationship Id="rId1045" Type="http://schemas.openxmlformats.org/officeDocument/2006/relationships/hyperlink" Target="https://drive.google.com/open?id=1w0vQaTj7wHvYk2IgG8dDqSG2nEL4myth" TargetMode="External"/><Relationship Id="rId1252" Type="http://schemas.openxmlformats.org/officeDocument/2006/relationships/hyperlink" Target="https://drive.google.com/open?id=1px5WBuHacZd4ORYS_GmvG0185GWkjlF6" TargetMode="External"/><Relationship Id="rId1697" Type="http://schemas.openxmlformats.org/officeDocument/2006/relationships/hyperlink" Target="https://drive.google.com/file/d/1Zh72oR4ztcJqely5Eh4bWzYTDiVwCd4A/view?usp=drivesdk" TargetMode="External"/><Relationship Id="rId927" Type="http://schemas.openxmlformats.org/officeDocument/2006/relationships/hyperlink" Target="https://drive.google.com/open?id=1yCzZ0OHsbOXxj-PnVYVAUokObCbZMy3T" TargetMode="External"/><Relationship Id="rId1112" Type="http://schemas.openxmlformats.org/officeDocument/2006/relationships/hyperlink" Target="https://drive.google.com/open?id=10wxMyl9rnfmI6Ea4JRZ3A_xLkMgg6SN6" TargetMode="External"/><Relationship Id="rId1557" Type="http://schemas.openxmlformats.org/officeDocument/2006/relationships/hyperlink" Target="https://drive.google.com/file/d/1ib2WKyOzcmJCD133f-9Oqy3carIxsukj/view?usp=drivesdk" TargetMode="External"/><Relationship Id="rId1764" Type="http://schemas.openxmlformats.org/officeDocument/2006/relationships/hyperlink" Target="https://drive.google.com/file/d/1Bm1qGjmQFyZ9Ip19gJ2XqUgImFayotNs/view?usp=drivesdk" TargetMode="External"/><Relationship Id="rId56" Type="http://schemas.openxmlformats.org/officeDocument/2006/relationships/hyperlink" Target="https://drive.google.com/open?id=12BQPDwMLoxeKUpUrsuMg-DdNRne9O-W8" TargetMode="External"/><Relationship Id="rId1417" Type="http://schemas.openxmlformats.org/officeDocument/2006/relationships/hyperlink" Target="https://drive.google.com/file/d/1msuqlqoj-KRJAOo_S7RW6oB3BfQsvIo6/view?usp=drivesdk" TargetMode="External"/><Relationship Id="rId1624" Type="http://schemas.openxmlformats.org/officeDocument/2006/relationships/hyperlink" Target="https://drive.google.com/open?id=1yJBkAwC3rsnRxzMR5nl3aOErZ_5x37Cn" TargetMode="External"/><Relationship Id="rId1831" Type="http://schemas.openxmlformats.org/officeDocument/2006/relationships/hyperlink" Target="https://drive.google.com/open?id=11ncbv2CXmGbXk8v6boX_-DvMAROjD4gw" TargetMode="External"/><Relationship Id="rId272" Type="http://schemas.openxmlformats.org/officeDocument/2006/relationships/hyperlink" Target="https://drive.google.com/open?id=14nN6XqkP1saMz_qGWQjj2HiDlhKmCP5x" TargetMode="External"/><Relationship Id="rId577" Type="http://schemas.openxmlformats.org/officeDocument/2006/relationships/hyperlink" Target="https://drive.google.com/file/d/1WvOs5MwZ_PhTqL2yEX75kJiCZkHl2Tpn/view?usp=drivesdk" TargetMode="External"/><Relationship Id="rId132" Type="http://schemas.openxmlformats.org/officeDocument/2006/relationships/hyperlink" Target="https://drive.google.com/open?id=1iVXUHXYHQ7Oaa55anA1VvwiTNTWbWGbR" TargetMode="External"/><Relationship Id="rId784" Type="http://schemas.openxmlformats.org/officeDocument/2006/relationships/hyperlink" Target="https://drive.google.com/open?id=1PoU-_ObI5HysSXMD75NpENyULH8YD4mw" TargetMode="External"/><Relationship Id="rId991" Type="http://schemas.openxmlformats.org/officeDocument/2006/relationships/hyperlink" Target="https://drive.google.com/file/d/1DU3YJlVGhz8ihb-QSnFmHOL1xAy5Mufj/view?usp=drivesdk" TargetMode="External"/><Relationship Id="rId1067" Type="http://schemas.openxmlformats.org/officeDocument/2006/relationships/hyperlink" Target="https://drive.google.com/open?id=18H-Dbx-GSO88gs4dGIef2b-8CNRp4Y_8" TargetMode="External"/><Relationship Id="rId437" Type="http://schemas.openxmlformats.org/officeDocument/2006/relationships/hyperlink" Target="https://drive.google.com/file/d/1LC7-yDM4IFHbr8Ihcwv2VqjKAzAL55Nc/view?usp=drivesdk" TargetMode="External"/><Relationship Id="rId644" Type="http://schemas.openxmlformats.org/officeDocument/2006/relationships/hyperlink" Target="https://drive.google.com/open?id=1iUDw1t5r89SNGN71wmK3vX2d83Yl7tpD" TargetMode="External"/><Relationship Id="rId851" Type="http://schemas.openxmlformats.org/officeDocument/2006/relationships/hyperlink" Target="https://drive.google.com/file/d/1A9_XUAQn_LXwybMITzvshhgWJ_WVk6b6/view?usp=drivesdk" TargetMode="External"/><Relationship Id="rId1274" Type="http://schemas.openxmlformats.org/officeDocument/2006/relationships/hyperlink" Target="https://drive.google.com/open?id=1RhzZTVLDuM5NOpw-mT2PrYjbwRe8KiVU" TargetMode="External"/><Relationship Id="rId1481" Type="http://schemas.openxmlformats.org/officeDocument/2006/relationships/hyperlink" Target="https://drive.google.com/open?id=1g3cT0vmkDJxoRtKaIICDzWzHEZDw4fID" TargetMode="External"/><Relationship Id="rId1579" Type="http://schemas.openxmlformats.org/officeDocument/2006/relationships/hyperlink" Target="https://drive.google.com/file/d/1Y-tYYCWxUzQozKmmFdAH2hBOm2f3ucem/view?usp=drivesdk" TargetMode="External"/><Relationship Id="rId504" Type="http://schemas.openxmlformats.org/officeDocument/2006/relationships/hyperlink" Target="https://drive.google.com/open?id=1Umq5uc8jUPXv19WrF5UMb-bLB0SE7r2v" TargetMode="External"/><Relationship Id="rId711" Type="http://schemas.openxmlformats.org/officeDocument/2006/relationships/hyperlink" Target="https://drive.google.com/file/d/1MWBTXVuwLsQaY2EyeoirVSZWfRNZEGox/view?usp=drivesdk" TargetMode="External"/><Relationship Id="rId949" Type="http://schemas.openxmlformats.org/officeDocument/2006/relationships/hyperlink" Target="https://drive.google.com/file/d/1hfloxO34atiQT8LFKXyFcmEND282jHMd/view?usp=drivesdk" TargetMode="External"/><Relationship Id="rId1134" Type="http://schemas.openxmlformats.org/officeDocument/2006/relationships/hyperlink" Target="https://drive.google.com/open?id=1MDQRP5zTgIxWBd7NOBAqn3ib0nihm_pr" TargetMode="External"/><Relationship Id="rId1341" Type="http://schemas.openxmlformats.org/officeDocument/2006/relationships/hyperlink" Target="https://drive.google.com/open?id=19I7pszX2b7BEYV3hw4CeKDKVfuE-Sh1w" TargetMode="External"/><Relationship Id="rId1786" Type="http://schemas.openxmlformats.org/officeDocument/2006/relationships/hyperlink" Target="https://drive.google.com/open?id=1NkaWu0wTz2cEac28jgKNcpOBj3Mx_gqp" TargetMode="External"/><Relationship Id="rId78" Type="http://schemas.openxmlformats.org/officeDocument/2006/relationships/hyperlink" Target="https://drive.google.com/open?id=1z22yxiABArZ5CRW_Wd1O0D9ESaspGDWw" TargetMode="External"/><Relationship Id="rId809" Type="http://schemas.openxmlformats.org/officeDocument/2006/relationships/hyperlink" Target="https://drive.google.com/file/d/1O2c4lsgyqWQxxmvNVsf0F7cXi8ddpSIk/view?usp=drivesdk" TargetMode="External"/><Relationship Id="rId1201" Type="http://schemas.openxmlformats.org/officeDocument/2006/relationships/hyperlink" Target="https://drive.google.com/file/d/10aNciO72RZDqa4b05DOaiPiQdfP2uMyg/view?usp=drivesdk" TargetMode="External"/><Relationship Id="rId1439" Type="http://schemas.openxmlformats.org/officeDocument/2006/relationships/hyperlink" Target="https://drive.google.com/open?id=1nAf6EKaZD-47Hlt60PtdsbasOI4VGBJD" TargetMode="External"/><Relationship Id="rId1646" Type="http://schemas.openxmlformats.org/officeDocument/2006/relationships/hyperlink" Target="https://drive.google.com/open?id=1HiLfOaMdN_LQ--FCppyaOufO9yexnNr4" TargetMode="External"/><Relationship Id="rId1506" Type="http://schemas.openxmlformats.org/officeDocument/2006/relationships/hyperlink" Target="https://drive.google.com/open?id=15pyhotYcWVAOWg6AbOjItxQ6B-z_599Q" TargetMode="External"/><Relationship Id="rId1713" Type="http://schemas.openxmlformats.org/officeDocument/2006/relationships/hyperlink" Target="https://drive.google.com/open?id=1mNRyodQc6Tsvsal6sXLfs9IrrehRYd4C" TargetMode="External"/><Relationship Id="rId294" Type="http://schemas.openxmlformats.org/officeDocument/2006/relationships/hyperlink" Target="https://drive.google.com/open?id=1K9dlZzOPlKBXyiYHNpJceMWx87JcWHm8" TargetMode="External"/><Relationship Id="rId154" Type="http://schemas.openxmlformats.org/officeDocument/2006/relationships/hyperlink" Target="https://drive.google.com/open?id=1eud146im8yHDjfrFVexPMO3pY1I6aHAQ" TargetMode="External"/><Relationship Id="rId361" Type="http://schemas.openxmlformats.org/officeDocument/2006/relationships/hyperlink" Target="https://drive.google.com/file/d/1wojAO2PQA7SLRpMPZdK__bnlNlhivIt5/view?usp=drivesdk" TargetMode="External"/><Relationship Id="rId599" Type="http://schemas.openxmlformats.org/officeDocument/2006/relationships/hyperlink" Target="https://drive.google.com/open?id=1G9c5A-pdM0UHfbTcdLpjPgBAEYirjxJc" TargetMode="External"/><Relationship Id="rId459" Type="http://schemas.openxmlformats.org/officeDocument/2006/relationships/hyperlink" Target="https://drive.google.com/open?id=13qs07BrNUen2DEfHeHUY8o61MxrEKPPe" TargetMode="External"/><Relationship Id="rId666" Type="http://schemas.openxmlformats.org/officeDocument/2006/relationships/hyperlink" Target="https://drive.google.com/open?id=1gwRzZAQvByTUw7RPWHBl1QNZcnzMZknt" TargetMode="External"/><Relationship Id="rId873" Type="http://schemas.openxmlformats.org/officeDocument/2006/relationships/hyperlink" Target="https://drive.google.com/file/d/1H5gXq1mKz5WhsAW6ns6nhLmiex1WW5pv/view?usp=drivesdk" TargetMode="External"/><Relationship Id="rId1089" Type="http://schemas.openxmlformats.org/officeDocument/2006/relationships/hyperlink" Target="https://drive.google.com/file/d/1BuNETcMwJv58Ff2YlqpZUq4__RK5a13d/view?usp=drivesdk" TargetMode="External"/><Relationship Id="rId1296" Type="http://schemas.openxmlformats.org/officeDocument/2006/relationships/hyperlink" Target="https://drive.google.com/open?id=1V7EhtHGrX65HMG085Vve7KKzIEMWYUje" TargetMode="External"/><Relationship Id="rId221" Type="http://schemas.openxmlformats.org/officeDocument/2006/relationships/hyperlink" Target="https://drive.google.com/file/d/10lrzXxHhVf79OGUWwsc1FEnI7dPRuiVa/view?usp=drivesdk" TargetMode="External"/><Relationship Id="rId319" Type="http://schemas.openxmlformats.org/officeDocument/2006/relationships/hyperlink" Target="https://drive.google.com/file/d/1O-_PLlxSYgEWze94aEWRxTIbHVCP6zVC/view?usp=drivesdk" TargetMode="External"/><Relationship Id="rId526" Type="http://schemas.openxmlformats.org/officeDocument/2006/relationships/hyperlink" Target="https://drive.google.com/open?id=1PSMr5Rw6bNefonmOxb9ETi7DOqVKUM7l" TargetMode="External"/><Relationship Id="rId1156" Type="http://schemas.openxmlformats.org/officeDocument/2006/relationships/hyperlink" Target="https://drive.google.com/open?id=1UJDcH6Fm1o0-t-UJUWd7UtxSIMddlC47" TargetMode="External"/><Relationship Id="rId1363" Type="http://schemas.openxmlformats.org/officeDocument/2006/relationships/hyperlink" Target="https://drive.google.com/open?id=1XgY2KJdwms_MbnQsayrP_wJ4bN5RAWHL" TargetMode="External"/><Relationship Id="rId733" Type="http://schemas.openxmlformats.org/officeDocument/2006/relationships/hyperlink" Target="https://drive.google.com/open?id=1uRvOGDomJVmbBb0jhTcxmMXOUwO1EwZw" TargetMode="External"/><Relationship Id="rId940" Type="http://schemas.openxmlformats.org/officeDocument/2006/relationships/hyperlink" Target="https://drive.google.com/open?id=1odnF695GPXTSf3wYG_ZyrWl9WpePHB5t" TargetMode="External"/><Relationship Id="rId1016" Type="http://schemas.openxmlformats.org/officeDocument/2006/relationships/hyperlink" Target="https://drive.google.com/open?id=1G_d81RthVR0aUCPXmh6B0TN0gwNH1piz" TargetMode="External"/><Relationship Id="rId1570" Type="http://schemas.openxmlformats.org/officeDocument/2006/relationships/hyperlink" Target="https://drive.google.com/open?id=11LYJrDMurp2VnLlwh94JLphCjeFDs_HI" TargetMode="External"/><Relationship Id="rId1668" Type="http://schemas.openxmlformats.org/officeDocument/2006/relationships/hyperlink" Target="https://drive.google.com/file/d/1q_Uj25KGK0pYyFj9r2Kk1I6723RoUdIs/view?usp=drivesdk" TargetMode="External"/><Relationship Id="rId800" Type="http://schemas.openxmlformats.org/officeDocument/2006/relationships/hyperlink" Target="https://drive.google.com/open?id=1ff_aHt0e06n5w2F0jY1UoXwwojQBW9zY" TargetMode="External"/><Relationship Id="rId1223" Type="http://schemas.openxmlformats.org/officeDocument/2006/relationships/hyperlink" Target="https://drive.google.com/file/d/1W0nfBj92dAfTfwbFMwiZhnRN-BngIYKS/view?usp=drivesdk" TargetMode="External"/><Relationship Id="rId1430" Type="http://schemas.openxmlformats.org/officeDocument/2006/relationships/hyperlink" Target="https://drive.google.com/file/d/14R7_p-EBxuqyV_MNV6eBkifRq-ZhuOf3/view?usp=drivesdk" TargetMode="External"/><Relationship Id="rId1528" Type="http://schemas.openxmlformats.org/officeDocument/2006/relationships/hyperlink" Target="https://drive.google.com/open?id=1w0WiFyn9fsLV-pAb2jRJuygTMd6XdKKy" TargetMode="External"/><Relationship Id="rId1735" Type="http://schemas.openxmlformats.org/officeDocument/2006/relationships/hyperlink" Target="https://drive.google.com/file/d/1VZjhpbqJQMrzmaqalcZRm9f40Bkjc52d/view?usp=drivesdk" TargetMode="External"/><Relationship Id="rId27" Type="http://schemas.openxmlformats.org/officeDocument/2006/relationships/hyperlink" Target="https://drive.google.com/open?id=1x0wPYIObqAYv92WT1_JsbtBqO3L-rU7O" TargetMode="External"/><Relationship Id="rId1802" Type="http://schemas.openxmlformats.org/officeDocument/2006/relationships/hyperlink" Target="https://drive.google.com/open?id=1QXeAMM2rZBIBNXOv2AgzmX5Af_WWX2IS" TargetMode="External"/><Relationship Id="rId176" Type="http://schemas.openxmlformats.org/officeDocument/2006/relationships/hyperlink" Target="https://drive.google.com/open?id=1FtMtCOZX6VyHhvpO1qJNeE36YGqQ1Mw0" TargetMode="External"/><Relationship Id="rId383" Type="http://schemas.openxmlformats.org/officeDocument/2006/relationships/hyperlink" Target="https://drive.google.com/file/d/1NrW8UZk2LASaBETTH3Jzqxr8kBvDDcx6/view?usp=drivesdk" TargetMode="External"/><Relationship Id="rId590" Type="http://schemas.openxmlformats.org/officeDocument/2006/relationships/hyperlink" Target="https://drive.google.com/file/d/1efB1wMJpnagUdtl0_nVTVTdfwTm-nxSK/view?usp=drivesdk" TargetMode="External"/><Relationship Id="rId243" Type="http://schemas.openxmlformats.org/officeDocument/2006/relationships/hyperlink" Target="https://drive.google.com/open?id=1vjXJMTTfOVfEN4sEmcawF4uEALI0JT44" TargetMode="External"/><Relationship Id="rId450" Type="http://schemas.openxmlformats.org/officeDocument/2006/relationships/hyperlink" Target="https://drive.google.com/file/d/13Wuut-LDAXverPArEB7dMeNlUVooMuSI/view?usp=drivesdk" TargetMode="External"/><Relationship Id="rId688" Type="http://schemas.openxmlformats.org/officeDocument/2006/relationships/hyperlink" Target="https://drive.google.com/open?id=1XxHt7aNbzwgF4p6Geh7ICgsnR6l2rNqx" TargetMode="External"/><Relationship Id="rId895" Type="http://schemas.openxmlformats.org/officeDocument/2006/relationships/hyperlink" Target="https://drive.google.com/open?id=1VloaIIfIn-Gq4MyqC4jIjlkWid303J0t" TargetMode="External"/><Relationship Id="rId1080" Type="http://schemas.openxmlformats.org/officeDocument/2006/relationships/hyperlink" Target="https://drive.google.com/open?id=1V4dV1_VnaooiKWJ43D0nmsegKuPNqa66" TargetMode="External"/><Relationship Id="rId103" Type="http://schemas.openxmlformats.org/officeDocument/2006/relationships/hyperlink" Target="https://drive.google.com/file/d/1uC23-iugZbxRudD1qNFkzP-offoZVnDn/view?usp=drivesdk" TargetMode="External"/><Relationship Id="rId310" Type="http://schemas.openxmlformats.org/officeDocument/2006/relationships/hyperlink" Target="https://drive.google.com/open?id=1Wqc72TiILdq1YmcWK6M6T-eb8mwQIoWf" TargetMode="External"/><Relationship Id="rId548" Type="http://schemas.openxmlformats.org/officeDocument/2006/relationships/hyperlink" Target="https://drive.google.com/file/d/17SEsrYaLD1nt_Eq9I7i_YZkygwgQ2k8h/view?usp=drivesdk" TargetMode="External"/><Relationship Id="rId755" Type="http://schemas.openxmlformats.org/officeDocument/2006/relationships/hyperlink" Target="https://drive.google.com/open?id=1nJW8LBo6AvFofWc1mPtP2Vfx6dHgeAmc" TargetMode="External"/><Relationship Id="rId962" Type="http://schemas.openxmlformats.org/officeDocument/2006/relationships/hyperlink" Target="https://drive.google.com/open?id=1BmzzIaMRl6vPhoeSGyXGBptpwJ38NBkm" TargetMode="External"/><Relationship Id="rId1178" Type="http://schemas.openxmlformats.org/officeDocument/2006/relationships/hyperlink" Target="https://drive.google.com/open?id=1gPbgugRN6itP85ldpPsRv9wkH0D2V7q9" TargetMode="External"/><Relationship Id="rId1385" Type="http://schemas.openxmlformats.org/officeDocument/2006/relationships/hyperlink" Target="https://drive.google.com/open?id=1xNlOeDdgCokqGWLhxn6Wlr_P7wOYCYIF" TargetMode="External"/><Relationship Id="rId1592" Type="http://schemas.openxmlformats.org/officeDocument/2006/relationships/hyperlink" Target="https://drive.google.com/file/d/1wkPQ2O0Gm5VHUnMSUDrEwosAb7obzCLl/view?usp=drivesdk" TargetMode="External"/><Relationship Id="rId91" Type="http://schemas.openxmlformats.org/officeDocument/2006/relationships/hyperlink" Target="https://drive.google.com/open?id=1fkpSyKnBMX5czfDlIFa5WheNr2lkmxHE" TargetMode="External"/><Relationship Id="rId408" Type="http://schemas.openxmlformats.org/officeDocument/2006/relationships/hyperlink" Target="https://drive.google.com/open?id=1r5ywVlEdEiRueYeeD_jObcJFSG9kD66u" TargetMode="External"/><Relationship Id="rId615" Type="http://schemas.openxmlformats.org/officeDocument/2006/relationships/hyperlink" Target="https://drive.google.com/open?id=18KugviJo3OYcB4t70Z6zxEGn6_sTmMkU" TargetMode="External"/><Relationship Id="rId822" Type="http://schemas.openxmlformats.org/officeDocument/2006/relationships/hyperlink" Target="https://drive.google.com/open?id=1T-S1RtNDxUM-E3qmptSdzJo3Cxmyt_Co" TargetMode="External"/><Relationship Id="rId1038" Type="http://schemas.openxmlformats.org/officeDocument/2006/relationships/hyperlink" Target="https://drive.google.com/open?id=1xt6ZZXzt7xJwaSWxcJ-RPzvLAkuVq4MU" TargetMode="External"/><Relationship Id="rId1245" Type="http://schemas.openxmlformats.org/officeDocument/2006/relationships/hyperlink" Target="https://drive.google.com/open?id=1Swv4okvWAfa8hMM38rMEAlftX2KrQ8YF" TargetMode="External"/><Relationship Id="rId1452" Type="http://schemas.openxmlformats.org/officeDocument/2006/relationships/hyperlink" Target="https://drive.google.com/file/d/1Zswd_3RO1H7bztXFotFkcu7zxA52Xjuk/view?usp=drivesdk" TargetMode="External"/><Relationship Id="rId1105" Type="http://schemas.openxmlformats.org/officeDocument/2006/relationships/hyperlink" Target="https://drive.google.com/open?id=1QzFmlNbqmpeCbZfYbLWyDY3NELWqJs1d" TargetMode="External"/><Relationship Id="rId1312" Type="http://schemas.openxmlformats.org/officeDocument/2006/relationships/hyperlink" Target="https://drive.google.com/open?id=1BTrb2m-qZiSpHpkjabEZo63zeqw-onf6" TargetMode="External"/><Relationship Id="rId1757" Type="http://schemas.openxmlformats.org/officeDocument/2006/relationships/hyperlink" Target="https://drive.google.com/file/d/1zbP4cP1xsHiDUbAJaCBv2lZzQxv7MF39/view?usp=drivesdk" TargetMode="External"/><Relationship Id="rId49" Type="http://schemas.openxmlformats.org/officeDocument/2006/relationships/hyperlink" Target="https://drive.google.com/open?id=1AldeIaj1YfnGtHCSpOUsVY3ZqD6E4EWH" TargetMode="External"/><Relationship Id="rId1617" Type="http://schemas.openxmlformats.org/officeDocument/2006/relationships/hyperlink" Target="https://drive.google.com/open?id=1ZioPNV0wmRCEEf7nTKN6igSs-XQK83SZ" TargetMode="External"/><Relationship Id="rId1824" Type="http://schemas.openxmlformats.org/officeDocument/2006/relationships/hyperlink" Target="https://drive.google.com/open?id=1H6pTVFenJtmpSmAShafIr6sACPJ28aUn" TargetMode="External"/><Relationship Id="rId198" Type="http://schemas.openxmlformats.org/officeDocument/2006/relationships/hyperlink" Target="https://drive.google.com/open?id=1RmiI_eyDfqVciBbg3gYiPgciT2zNcGKu" TargetMode="External"/><Relationship Id="rId265" Type="http://schemas.openxmlformats.org/officeDocument/2006/relationships/hyperlink" Target="https://drive.google.com/open?id=1QZVMftNaUzkucjzE6jItXSCGpuOmuqor" TargetMode="External"/><Relationship Id="rId472" Type="http://schemas.openxmlformats.org/officeDocument/2006/relationships/hyperlink" Target="https://drive.google.com/file/d/1Efw0QwtaBbcPyu-rOQMkWwpWA53fV3Bi/view?usp=drivesdk" TargetMode="External"/><Relationship Id="rId125" Type="http://schemas.openxmlformats.org/officeDocument/2006/relationships/hyperlink" Target="https://drive.google.com/open?id=1rQbfChOKmQVZOuE_GjR-k0YMVZnfSsWb" TargetMode="External"/><Relationship Id="rId332" Type="http://schemas.openxmlformats.org/officeDocument/2006/relationships/hyperlink" Target="https://drive.google.com/file/d/1EVd61B9fzs1siRNN7zD_UbapqLQFbHg7/view?usp=drivesdk" TargetMode="External"/><Relationship Id="rId777" Type="http://schemas.openxmlformats.org/officeDocument/2006/relationships/hyperlink" Target="https://drive.google.com/open?id=1LTaOr4F9-mcx3X3ZsKy_HdXcQ_Hga3eq" TargetMode="External"/><Relationship Id="rId984" Type="http://schemas.openxmlformats.org/officeDocument/2006/relationships/hyperlink" Target="https://drive.google.com/file/d/1LoXs3dfpcflQI7-5NLfcs8dZMPEiLpEh/view?usp=drivesdk" TargetMode="External"/><Relationship Id="rId637" Type="http://schemas.openxmlformats.org/officeDocument/2006/relationships/hyperlink" Target="https://drive.google.com/open?id=1vBSnL03QiRYeI1rg7RABoimcV1Bv0JvH" TargetMode="External"/><Relationship Id="rId844" Type="http://schemas.openxmlformats.org/officeDocument/2006/relationships/hyperlink" Target="https://drive.google.com/file/d/1cg-LcDKFxcziHZmyK6WxGedXiWen5roT/view?usp=drivesdk" TargetMode="External"/><Relationship Id="rId1267" Type="http://schemas.openxmlformats.org/officeDocument/2006/relationships/hyperlink" Target="https://drive.google.com/open?id=1gknQsBgs1YdhhypdqxxlWAHNEoMJpoGh" TargetMode="External"/><Relationship Id="rId1474" Type="http://schemas.openxmlformats.org/officeDocument/2006/relationships/hyperlink" Target="https://drive.google.com/open?id=1M8Y57ooKx3Be6TllzR0z98O536MnSRmw" TargetMode="External"/><Relationship Id="rId1681" Type="http://schemas.openxmlformats.org/officeDocument/2006/relationships/hyperlink" Target="https://drive.google.com/open?id=1SNmQLi8ak-odCQlEPL7I36FZafs6IfJZ" TargetMode="External"/><Relationship Id="rId704" Type="http://schemas.openxmlformats.org/officeDocument/2006/relationships/hyperlink" Target="https://drive.google.com/file/d/1xNbdciD3lxdI7UZcZg-6hsHet1BEeqTr/view?usp=drivesdk" TargetMode="External"/><Relationship Id="rId911" Type="http://schemas.openxmlformats.org/officeDocument/2006/relationships/hyperlink" Target="https://drive.google.com/open?id=1heGm0brv-DuUa5cx-Jy3gQIp6Uny8nHs" TargetMode="External"/><Relationship Id="rId1127" Type="http://schemas.openxmlformats.org/officeDocument/2006/relationships/hyperlink" Target="https://drive.google.com/open?id=1QDeg0RF3rJOfP1YO_Z7qCr1FyqGjEY1z" TargetMode="External"/><Relationship Id="rId1334" Type="http://schemas.openxmlformats.org/officeDocument/2006/relationships/hyperlink" Target="https://drive.google.com/open?id=1XNJqfLhDUR_FH16s1Cqh85sjoqC4Xy3o" TargetMode="External"/><Relationship Id="rId1541" Type="http://schemas.openxmlformats.org/officeDocument/2006/relationships/hyperlink" Target="https://drive.google.com/open?id=1cwCZ3TQojQlbXPapwr2daaBKBfmdH6lM" TargetMode="External"/><Relationship Id="rId1779" Type="http://schemas.openxmlformats.org/officeDocument/2006/relationships/hyperlink" Target="https://drive.google.com/open?id=1v7xldkpev49_yOJduH2D0o-dvAnE954g" TargetMode="External"/><Relationship Id="rId40" Type="http://schemas.openxmlformats.org/officeDocument/2006/relationships/hyperlink" Target="https://drive.google.com/file/d/1dIqBmK2vIH9U9g5Yd7fkEYraYSWGChQY/view?usp=drivesdk" TargetMode="External"/><Relationship Id="rId1401" Type="http://schemas.openxmlformats.org/officeDocument/2006/relationships/hyperlink" Target="https://drive.google.com/open?id=1-oLNsPiFP9cBBXEUcJJUeNu9eSMBpzns" TargetMode="External"/><Relationship Id="rId1639" Type="http://schemas.openxmlformats.org/officeDocument/2006/relationships/hyperlink" Target="https://drive.google.com/open?id=1Eq3QSVwAlDCVxjiVNCtKyvkT3UTYQDsg" TargetMode="External"/><Relationship Id="rId1706" Type="http://schemas.openxmlformats.org/officeDocument/2006/relationships/hyperlink" Target="https://drive.google.com/open?id=1h0Sk3HJeAFWj1LiiBlbksb_JpoCRauOL" TargetMode="External"/><Relationship Id="rId287" Type="http://schemas.openxmlformats.org/officeDocument/2006/relationships/hyperlink" Target="https://drive.google.com/open?id=1BPzMJqAiKc3nxfSSdq1FoxVwBxvNtRqP" TargetMode="External"/><Relationship Id="rId494" Type="http://schemas.openxmlformats.org/officeDocument/2006/relationships/hyperlink" Target="https://drive.google.com/open?id=19tx1AZtE9dFeQ0NaV3PgYHFNM6PvghO2" TargetMode="External"/><Relationship Id="rId147" Type="http://schemas.openxmlformats.org/officeDocument/2006/relationships/hyperlink" Target="https://drive.google.com/open?id=1-DIHU2HEh34dAzGVxnruG_PFY7VF9vya" TargetMode="External"/><Relationship Id="rId354" Type="http://schemas.openxmlformats.org/officeDocument/2006/relationships/hyperlink" Target="https://drive.google.com/file/d/1Ekj5Wqj4rHDRvAC7lmIRuk0nr8l56wxh/view?usp=drivesdk" TargetMode="External"/><Relationship Id="rId799" Type="http://schemas.openxmlformats.org/officeDocument/2006/relationships/hyperlink" Target="https://drive.google.com/open?id=1WQ9hnbub3264KSWLIP4kQbp7HbMeNNKA" TargetMode="External"/><Relationship Id="rId1191" Type="http://schemas.openxmlformats.org/officeDocument/2006/relationships/hyperlink" Target="https://drive.google.com/open?id=1narceullIFZKObmy9AT3loNU0kvbViHx" TargetMode="External"/><Relationship Id="rId561" Type="http://schemas.openxmlformats.org/officeDocument/2006/relationships/hyperlink" Target="https://drive.google.com/open?id=1oyXAy5S5Bt5yWNA9mlR7CQlmqq0rcxhy" TargetMode="External"/><Relationship Id="rId659" Type="http://schemas.openxmlformats.org/officeDocument/2006/relationships/hyperlink" Target="https://drive.google.com/open?id=10Q2ejBpwGI5e_5XhzBn1gbsR8E1zNm8M" TargetMode="External"/><Relationship Id="rId866" Type="http://schemas.openxmlformats.org/officeDocument/2006/relationships/hyperlink" Target="https://drive.google.com/file/d/1rPczU-ClVlz4milOzTJaomn9HNEv6z5O/view?usp=drivesdk" TargetMode="External"/><Relationship Id="rId1289" Type="http://schemas.openxmlformats.org/officeDocument/2006/relationships/hyperlink" Target="https://drive.google.com/open?id=13XxZugSpqudZhLDVElBVEOlW-DncppeO" TargetMode="External"/><Relationship Id="rId1496" Type="http://schemas.openxmlformats.org/officeDocument/2006/relationships/hyperlink" Target="https://drive.google.com/open?id=1e0eoXQL_nsyy41TIW2-DJyUkaMCyF0uh" TargetMode="External"/><Relationship Id="rId214" Type="http://schemas.openxmlformats.org/officeDocument/2006/relationships/hyperlink" Target="https://drive.google.com/file/d/1k-ePexyd8VmCwNEMR80ogLjJe_AmGKUd/view?usp=drivesdk" TargetMode="External"/><Relationship Id="rId421" Type="http://schemas.openxmlformats.org/officeDocument/2006/relationships/hyperlink" Target="https://drive.google.com/open?id=1p4x19OWg7N42OYnJ_QUUGQxRA-QooR8B" TargetMode="External"/><Relationship Id="rId519" Type="http://schemas.openxmlformats.org/officeDocument/2006/relationships/hyperlink" Target="https://drive.google.com/open?id=1op1DSvzhuhnbm5lULn6e_2-fFnZ5-arq" TargetMode="External"/><Relationship Id="rId1051" Type="http://schemas.openxmlformats.org/officeDocument/2006/relationships/hyperlink" Target="https://drive.google.com/open?id=1Gh2Pvq_8qQ7GtQVEEqIA4NQBilJyGf9z" TargetMode="External"/><Relationship Id="rId1149" Type="http://schemas.openxmlformats.org/officeDocument/2006/relationships/hyperlink" Target="https://drive.google.com/open?id=1vbLxlgkrp8W2Aq86gZSJpTc5IifDmxR1" TargetMode="External"/><Relationship Id="rId1356" Type="http://schemas.openxmlformats.org/officeDocument/2006/relationships/hyperlink" Target="https://drive.google.com/open?id=18a5VRwDhKRkLmsnHgHqA-_jyrj75tUeA" TargetMode="External"/><Relationship Id="rId726" Type="http://schemas.openxmlformats.org/officeDocument/2006/relationships/hyperlink" Target="https://drive.google.com/open?id=1oWlOwTaBbvgv3LVpabgp2V-sA7B_Dq__" TargetMode="External"/><Relationship Id="rId933" Type="http://schemas.openxmlformats.org/officeDocument/2006/relationships/hyperlink" Target="https://drive.google.com/open?id=1-wcJUZyaXa9ac4BOIpjj8wWTfViiJmBz" TargetMode="External"/><Relationship Id="rId1009" Type="http://schemas.openxmlformats.org/officeDocument/2006/relationships/hyperlink" Target="https://drive.google.com/open?id=17-Suv4Ln6tj3sIxpnhl27pFVb8WQaLEW" TargetMode="External"/><Relationship Id="rId1563" Type="http://schemas.openxmlformats.org/officeDocument/2006/relationships/hyperlink" Target="https://drive.google.com/open?id=10taT1o539Z2A5tCRPbIIyJj9uz4AoweO" TargetMode="External"/><Relationship Id="rId1770" Type="http://schemas.openxmlformats.org/officeDocument/2006/relationships/hyperlink" Target="https://drive.google.com/file/d/10_Tc2CfNYFWYdDuDzzeUCGFQnxMEffGh/view?usp=drivesdk" TargetMode="External"/><Relationship Id="rId62" Type="http://schemas.openxmlformats.org/officeDocument/2006/relationships/hyperlink" Target="https://drive.google.com/open?id=1MZhb6o0Nk241Z100xKvSbCpnl1mGK1cb" TargetMode="External"/><Relationship Id="rId1216" Type="http://schemas.openxmlformats.org/officeDocument/2006/relationships/hyperlink" Target="https://drive.google.com/file/d/1Lgk2xn47mbLWpS9biEV68yb4nWTl0FsQ/view?usp=drivesdk" TargetMode="External"/><Relationship Id="rId1423" Type="http://schemas.openxmlformats.org/officeDocument/2006/relationships/hyperlink" Target="https://drive.google.com/file/d/1T1haOPsbyUmDeDzh1L8xBC_pl1SVleUS/view?usp=drivesdk" TargetMode="External"/><Relationship Id="rId1630" Type="http://schemas.openxmlformats.org/officeDocument/2006/relationships/hyperlink" Target="https://drive.google.com/open?id=1QbawYU9RM304Od-IQenJVlp789HoQh6e" TargetMode="External"/><Relationship Id="rId1728" Type="http://schemas.openxmlformats.org/officeDocument/2006/relationships/hyperlink" Target="https://drive.google.com/open?id=1jLZU_7iJUsiZhyImtLajTXFCNzoKLd79" TargetMode="External"/><Relationship Id="rId169" Type="http://schemas.openxmlformats.org/officeDocument/2006/relationships/hyperlink" Target="https://drive.google.com/open?id=1wogDRERdJoFFizwOwXKh2h8Kyt-6R7zh" TargetMode="External"/><Relationship Id="rId376" Type="http://schemas.openxmlformats.org/officeDocument/2006/relationships/hyperlink" Target="https://drive.google.com/file/d/1TfrHGo6iucWlQLoifD9Zg8deyHS2AY1N/view?usp=drivesdk" TargetMode="External"/><Relationship Id="rId583" Type="http://schemas.openxmlformats.org/officeDocument/2006/relationships/hyperlink" Target="https://drive.google.com/file/d/1DDzibwtrxYnXabOdS_bAHnqwZVgHyk3m/view?usp=drivesdk" TargetMode="External"/><Relationship Id="rId790" Type="http://schemas.openxmlformats.org/officeDocument/2006/relationships/hyperlink" Target="https://drive.google.com/open?id=1BbyIAlWwDmONke3zcECQVhd3jj04M8Ee" TargetMode="External"/><Relationship Id="rId4" Type="http://schemas.openxmlformats.org/officeDocument/2006/relationships/hyperlink" Target="https://drive.google.com/open?id=199-Zevta_7-yFu0RZwuvT7SQWBGKGAw2" TargetMode="External"/><Relationship Id="rId236" Type="http://schemas.openxmlformats.org/officeDocument/2006/relationships/hyperlink" Target="https://drive.google.com/open?id=10M8TsLwmSafqifw530BDKF9HNZ-DjFdR" TargetMode="External"/><Relationship Id="rId443" Type="http://schemas.openxmlformats.org/officeDocument/2006/relationships/hyperlink" Target="https://drive.google.com/file/d/1o0udTzOaT3ktbGvY6mSg95uCF3BlVRwc/view?usp=drivesdk" TargetMode="External"/><Relationship Id="rId650" Type="http://schemas.openxmlformats.org/officeDocument/2006/relationships/hyperlink" Target="https://drive.google.com/open?id=1EkCZeBG5QazvrdtWuk2lUPMrFD9MJmEv" TargetMode="External"/><Relationship Id="rId888" Type="http://schemas.openxmlformats.org/officeDocument/2006/relationships/hyperlink" Target="https://drive.google.com/open?id=1kJjVK1Jj81H2sBA10OviPAQeMPFQNdgt" TargetMode="External"/><Relationship Id="rId1073" Type="http://schemas.openxmlformats.org/officeDocument/2006/relationships/hyperlink" Target="https://drive.google.com/open?id=1txlWln29LVcibr19ZQDmO2fVgTuEVVYt" TargetMode="External"/><Relationship Id="rId1280" Type="http://schemas.openxmlformats.org/officeDocument/2006/relationships/hyperlink" Target="https://drive.google.com/open?id=1C_s1qo8uLNkefOUjKG8Cp-wiVKJMbT8x" TargetMode="External"/><Relationship Id="rId303" Type="http://schemas.openxmlformats.org/officeDocument/2006/relationships/hyperlink" Target="https://drive.google.com/open?id=1IxBgb46P-j_5Llv4MKHynDo2ZSmmGy-h" TargetMode="External"/><Relationship Id="rId748" Type="http://schemas.openxmlformats.org/officeDocument/2006/relationships/hyperlink" Target="https://drive.google.com/open?id=1LEHLPq9P790joBo3g9uFq31olwNkFhe4" TargetMode="External"/><Relationship Id="rId955" Type="http://schemas.openxmlformats.org/officeDocument/2006/relationships/hyperlink" Target="https://drive.google.com/open?id=1qwjjOxf_iLSG4O_T1YWrX1CE1jsk-0eO" TargetMode="External"/><Relationship Id="rId1140" Type="http://schemas.openxmlformats.org/officeDocument/2006/relationships/hyperlink" Target="https://drive.google.com/open?id=10fOaNdGmgjLFzOsznRngvMMvmuNLbNJY" TargetMode="External"/><Relationship Id="rId1378" Type="http://schemas.openxmlformats.org/officeDocument/2006/relationships/hyperlink" Target="https://drive.google.com/open?id=13KOjfqOq-7kxPUROQioqnt05jUhiawyy" TargetMode="External"/><Relationship Id="rId1585" Type="http://schemas.openxmlformats.org/officeDocument/2006/relationships/hyperlink" Target="https://drive.google.com/file/d/1btiNJ_iG6ZTlHsl8wQycPibEMOmuYEHI/view?usp=drivesdk" TargetMode="External"/><Relationship Id="rId1792" Type="http://schemas.openxmlformats.org/officeDocument/2006/relationships/hyperlink" Target="https://drive.google.com/file/d/17jCWXKH2FT4T1XMd5Vy3ssmMLiCv7sG1/view?usp=drivesdk" TargetMode="External"/><Relationship Id="rId84" Type="http://schemas.openxmlformats.org/officeDocument/2006/relationships/hyperlink" Target="https://drive.google.com/open?id=1_zTaRIcrsSW-h6JGOSlEacp3QvZKOWEJ" TargetMode="External"/><Relationship Id="rId510" Type="http://schemas.openxmlformats.org/officeDocument/2006/relationships/hyperlink" Target="https://drive.google.com/open?id=1IA0Rf1pYtRBzwhPaIfJd1mYxrSLvJkeh" TargetMode="External"/><Relationship Id="rId608" Type="http://schemas.openxmlformats.org/officeDocument/2006/relationships/hyperlink" Target="https://drive.google.com/open?id=1bzzCOCaNvkTvkFmrCNpJ5Bf34k2A3EjN" TargetMode="External"/><Relationship Id="rId815" Type="http://schemas.openxmlformats.org/officeDocument/2006/relationships/hyperlink" Target="https://drive.google.com/open?id=1cMQ_XOByx5A-P99Bu45i5pE4jvRUfk1X" TargetMode="External"/><Relationship Id="rId1238" Type="http://schemas.openxmlformats.org/officeDocument/2006/relationships/hyperlink" Target="https://drive.google.com/open?id=1wwQ0v6iDPX6F50LieQ5NeMgXGok2U4xe" TargetMode="External"/><Relationship Id="rId1445" Type="http://schemas.openxmlformats.org/officeDocument/2006/relationships/hyperlink" Target="https://drive.google.com/file/d/1xCQlncXYP3wcmCGuwdtjeGysl1dDjOj0/view?usp=drivesdk" TargetMode="External"/><Relationship Id="rId1652" Type="http://schemas.openxmlformats.org/officeDocument/2006/relationships/hyperlink" Target="https://drive.google.com/open?id=1bJcCtZQ52YTmOgJrYiHA2IkLHnmST_C3" TargetMode="External"/><Relationship Id="rId1000" Type="http://schemas.openxmlformats.org/officeDocument/2006/relationships/hyperlink" Target="https://drive.google.com/open?id=17a9TB96wHUvXG-HHpXYbc6tmfgL1eogP" TargetMode="External"/><Relationship Id="rId1305" Type="http://schemas.openxmlformats.org/officeDocument/2006/relationships/hyperlink" Target="https://drive.google.com/open?id=1vsPuX4oHQT9kO9lKy2c-oPIMdpEjKncm" TargetMode="External"/><Relationship Id="rId1512" Type="http://schemas.openxmlformats.org/officeDocument/2006/relationships/hyperlink" Target="https://drive.google.com/open?id=15oJ2kVaMBRoULNvyup4-9lMIlpCujIRI" TargetMode="External"/><Relationship Id="rId1817" Type="http://schemas.openxmlformats.org/officeDocument/2006/relationships/hyperlink" Target="https://drive.google.com/open?id=1WhzqdsuwsAEX0Axbzl1FOYCNkVkwEAxq" TargetMode="External"/><Relationship Id="rId11" Type="http://schemas.openxmlformats.org/officeDocument/2006/relationships/hyperlink" Target="https://drive.google.com/file/d/1sdQcTKDcWr2XZyg31v270it_-7MrnT79/view?usp=drivesdk" TargetMode="External"/><Relationship Id="rId398" Type="http://schemas.openxmlformats.org/officeDocument/2006/relationships/hyperlink" Target="https://drive.google.com/open?id=1wLbl0ASN19BsAbXKHLwCW_mjrdamz9Pq" TargetMode="External"/><Relationship Id="rId160" Type="http://schemas.openxmlformats.org/officeDocument/2006/relationships/hyperlink" Target="https://drive.google.com/open?id=1n950eCdmH-_D5kpPKROjJVSPHQ_WkJQJ" TargetMode="External"/><Relationship Id="rId258" Type="http://schemas.openxmlformats.org/officeDocument/2006/relationships/hyperlink" Target="https://drive.google.com/open?id=1XXKIPVR4-HZ4arv5ewU_FlGSn1_-vsE_" TargetMode="External"/><Relationship Id="rId465" Type="http://schemas.openxmlformats.org/officeDocument/2006/relationships/hyperlink" Target="https://drive.google.com/file/d/1Ie9ZeRxlRIcJ9KvRjrl3D60F_FYIK_fU/view?usp=drivesdk" TargetMode="External"/><Relationship Id="rId672" Type="http://schemas.openxmlformats.org/officeDocument/2006/relationships/hyperlink" Target="https://drive.google.com/open?id=192bta32vYkiYZmSiRoUmiISA2ia5y6wh" TargetMode="External"/><Relationship Id="rId1095" Type="http://schemas.openxmlformats.org/officeDocument/2006/relationships/hyperlink" Target="https://drive.google.com/open?id=1dwt0l4GlEGkLhRFAW1EscY3sXDO7TLXl" TargetMode="External"/><Relationship Id="rId118" Type="http://schemas.openxmlformats.org/officeDocument/2006/relationships/hyperlink" Target="https://drive.google.com/open?id=1vTJY08BHo6pGnofgTCNPB_neKZqJuB0u" TargetMode="External"/><Relationship Id="rId325" Type="http://schemas.openxmlformats.org/officeDocument/2006/relationships/hyperlink" Target="https://drive.google.com/file/d/1_TjY0tuU1WjF7LQF1zl4Q1aIwJ6Ra_73/view?usp=drivesdk" TargetMode="External"/><Relationship Id="rId532" Type="http://schemas.openxmlformats.org/officeDocument/2006/relationships/hyperlink" Target="https://drive.google.com/open?id=17yFuCJDjjwnme77PzoO3MmHtsSstnF37" TargetMode="External"/><Relationship Id="rId977" Type="http://schemas.openxmlformats.org/officeDocument/2006/relationships/hyperlink" Target="https://drive.google.com/file/d/122XoQnoZNrSbM8rROkddelyzFhy-9Lk6/view?usp=drivesdk" TargetMode="External"/><Relationship Id="rId1162" Type="http://schemas.openxmlformats.org/officeDocument/2006/relationships/hyperlink" Target="https://drive.google.com/open?id=1XYT9h9IQyNI8PpqrfwmC5yrdHUcWzhkp" TargetMode="External"/><Relationship Id="rId837" Type="http://schemas.openxmlformats.org/officeDocument/2006/relationships/hyperlink" Target="https://drive.google.com/file/d/1KQQsvQOyz5MueeU-i33V7yyns29pQmP_/view?usp=drivesdk" TargetMode="External"/><Relationship Id="rId1022" Type="http://schemas.openxmlformats.org/officeDocument/2006/relationships/hyperlink" Target="https://drive.google.com/open?id=11aZdz3H5sYk3mhixHBfOb5wMwWe76f-R" TargetMode="External"/><Relationship Id="rId1467" Type="http://schemas.openxmlformats.org/officeDocument/2006/relationships/hyperlink" Target="https://drive.google.com/open?id=11z6o4j3m6oew9uNT0esh8bPgGcZPqQLk" TargetMode="External"/><Relationship Id="rId1674" Type="http://schemas.openxmlformats.org/officeDocument/2006/relationships/hyperlink" Target="https://drive.google.com/open?id=1s2tz7_doODFnnmLYBs7Vlow-OrIe274G" TargetMode="External"/><Relationship Id="rId904" Type="http://schemas.openxmlformats.org/officeDocument/2006/relationships/hyperlink" Target="https://drive.google.com/open?id=12cRO8shJfJ4TTsx4KyCmBPl4XWT1DZl3" TargetMode="External"/><Relationship Id="rId1327" Type="http://schemas.openxmlformats.org/officeDocument/2006/relationships/hyperlink" Target="https://drive.google.com/open?id=1Qsr_i6s6tkTcim98S5HeePNI84EZdV1w" TargetMode="External"/><Relationship Id="rId1534" Type="http://schemas.openxmlformats.org/officeDocument/2006/relationships/hyperlink" Target="https://drive.google.com/open?id=1jdAra0Tps8F7_Z3w1uVY5R7Bvj3aoRsq" TargetMode="External"/><Relationship Id="rId1741" Type="http://schemas.openxmlformats.org/officeDocument/2006/relationships/hyperlink" Target="https://drive.google.com/open?id=13dwv5ruuUs1RjW7s5nO_sFQyOPBi5Xu7" TargetMode="External"/><Relationship Id="rId33" Type="http://schemas.openxmlformats.org/officeDocument/2006/relationships/hyperlink" Target="https://drive.google.com/file/d/13-Q9tEL-_NNrDQuFwOtlILNsX-1VyafO/view?usp=drivesdk" TargetMode="External"/><Relationship Id="rId1601" Type="http://schemas.openxmlformats.org/officeDocument/2006/relationships/hyperlink" Target="https://drive.google.com/open?id=1sOaA6mTbiUP74HFBHRB0Ge5mNVpEAlO8" TargetMode="External"/><Relationship Id="rId182" Type="http://schemas.openxmlformats.org/officeDocument/2006/relationships/hyperlink" Target="https://drive.google.com/open?id=1weZx4gqYFWZPvH1x6WUjgwzniHI87oMN" TargetMode="External"/><Relationship Id="rId487" Type="http://schemas.openxmlformats.org/officeDocument/2006/relationships/hyperlink" Target="https://drive.google.com/open?id=1DUDniSUh1Jd5eXQflo__biZyk2msJ4E8" TargetMode="External"/><Relationship Id="rId610" Type="http://schemas.openxmlformats.org/officeDocument/2006/relationships/hyperlink" Target="https://drive.google.com/open?id=1ZAuT4vjVr1kkv23VjcftPSB9fI5-D7J5" TargetMode="External"/><Relationship Id="rId694" Type="http://schemas.openxmlformats.org/officeDocument/2006/relationships/hyperlink" Target="https://drive.google.com/open?id=1n-VKfuor92J-40bdKdaBHZXy-UtAbhm4" TargetMode="External"/><Relationship Id="rId708" Type="http://schemas.openxmlformats.org/officeDocument/2006/relationships/hyperlink" Target="https://drive.google.com/open?id=1X6HKRPfBEVxwTPJLSs1UBkQLUYXOimXD" TargetMode="External"/><Relationship Id="rId915" Type="http://schemas.openxmlformats.org/officeDocument/2006/relationships/hyperlink" Target="https://drive.google.com/file/d/1rvWKEYJUFVLiQGWWH4xpZJllrEPLqKEZ/view?usp=drivesdk" TargetMode="External"/><Relationship Id="rId1240" Type="http://schemas.openxmlformats.org/officeDocument/2006/relationships/hyperlink" Target="https://drive.google.com/open?id=1-CaPjTy-inaFzZk-7ypjCvYdF8FejP7O" TargetMode="External"/><Relationship Id="rId1338" Type="http://schemas.openxmlformats.org/officeDocument/2006/relationships/hyperlink" Target="https://drive.google.com/open?id=1CZgkX7lA6mFTRue2wDZzaUSzhtQnUors" TargetMode="External"/><Relationship Id="rId1545" Type="http://schemas.openxmlformats.org/officeDocument/2006/relationships/hyperlink" Target="https://drive.google.com/open?id=1dr5Jttiei9N0cMBUmKnovAYysNgeh9gf" TargetMode="External"/><Relationship Id="rId347" Type="http://schemas.openxmlformats.org/officeDocument/2006/relationships/hyperlink" Target="https://drive.google.com/file/d/1BQgXcR2aTQJYXAWXvWOdpsa7w1HvJm9m/view?usp=drivesdk" TargetMode="External"/><Relationship Id="rId999" Type="http://schemas.openxmlformats.org/officeDocument/2006/relationships/hyperlink" Target="https://drive.google.com/file/d/1ZMBu5U0bs8XFyFBGu-jDEh60f7ReyvJu/view?usp=drivesdk" TargetMode="External"/><Relationship Id="rId1100" Type="http://schemas.openxmlformats.org/officeDocument/2006/relationships/hyperlink" Target="https://drive.google.com/open?id=1I091NeTuz7Xjeo3wr9-yF1aotg8eTdOw" TargetMode="External"/><Relationship Id="rId1184" Type="http://schemas.openxmlformats.org/officeDocument/2006/relationships/hyperlink" Target="https://drive.google.com/open?id=1r8xfBcQJ0wAli_K9hx-nM1wSMhVKAf-7" TargetMode="External"/><Relationship Id="rId1405" Type="http://schemas.openxmlformats.org/officeDocument/2006/relationships/hyperlink" Target="https://drive.google.com/open?id=1lfKk3Xg1maqrYYKEN7-2MxfstKp_lzYC" TargetMode="External"/><Relationship Id="rId1752" Type="http://schemas.openxmlformats.org/officeDocument/2006/relationships/hyperlink" Target="https://drive.google.com/open?id=1YQOg-prjSZV82Rmxbd1XfjCueWDzX9tu" TargetMode="External"/><Relationship Id="rId44" Type="http://schemas.openxmlformats.org/officeDocument/2006/relationships/hyperlink" Target="https://drive.google.com/open?id=1cU1CI8XuMZWEWHsJrFY4sCSd_ofwaRUw" TargetMode="External"/><Relationship Id="rId554" Type="http://schemas.openxmlformats.org/officeDocument/2006/relationships/hyperlink" Target="https://drive.google.com/open?id=1_hwrSCO2P7WQfFxIvmHWFHTYzzYvcsnd" TargetMode="External"/><Relationship Id="rId761" Type="http://schemas.openxmlformats.org/officeDocument/2006/relationships/hyperlink" Target="https://drive.google.com/open?id=1p1jRuXtMf-h8H_XgNNPvR3M-Hgzk9fca" TargetMode="External"/><Relationship Id="rId859" Type="http://schemas.openxmlformats.org/officeDocument/2006/relationships/hyperlink" Target="https://drive.google.com/file/d/17GxR3HGtrdw7MGqKLQd-f5Ia-3DLQZwJ/view?usp=drivesdk" TargetMode="External"/><Relationship Id="rId1391" Type="http://schemas.openxmlformats.org/officeDocument/2006/relationships/hyperlink" Target="https://drive.google.com/open?id=10h_vH8z6pOJBcReF45PDrrN7ndkr2Cf8" TargetMode="External"/><Relationship Id="rId1489" Type="http://schemas.openxmlformats.org/officeDocument/2006/relationships/hyperlink" Target="https://drive.google.com/open?id=12v1tQmPvQpN1V8hppO7apSrdHeWlcoeg" TargetMode="External"/><Relationship Id="rId1612" Type="http://schemas.openxmlformats.org/officeDocument/2006/relationships/hyperlink" Target="https://drive.google.com/open?id=1c75t1-CI2z_MPGGAxyup6QrGzQImkcoi" TargetMode="External"/><Relationship Id="rId1696" Type="http://schemas.openxmlformats.org/officeDocument/2006/relationships/hyperlink" Target="https://drive.google.com/file/d/1nKrbGV2N0PfDWgX-rIyNa314a8X0m04H/view?usp=drivesdk" TargetMode="External"/><Relationship Id="rId193" Type="http://schemas.openxmlformats.org/officeDocument/2006/relationships/hyperlink" Target="https://drive.google.com/open?id=1tNXxs2rsGoEwKfNuw0JzMdo64cwhRdoG" TargetMode="External"/><Relationship Id="rId207" Type="http://schemas.openxmlformats.org/officeDocument/2006/relationships/hyperlink" Target="https://drive.google.com/file/d/1MjcIINlqB7CzC00vHNHf78I0UrNHktr_/view?usp=drivesdk" TargetMode="External"/><Relationship Id="rId414" Type="http://schemas.openxmlformats.org/officeDocument/2006/relationships/hyperlink" Target="https://drive.google.com/open?id=16u7odhIY6GkexDAnZtV676JIuWP2MYug" TargetMode="External"/><Relationship Id="rId498" Type="http://schemas.openxmlformats.org/officeDocument/2006/relationships/hyperlink" Target="https://drive.google.com/open?id=1ZDkZWWxFZQpgIAjn4HTz00gmDgSvKs9Q" TargetMode="External"/><Relationship Id="rId621" Type="http://schemas.openxmlformats.org/officeDocument/2006/relationships/hyperlink" Target="https://drive.google.com/open?id=1uQb7O8H2mjCCi6JAprMerEPy1JAPgrMd" TargetMode="External"/><Relationship Id="rId1044" Type="http://schemas.openxmlformats.org/officeDocument/2006/relationships/hyperlink" Target="https://drive.google.com/open?id=153uFvydQH9DzrxUgQdxHivYHAnP-NlgR" TargetMode="External"/><Relationship Id="rId1251" Type="http://schemas.openxmlformats.org/officeDocument/2006/relationships/hyperlink" Target="https://drive.google.com/file/d/1HLXCuBnQWAxgfjMm0YORXk9liawdcYhG/view?usp=drivesdk" TargetMode="External"/><Relationship Id="rId1349" Type="http://schemas.openxmlformats.org/officeDocument/2006/relationships/hyperlink" Target="https://drive.google.com/open?id=1pVCKwCg3p030eoFNHTDs7I51QQsqhJl-" TargetMode="External"/><Relationship Id="rId260" Type="http://schemas.openxmlformats.org/officeDocument/2006/relationships/hyperlink" Target="https://drive.google.com/open?id=1rf_cxefGIbiCaQqIHA7aT0enATawmCC-" TargetMode="External"/><Relationship Id="rId719" Type="http://schemas.openxmlformats.org/officeDocument/2006/relationships/hyperlink" Target="https://drive.google.com/open?id=1JUh7iBAqh3fh_si9V0-j8AA5vTlGlIsx" TargetMode="External"/><Relationship Id="rId926" Type="http://schemas.openxmlformats.org/officeDocument/2006/relationships/hyperlink" Target="https://drive.google.com/open?id=1MmIyCKGT_rnEJoDRc75RY7F80A9dr_O4" TargetMode="External"/><Relationship Id="rId1111" Type="http://schemas.openxmlformats.org/officeDocument/2006/relationships/hyperlink" Target="https://drive.google.com/file/d/1yVMAvqGc0iF5SvWFocci7ZMuu0dNptTy/view?usp=drivesdk" TargetMode="External"/><Relationship Id="rId1556" Type="http://schemas.openxmlformats.org/officeDocument/2006/relationships/hyperlink" Target="https://drive.google.com/open?id=1Ijtm36tqjsqvTcDQE8eMsikQyOSWuIrv" TargetMode="External"/><Relationship Id="rId1763" Type="http://schemas.openxmlformats.org/officeDocument/2006/relationships/hyperlink" Target="https://drive.google.com/file/d/1qo8KemEJ9VFaMc-JuFOzIzfajiHQ9ZsA/view?usp=drivesdk" TargetMode="External"/><Relationship Id="rId55" Type="http://schemas.openxmlformats.org/officeDocument/2006/relationships/hyperlink" Target="https://drive.google.com/open?id=1CtSeAva0H_jWZwMZNR0SrmyM4vZth1eB" TargetMode="External"/><Relationship Id="rId120" Type="http://schemas.openxmlformats.org/officeDocument/2006/relationships/hyperlink" Target="https://drive.google.com/open?id=15G2IWyljjlXpGLIus6DInzcwGia-znTc" TargetMode="External"/><Relationship Id="rId358" Type="http://schemas.openxmlformats.org/officeDocument/2006/relationships/hyperlink" Target="https://drive.google.com/open?id=18BbBi9MaMF3R3HeSmRjphm3RRHU1BBIc" TargetMode="External"/><Relationship Id="rId565" Type="http://schemas.openxmlformats.org/officeDocument/2006/relationships/hyperlink" Target="https://drive.google.com/open?id=1ypjBh2LdhDTyzXzq8OkvXF8A2NEl6q1z" TargetMode="External"/><Relationship Id="rId772" Type="http://schemas.openxmlformats.org/officeDocument/2006/relationships/hyperlink" Target="https://drive.google.com/open?id=1YzR4V7qWJyju07nAGcjrz0XcJ0tYXXXV" TargetMode="External"/><Relationship Id="rId1195" Type="http://schemas.openxmlformats.org/officeDocument/2006/relationships/hyperlink" Target="https://drive.google.com/file/d/1DB7kuGDTBtpee6Xe_7jKNx_Kr5EH8Wj_/view?usp=drivesdk" TargetMode="External"/><Relationship Id="rId1209" Type="http://schemas.openxmlformats.org/officeDocument/2006/relationships/hyperlink" Target="https://drive.google.com/file/d/1Y6lYYhrTNXEcYTqW5M_hsHgYDF6sxR5D/view?usp=drivesdk" TargetMode="External"/><Relationship Id="rId1416" Type="http://schemas.openxmlformats.org/officeDocument/2006/relationships/hyperlink" Target="https://drive.google.com/file/d/19x5CbPiMeStPoZZREz_-f_xM5rs_jYzl/view?usp=drivesdk" TargetMode="External"/><Relationship Id="rId1623" Type="http://schemas.openxmlformats.org/officeDocument/2006/relationships/hyperlink" Target="https://drive.google.com/open?id=1B_EXMoJndlyEKLqNdESKquI3Nff70rfZ" TargetMode="External"/><Relationship Id="rId1830" Type="http://schemas.openxmlformats.org/officeDocument/2006/relationships/hyperlink" Target="https://drive.google.com/open?id=1NgEQ-QJ9TB2lC67KPmy-IwthHcO85jfU" TargetMode="External"/><Relationship Id="rId218" Type="http://schemas.openxmlformats.org/officeDocument/2006/relationships/hyperlink" Target="https://drive.google.com/open?id=1KGjvXaru8hDlgU3F8rc0N56cQSCQwMFE" TargetMode="External"/><Relationship Id="rId425" Type="http://schemas.openxmlformats.org/officeDocument/2006/relationships/hyperlink" Target="https://drive.google.com/open?id=1lhGt2zwYWoERYlWxuqyz3QFzmOxPpfDE" TargetMode="External"/><Relationship Id="rId632" Type="http://schemas.openxmlformats.org/officeDocument/2006/relationships/hyperlink" Target="https://drive.google.com/open?id=1zYI-C8b_rUQnTPmkSrEkJ76HI8Yn_hDS" TargetMode="External"/><Relationship Id="rId1055" Type="http://schemas.openxmlformats.org/officeDocument/2006/relationships/hyperlink" Target="https://drive.google.com/file/d/1AX1OZ3FdVJXIP34Qp-i2-aubVA5zh1Zz/view?usp=drivesdk" TargetMode="External"/><Relationship Id="rId1262" Type="http://schemas.openxmlformats.org/officeDocument/2006/relationships/hyperlink" Target="https://drive.google.com/open?id=1dKvdtF3iAoJzD9jiuQjY4IeHxWSVB1jd" TargetMode="External"/><Relationship Id="rId271" Type="http://schemas.openxmlformats.org/officeDocument/2006/relationships/hyperlink" Target="https://drive.google.com/open?id=1PKXXvUsBHMjtL6fHKTKMJK2rVyNfPGwP" TargetMode="External"/><Relationship Id="rId937" Type="http://schemas.openxmlformats.org/officeDocument/2006/relationships/hyperlink" Target="https://drive.google.com/open?id=1eBaUbFY9wv_opQOSw3G31T_w6Y23dsq_" TargetMode="External"/><Relationship Id="rId1122" Type="http://schemas.openxmlformats.org/officeDocument/2006/relationships/hyperlink" Target="https://drive.google.com/open?id=1-31Wj1G1sQPf-XvN2Umauv4O0jZ7tn5b" TargetMode="External"/><Relationship Id="rId1567" Type="http://schemas.openxmlformats.org/officeDocument/2006/relationships/hyperlink" Target="https://drive.google.com/open?id=1wJ_akVvyVl380Boijd7G4Ngx4hm9X1y5" TargetMode="External"/><Relationship Id="rId1774" Type="http://schemas.openxmlformats.org/officeDocument/2006/relationships/hyperlink" Target="https://drive.google.com/open?id=1HEH6PujElEFJewzO_cP3mBFGnmCI3BNl" TargetMode="External"/><Relationship Id="rId66" Type="http://schemas.openxmlformats.org/officeDocument/2006/relationships/hyperlink" Target="https://drive.google.com/open?id=1vRtPnPHZV45Lp23NaDULTlkqIjQmrjnl" TargetMode="External"/><Relationship Id="rId131" Type="http://schemas.openxmlformats.org/officeDocument/2006/relationships/hyperlink" Target="https://drive.google.com/file/d/14iIxMbmvn51JNwHVW3itjqDkinu8QRwo/view?usp=drivesdk" TargetMode="External"/><Relationship Id="rId369" Type="http://schemas.openxmlformats.org/officeDocument/2006/relationships/hyperlink" Target="https://drive.google.com/file/d/1R-OH4-DZW5jaWA9NYEPOvORRZgNeTplR/view?usp=drivesdk" TargetMode="External"/><Relationship Id="rId576" Type="http://schemas.openxmlformats.org/officeDocument/2006/relationships/hyperlink" Target="https://drive.google.com/file/d/1Kpj8v_bWg_oPbvLrc2QrpCMrEGobRhA7/view?usp=drivesdk" TargetMode="External"/><Relationship Id="rId783" Type="http://schemas.openxmlformats.org/officeDocument/2006/relationships/hyperlink" Target="https://drive.google.com/open?id=1KnDfmBkK43NhFtSM3xZl2124691PCJAv" TargetMode="External"/><Relationship Id="rId990" Type="http://schemas.openxmlformats.org/officeDocument/2006/relationships/hyperlink" Target="https://drive.google.com/open?id=1ImvevWRvbksozIjy_WRiiY4TQ7urzoQ7" TargetMode="External"/><Relationship Id="rId1427" Type="http://schemas.openxmlformats.org/officeDocument/2006/relationships/hyperlink" Target="https://drive.google.com/open?id=1O_i-YPcoxK7VhoqyrxAs88uLGliDhCgN" TargetMode="External"/><Relationship Id="rId1634" Type="http://schemas.openxmlformats.org/officeDocument/2006/relationships/hyperlink" Target="https://drive.google.com/file/d/1Q5uU5jnsgHeGOZ3lnCDMhZun49H4kc7N/view?usp=drivesdk" TargetMode="External"/><Relationship Id="rId229" Type="http://schemas.openxmlformats.org/officeDocument/2006/relationships/hyperlink" Target="https://drive.google.com/open?id=1n0jgVi5wrXwGRazcRB7lfYgqY8aBIIlh" TargetMode="External"/><Relationship Id="rId436" Type="http://schemas.openxmlformats.org/officeDocument/2006/relationships/hyperlink" Target="https://drive.google.com/file/d/1CovtlrbQA1fNpTTQ6-_Jh9OuGUeY1v4g/view?usp=drivesdk" TargetMode="External"/><Relationship Id="rId643" Type="http://schemas.openxmlformats.org/officeDocument/2006/relationships/hyperlink" Target="https://drive.google.com/open?id=1RwuBS_BP8De3SE4etwaGGHPAkoFjp_Gh" TargetMode="External"/><Relationship Id="rId1066" Type="http://schemas.openxmlformats.org/officeDocument/2006/relationships/hyperlink" Target="https://drive.google.com/open?id=1lhh7756HQ6IqTDhRot0f6cftyPXHh3b2" TargetMode="External"/><Relationship Id="rId1273" Type="http://schemas.openxmlformats.org/officeDocument/2006/relationships/hyperlink" Target="https://drive.google.com/open?id=1sODflGUaYx9BiijnosSirRSguCMmhmbR" TargetMode="External"/><Relationship Id="rId1480" Type="http://schemas.openxmlformats.org/officeDocument/2006/relationships/hyperlink" Target="https://drive.google.com/file/d/17hf_voohVSanSn2xxSc8drIbvDaVIpto/view?usp=drivesdk" TargetMode="External"/><Relationship Id="rId850" Type="http://schemas.openxmlformats.org/officeDocument/2006/relationships/hyperlink" Target="https://drive.google.com/open?id=1eHbm6NVaiwCI5y1mOF4bVHvnzTdsTRC6" TargetMode="External"/><Relationship Id="rId948" Type="http://schemas.openxmlformats.org/officeDocument/2006/relationships/hyperlink" Target="https://drive.google.com/open?id=1IiiXlgYD_xLU6gmYZntSdHpQNLXg8RDp" TargetMode="External"/><Relationship Id="rId1133" Type="http://schemas.openxmlformats.org/officeDocument/2006/relationships/hyperlink" Target="https://drive.google.com/open?id=1DZqpSTFmspUKU3k35Q651RulL9Wfd-rt" TargetMode="External"/><Relationship Id="rId1578" Type="http://schemas.openxmlformats.org/officeDocument/2006/relationships/hyperlink" Target="https://drive.google.com/file/d/1cph1q4I_YbTA8C991IePU1Q31LXilBsH/view?usp=drivesdk" TargetMode="External"/><Relationship Id="rId1701" Type="http://schemas.openxmlformats.org/officeDocument/2006/relationships/hyperlink" Target="https://drive.google.com/open?id=1StnWrftK6xoWx-fShPFuEZsGB1BoFcqu" TargetMode="External"/><Relationship Id="rId1785" Type="http://schemas.openxmlformats.org/officeDocument/2006/relationships/hyperlink" Target="https://drive.google.com/file/d/1iBLN5WQwTcDXTqZKr0m0P_ETdmfr9gjN/view?usp=drivesdk" TargetMode="External"/><Relationship Id="rId77" Type="http://schemas.openxmlformats.org/officeDocument/2006/relationships/hyperlink" Target="https://drive.google.com/open?id=1excuI6rgNqRlIc2TF9jDmOMivbT2VJva" TargetMode="External"/><Relationship Id="rId282" Type="http://schemas.openxmlformats.org/officeDocument/2006/relationships/hyperlink" Target="https://drive.google.com/open?id=1ZfNMCzh8iAe3uTLXzYf1z1doWApa9sFj" TargetMode="External"/><Relationship Id="rId503" Type="http://schemas.openxmlformats.org/officeDocument/2006/relationships/hyperlink" Target="https://drive.google.com/open?id=1lwNjl4U1-I_Fys1Q_0N1usMuAZGP8geQ" TargetMode="External"/><Relationship Id="rId587" Type="http://schemas.openxmlformats.org/officeDocument/2006/relationships/hyperlink" Target="https://drive.google.com/open?id=1i506RFwvkPs0he-YFVgt6tKfd7nU1M66" TargetMode="External"/><Relationship Id="rId710" Type="http://schemas.openxmlformats.org/officeDocument/2006/relationships/hyperlink" Target="https://drive.google.com/file/d/1lbtTazAXclp02O45HKmDfhEcP3K_8p6u/view?usp=drivesdk" TargetMode="External"/><Relationship Id="rId808" Type="http://schemas.openxmlformats.org/officeDocument/2006/relationships/hyperlink" Target="https://drive.google.com/open?id=17NILcX-C6x6LuLsOiM9pcNUKxuWuZYjS" TargetMode="External"/><Relationship Id="rId1340" Type="http://schemas.openxmlformats.org/officeDocument/2006/relationships/hyperlink" Target="https://drive.google.com/file/d/1iAkOWBgJdFeSCe2Miv9uKrkSEE1f9meI/view?usp=drivesdk" TargetMode="External"/><Relationship Id="rId1438" Type="http://schemas.openxmlformats.org/officeDocument/2006/relationships/hyperlink" Target="https://drive.google.com/file/d/1m65hqJecrYuIWUTeroPd0OYyZVRK6bX6/view?usp=drivesdk" TargetMode="External"/><Relationship Id="rId1645" Type="http://schemas.openxmlformats.org/officeDocument/2006/relationships/hyperlink" Target="https://drive.google.com/open?id=1Yf5DSp2SKpx_1xcPwqExaFDNJkaT1AHe" TargetMode="External"/><Relationship Id="rId8" Type="http://schemas.openxmlformats.org/officeDocument/2006/relationships/hyperlink" Target="https://drive.google.com/open?id=1IKf0w54jThlSrQ5hlOibz2NHHfJiCFXG" TargetMode="External"/><Relationship Id="rId142" Type="http://schemas.openxmlformats.org/officeDocument/2006/relationships/hyperlink" Target="https://drive.google.com/open?id=1ftnARZysR3Pe6y7_9b3-UP8UUqmFSZ2P" TargetMode="External"/><Relationship Id="rId447" Type="http://schemas.openxmlformats.org/officeDocument/2006/relationships/hyperlink" Target="https://drive.google.com/open?id=16e8teQIWOwUS0EV2gVCcUVSwkheTGuHe" TargetMode="External"/><Relationship Id="rId794" Type="http://schemas.openxmlformats.org/officeDocument/2006/relationships/hyperlink" Target="https://drive.google.com/open?id=1NUBZlZYJUYCahQ-265EYh5rCQVkKLLVS" TargetMode="External"/><Relationship Id="rId1077" Type="http://schemas.openxmlformats.org/officeDocument/2006/relationships/hyperlink" Target="https://drive.google.com/open?id=1sSBhLUruloRvHBqq9v4q2kyROFh4e_LC" TargetMode="External"/><Relationship Id="rId1200" Type="http://schemas.openxmlformats.org/officeDocument/2006/relationships/hyperlink" Target="https://drive.google.com/open?id=1aLXf30vlp9nNDOUzcXdKvYgk96S419YQ" TargetMode="External"/><Relationship Id="rId654" Type="http://schemas.openxmlformats.org/officeDocument/2006/relationships/hyperlink" Target="https://drive.google.com/file/d/1les7j9d8W69OH28s1RQhuTCSEn05Cic3/view?usp=drivesdk" TargetMode="External"/><Relationship Id="rId861" Type="http://schemas.openxmlformats.org/officeDocument/2006/relationships/hyperlink" Target="https://drive.google.com/open?id=1bXdPdjNiTsRJfPzRIxEKdlAx5SyaXVzv" TargetMode="External"/><Relationship Id="rId959" Type="http://schemas.openxmlformats.org/officeDocument/2006/relationships/hyperlink" Target="https://drive.google.com/open?id=1jB2aLSTQ4PtdI1a2LevPpAdD73H_M_-L" TargetMode="External"/><Relationship Id="rId1284" Type="http://schemas.openxmlformats.org/officeDocument/2006/relationships/hyperlink" Target="https://drive.google.com/open?id=1vPa1EB2MwgfKo5UpLRiYUA83tp5X0lv8" TargetMode="External"/><Relationship Id="rId1491" Type="http://schemas.openxmlformats.org/officeDocument/2006/relationships/hyperlink" Target="https://drive.google.com/open?id=1T41hWDcVK7vQtfLrRoK0R3Zt3Z8YTWD7" TargetMode="External"/><Relationship Id="rId1505" Type="http://schemas.openxmlformats.org/officeDocument/2006/relationships/hyperlink" Target="https://drive.google.com/open?id=1mw3WsKG-UpBcbvW1csOHom0Va49slvkZ" TargetMode="External"/><Relationship Id="rId1589" Type="http://schemas.openxmlformats.org/officeDocument/2006/relationships/hyperlink" Target="https://drive.google.com/open?id=1zUeJr2TarHc-O2O8tr1foYRTUooiR8TE" TargetMode="External"/><Relationship Id="rId1712" Type="http://schemas.openxmlformats.org/officeDocument/2006/relationships/hyperlink" Target="https://drive.google.com/open?id=1WfNSsTqfkeMfd_98XyztjnF04mfptgTV" TargetMode="External"/><Relationship Id="rId293" Type="http://schemas.openxmlformats.org/officeDocument/2006/relationships/hyperlink" Target="https://drive.google.com/open?id=1w_Cz98ZHG-ROR0R_5Ab-TesZCVNBX46Q" TargetMode="External"/><Relationship Id="rId307" Type="http://schemas.openxmlformats.org/officeDocument/2006/relationships/hyperlink" Target="https://drive.google.com/open?id=1Jbo7RWiTLoDSqLrajvcTIoXrJTwUFhYD" TargetMode="External"/><Relationship Id="rId514" Type="http://schemas.openxmlformats.org/officeDocument/2006/relationships/hyperlink" Target="https://drive.google.com/file/d/1JR7DW7xv2zTcX1OuQXovkF3GFOfZkks-/view?usp=drivesdk" TargetMode="External"/><Relationship Id="rId721" Type="http://schemas.openxmlformats.org/officeDocument/2006/relationships/hyperlink" Target="https://drive.google.com/open?id=1HN749Er_n3TN0ze-rQS1aLEcqsVpa-cj" TargetMode="External"/><Relationship Id="rId1144" Type="http://schemas.openxmlformats.org/officeDocument/2006/relationships/hyperlink" Target="https://drive.google.com/open?id=1yN13IDiTgGvMOKFTVf1qKLVpazZtAkea" TargetMode="External"/><Relationship Id="rId1351" Type="http://schemas.openxmlformats.org/officeDocument/2006/relationships/hyperlink" Target="https://drive.google.com/open?id=1o3YLiop0VfhHj6MWfEhxH4jZFbww7Leh" TargetMode="External"/><Relationship Id="rId1449" Type="http://schemas.openxmlformats.org/officeDocument/2006/relationships/hyperlink" Target="https://drive.google.com/open?id=1ibUNAyqXZSuD0pmxPLsDo_4DFL0HlKi3" TargetMode="External"/><Relationship Id="rId1796" Type="http://schemas.openxmlformats.org/officeDocument/2006/relationships/hyperlink" Target="https://drive.google.com/open?id=1lTJzblV9FMZ8pbkJrjKcaafYA50mLCHZ" TargetMode="External"/><Relationship Id="rId88" Type="http://schemas.openxmlformats.org/officeDocument/2006/relationships/hyperlink" Target="https://drive.google.com/file/d/1SQN_5upJjY75Hdl59BWIcdniN4h4JZQ5/view?usp=drivesdk" TargetMode="External"/><Relationship Id="rId153" Type="http://schemas.openxmlformats.org/officeDocument/2006/relationships/hyperlink" Target="https://drive.google.com/open?id=1SVzg5j3FGDVfRXbX9PUiLmZMS5VWntOy" TargetMode="External"/><Relationship Id="rId360" Type="http://schemas.openxmlformats.org/officeDocument/2006/relationships/hyperlink" Target="https://drive.google.com/open?id=1shc7nbNcO7Dpsn4c9kYaC1TfrHgODvMo" TargetMode="External"/><Relationship Id="rId598" Type="http://schemas.openxmlformats.org/officeDocument/2006/relationships/hyperlink" Target="https://drive.google.com/file/d/17lzAp-cEaA2de4c5rKJh2C_4tQ0tb5SB/view?usp=drivesdk" TargetMode="External"/><Relationship Id="rId819" Type="http://schemas.openxmlformats.org/officeDocument/2006/relationships/hyperlink" Target="https://drive.google.com/open?id=14Zvia3WcUywdkxtm9JVkbv2n2xf3PtLQ" TargetMode="External"/><Relationship Id="rId1004" Type="http://schemas.openxmlformats.org/officeDocument/2006/relationships/hyperlink" Target="https://drive.google.com/open?id=1KIyfOkzjZJ_0e4slwUzMtgJro0BJ-952" TargetMode="External"/><Relationship Id="rId1211" Type="http://schemas.openxmlformats.org/officeDocument/2006/relationships/hyperlink" Target="https://drive.google.com/open?id=1sDnHvEavj-PuxHFhbm3jfcet0kdDSThr" TargetMode="External"/><Relationship Id="rId1656" Type="http://schemas.openxmlformats.org/officeDocument/2006/relationships/hyperlink" Target="https://drive.google.com/open?id=1DWrKzuHpuwI2Cu_V4QxZgJO1fYTt1Vf3" TargetMode="External"/><Relationship Id="rId220" Type="http://schemas.openxmlformats.org/officeDocument/2006/relationships/hyperlink" Target="https://drive.google.com/file/d/1XmFm0Qv8knyGUp50idkQ2ncH6jWWOyiU/view?usp=drivesdk" TargetMode="External"/><Relationship Id="rId458" Type="http://schemas.openxmlformats.org/officeDocument/2006/relationships/hyperlink" Target="https://drive.google.com/file/d/1KWusScNPaZD99Rfn0qOJZFWwlp1bPAZT/view?usp=drivesdk" TargetMode="External"/><Relationship Id="rId665" Type="http://schemas.openxmlformats.org/officeDocument/2006/relationships/hyperlink" Target="https://drive.google.com/open?id=1VDGK2EnMFGcpmynFomj_nF7LPb6YLU5Z" TargetMode="External"/><Relationship Id="rId872" Type="http://schemas.openxmlformats.org/officeDocument/2006/relationships/hyperlink" Target="https://drive.google.com/file/d/1zgZUDD67DtReOVRFuS8uU0qcMEwoDYUW/view?usp=drivesdk" TargetMode="External"/><Relationship Id="rId1088" Type="http://schemas.openxmlformats.org/officeDocument/2006/relationships/hyperlink" Target="https://drive.google.com/open?id=13Kxby0vjd6eyOGT5qcZIZLGd6eTAVubz" TargetMode="External"/><Relationship Id="rId1295" Type="http://schemas.openxmlformats.org/officeDocument/2006/relationships/hyperlink" Target="https://drive.google.com/open?id=1f0GycFX8knsL5Qt-e-ks6ACY9Ox2bj2s" TargetMode="External"/><Relationship Id="rId1309" Type="http://schemas.openxmlformats.org/officeDocument/2006/relationships/hyperlink" Target="https://drive.google.com/open?id=1Flya9i5yBDeaDB73VrFTjg5tCxwKAyPv" TargetMode="External"/><Relationship Id="rId1516" Type="http://schemas.openxmlformats.org/officeDocument/2006/relationships/hyperlink" Target="https://drive.google.com/file/d/1sk68Gyukzg2z7-dkcI0S--fY7Cz7GAer/view?usp=drivesdk" TargetMode="External"/><Relationship Id="rId1723" Type="http://schemas.openxmlformats.org/officeDocument/2006/relationships/hyperlink" Target="https://drive.google.com/file/d/1z2kYVOpDoup435ys7eUtVi6yiWvDspnM/view?usp=drivesdk" TargetMode="External"/><Relationship Id="rId15" Type="http://schemas.openxmlformats.org/officeDocument/2006/relationships/hyperlink" Target="https://drive.google.com/open?id=1smp80xrSRWAMMEi6whv9KkhpV7iW88E0" TargetMode="External"/><Relationship Id="rId318" Type="http://schemas.openxmlformats.org/officeDocument/2006/relationships/hyperlink" Target="https://drive.google.com/file/d/1uBWNpAx3HTxwsYX9TRGbU9VAYjZJ4kDE/view?usp=drivesdk" TargetMode="External"/><Relationship Id="rId525" Type="http://schemas.openxmlformats.org/officeDocument/2006/relationships/hyperlink" Target="https://drive.google.com/open?id=1Lax514baOrpiNiF9V0JM21vd8vmDj6Tz" TargetMode="External"/><Relationship Id="rId732" Type="http://schemas.openxmlformats.org/officeDocument/2006/relationships/hyperlink" Target="https://drive.google.com/file/d/1B9nRNCseqLLm8LG85VnPh1HXTtqqjz06/view?usp=drivesdk" TargetMode="External"/><Relationship Id="rId1155" Type="http://schemas.openxmlformats.org/officeDocument/2006/relationships/hyperlink" Target="https://drive.google.com/open?id=1qGZ7sDtZC8oPWkhDyc74VSPuiUqsHiK_" TargetMode="External"/><Relationship Id="rId1362" Type="http://schemas.openxmlformats.org/officeDocument/2006/relationships/hyperlink" Target="https://drive.google.com/open?id=1xtfdMV5114salyrY4tOq_mmg5T2SqBXS" TargetMode="External"/><Relationship Id="rId99" Type="http://schemas.openxmlformats.org/officeDocument/2006/relationships/hyperlink" Target="https://drive.google.com/open?id=1oTN7LyqV91xHobk_UFLlPA8oP-cjIUdO" TargetMode="External"/><Relationship Id="rId164" Type="http://schemas.openxmlformats.org/officeDocument/2006/relationships/hyperlink" Target="https://drive.google.com/open?id=1wP8QOpN8nf0T6dPxAaGjnkXqjJxQiGNv" TargetMode="External"/><Relationship Id="rId371" Type="http://schemas.openxmlformats.org/officeDocument/2006/relationships/hyperlink" Target="https://drive.google.com/open?id=1-mEZ_Dtkm5xcCeWCZr72uBOjdkmVl2Lt" TargetMode="External"/><Relationship Id="rId1015" Type="http://schemas.openxmlformats.org/officeDocument/2006/relationships/hyperlink" Target="https://drive.google.com/open?id=1AeXOmcsA0ElJcn1QmKc22b95lno5ZH3u" TargetMode="External"/><Relationship Id="rId1222" Type="http://schemas.openxmlformats.org/officeDocument/2006/relationships/hyperlink" Target="https://drive.google.com/file/d/1AQ_VjnlIsBBRsEl8fUi6Awy9EhielvSr/view?usp=drivesdk" TargetMode="External"/><Relationship Id="rId1667" Type="http://schemas.openxmlformats.org/officeDocument/2006/relationships/hyperlink" Target="https://drive.google.com/open?id=1eFh4t6Jrm7UCcOvxqcbgojLWKhVYxJeS" TargetMode="External"/><Relationship Id="rId469" Type="http://schemas.openxmlformats.org/officeDocument/2006/relationships/hyperlink" Target="https://drive.google.com/open?id=1ULEBqmYzJqiiuvpvT6gyiWFwoAtPi8_l" TargetMode="External"/><Relationship Id="rId676" Type="http://schemas.openxmlformats.org/officeDocument/2006/relationships/hyperlink" Target="https://drive.google.com/file/d/1n8DPpTupgJvEGLRchIGdLX2c41inPD1U/view?usp=drivesdk" TargetMode="External"/><Relationship Id="rId883" Type="http://schemas.openxmlformats.org/officeDocument/2006/relationships/hyperlink" Target="https://drive.google.com/open?id=1jBM2SyNPJ4Y299rPTLUgscTfebGt1hn_" TargetMode="External"/><Relationship Id="rId1099" Type="http://schemas.openxmlformats.org/officeDocument/2006/relationships/hyperlink" Target="https://drive.google.com/open?id=1I89oPnTv3Get_68kqjzfSEpCZcGqfbN7" TargetMode="External"/><Relationship Id="rId1527" Type="http://schemas.openxmlformats.org/officeDocument/2006/relationships/hyperlink" Target="https://drive.google.com/open?id=14jW2jOm-U3YUbrRUtb7jKvMQB6s-gMfP" TargetMode="External"/><Relationship Id="rId1734" Type="http://schemas.openxmlformats.org/officeDocument/2006/relationships/hyperlink" Target="https://drive.google.com/open?id=1eLLbXKgG-wsQM0937kOzalaEq1wLvWZI" TargetMode="External"/><Relationship Id="rId26" Type="http://schemas.openxmlformats.org/officeDocument/2006/relationships/hyperlink" Target="https://drive.google.com/file/d/1NCdAOwMmg69oUlSbaXoBvJazavo7n5zB/view?usp=drivesdk" TargetMode="External"/><Relationship Id="rId231" Type="http://schemas.openxmlformats.org/officeDocument/2006/relationships/hyperlink" Target="https://drive.google.com/open?id=1Gk1Kb72wKnY9lsOSRHKUn3kAEDpsFSUd" TargetMode="External"/><Relationship Id="rId329" Type="http://schemas.openxmlformats.org/officeDocument/2006/relationships/hyperlink" Target="https://drive.google.com/open?id=1AaN_Zl223JI0eVDQRgFLcMI9wHanONmx" TargetMode="External"/><Relationship Id="rId536" Type="http://schemas.openxmlformats.org/officeDocument/2006/relationships/hyperlink" Target="https://drive.google.com/open?id=1UkHwjG03nvtwJ6MTE0Et52iFrvwRqdgK" TargetMode="External"/><Relationship Id="rId1166" Type="http://schemas.openxmlformats.org/officeDocument/2006/relationships/hyperlink" Target="https://drive.google.com/file/d/13vS76Y8n3p-eG0BmOrwCyFdjaLZiLtUb/view?usp=drivesdk" TargetMode="External"/><Relationship Id="rId1373" Type="http://schemas.openxmlformats.org/officeDocument/2006/relationships/hyperlink" Target="https://drive.google.com/open?id=1esR1v3EsMftNYdt9y_TOItabMSp-ZGzU" TargetMode="External"/><Relationship Id="rId175" Type="http://schemas.openxmlformats.org/officeDocument/2006/relationships/hyperlink" Target="https://drive.google.com/open?id=1ihWCGz6wILi5c4rPVsGZkCdm4RbE5jVO" TargetMode="External"/><Relationship Id="rId743" Type="http://schemas.openxmlformats.org/officeDocument/2006/relationships/hyperlink" Target="https://drive.google.com/open?id=1ihcqFajYIXyBsBiYP2JvvQZOb0cOQ_of" TargetMode="External"/><Relationship Id="rId950" Type="http://schemas.openxmlformats.org/officeDocument/2006/relationships/hyperlink" Target="https://drive.google.com/file/d/11u-vhmOyopyy52j0Qj2uOjC7T_GCjQhg/view?usp=drivesdk" TargetMode="External"/><Relationship Id="rId1026" Type="http://schemas.openxmlformats.org/officeDocument/2006/relationships/hyperlink" Target="https://drive.google.com/file/d/1dHn0BXYwS_5DGyE9z4KJggZlYAcFCEQc/view?usp=drivesdk" TargetMode="External"/><Relationship Id="rId1580" Type="http://schemas.openxmlformats.org/officeDocument/2006/relationships/hyperlink" Target="https://drive.google.com/open?id=1Wsp-9fCsim5kpuuXxQ1DjN1cBUIZsZ4P" TargetMode="External"/><Relationship Id="rId1678" Type="http://schemas.openxmlformats.org/officeDocument/2006/relationships/hyperlink" Target="https://drive.google.com/open?id=10rFkKwaMfdISYEP7417LS1IP10Obbsw6" TargetMode="External"/><Relationship Id="rId1801" Type="http://schemas.openxmlformats.org/officeDocument/2006/relationships/hyperlink" Target="https://drive.google.com/open?id=18h6ELEkVzx9tn8D1JlWIJb6ASZ3lqjjA" TargetMode="External"/><Relationship Id="rId382" Type="http://schemas.openxmlformats.org/officeDocument/2006/relationships/hyperlink" Target="https://drive.google.com/file/d/1aUe5VwL3w0LnjNdjHKfPXUmQAhAH-vmu/view?usp=drivesdk" TargetMode="External"/><Relationship Id="rId603" Type="http://schemas.openxmlformats.org/officeDocument/2006/relationships/hyperlink" Target="https://drive.google.com/open?id=17ZNnEeb-G2juVHW3JGdn29rimCx5Baw5" TargetMode="External"/><Relationship Id="rId687" Type="http://schemas.openxmlformats.org/officeDocument/2006/relationships/hyperlink" Target="https://drive.google.com/open?id=1s4N15OG7GCITQgKZXAG4mYDr5k-r9I70" TargetMode="External"/><Relationship Id="rId810" Type="http://schemas.openxmlformats.org/officeDocument/2006/relationships/hyperlink" Target="https://drive.google.com/file/d/1pHsfS_5OCgXHWnJiCTjmMVe4IXfh5zAs/view?usp=drivesdk" TargetMode="External"/><Relationship Id="rId908" Type="http://schemas.openxmlformats.org/officeDocument/2006/relationships/hyperlink" Target="https://drive.google.com/file/d/1r1eEqsHQyOLqC48RUojB_6JUMkgsJoJM/view?usp=drivesdk" TargetMode="External"/><Relationship Id="rId1233" Type="http://schemas.openxmlformats.org/officeDocument/2006/relationships/hyperlink" Target="https://drive.google.com/open?id=1wAG4PK_3B3V9JJdom5xX5sZ4rkpCqA5O" TargetMode="External"/><Relationship Id="rId1440" Type="http://schemas.openxmlformats.org/officeDocument/2006/relationships/hyperlink" Target="https://drive.google.com/open?id=1QVQD8Sp62pblYgRZutg5oIgR-Nx2q0Rt" TargetMode="External"/><Relationship Id="rId1538" Type="http://schemas.openxmlformats.org/officeDocument/2006/relationships/hyperlink" Target="https://drive.google.com/open?id=1iC7kSbn1ChR5D1-3_mg_mEGsprGsxsB2" TargetMode="External"/><Relationship Id="rId242" Type="http://schemas.openxmlformats.org/officeDocument/2006/relationships/hyperlink" Target="https://drive.google.com/file/d/1LfWpsec5NcFcUzLCNqzPnN2cyPS1EChH/view?usp=drivesdk" TargetMode="External"/><Relationship Id="rId894" Type="http://schemas.openxmlformats.org/officeDocument/2006/relationships/hyperlink" Target="https://drive.google.com/file/d/1Wze7hi36t-dg8bYaR681IJVtoIIN4zK7/view?usp=drivesdk" TargetMode="External"/><Relationship Id="rId1177" Type="http://schemas.openxmlformats.org/officeDocument/2006/relationships/hyperlink" Target="https://drive.google.com/open?id=12LhJeioiAd89nf0fmlczvCz4zpT_CZgg" TargetMode="External"/><Relationship Id="rId1300" Type="http://schemas.openxmlformats.org/officeDocument/2006/relationships/hyperlink" Target="https://drive.google.com/file/d/1b5eBOh1PYdgY6FwQFcu3aER_602epD1L/view?usp=drivesdk" TargetMode="External"/><Relationship Id="rId1745" Type="http://schemas.openxmlformats.org/officeDocument/2006/relationships/hyperlink" Target="https://drive.google.com/open?id=1fY2waU6xoXZWkUULJ-KifMavqkXrt1vE" TargetMode="External"/><Relationship Id="rId37" Type="http://schemas.openxmlformats.org/officeDocument/2006/relationships/hyperlink" Target="https://drive.google.com/open?id=10s84M67du01iIu2a_ZuUEMaFg23qJlgj" TargetMode="External"/><Relationship Id="rId102" Type="http://schemas.openxmlformats.org/officeDocument/2006/relationships/hyperlink" Target="https://drive.google.com/file/d/16GI4a1J4mozdBgQt-gDmwFYmjN_ImM7U/view?usp=drivesdk" TargetMode="External"/><Relationship Id="rId547" Type="http://schemas.openxmlformats.org/officeDocument/2006/relationships/hyperlink" Target="https://drive.google.com/open?id=1jmwprX1T2itJlKZqM9w5vHfIlFyhH2m6" TargetMode="External"/><Relationship Id="rId754" Type="http://schemas.openxmlformats.org/officeDocument/2006/relationships/hyperlink" Target="https://drive.google.com/open?id=1JjcCARp3uWnTG8wM4l_u1XJImWR5MAzy" TargetMode="External"/><Relationship Id="rId961" Type="http://schemas.openxmlformats.org/officeDocument/2006/relationships/hyperlink" Target="https://drive.google.com/open?id=124Un2Pi3MFEvfVgT2BwfmgHttZd9JOSt" TargetMode="External"/><Relationship Id="rId1384" Type="http://schemas.openxmlformats.org/officeDocument/2006/relationships/hyperlink" Target="https://drive.google.com/open?id=1HEMVWmuQAFjdymKeItCVUFU2iOgWthdg" TargetMode="External"/><Relationship Id="rId1591" Type="http://schemas.openxmlformats.org/officeDocument/2006/relationships/hyperlink" Target="https://drive.google.com/open?id=1_TUtqJhH66wFTCLUeAgNVl3eNjwQ9uwC" TargetMode="External"/><Relationship Id="rId1605" Type="http://schemas.openxmlformats.org/officeDocument/2006/relationships/hyperlink" Target="https://drive.google.com/open?id=1fJov4nOMldGRekBLq4t9-LLEy1Jv8ro4" TargetMode="External"/><Relationship Id="rId1689" Type="http://schemas.openxmlformats.org/officeDocument/2006/relationships/hyperlink" Target="https://drive.google.com/file/d/1MbutjIzzrU0zH2OfbjmOe7LWcLDecj6H/view?usp=drivesdk" TargetMode="External"/><Relationship Id="rId1812" Type="http://schemas.openxmlformats.org/officeDocument/2006/relationships/hyperlink" Target="https://drive.google.com/file/d/1e0vmSXVTg9EsJn4BFo7ndcKWXDiJt6wR/view?usp=drivesdk" TargetMode="External"/><Relationship Id="rId90" Type="http://schemas.openxmlformats.org/officeDocument/2006/relationships/hyperlink" Target="https://drive.google.com/open?id=1viI3N8olt5gtIUxDYRbzV4Ix6kqbjWac" TargetMode="External"/><Relationship Id="rId186" Type="http://schemas.openxmlformats.org/officeDocument/2006/relationships/hyperlink" Target="https://drive.google.com/open?id=1XmWK0Q3GJKRl9uMGTO2nQlFPGkIVxS_S" TargetMode="External"/><Relationship Id="rId393" Type="http://schemas.openxmlformats.org/officeDocument/2006/relationships/hyperlink" Target="https://drive.google.com/open?id=1HyT83oS2Qg7mrEMZeech0XumXiOaZsGS" TargetMode="External"/><Relationship Id="rId407" Type="http://schemas.openxmlformats.org/officeDocument/2006/relationships/hyperlink" Target="https://drive.google.com/open?id=1P5xciE2VcXNulfl-MyuGD2ZZPUS_iOpj" TargetMode="External"/><Relationship Id="rId614" Type="http://schemas.openxmlformats.org/officeDocument/2006/relationships/hyperlink" Target="https://drive.google.com/open?id=1gxs3H2VA4rF9BbhqzOlRkky0BdXo-g4H" TargetMode="External"/><Relationship Id="rId821" Type="http://schemas.openxmlformats.org/officeDocument/2006/relationships/hyperlink" Target="https://drive.google.com/open?id=1NhUXFOm-T33ToyoPng0LO6_t5lxcYVTj" TargetMode="External"/><Relationship Id="rId1037" Type="http://schemas.openxmlformats.org/officeDocument/2006/relationships/hyperlink" Target="https://drive.google.com/open?id=1FtGSfvMgIQrmzBVzt-uNwxASAPvrT5nw" TargetMode="External"/><Relationship Id="rId1244" Type="http://schemas.openxmlformats.org/officeDocument/2006/relationships/hyperlink" Target="https://drive.google.com/file/d/16SpWzbqACing8-FHn1ixCA_BP_h40KGo/view?usp=drivesdk" TargetMode="External"/><Relationship Id="rId1451" Type="http://schemas.openxmlformats.org/officeDocument/2006/relationships/hyperlink" Target="https://drive.google.com/file/d/10jOrzRudAZo_kk7DravZW9hnc3aOMlQa/view?usp=drivesdk" TargetMode="External"/><Relationship Id="rId253" Type="http://schemas.openxmlformats.org/officeDocument/2006/relationships/hyperlink" Target="https://drive.google.com/open?id=1EUQiDNrhtLhFbPTpoQf4u0yrAMKx1RBu" TargetMode="External"/><Relationship Id="rId460" Type="http://schemas.openxmlformats.org/officeDocument/2006/relationships/hyperlink" Target="https://drive.google.com/open?id=19TffVd0jQI_ZvXJ7HKa_TCZBZq-N0Zfo" TargetMode="External"/><Relationship Id="rId698" Type="http://schemas.openxmlformats.org/officeDocument/2006/relationships/hyperlink" Target="https://drive.google.com/open?id=1qNbkPwlKLK8rZ7jDcCtwYjN5hHVsz9NG" TargetMode="External"/><Relationship Id="rId919" Type="http://schemas.openxmlformats.org/officeDocument/2006/relationships/hyperlink" Target="https://drive.google.com/open?id=1jo-20qQHCIfy8d-SfRU2BcYD5GEPYaYc" TargetMode="External"/><Relationship Id="rId1090" Type="http://schemas.openxmlformats.org/officeDocument/2006/relationships/hyperlink" Target="https://drive.google.com/file/d/1y6pm9wbbyljS97v7oHHgwXWmkIb_a1n8/view?usp=drivesdk" TargetMode="External"/><Relationship Id="rId1104" Type="http://schemas.openxmlformats.org/officeDocument/2006/relationships/hyperlink" Target="https://drive.google.com/file/d/1X8PKJzTPleIzCyLMNX-w8B08A1GcFG5u/view?usp=drivesdk" TargetMode="External"/><Relationship Id="rId1311" Type="http://schemas.openxmlformats.org/officeDocument/2006/relationships/hyperlink" Target="https://drive.google.com/open?id=1-X6ja3EtXgc4Y6AGiX2ho5jc6L3jAjob" TargetMode="External"/><Relationship Id="rId1549" Type="http://schemas.openxmlformats.org/officeDocument/2006/relationships/hyperlink" Target="https://drive.google.com/open?id=1JjmxPovLEQz133hI-UfE41qCyhVUH3BQ" TargetMode="External"/><Relationship Id="rId1756" Type="http://schemas.openxmlformats.org/officeDocument/2006/relationships/hyperlink" Target="https://drive.google.com/file/d/1945PzWgqavoHrR3VOSd1IBoJvbEl3TXt/view?usp=drivesdk" TargetMode="External"/><Relationship Id="rId48" Type="http://schemas.openxmlformats.org/officeDocument/2006/relationships/hyperlink" Target="https://drive.google.com/open?id=1uRHlwna4XUpSqBgXxgQQkdJy7Fn56ZwY" TargetMode="External"/><Relationship Id="rId113" Type="http://schemas.openxmlformats.org/officeDocument/2006/relationships/hyperlink" Target="https://drive.google.com/open?id=1typA1sUaNS_4tiP6RM4EDEHhO56DadYF" TargetMode="External"/><Relationship Id="rId320" Type="http://schemas.openxmlformats.org/officeDocument/2006/relationships/hyperlink" Target="https://drive.google.com/open?id=1Go1MQxK6L8K2X5QUX_xqZRG1Fn7VP31p" TargetMode="External"/><Relationship Id="rId558" Type="http://schemas.openxmlformats.org/officeDocument/2006/relationships/hyperlink" Target="https://drive.google.com/open?id=1cm78TgAk2AhiNbl5USLCwMaWCyll5nPu" TargetMode="External"/><Relationship Id="rId765" Type="http://schemas.openxmlformats.org/officeDocument/2006/relationships/hyperlink" Target="https://drive.google.com/open?id=15o8mat3fuN1f9xp6_wkJWg9ggqmxjDxf" TargetMode="External"/><Relationship Id="rId972" Type="http://schemas.openxmlformats.org/officeDocument/2006/relationships/hyperlink" Target="https://drive.google.com/open?id=18ymTdoJAEKE6Dg6o6xf4c7sH5XY5-yCe" TargetMode="External"/><Relationship Id="rId1188" Type="http://schemas.openxmlformats.org/officeDocument/2006/relationships/hyperlink" Target="https://drive.google.com/file/d/1-iEr-veVn3YHcuGPwNC3kafXuwtQNugU/view?usp=drivesdk" TargetMode="External"/><Relationship Id="rId1395" Type="http://schemas.openxmlformats.org/officeDocument/2006/relationships/hyperlink" Target="https://drive.google.com/file/d/1jMlhqTxt9dcarXUD6f4J5Y7UmLGSbTFQ/view?usp=drivesdk" TargetMode="External"/><Relationship Id="rId1409" Type="http://schemas.openxmlformats.org/officeDocument/2006/relationships/hyperlink" Target="https://drive.google.com/file/d/1VFzjLrz6qxtkXEYe8ENRWpjQrO8bdOe-/view?usp=drivesdk" TargetMode="External"/><Relationship Id="rId1616" Type="http://schemas.openxmlformats.org/officeDocument/2006/relationships/hyperlink" Target="https://drive.google.com/open?id=1oKtdxXKfgh5fLeAkYiUbhfYGnEyqRljh" TargetMode="External"/><Relationship Id="rId1823" Type="http://schemas.openxmlformats.org/officeDocument/2006/relationships/hyperlink" Target="https://drive.google.com/open?id=1_XyjZ1BzMXiUXe5LVIUlMvF0Mg1EbBWj" TargetMode="External"/><Relationship Id="rId197" Type="http://schemas.openxmlformats.org/officeDocument/2006/relationships/hyperlink" Target="https://drive.google.com/open?id=1cWZF9P6FEJ9j62mpyB9VDy6k6-_I1h8w" TargetMode="External"/><Relationship Id="rId418" Type="http://schemas.openxmlformats.org/officeDocument/2006/relationships/hyperlink" Target="https://drive.google.com/open?id=1ZjoUQDpL47pKTwldRJlp5qqt-xK3Y2hJ" TargetMode="External"/><Relationship Id="rId625" Type="http://schemas.openxmlformats.org/officeDocument/2006/relationships/hyperlink" Target="https://drive.google.com/open?id=11pNsGKU4J_563OnBH-M30JMP_K7HgceV" TargetMode="External"/><Relationship Id="rId832" Type="http://schemas.openxmlformats.org/officeDocument/2006/relationships/hyperlink" Target="https://drive.google.com/open?id=1e6kB_SmpzbEQOh85lD7xBHQYfY0Kk-lm" TargetMode="External"/><Relationship Id="rId1048" Type="http://schemas.openxmlformats.org/officeDocument/2006/relationships/hyperlink" Target="https://drive.google.com/file/d/11-wcXnCua9k8yiqs11ijPplao6R-Fl8U/view?usp=drivesdk" TargetMode="External"/><Relationship Id="rId1255" Type="http://schemas.openxmlformats.org/officeDocument/2006/relationships/hyperlink" Target="https://drive.google.com/open?id=1bgRIv_UMtOfdBFwULQGi9ZvOObk2UAEy" TargetMode="External"/><Relationship Id="rId1462" Type="http://schemas.openxmlformats.org/officeDocument/2006/relationships/hyperlink" Target="https://drive.google.com/open?id=1nanar5BCetKslfK8T49Qd-lvsIscE_8f" TargetMode="External"/><Relationship Id="rId264" Type="http://schemas.openxmlformats.org/officeDocument/2006/relationships/hyperlink" Target="https://drive.google.com/open?id=1MT0qy6YqCt5tJW-E0IwXl6IHJP2Tk6o3" TargetMode="External"/><Relationship Id="rId471" Type="http://schemas.openxmlformats.org/officeDocument/2006/relationships/hyperlink" Target="https://drive.google.com/file/d/17mHiGXMbmDr1Yqm-tkcDaEdZqmvZzj6f/view?usp=drivesdk" TargetMode="External"/><Relationship Id="rId1115" Type="http://schemas.openxmlformats.org/officeDocument/2006/relationships/hyperlink" Target="https://drive.google.com/open?id=1a3p0PfUdD1fSt5GtcnBP8-djnVC_pMSp" TargetMode="External"/><Relationship Id="rId1322" Type="http://schemas.openxmlformats.org/officeDocument/2006/relationships/hyperlink" Target="https://drive.google.com/open?id=1O1pJM_qoL1b2UDb7zzzSvrkd86Ui_0FI" TargetMode="External"/><Relationship Id="rId1767" Type="http://schemas.openxmlformats.org/officeDocument/2006/relationships/hyperlink" Target="https://drive.google.com/open?id=1eMhY0JNTbtqd2vZ21MycogQ6Uc2ve0Gc" TargetMode="External"/><Relationship Id="rId59" Type="http://schemas.openxmlformats.org/officeDocument/2006/relationships/hyperlink" Target="https://drive.google.com/open?id=1dAm_g0J2zwXoyHs3PFPJ0AaywOAftkxo" TargetMode="External"/><Relationship Id="rId124" Type="http://schemas.openxmlformats.org/officeDocument/2006/relationships/hyperlink" Target="https://drive.google.com/file/d/1AqccRkIh6vRbNxvAXftMkZEoQ6nt7Vm6/view?usp=drivesdk" TargetMode="External"/><Relationship Id="rId569" Type="http://schemas.openxmlformats.org/officeDocument/2006/relationships/hyperlink" Target="https://drive.google.com/file/d/1_Ax-x6SysIJkB0Jzd0a9hPVHgrL0x45K/view?usp=drivesdk" TargetMode="External"/><Relationship Id="rId776" Type="http://schemas.openxmlformats.org/officeDocument/2006/relationships/hyperlink" Target="https://drive.google.com/open?id=1JPow4AS4PftuibcXiZbm-27c6AGWxX8a" TargetMode="External"/><Relationship Id="rId983" Type="http://schemas.openxmlformats.org/officeDocument/2006/relationships/hyperlink" Target="https://drive.google.com/open?id=1ajrlq3lIOUzJSmbU7foXx_CSk85BAkZd" TargetMode="External"/><Relationship Id="rId1199" Type="http://schemas.openxmlformats.org/officeDocument/2006/relationships/hyperlink" Target="https://drive.google.com/open?id=1ZjMrsXbB7NfIZ8aaCS7EJ-ZIW01lzUvt" TargetMode="External"/><Relationship Id="rId1627" Type="http://schemas.openxmlformats.org/officeDocument/2006/relationships/hyperlink" Target="https://drive.google.com/file/d/1pF0iO_PVDnY7Nnk2bfe9Qdlpce6H_9XP/view?usp=drivesdk" TargetMode="External"/><Relationship Id="rId1834" Type="http://schemas.openxmlformats.org/officeDocument/2006/relationships/hyperlink" Target="https://drive.google.com/file/d/1MK6cFlwU4rZQtdc_1J4KCuwxJpQewLNp/view?usp=drivesdk" TargetMode="External"/><Relationship Id="rId331" Type="http://schemas.openxmlformats.org/officeDocument/2006/relationships/hyperlink" Target="https://drive.google.com/open?id=1zDG5GswaicMern_SqX6QctOQK5p4qSeZ" TargetMode="External"/><Relationship Id="rId429" Type="http://schemas.openxmlformats.org/officeDocument/2006/relationships/hyperlink" Target="https://drive.google.com/file/d/1glTqJfmx1pu5SAzjjmgrkcjryiSLEVeV/view?usp=drivesdk" TargetMode="External"/><Relationship Id="rId636" Type="http://schemas.openxmlformats.org/officeDocument/2006/relationships/hyperlink" Target="https://drive.google.com/open?id=10g3SnMxakJpHQmiec2d2m2xgFg07a6UF" TargetMode="External"/><Relationship Id="rId1059" Type="http://schemas.openxmlformats.org/officeDocument/2006/relationships/hyperlink" Target="https://drive.google.com/open?id=19UE08UhzgT-nC73K4UHdQUSJMN9Sj3by" TargetMode="External"/><Relationship Id="rId1266" Type="http://schemas.openxmlformats.org/officeDocument/2006/relationships/hyperlink" Target="https://drive.google.com/open?id=1YcotL0Vrt06ae_MFTjttjurN-uuWfFfu" TargetMode="External"/><Relationship Id="rId1473" Type="http://schemas.openxmlformats.org/officeDocument/2006/relationships/hyperlink" Target="https://drive.google.com/file/d/1OywOEwR_w2mSZYXORbIyiqHqZoMBlt5-/view?usp=drivesdk" TargetMode="External"/><Relationship Id="rId843" Type="http://schemas.openxmlformats.org/officeDocument/2006/relationships/hyperlink" Target="https://drive.google.com/open?id=1mqFZvwHtdinXqgVXLkIUslnNWuM7B5vs" TargetMode="External"/><Relationship Id="rId1126" Type="http://schemas.openxmlformats.org/officeDocument/2006/relationships/hyperlink" Target="https://drive.google.com/open?id=1oMQ-evY_KFp3XOJtY6MftpCPINAs8Id4" TargetMode="External"/><Relationship Id="rId1680" Type="http://schemas.openxmlformats.org/officeDocument/2006/relationships/hyperlink" Target="https://drive.google.com/open?id=1D2lIEabxmFgmf6ILpVwEnfCLf0qkYmI8" TargetMode="External"/><Relationship Id="rId1778" Type="http://schemas.openxmlformats.org/officeDocument/2006/relationships/hyperlink" Target="https://drive.google.com/file/d/1MGCibzleoKEYlemhwTbrffm1JtrmqsMp/view?usp=drivesdk" TargetMode="External"/><Relationship Id="rId275" Type="http://schemas.openxmlformats.org/officeDocument/2006/relationships/hyperlink" Target="https://drive.google.com/open?id=18fnmFsTDWJyG7RuQL5LwC4lauZdNCsXV" TargetMode="External"/><Relationship Id="rId482" Type="http://schemas.openxmlformats.org/officeDocument/2006/relationships/hyperlink" Target="https://drive.google.com/open?id=1nQKdZshPIgXEYMA2NtiQNegsKVNCWOis" TargetMode="External"/><Relationship Id="rId703" Type="http://schemas.openxmlformats.org/officeDocument/2006/relationships/hyperlink" Target="https://drive.google.com/file/d/1oBWAzBVaNPnUU3EPMeAg_aKqc8s90Jjq/view?usp=drivesdk" TargetMode="External"/><Relationship Id="rId910" Type="http://schemas.openxmlformats.org/officeDocument/2006/relationships/hyperlink" Target="https://drive.google.com/open?id=1hgTTdKWf9_MzKCtMIw1GBfxYmXTgocVX" TargetMode="External"/><Relationship Id="rId1333" Type="http://schemas.openxmlformats.org/officeDocument/2006/relationships/hyperlink" Target="https://drive.google.com/file/d/1GHO6uPC6W2AA9KQ3S5elldOOAy8LNVLk/view?usp=drivesdk" TargetMode="External"/><Relationship Id="rId1540" Type="http://schemas.openxmlformats.org/officeDocument/2006/relationships/hyperlink" Target="https://drive.google.com/open?id=1Nvpn3hUxklWjyYT3k3BJ3EVqNoVzb1rs" TargetMode="External"/><Relationship Id="rId1638" Type="http://schemas.openxmlformats.org/officeDocument/2006/relationships/hyperlink" Target="https://drive.google.com/open?id=1NnUmL6wSprGvoHuO77MsT5wfI1AtP7Ur" TargetMode="External"/><Relationship Id="rId135" Type="http://schemas.openxmlformats.org/officeDocument/2006/relationships/hyperlink" Target="https://drive.google.com/open?id=1sEL0UAFBK-n6VR3i8WZBAVi030sFQYcg" TargetMode="External"/><Relationship Id="rId342" Type="http://schemas.openxmlformats.org/officeDocument/2006/relationships/hyperlink" Target="https://drive.google.com/open?id=1HQcUGtgT0yWCTy36FSueJiwS9dhSAcUb" TargetMode="External"/><Relationship Id="rId787" Type="http://schemas.openxmlformats.org/officeDocument/2006/relationships/hyperlink" Target="https://drive.google.com/open?id=1Hn0l5k3J2WnFRc_aHrFpUTB8ddfx5ZoL" TargetMode="External"/><Relationship Id="rId994" Type="http://schemas.openxmlformats.org/officeDocument/2006/relationships/hyperlink" Target="https://drive.google.com/open?id=12W_c5waCUyuQ7i6hQ8FHEpt9NYCnUj5w" TargetMode="External"/><Relationship Id="rId1400" Type="http://schemas.openxmlformats.org/officeDocument/2006/relationships/hyperlink" Target="https://drive.google.com/open?id=1DKy3ponVkxuQCuWexEtIRKARWOjdxRG-" TargetMode="External"/><Relationship Id="rId202" Type="http://schemas.openxmlformats.org/officeDocument/2006/relationships/hyperlink" Target="https://drive.google.com/open?id=1Z2mp0RxUMhHqwYCbPbQFQrdEtzL0yw4u" TargetMode="External"/><Relationship Id="rId647" Type="http://schemas.openxmlformats.org/officeDocument/2006/relationships/hyperlink" Target="https://drive.google.com/file/d/1kGlq8IvnuXBFlfba0tODMR2LMj4WFLRb/view?usp=drivesdk" TargetMode="External"/><Relationship Id="rId854" Type="http://schemas.openxmlformats.org/officeDocument/2006/relationships/hyperlink" Target="https://drive.google.com/open?id=11t67cINN83BVeSLFNLWLpA0-vbPWz7V1" TargetMode="External"/><Relationship Id="rId1277" Type="http://schemas.openxmlformats.org/officeDocument/2006/relationships/hyperlink" Target="https://drive.google.com/open?id=1sbFQkdyl2uNThJpusUCoZksoC45vYbBu" TargetMode="External"/><Relationship Id="rId1484" Type="http://schemas.openxmlformats.org/officeDocument/2006/relationships/hyperlink" Target="https://drive.google.com/open?id=1XNBnoe4K9QU3eKwPwZrl9EYgtnq6dRDQ" TargetMode="External"/><Relationship Id="rId1691" Type="http://schemas.openxmlformats.org/officeDocument/2006/relationships/hyperlink" Target="https://drive.google.com/open?id=1pXcNUSl1htChz745TwaC0e4J6T25xRUy" TargetMode="External"/><Relationship Id="rId1705" Type="http://schemas.openxmlformats.org/officeDocument/2006/relationships/hyperlink" Target="https://drive.google.com/open?id=1ssJB-q0yj9WGgE8Gk88Dc_LzEOOjinVl" TargetMode="External"/><Relationship Id="rId286" Type="http://schemas.openxmlformats.org/officeDocument/2006/relationships/hyperlink" Target="https://drive.google.com/open?id=1ZnmouKo-VTvfO9qb6mAbbu7wfhdtIl6P" TargetMode="External"/><Relationship Id="rId493" Type="http://schemas.openxmlformats.org/officeDocument/2006/relationships/hyperlink" Target="https://drive.google.com/file/d/1aAEBMJLTFEN0eX8Vc0958DrEwbPYhM2P/view?usp=drivesdk" TargetMode="External"/><Relationship Id="rId507" Type="http://schemas.openxmlformats.org/officeDocument/2006/relationships/hyperlink" Target="https://drive.google.com/file/d/18bomlkRHgSn8n7F_gHFu_ACl-rtBROzK/view?usp=drivesdk" TargetMode="External"/><Relationship Id="rId714" Type="http://schemas.openxmlformats.org/officeDocument/2006/relationships/hyperlink" Target="https://drive.google.com/open?id=1n5TxRWs6tHGx_Um6r9yPqIQo8mJ8Qoa_" TargetMode="External"/><Relationship Id="rId921" Type="http://schemas.openxmlformats.org/officeDocument/2006/relationships/hyperlink" Target="https://drive.google.com/file/d/1AGDjwKBsgBG2MxFw221JxoQOvhYhs7wh/view?usp=drivesdk" TargetMode="External"/><Relationship Id="rId1137" Type="http://schemas.openxmlformats.org/officeDocument/2006/relationships/hyperlink" Target="https://drive.google.com/open?id=14bSqDuJNnbCwn291un5wA4DY4UJIxgca" TargetMode="External"/><Relationship Id="rId1344" Type="http://schemas.openxmlformats.org/officeDocument/2006/relationships/hyperlink" Target="https://drive.google.com/open?id=1u76zW216Wvt3S4GOj4V8gIab86vqbvku" TargetMode="External"/><Relationship Id="rId1551" Type="http://schemas.openxmlformats.org/officeDocument/2006/relationships/hyperlink" Target="https://drive.google.com/file/d/1cdWR5HfnrH2qadEwWjr200UyRTXpq7WI/view?usp=drivesdk" TargetMode="External"/><Relationship Id="rId1789" Type="http://schemas.openxmlformats.org/officeDocument/2006/relationships/hyperlink" Target="https://drive.google.com/open?id=14_xWPIWwa6wdjbHgYia7afp0MS-akqOg" TargetMode="External"/><Relationship Id="rId50" Type="http://schemas.openxmlformats.org/officeDocument/2006/relationships/hyperlink" Target="https://drive.google.com/open?id=1R184c4jpaDbwI3uRBEaCszTMBWPgG85x" TargetMode="External"/><Relationship Id="rId146" Type="http://schemas.openxmlformats.org/officeDocument/2006/relationships/hyperlink" Target="https://drive.google.com/open?id=13wvov6dqx-VDTZPvbrFcxiPOURYLJBKU" TargetMode="External"/><Relationship Id="rId353" Type="http://schemas.openxmlformats.org/officeDocument/2006/relationships/hyperlink" Target="https://drive.google.com/open?id=13QTcw0k4dqqk26xZZd80njFbhYSkXgWk" TargetMode="External"/><Relationship Id="rId560" Type="http://schemas.openxmlformats.org/officeDocument/2006/relationships/hyperlink" Target="https://drive.google.com/open?id=1WhTwL7qz93JcYjEqy_5HaRhqH-KrUXM5" TargetMode="External"/><Relationship Id="rId798" Type="http://schemas.openxmlformats.org/officeDocument/2006/relationships/hyperlink" Target="https://drive.google.com/open?id=1gis2Cux77urMLIGoUUYs22UKQwXr_WeO" TargetMode="External"/><Relationship Id="rId1190" Type="http://schemas.openxmlformats.org/officeDocument/2006/relationships/hyperlink" Target="https://drive.google.com/open?id=1U8eiabOS24Ghy3LgfqWTcfJkFE3nRGhW" TargetMode="External"/><Relationship Id="rId1204" Type="http://schemas.openxmlformats.org/officeDocument/2006/relationships/hyperlink" Target="https://drive.google.com/open?id=1g4w0Nt0pFyj-BpnfwXIgIDAtwHDtUNA9" TargetMode="External"/><Relationship Id="rId1411" Type="http://schemas.openxmlformats.org/officeDocument/2006/relationships/hyperlink" Target="https://drive.google.com/open?id=1859nqaltLJwjT2ETGnHO0V_u4ULEVlwi" TargetMode="External"/><Relationship Id="rId1649" Type="http://schemas.openxmlformats.org/officeDocument/2006/relationships/hyperlink" Target="https://drive.google.com/open?id=1GAUy03VrVoJeqOyD15fIGtEmygh4sYkE" TargetMode="External"/><Relationship Id="rId213" Type="http://schemas.openxmlformats.org/officeDocument/2006/relationships/hyperlink" Target="https://drive.google.com/file/d/1f6wg_TpDdc5s5_jo0G_8eDaNYA4k2pBC/view?usp=drivesdk" TargetMode="External"/><Relationship Id="rId420" Type="http://schemas.openxmlformats.org/officeDocument/2006/relationships/hyperlink" Target="https://drive.google.com/open?id=15smmgKmqQ7o3DeR0XqFeF6YwRV66zyQl" TargetMode="External"/><Relationship Id="rId658" Type="http://schemas.openxmlformats.org/officeDocument/2006/relationships/hyperlink" Target="https://drive.google.com/open?id=1YgucytUbUWlJb49F3Q9INv_ljEzn_7-m" TargetMode="External"/><Relationship Id="rId865" Type="http://schemas.openxmlformats.org/officeDocument/2006/relationships/hyperlink" Target="https://drive.google.com/file/d/1LwNb47TpkgWNK4PgqwY_eEqlwXlNFvak/view?usp=drivesdk" TargetMode="External"/><Relationship Id="rId1050" Type="http://schemas.openxmlformats.org/officeDocument/2006/relationships/hyperlink" Target="https://drive.google.com/open?id=13dzAAoWqukJ0RYtjp1U0xZaVq46kprnZ" TargetMode="External"/><Relationship Id="rId1288" Type="http://schemas.openxmlformats.org/officeDocument/2006/relationships/hyperlink" Target="https://drive.google.com/open?id=1e6qUrozoNKC0ysxwE6GPDMpGwFPVCMdN" TargetMode="External"/><Relationship Id="rId1495" Type="http://schemas.openxmlformats.org/officeDocument/2006/relationships/hyperlink" Target="https://drive.google.com/open?id=1FUq0oVrlmE2b6jcW5M3vpQ8BPrdqul10" TargetMode="External"/><Relationship Id="rId1509" Type="http://schemas.openxmlformats.org/officeDocument/2006/relationships/hyperlink" Target="https://drive.google.com/file/d/1xqh-FsrIQbs1-fEruuyGA3jSciRyDMv5/view?usp=drivesdk" TargetMode="External"/><Relationship Id="rId1716" Type="http://schemas.openxmlformats.org/officeDocument/2006/relationships/hyperlink" Target="https://drive.google.com/open?id=19lQ3iOpRSlKDXJ-J4-Hor9xOHUtGDrNX" TargetMode="External"/><Relationship Id="rId297" Type="http://schemas.openxmlformats.org/officeDocument/2006/relationships/hyperlink" Target="https://drive.google.com/file/d/1UD_JqQ1STqoOYyJHC54WUxfQ5-TFoPry/view?usp=drivesdk" TargetMode="External"/><Relationship Id="rId518" Type="http://schemas.openxmlformats.org/officeDocument/2006/relationships/hyperlink" Target="https://drive.google.com/open?id=1pcsUNmtdFuevDFmfxDdfnRN-rdJrf74J" TargetMode="External"/><Relationship Id="rId725" Type="http://schemas.openxmlformats.org/officeDocument/2006/relationships/hyperlink" Target="https://drive.google.com/file/d/1WQxnJ_1vbPOcrhyutalqP7f0QWX6jtWD/view?usp=drivesdk" TargetMode="External"/><Relationship Id="rId932" Type="http://schemas.openxmlformats.org/officeDocument/2006/relationships/hyperlink" Target="https://drive.google.com/open?id=1UskaHriAGhQIAO7v-GU6qyxp4wWdAMoc" TargetMode="External"/><Relationship Id="rId1148" Type="http://schemas.openxmlformats.org/officeDocument/2006/relationships/hyperlink" Target="https://drive.google.com/open?id=1vkU7-5Fyb2IWHWaOtYGlraV3AF1P2-1i" TargetMode="External"/><Relationship Id="rId1355" Type="http://schemas.openxmlformats.org/officeDocument/2006/relationships/hyperlink" Target="https://drive.google.com/open?id=1qeBtnV4vlNAt2d7d9OmN3P9clRodY63M" TargetMode="External"/><Relationship Id="rId1562" Type="http://schemas.openxmlformats.org/officeDocument/2006/relationships/hyperlink" Target="https://drive.google.com/open?id=1Qbm47PvC-qB-FSOLCRR47o6XTslHB_Gm" TargetMode="External"/><Relationship Id="rId157" Type="http://schemas.openxmlformats.org/officeDocument/2006/relationships/hyperlink" Target="https://drive.google.com/open?id=13VqxYM0SZxBKrAnZlaizQ6RT2tfmZqwt" TargetMode="External"/><Relationship Id="rId364" Type="http://schemas.openxmlformats.org/officeDocument/2006/relationships/hyperlink" Target="https://drive.google.com/open?id=1_WXGk2mNW72GqozhOXD7SPBYG5EbQMVl" TargetMode="External"/><Relationship Id="rId1008" Type="http://schemas.openxmlformats.org/officeDocument/2006/relationships/hyperlink" Target="https://drive.google.com/open?id=1l6mvwdD5xVlTZufUJ6jaswJR_c1czNIR" TargetMode="External"/><Relationship Id="rId1215" Type="http://schemas.openxmlformats.org/officeDocument/2006/relationships/hyperlink" Target="https://drive.google.com/file/d/1l74Qonfr8B3nsWk6GKtrwVALTkQZ-aiB/view?usp=drivesdk" TargetMode="External"/><Relationship Id="rId1422" Type="http://schemas.openxmlformats.org/officeDocument/2006/relationships/hyperlink" Target="https://drive.google.com/open?id=1BFiMYEU1pHkquAR2bQuuJcNxGb3OHbFb" TargetMode="External"/><Relationship Id="rId61" Type="http://schemas.openxmlformats.org/officeDocument/2006/relationships/hyperlink" Target="https://drive.google.com/file/d/1OVzER_TfXNv6-8_D5L3soTOjZnKUMApr/view?usp=drivesdk" TargetMode="External"/><Relationship Id="rId571" Type="http://schemas.openxmlformats.org/officeDocument/2006/relationships/hyperlink" Target="https://drive.google.com/open?id=1762rav8bbMjuDbMsYV-BL-W7W9lk8CEW" TargetMode="External"/><Relationship Id="rId669" Type="http://schemas.openxmlformats.org/officeDocument/2006/relationships/hyperlink" Target="https://drive.google.com/file/d/1RhiOWCmdTiPDO23TFegR1-aff2SfGS5e/view?usp=drivesdk" TargetMode="External"/><Relationship Id="rId876" Type="http://schemas.openxmlformats.org/officeDocument/2006/relationships/hyperlink" Target="https://drive.google.com/open?id=1amWMMvLxMrIdIm7w3R6FDC4fASrxJzf0" TargetMode="External"/><Relationship Id="rId1299" Type="http://schemas.openxmlformats.org/officeDocument/2006/relationships/hyperlink" Target="https://drive.google.com/file/d/1_0CUXlzOIOlWuE-QQKYMd7dyfOf_RXki/view?usp=drivesdk" TargetMode="External"/><Relationship Id="rId1727" Type="http://schemas.openxmlformats.org/officeDocument/2006/relationships/hyperlink" Target="https://drive.google.com/open?id=1eejGTD2AE2nZCjTGvVrEfNXgl8vuid8F" TargetMode="External"/><Relationship Id="rId19" Type="http://schemas.openxmlformats.org/officeDocument/2006/relationships/hyperlink" Target="https://drive.google.com/file/d/120hTZ2ThPqbhpofu3gmnzsf1GmBgcHEb/view?usp=drivesdk" TargetMode="External"/><Relationship Id="rId224" Type="http://schemas.openxmlformats.org/officeDocument/2006/relationships/hyperlink" Target="https://drive.google.com/open?id=1TflvZHUNWvRUaVrtF43lE13z3GH192Yk" TargetMode="External"/><Relationship Id="rId431" Type="http://schemas.openxmlformats.org/officeDocument/2006/relationships/hyperlink" Target="https://drive.google.com/open?id=1TWscCEFl5-0pZ549cLQYiph6NUcamzy3" TargetMode="External"/><Relationship Id="rId529" Type="http://schemas.openxmlformats.org/officeDocument/2006/relationships/hyperlink" Target="https://drive.google.com/open?id=1WStJWMZwSarlHEtvf4ezP52M4uLE7qVt" TargetMode="External"/><Relationship Id="rId736" Type="http://schemas.openxmlformats.org/officeDocument/2006/relationships/hyperlink" Target="https://drive.google.com/open?id=1PRHV7X31p0E6YaPmI2fg0qzmi-06vQ8t" TargetMode="External"/><Relationship Id="rId1061" Type="http://schemas.openxmlformats.org/officeDocument/2006/relationships/hyperlink" Target="https://drive.google.com/file/d/1i8IjrJ9BHPODFiON_iVq3qehxhx55sPQ/view?usp=drivesdk" TargetMode="External"/><Relationship Id="rId1159" Type="http://schemas.openxmlformats.org/officeDocument/2006/relationships/hyperlink" Target="https://drive.google.com/file/d/1hMEQCN-dP1hhmlEDE5HIUob0nCvhCH8s/view?usp=drivesdk" TargetMode="External"/><Relationship Id="rId1366" Type="http://schemas.openxmlformats.org/officeDocument/2006/relationships/hyperlink" Target="https://drive.google.com/open?id=1SJdT8KTaej_2q4qdMbGJOym9pTJWxy5g" TargetMode="External"/><Relationship Id="rId168" Type="http://schemas.openxmlformats.org/officeDocument/2006/relationships/hyperlink" Target="https://drive.google.com/open?id=1_IHldJdnkYAhR39AKd3iqyt5xjQCSGcH" TargetMode="External"/><Relationship Id="rId943" Type="http://schemas.openxmlformats.org/officeDocument/2006/relationships/hyperlink" Target="https://drive.google.com/file/d/1q2JTDW4d2aMRtNceBZ6fe5vsH78rywDw/view?usp=drivesdk" TargetMode="External"/><Relationship Id="rId1019" Type="http://schemas.openxmlformats.org/officeDocument/2006/relationships/hyperlink" Target="https://drive.google.com/file/d/16FSpzHfZRR8f4VCBLt48MrDUR5T6L-MS/view?usp=drivesdk" TargetMode="External"/><Relationship Id="rId1573" Type="http://schemas.openxmlformats.org/officeDocument/2006/relationships/hyperlink" Target="https://drive.google.com/open?id=1cLX7QexFWCgyIRHag56yL2YqSL-z89ym" TargetMode="External"/><Relationship Id="rId1780" Type="http://schemas.openxmlformats.org/officeDocument/2006/relationships/hyperlink" Target="https://drive.google.com/open?id=1tAELcvYmjg746SWte8rBi6ub6SvFCg-O" TargetMode="External"/><Relationship Id="rId72" Type="http://schemas.openxmlformats.org/officeDocument/2006/relationships/hyperlink" Target="https://drive.google.com/open?id=1nYOcGbXXlwiF4TgfGEGcgV1FcU1uSSrd" TargetMode="External"/><Relationship Id="rId375" Type="http://schemas.openxmlformats.org/officeDocument/2006/relationships/hyperlink" Target="https://drive.google.com/file/d/16okKzYGI0MWgVqe3BK4h4JoZXABODnav/view?usp=drivesdk" TargetMode="External"/><Relationship Id="rId582" Type="http://schemas.openxmlformats.org/officeDocument/2006/relationships/hyperlink" Target="https://drive.google.com/open?id=1k2bLuyzd_kCe3Q7uZtlevXAXasRaZcnz" TargetMode="External"/><Relationship Id="rId803" Type="http://schemas.openxmlformats.org/officeDocument/2006/relationships/hyperlink" Target="https://drive.google.com/file/d/1SrP4G5kLeSvtrf8wzBbewplWFY9Aq3wd/view?usp=drivesdk" TargetMode="External"/><Relationship Id="rId1226" Type="http://schemas.openxmlformats.org/officeDocument/2006/relationships/hyperlink" Target="https://drive.google.com/open?id=1xp1olyhN8qWCkLq_7P4QPCJC89Lk1pH4" TargetMode="External"/><Relationship Id="rId1433" Type="http://schemas.openxmlformats.org/officeDocument/2006/relationships/hyperlink" Target="https://drive.google.com/open?id=1vfoGT1DpQ0OEk00-Y0oa-Mf_YatjVQAb" TargetMode="External"/><Relationship Id="rId1640" Type="http://schemas.openxmlformats.org/officeDocument/2006/relationships/hyperlink" Target="https://drive.google.com/open?id=1QBBl-DYsTaJhgX3yRpmLSmm8Mnml_g2Z" TargetMode="External"/><Relationship Id="rId1738" Type="http://schemas.openxmlformats.org/officeDocument/2006/relationships/hyperlink" Target="https://drive.google.com/open?id=1L8DO1j9JjgFiUYOxIufjM9Ogwfxf5CaO" TargetMode="External"/><Relationship Id="rId3" Type="http://schemas.openxmlformats.org/officeDocument/2006/relationships/hyperlink" Target="https://drive.google.com/open?id=1f1tuO8zO1BR9yaWSzxCeTgWSBxqrCuUR" TargetMode="External"/><Relationship Id="rId235" Type="http://schemas.openxmlformats.org/officeDocument/2006/relationships/hyperlink" Target="https://drive.google.com/file/d/1yDpjcVZqcZznYlby0DOvPPDLVvn-8Lp6/view?usp=drivesdk" TargetMode="External"/><Relationship Id="rId442" Type="http://schemas.openxmlformats.org/officeDocument/2006/relationships/hyperlink" Target="https://drive.google.com/open?id=1jmO1ZaNUuWDN887KDVDcI2VX9TQ31XnH" TargetMode="External"/><Relationship Id="rId887" Type="http://schemas.openxmlformats.org/officeDocument/2006/relationships/hyperlink" Target="https://drive.google.com/file/d/1FOmZZyrcF0MKEMfkJzqfD7SfbupxAgxq/view?usp=drivesdk" TargetMode="External"/><Relationship Id="rId1072" Type="http://schemas.openxmlformats.org/officeDocument/2006/relationships/hyperlink" Target="https://drive.google.com/open?id=1Y8PScSL41FioBG76WUUUmht-qH-QG9QZ" TargetMode="External"/><Relationship Id="rId1500" Type="http://schemas.openxmlformats.org/officeDocument/2006/relationships/hyperlink" Target="https://drive.google.com/open?id=1PH4VqIQnPOjvgk90Awppo0nWt-D7NFay" TargetMode="External"/><Relationship Id="rId302" Type="http://schemas.openxmlformats.org/officeDocument/2006/relationships/hyperlink" Target="https://drive.google.com/open?id=1AynlkT2-7F_DKvgTm0-67R0g8TECaDfA" TargetMode="External"/><Relationship Id="rId747" Type="http://schemas.openxmlformats.org/officeDocument/2006/relationships/hyperlink" Target="https://drive.google.com/open?id=1XR7S2-_nVAvbpJno4Ag2zJKuSKnaruw4" TargetMode="External"/><Relationship Id="rId954" Type="http://schemas.openxmlformats.org/officeDocument/2006/relationships/hyperlink" Target="https://drive.google.com/open?id=1a8Sr9hFokRJioqFtauZm9FaHR6xaADqB" TargetMode="External"/><Relationship Id="rId1377" Type="http://schemas.openxmlformats.org/officeDocument/2006/relationships/hyperlink" Target="https://drive.google.com/open?id=1HbMz3DRyV1m3QMcuH44Vyvf1uexJn_Hw" TargetMode="External"/><Relationship Id="rId1584" Type="http://schemas.openxmlformats.org/officeDocument/2006/relationships/hyperlink" Target="https://drive.google.com/open?id=1NqnipIeYRs5KzxFfnu_7VvyZEuXqWWFX" TargetMode="External"/><Relationship Id="rId1791" Type="http://schemas.openxmlformats.org/officeDocument/2006/relationships/hyperlink" Target="https://drive.google.com/file/d/10YwketOJ_zMFZaPEPw5E3f05bgZ0GakE/view?usp=drivesdk" TargetMode="External"/><Relationship Id="rId1805" Type="http://schemas.openxmlformats.org/officeDocument/2006/relationships/hyperlink" Target="https://drive.google.com/file/d/134WUFgM7PrQK_JogmDV3en4Ciur-Byl5/view?usp=drivesdk" TargetMode="External"/><Relationship Id="rId83" Type="http://schemas.openxmlformats.org/officeDocument/2006/relationships/hyperlink" Target="https://drive.google.com/open?id=1R_RcchBe5M4Czh0YyrUR2pPZLPzSywkl" TargetMode="External"/><Relationship Id="rId179" Type="http://schemas.openxmlformats.org/officeDocument/2006/relationships/hyperlink" Target="https://drive.google.com/open?id=1Q1fUs8NY9axCuzuZ8a1I0PfyQzMkQScI" TargetMode="External"/><Relationship Id="rId386" Type="http://schemas.openxmlformats.org/officeDocument/2006/relationships/hyperlink" Target="https://drive.google.com/open?id=1sMcOsi-Dv5Qqg9lDz4P_zRh-48J9clnC" TargetMode="External"/><Relationship Id="rId593" Type="http://schemas.openxmlformats.org/officeDocument/2006/relationships/hyperlink" Target="https://drive.google.com/open?id=1ZIxTvojzMEYsMIKmYb87XzM4d1Y0eFT4" TargetMode="External"/><Relationship Id="rId607" Type="http://schemas.openxmlformats.org/officeDocument/2006/relationships/hyperlink" Target="https://drive.google.com/open?id=11y7Nw4BhJwUl5t06AXMi6zxsMFM3d2Fm" TargetMode="External"/><Relationship Id="rId814" Type="http://schemas.openxmlformats.org/officeDocument/2006/relationships/hyperlink" Target="https://drive.google.com/open?id=1kgy4vZNWHupoTwI8AvaaTom4BLWf25nN" TargetMode="External"/><Relationship Id="rId1237" Type="http://schemas.openxmlformats.org/officeDocument/2006/relationships/hyperlink" Target="https://drive.google.com/file/d/1T0GjLhy-3Ycia1-mNJVob7CDIwa6-eO1/view?usp=drivesdk" TargetMode="External"/><Relationship Id="rId1444" Type="http://schemas.openxmlformats.org/officeDocument/2006/relationships/hyperlink" Target="https://drive.google.com/file/d/1eCJGogHZLjsrBC4fqoZYV060mrykUyTR/view?usp=drivesdk" TargetMode="External"/><Relationship Id="rId1651" Type="http://schemas.openxmlformats.org/officeDocument/2006/relationships/hyperlink" Target="https://drive.google.com/open?id=1s8TzYnXJvA4zRKPu7WZdRz9SRGO1iLef" TargetMode="External"/><Relationship Id="rId246" Type="http://schemas.openxmlformats.org/officeDocument/2006/relationships/hyperlink" Target="https://drive.google.com/open?id=1tqqJDWHzZk_jL4UG0u84ay-lvaXn_iBU" TargetMode="External"/><Relationship Id="rId453" Type="http://schemas.openxmlformats.org/officeDocument/2006/relationships/hyperlink" Target="https://drive.google.com/open?id=1jr7CIP2rX0QACWaQ4y-Ldgiel4uOmdO_" TargetMode="External"/><Relationship Id="rId660" Type="http://schemas.openxmlformats.org/officeDocument/2006/relationships/hyperlink" Target="https://drive.google.com/open?id=1Nfjg8F6PlJjjsh5KYIrUHIE9libIYvbg" TargetMode="External"/><Relationship Id="rId898" Type="http://schemas.openxmlformats.org/officeDocument/2006/relationships/hyperlink" Target="https://drive.google.com/open?id=1_MFxr0SZdLORZAOGtddiAish021NEFal" TargetMode="External"/><Relationship Id="rId1083" Type="http://schemas.openxmlformats.org/officeDocument/2006/relationships/hyperlink" Target="https://drive.google.com/file/d/1RMZDmbiCwXQPVLZobsAZSlCx7NieefLw/view?usp=drivesdk" TargetMode="External"/><Relationship Id="rId1290" Type="http://schemas.openxmlformats.org/officeDocument/2006/relationships/hyperlink" Target="https://drive.google.com/open?id=1NKQ4n3gPfcV83UANopLFpktA2vfzNpaz" TargetMode="External"/><Relationship Id="rId1304" Type="http://schemas.openxmlformats.org/officeDocument/2006/relationships/hyperlink" Target="https://drive.google.com/open?id=18-DYuD7nUbC6AD3eEbmdms2gFEAt6i7U" TargetMode="External"/><Relationship Id="rId1511" Type="http://schemas.openxmlformats.org/officeDocument/2006/relationships/hyperlink" Target="https://drive.google.com/open?id=19fAPcBTOsRIBVPvtKxJuXQTzPVkmwzxV" TargetMode="External"/><Relationship Id="rId1749" Type="http://schemas.openxmlformats.org/officeDocument/2006/relationships/hyperlink" Target="https://drive.google.com/file/d/10k0993OvLPCDRgTpbzFKpVIjpX5cBvh_/view?usp=drivesdk" TargetMode="External"/><Relationship Id="rId106" Type="http://schemas.openxmlformats.org/officeDocument/2006/relationships/hyperlink" Target="https://drive.google.com/open?id=1CGHJoUEWs4QWSm16JdtPd5yrhWPzfo1I" TargetMode="External"/><Relationship Id="rId313" Type="http://schemas.openxmlformats.org/officeDocument/2006/relationships/hyperlink" Target="https://drive.google.com/open?id=1demYB3S4ICKrtV7L8d1yIS0rKT7GAuRH" TargetMode="External"/><Relationship Id="rId758" Type="http://schemas.openxmlformats.org/officeDocument/2006/relationships/hyperlink" Target="https://drive.google.com/open?id=1ScmyE9kH5JMpwRu3ZNnAvfVkZ8qA2l-a" TargetMode="External"/><Relationship Id="rId965" Type="http://schemas.openxmlformats.org/officeDocument/2006/relationships/hyperlink" Target="https://drive.google.com/open?id=18YCzvFNBsoVgD6MmhXhWcvPY2aq6R4dx" TargetMode="External"/><Relationship Id="rId1150" Type="http://schemas.openxmlformats.org/officeDocument/2006/relationships/hyperlink" Target="https://drive.google.com/open?id=1xwypSOctS8IEAeXWVwqykmwf0DiNQxWr" TargetMode="External"/><Relationship Id="rId1388" Type="http://schemas.openxmlformats.org/officeDocument/2006/relationships/hyperlink" Target="https://drive.google.com/file/d/1yi9rC68Ptuvv8lwy7ELwG2DDvvgmy8OJ/view?usp=drivesdk" TargetMode="External"/><Relationship Id="rId1595" Type="http://schemas.openxmlformats.org/officeDocument/2006/relationships/hyperlink" Target="https://drive.google.com/open?id=19rAyiWeM_k1pjUFp_zWjqi7Ez1Y18ZJ5" TargetMode="External"/><Relationship Id="rId1609" Type="http://schemas.openxmlformats.org/officeDocument/2006/relationships/hyperlink" Target="https://drive.google.com/open?id=1MgdC9dJWOCsAJpvFkajz9e-eTaUUiBMG" TargetMode="External"/><Relationship Id="rId1816" Type="http://schemas.openxmlformats.org/officeDocument/2006/relationships/hyperlink" Target="https://drive.google.com/open?id=173M9h_E8a_uJAlOy-puxlhp2L24gERQS" TargetMode="External"/><Relationship Id="rId10" Type="http://schemas.openxmlformats.org/officeDocument/2006/relationships/hyperlink" Target="https://drive.google.com/open?id=1YZEhUTyPnSVa9TMUKqTe45aTJoZvOJru" TargetMode="External"/><Relationship Id="rId94" Type="http://schemas.openxmlformats.org/officeDocument/2006/relationships/hyperlink" Target="https://drive.google.com/open?id=1r0ofIju4rCKpUj_5qGgFz1ijRS3KUL2M" TargetMode="External"/><Relationship Id="rId397" Type="http://schemas.openxmlformats.org/officeDocument/2006/relationships/hyperlink" Target="https://drive.google.com/file/d/13cLwjKGq-3dbQ-As0B1SKIl44ZKR8Ig_/view?usp=drivesdk" TargetMode="External"/><Relationship Id="rId520" Type="http://schemas.openxmlformats.org/officeDocument/2006/relationships/hyperlink" Target="https://drive.google.com/file/d/1HymfTOwKrV9UwHxbwVbZmW3AY8gwvb7Q/view?usp=drivesdk" TargetMode="External"/><Relationship Id="rId618" Type="http://schemas.openxmlformats.org/officeDocument/2006/relationships/hyperlink" Target="https://drive.google.com/open?id=1h8Ejp_uE2OHaXJp-4eG6LjO4uUW9FOhs" TargetMode="External"/><Relationship Id="rId825" Type="http://schemas.openxmlformats.org/officeDocument/2006/relationships/hyperlink" Target="https://drive.google.com/open?id=1A6MlEqJHQDKlEvw-FExI9WDT1VG_udMr" TargetMode="External"/><Relationship Id="rId1248" Type="http://schemas.openxmlformats.org/officeDocument/2006/relationships/hyperlink" Target="https://drive.google.com/open?id=1sN7vW61GW_k1GyPMGCiLlEjWs3YpVfxY" TargetMode="External"/><Relationship Id="rId1455" Type="http://schemas.openxmlformats.org/officeDocument/2006/relationships/hyperlink" Target="https://drive.google.com/open?id=1nCAGS4ssDVtqww53V2jbzhAjLQbH0lNM" TargetMode="External"/><Relationship Id="rId1662" Type="http://schemas.openxmlformats.org/officeDocument/2006/relationships/hyperlink" Target="https://drive.google.com/file/d/1r7dXuYguDUf_0c30-2ogzqbz7XagLqmB/view?usp=drivesdk" TargetMode="External"/><Relationship Id="rId257" Type="http://schemas.openxmlformats.org/officeDocument/2006/relationships/hyperlink" Target="https://drive.google.com/open?id=1E7dnyeEps6YkUGo5ZKKRi-idqCtPbEHe" TargetMode="External"/><Relationship Id="rId464" Type="http://schemas.openxmlformats.org/officeDocument/2006/relationships/hyperlink" Target="https://drive.google.com/file/d/1IOxg2AS73tlUZkVGQE4I9VjUXcVnWjQb/view?usp=drivesdk" TargetMode="External"/><Relationship Id="rId1010" Type="http://schemas.openxmlformats.org/officeDocument/2006/relationships/hyperlink" Target="https://drive.google.com/open?id=1Mc3m8yHgfTwzOrXUK5IdbAoLeZh2ldTQ" TargetMode="External"/><Relationship Id="rId1094" Type="http://schemas.openxmlformats.org/officeDocument/2006/relationships/hyperlink" Target="https://drive.google.com/open?id=1t6-qqvvqE05fFUXUpNB7XrCwKp7q8w7m" TargetMode="External"/><Relationship Id="rId1108" Type="http://schemas.openxmlformats.org/officeDocument/2006/relationships/hyperlink" Target="https://drive.google.com/open?id=1fSUS-QQD86fw1gCWDJd_IdHaKsZa6Nf7" TargetMode="External"/><Relationship Id="rId1315" Type="http://schemas.openxmlformats.org/officeDocument/2006/relationships/hyperlink" Target="https://drive.google.com/open?id=1UsA1AY_CJERZHOpSB5uYlYbN_77pbpkm" TargetMode="External"/><Relationship Id="rId117" Type="http://schemas.openxmlformats.org/officeDocument/2006/relationships/hyperlink" Target="https://drive.google.com/file/d/1O0MaPgXXzVTtRW9VstMUOTH-azqkzpOO/view?usp=drivesdk" TargetMode="External"/><Relationship Id="rId671" Type="http://schemas.openxmlformats.org/officeDocument/2006/relationships/hyperlink" Target="https://drive.google.com/open?id=12K3W6Fsy7vHtj_p_B0WGzthlrsnEHs86" TargetMode="External"/><Relationship Id="rId769" Type="http://schemas.openxmlformats.org/officeDocument/2006/relationships/hyperlink" Target="https://drive.google.com/open?id=1u0w00DxI0uVAwLbfZfslbtWNToJNpZGh" TargetMode="External"/><Relationship Id="rId976" Type="http://schemas.openxmlformats.org/officeDocument/2006/relationships/hyperlink" Target="https://drive.google.com/open?id=1DG7qMkVkJ0YmsovUGdPKdHcjpcY2w4kQ" TargetMode="External"/><Relationship Id="rId1399" Type="http://schemas.openxmlformats.org/officeDocument/2006/relationships/hyperlink" Target="https://drive.google.com/open?id=1lZYVQzLtbZJjS5WGIrHGUa8PBOPbaBGh" TargetMode="External"/><Relationship Id="rId324" Type="http://schemas.openxmlformats.org/officeDocument/2006/relationships/hyperlink" Target="https://drive.google.com/open?id=1OpJkXKKoBCo4SovbyX_tV7P27u9ZFMPQ" TargetMode="External"/><Relationship Id="rId531" Type="http://schemas.openxmlformats.org/officeDocument/2006/relationships/hyperlink" Target="https://drive.google.com/open?id=1xNl_dleXY9ltIfm8eGgW8VK2_SOHe0g7" TargetMode="External"/><Relationship Id="rId629" Type="http://schemas.openxmlformats.org/officeDocument/2006/relationships/hyperlink" Target="https://drive.google.com/open?id=12s1w-xIb3qHbH7Im9EY4PW_k1aI-cqiN" TargetMode="External"/><Relationship Id="rId1161" Type="http://schemas.openxmlformats.org/officeDocument/2006/relationships/hyperlink" Target="https://drive.google.com/open?id=1QPnEzw4E2iszRcaDkNW4sRpjvNTiemGa" TargetMode="External"/><Relationship Id="rId1259" Type="http://schemas.openxmlformats.org/officeDocument/2006/relationships/hyperlink" Target="https://drive.google.com/open?id=1g9pxWMUT7XRo-WtvOIBf5Je3YEl3pJY2" TargetMode="External"/><Relationship Id="rId1466" Type="http://schemas.openxmlformats.org/officeDocument/2006/relationships/hyperlink" Target="https://drive.google.com/file/d/11k8bNBl0euUOmmNFsA4wkkRDgGMMvEtM/view?usp=drivesdk" TargetMode="External"/><Relationship Id="rId836" Type="http://schemas.openxmlformats.org/officeDocument/2006/relationships/hyperlink" Target="https://drive.google.com/open?id=16_GojbnLzS-iDHcMflRgKijig81TaWc8" TargetMode="External"/><Relationship Id="rId1021" Type="http://schemas.openxmlformats.org/officeDocument/2006/relationships/hyperlink" Target="https://drive.google.com/open?id=1-Bp0VtzooofwQf0IAlWdPlqWT2x0glM6" TargetMode="External"/><Relationship Id="rId1119" Type="http://schemas.openxmlformats.org/officeDocument/2006/relationships/hyperlink" Target="https://drive.google.com/open?id=1RVOnpCf8UFdbb-im4AKR1eo2cbi_KBmU" TargetMode="External"/><Relationship Id="rId1673" Type="http://schemas.openxmlformats.org/officeDocument/2006/relationships/hyperlink" Target="https://drive.google.com/open?id=1FC9Uawd-M-TFRKxfMmT6A9zMLHet8x5j" TargetMode="External"/><Relationship Id="rId903" Type="http://schemas.openxmlformats.org/officeDocument/2006/relationships/hyperlink" Target="https://drive.google.com/open?id=19jnen82F8qzCxC83XjOepEw8ekmgRC1x" TargetMode="External"/><Relationship Id="rId1326" Type="http://schemas.openxmlformats.org/officeDocument/2006/relationships/hyperlink" Target="https://drive.google.com/file/d/19uMZ6RXc9NKmRbchg7Oj7ZP8EPCo4dHO/view?usp=drivesdk" TargetMode="External"/><Relationship Id="rId1533" Type="http://schemas.openxmlformats.org/officeDocument/2006/relationships/hyperlink" Target="https://drive.google.com/open?id=1kpsF810RPBKcnB1433Piexm8NnwLzJqb" TargetMode="External"/><Relationship Id="rId1740" Type="http://schemas.openxmlformats.org/officeDocument/2006/relationships/hyperlink" Target="https://drive.google.com/open?id=15nRuHXlrS1ZOebqnXMPycAsfowndpxAq" TargetMode="External"/><Relationship Id="rId32" Type="http://schemas.openxmlformats.org/officeDocument/2006/relationships/hyperlink" Target="https://drive.google.com/file/d/1DdmKlKH877pz1__I8vSHIY3bSiZpXMpr/view?usp=drivesdk" TargetMode="External"/><Relationship Id="rId1600" Type="http://schemas.openxmlformats.org/officeDocument/2006/relationships/hyperlink" Target="https://drive.google.com/file/d/18xOlhkppYCJwXfSOA9Lt_A8VBd67ZqoI/view?usp=drivesdk" TargetMode="External"/><Relationship Id="rId181" Type="http://schemas.openxmlformats.org/officeDocument/2006/relationships/hyperlink" Target="https://drive.google.com/file/d/1FAjAw4D9tCbdUZy9kt3ye13dxNn0UJIJ/view?usp=drivesdk" TargetMode="External"/><Relationship Id="rId279" Type="http://schemas.openxmlformats.org/officeDocument/2006/relationships/hyperlink" Target="https://drive.google.com/open?id=1vVvDU7kt9hyfDAriIfgpnN47RiJ9sndo" TargetMode="External"/><Relationship Id="rId486" Type="http://schemas.openxmlformats.org/officeDocument/2006/relationships/hyperlink" Target="https://drive.google.com/file/d/1u_sDTA6K_g-DOHBZfI9RvsuXZYsYjOft/view?usp=drivesdk" TargetMode="External"/><Relationship Id="rId693" Type="http://schemas.openxmlformats.org/officeDocument/2006/relationships/hyperlink" Target="https://drive.google.com/open?id=1ORSZMQIQ647S0kcu9EYpC_rGwbVDH6lK" TargetMode="External"/><Relationship Id="rId139" Type="http://schemas.openxmlformats.org/officeDocument/2006/relationships/hyperlink" Target="https://drive.google.com/open?id=1y2Ix0Do1Sw-dIuPf5PB3UC2tUDrwjN2G" TargetMode="External"/><Relationship Id="rId346" Type="http://schemas.openxmlformats.org/officeDocument/2006/relationships/hyperlink" Target="https://drive.google.com/open?id=1lYq6KwUyiisyX_p66L9W_7a_fhkZYPlB" TargetMode="External"/><Relationship Id="rId553" Type="http://schemas.openxmlformats.org/officeDocument/2006/relationships/hyperlink" Target="https://drive.google.com/open?id=1KJ47x7aRgfZeVDYqA6ipvP07io6cDSV6" TargetMode="External"/><Relationship Id="rId760" Type="http://schemas.openxmlformats.org/officeDocument/2006/relationships/hyperlink" Target="https://drive.google.com/file/d/11dVScgionCbCHQPMerMlBo2DHZM2FCin/view?usp=drivesdk" TargetMode="External"/><Relationship Id="rId998" Type="http://schemas.openxmlformats.org/officeDocument/2006/relationships/hyperlink" Target="https://drive.google.com/file/d/1wXGB7Vv5sJjwmWwPrkLr4shkbq197_FG/view?usp=drivesdk" TargetMode="External"/><Relationship Id="rId1183" Type="http://schemas.openxmlformats.org/officeDocument/2006/relationships/hyperlink" Target="https://drive.google.com/open?id=1zA4SJ5rGOEfLr_RrVFn_dyn7Yrega6xT" TargetMode="External"/><Relationship Id="rId1390" Type="http://schemas.openxmlformats.org/officeDocument/2006/relationships/hyperlink" Target="https://drive.google.com/open?id=1mVdUvOwOVOln8iUOHOMSwTikGPyZMrPF" TargetMode="External"/><Relationship Id="rId206" Type="http://schemas.openxmlformats.org/officeDocument/2006/relationships/hyperlink" Target="https://drive.google.com/file/d/1E6AL-ixOArKDqMmjwjOsZYhTf4igykGc/view?usp=drivesdk" TargetMode="External"/><Relationship Id="rId413" Type="http://schemas.openxmlformats.org/officeDocument/2006/relationships/hyperlink" Target="https://drive.google.com/open?id=1o-a7VUrd6qT9XER4GfjRKQkv8nBYAn5q" TargetMode="External"/><Relationship Id="rId858" Type="http://schemas.openxmlformats.org/officeDocument/2006/relationships/hyperlink" Target="https://drive.google.com/file/d/1jTR29EWzD9vI-oUN6JP_X93caKFiNvQn/view?usp=drivesdk" TargetMode="External"/><Relationship Id="rId1043" Type="http://schemas.openxmlformats.org/officeDocument/2006/relationships/hyperlink" Target="https://drive.google.com/open?id=1pMpJv3cVyCa9C_oZN0j4t1Ga7zc5KutE" TargetMode="External"/><Relationship Id="rId1488" Type="http://schemas.openxmlformats.org/officeDocument/2006/relationships/hyperlink" Target="https://drive.google.com/open?id=1wmGvDWbBAHrQgvW1GtAIC30jhzKXHArk" TargetMode="External"/><Relationship Id="rId1695" Type="http://schemas.openxmlformats.org/officeDocument/2006/relationships/hyperlink" Target="https://drive.google.com/open?id=1T1TwurRBvYPcwDvTLqhheNucylR8oJHf" TargetMode="External"/><Relationship Id="rId620" Type="http://schemas.openxmlformats.org/officeDocument/2006/relationships/hyperlink" Target="https://drive.google.com/file/d/1Vp9k-5ttNq-WVR1PcJ8pKwEtcm-OR8ZX/view?usp=drivesdk" TargetMode="External"/><Relationship Id="rId718" Type="http://schemas.openxmlformats.org/officeDocument/2006/relationships/hyperlink" Target="https://drive.google.com/file/d/1D-xRfjI7ivgCuc3Dllw4q_HQ2nsUxTfe/view?usp=drivesdk" TargetMode="External"/><Relationship Id="rId925" Type="http://schemas.openxmlformats.org/officeDocument/2006/relationships/hyperlink" Target="https://drive.google.com/open?id=1k8ITPa-xIpPHQuc_fwQb4aVUa-e4oUtf" TargetMode="External"/><Relationship Id="rId1250" Type="http://schemas.openxmlformats.org/officeDocument/2006/relationships/hyperlink" Target="https://drive.google.com/file/d/1TwhqFP6yU8-LclM71ba56x_M8_6Kjj30/view?usp=drivesdk" TargetMode="External"/><Relationship Id="rId1348" Type="http://schemas.openxmlformats.org/officeDocument/2006/relationships/hyperlink" Target="https://drive.google.com/open?id=10RP9M0pHXl2vf5HGzoa8uPQTYsqg4tF2" TargetMode="External"/><Relationship Id="rId1555" Type="http://schemas.openxmlformats.org/officeDocument/2006/relationships/hyperlink" Target="https://drive.google.com/open?id=131moavihdOa-cPX5k5Nzq4PR4q0qm2ca" TargetMode="External"/><Relationship Id="rId1762" Type="http://schemas.openxmlformats.org/officeDocument/2006/relationships/hyperlink" Target="https://drive.google.com/open?id=1FuxUTBmG1JWadzDm-7QiGvliZIwDc2E9" TargetMode="External"/><Relationship Id="rId1110" Type="http://schemas.openxmlformats.org/officeDocument/2006/relationships/hyperlink" Target="https://drive.google.com/file/d/1utgXajJQ6vSd89aI1_7OejLA0xoKOE3S/view?usp=drivesdk" TargetMode="External"/><Relationship Id="rId1208" Type="http://schemas.openxmlformats.org/officeDocument/2006/relationships/hyperlink" Target="https://drive.google.com/file/d/1z15lp-bsGqQgCMD4gi9mxinVhr4cnQzA/view?usp=drivesdk" TargetMode="External"/><Relationship Id="rId1415" Type="http://schemas.openxmlformats.org/officeDocument/2006/relationships/hyperlink" Target="https://drive.google.com/open?id=1ZO3y_mUbhcN5uQ2fBBHRPO9-AH7U3PPi" TargetMode="External"/><Relationship Id="rId54" Type="http://schemas.openxmlformats.org/officeDocument/2006/relationships/hyperlink" Target="https://drive.google.com/file/d/13O9zshvGyJVj_Mb_DZnFh4zOa4yt2I8A/view?usp=drivesdk" TargetMode="External"/><Relationship Id="rId1622" Type="http://schemas.openxmlformats.org/officeDocument/2006/relationships/hyperlink" Target="https://drive.google.com/open?id=1QMslQ9tgL7kJWx_e8rVoLOgD4renbk-g" TargetMode="External"/><Relationship Id="rId270" Type="http://schemas.openxmlformats.org/officeDocument/2006/relationships/hyperlink" Target="https://drive.google.com/file/d/1Y3lT3y9dbnIuAZQG5QjoPF6auBe_zgfv/view?usp=drivesdk" TargetMode="External"/><Relationship Id="rId130" Type="http://schemas.openxmlformats.org/officeDocument/2006/relationships/hyperlink" Target="https://drive.google.com/file/d/1ntekj1QHuoySxssMo-8tqMAR3wmV--4M/view?usp=drivesdk" TargetMode="External"/><Relationship Id="rId368" Type="http://schemas.openxmlformats.org/officeDocument/2006/relationships/hyperlink" Target="https://drive.google.com/file/d/1ce-lc1B3HLtxZxfxr-Ii4YB4cUhxehkX/view?usp=drivesdk" TargetMode="External"/><Relationship Id="rId575" Type="http://schemas.openxmlformats.org/officeDocument/2006/relationships/hyperlink" Target="https://drive.google.com/open?id=16Hsak4hhr16uL-E0tuu2fOfaik87uwAD" TargetMode="External"/><Relationship Id="rId782" Type="http://schemas.openxmlformats.org/officeDocument/2006/relationships/hyperlink" Target="https://drive.google.com/file/d/1Rrntd-p5G6j2glV33qHowLmzt0lha-7d/view?usp=drivesdk" TargetMode="External"/><Relationship Id="rId228" Type="http://schemas.openxmlformats.org/officeDocument/2006/relationships/hyperlink" Target="https://drive.google.com/file/d/178-bCVdkCNkQfE2mpqL5qvsZuzpaXrvb/view?usp=drivesdk" TargetMode="External"/><Relationship Id="rId435" Type="http://schemas.openxmlformats.org/officeDocument/2006/relationships/hyperlink" Target="https://drive.google.com/open?id=1IDUcNdDAWAx7i-nTcFMoGEUpKY3SETh8" TargetMode="External"/><Relationship Id="rId642" Type="http://schemas.openxmlformats.org/officeDocument/2006/relationships/hyperlink" Target="https://drive.google.com/open?id=1NAMiv268HWF4rUjkWn3hKfI8c93ODvBn" TargetMode="External"/><Relationship Id="rId1065" Type="http://schemas.openxmlformats.org/officeDocument/2006/relationships/hyperlink" Target="https://drive.google.com/open?id=1cw77nbT7AhVw5-m1to_X-6YWbDcRtteB" TargetMode="External"/><Relationship Id="rId1272" Type="http://schemas.openxmlformats.org/officeDocument/2006/relationships/hyperlink" Target="https://drive.google.com/file/d/169DPhXdjM9mXWKhDtZ7lCTp1kh7iMAC8/view?usp=drivesdk" TargetMode="External"/><Relationship Id="rId502" Type="http://schemas.openxmlformats.org/officeDocument/2006/relationships/hyperlink" Target="https://drive.google.com/open?id=1zJtspPnyy100Hji0QbDyJGyuCAkK8UXN" TargetMode="External"/><Relationship Id="rId947" Type="http://schemas.openxmlformats.org/officeDocument/2006/relationships/hyperlink" Target="https://drive.google.com/open?id=1hzeSChtVtCFGzl3io6U5Uxt_osnTi3P0" TargetMode="External"/><Relationship Id="rId1132" Type="http://schemas.openxmlformats.org/officeDocument/2006/relationships/hyperlink" Target="https://drive.google.com/file/d/1fAxzlce1n9Q6ioig6LB9UmgLOb0-fkNh/view?usp=drivesdk" TargetMode="External"/><Relationship Id="rId1577" Type="http://schemas.openxmlformats.org/officeDocument/2006/relationships/hyperlink" Target="https://drive.google.com/open?id=1uRjku_G8JP2UrX_hKqjJBkD0n1SqjUVM" TargetMode="External"/><Relationship Id="rId1784" Type="http://schemas.openxmlformats.org/officeDocument/2006/relationships/hyperlink" Target="https://drive.google.com/file/d/1cZ4gW0gDU-tLuyt_7iJCE4LjOu0It-hT/view?usp=drivesdk" TargetMode="External"/><Relationship Id="rId76" Type="http://schemas.openxmlformats.org/officeDocument/2006/relationships/hyperlink" Target="https://drive.google.com/open?id=1Ln4XykPO_0SmSYEaDTbvoAVfsL81cKs8" TargetMode="External"/><Relationship Id="rId807" Type="http://schemas.openxmlformats.org/officeDocument/2006/relationships/hyperlink" Target="https://drive.google.com/open?id=1F9tNRdRik2kPiReDnBZ2AsO05VgULn_L" TargetMode="External"/><Relationship Id="rId1437" Type="http://schemas.openxmlformats.org/officeDocument/2006/relationships/hyperlink" Target="https://drive.google.com/file/d/1BSHdxNbC89_VUOkwhWL4A6NeogADi-jz/view?usp=drivesdk" TargetMode="External"/><Relationship Id="rId1644" Type="http://schemas.openxmlformats.org/officeDocument/2006/relationships/hyperlink" Target="https://drive.google.com/open?id=14j5JLNxbwv0OAE-Q0dlFhHNNp1VQf3dD" TargetMode="External"/><Relationship Id="rId1504" Type="http://schemas.openxmlformats.org/officeDocument/2006/relationships/hyperlink" Target="https://drive.google.com/open?id=19QNdev3uvcPdMZQQguQbLnTS4ZcICPIi" TargetMode="External"/><Relationship Id="rId1711" Type="http://schemas.openxmlformats.org/officeDocument/2006/relationships/hyperlink" Target="https://drive.google.com/file/d/1Rz6VkkT-_OsZwWiiL18ZMH6tfuD04ZMT/view?usp=drivesdk" TargetMode="External"/><Relationship Id="rId292" Type="http://schemas.openxmlformats.org/officeDocument/2006/relationships/hyperlink" Target="https://drive.google.com/open?id=1cTN-nsAeLBbg49J0bYH0B8Xl_7nr-MSE" TargetMode="External"/><Relationship Id="rId1809" Type="http://schemas.openxmlformats.org/officeDocument/2006/relationships/hyperlink" Target="https://drive.google.com/open?id=1yawAH3pG6pjQJS1UiTG-cqepj9mogqJx" TargetMode="External"/><Relationship Id="rId597" Type="http://schemas.openxmlformats.org/officeDocument/2006/relationships/hyperlink" Target="https://drive.google.com/file/d/14I_HDSfOq6leNEHmm8fa5iCVrMaGU2Yh/view?usp=drivesdk" TargetMode="External"/><Relationship Id="rId152" Type="http://schemas.openxmlformats.org/officeDocument/2006/relationships/hyperlink" Target="https://drive.google.com/file/d/1eno_PGpivMOYu8YEbkhKw5wtXARlNivN/view?usp=drivesdk" TargetMode="External"/><Relationship Id="rId457" Type="http://schemas.openxmlformats.org/officeDocument/2006/relationships/hyperlink" Target="https://drive.google.com/file/d/1NIjPvmTWc3ugKq-PMLlC1fUjF4dAptaz/view?usp=drivesdk" TargetMode="External"/><Relationship Id="rId1087" Type="http://schemas.openxmlformats.org/officeDocument/2006/relationships/hyperlink" Target="https://drive.google.com/open?id=1wTf6T30e9s-zkL06SjahGOQ_5tCLpviO" TargetMode="External"/><Relationship Id="rId1294" Type="http://schemas.openxmlformats.org/officeDocument/2006/relationships/hyperlink" Target="https://drive.google.com/open?id=1f6aCBdrSHYXhzeZAdvJayaw5FCSKbi4n" TargetMode="External"/><Relationship Id="rId664" Type="http://schemas.openxmlformats.org/officeDocument/2006/relationships/hyperlink" Target="https://drive.google.com/open?id=15uEdlkgbfKVGQhl34JMtJopN7EydTW_o" TargetMode="External"/><Relationship Id="rId871" Type="http://schemas.openxmlformats.org/officeDocument/2006/relationships/hyperlink" Target="https://drive.google.com/open?id=1BtisGXPjGU3cV95D4qEbQ10jfbuzo_Ir" TargetMode="External"/><Relationship Id="rId969" Type="http://schemas.openxmlformats.org/officeDocument/2006/relationships/hyperlink" Target="https://drive.google.com/open?id=1V3dWE-AsnaGD3kW8PbVT7QkZsw_Mhud-" TargetMode="External"/><Relationship Id="rId1599" Type="http://schemas.openxmlformats.org/officeDocument/2006/relationships/hyperlink" Target="https://drive.google.com/file/d/1k-nff5tSbfaPEK1j-tcaKQcBQefgxuwx/view?usp=drivesdk" TargetMode="External"/><Relationship Id="rId317" Type="http://schemas.openxmlformats.org/officeDocument/2006/relationships/hyperlink" Target="https://drive.google.com/open?id=1lwjdthJuTLBAJocdXkEosfWkiHYw8Der" TargetMode="External"/><Relationship Id="rId524" Type="http://schemas.openxmlformats.org/officeDocument/2006/relationships/hyperlink" Target="https://drive.google.com/open?id=1RVQ1lH65fKLkQwa-j2nmn7gkKIEyuGJs" TargetMode="External"/><Relationship Id="rId731" Type="http://schemas.openxmlformats.org/officeDocument/2006/relationships/hyperlink" Target="https://drive.google.com/file/d/1LoWuMe5RqUs32GQgI0ru32GTEKrUbHxw/view?usp=drivesdk" TargetMode="External"/><Relationship Id="rId1154" Type="http://schemas.openxmlformats.org/officeDocument/2006/relationships/hyperlink" Target="https://drive.google.com/open?id=1qqwJA4ldPC-RghElOYT5RKf4krx0vR8F" TargetMode="External"/><Relationship Id="rId1361" Type="http://schemas.openxmlformats.org/officeDocument/2006/relationships/hyperlink" Target="https://drive.google.com/file/d/1W2bm6EmfyT8LGOn2EHrmJCZa6KySHsSe/view?usp=drivesdk" TargetMode="External"/><Relationship Id="rId1459" Type="http://schemas.openxmlformats.org/officeDocument/2006/relationships/hyperlink" Target="https://drive.google.com/file/d/1gMc84JdbfblQztyI7GC_RRS3OATgkR7B/view?usp=drivesdk" TargetMode="External"/><Relationship Id="rId98" Type="http://schemas.openxmlformats.org/officeDocument/2006/relationships/hyperlink" Target="https://drive.google.com/open?id=1CqfHoFtorNhIASxrtPdiu7Kg288kv2s9" TargetMode="External"/><Relationship Id="rId829" Type="http://schemas.openxmlformats.org/officeDocument/2006/relationships/hyperlink" Target="https://drive.google.com/open?id=1CfNeFoZFtNaXHYMojGkeEmJj2DKYc5a8" TargetMode="External"/><Relationship Id="rId1014" Type="http://schemas.openxmlformats.org/officeDocument/2006/relationships/hyperlink" Target="https://drive.google.com/open?id=1-eEbnActVbFN-AskT-iYQq3SBi4V8yU8" TargetMode="External"/><Relationship Id="rId1221" Type="http://schemas.openxmlformats.org/officeDocument/2006/relationships/hyperlink" Target="https://drive.google.com/open?id=1hYB2hURDBvPMcMWobX6EkMESBM05RsUP" TargetMode="External"/><Relationship Id="rId1666" Type="http://schemas.openxmlformats.org/officeDocument/2006/relationships/hyperlink" Target="https://drive.google.com/open?id=1QWoehAK90BQ8JKMMzLOJkEilf8_RYosd" TargetMode="External"/><Relationship Id="rId1319" Type="http://schemas.openxmlformats.org/officeDocument/2006/relationships/hyperlink" Target="https://drive.google.com/open?id=1bdFXPihbVPd-jr0O0wVukT7vnz5RkPh_" TargetMode="External"/><Relationship Id="rId1526" Type="http://schemas.openxmlformats.org/officeDocument/2006/relationships/hyperlink" Target="https://drive.google.com/open?id=1qBQ15k91LyAhEhmZQUDdQTGnVeXjJr-b" TargetMode="External"/><Relationship Id="rId1733" Type="http://schemas.openxmlformats.org/officeDocument/2006/relationships/hyperlink" Target="https://drive.google.com/open?id=111McYVvrGEZY7fRj_uuwJK-c5qPuz2dF" TargetMode="External"/><Relationship Id="rId25" Type="http://schemas.openxmlformats.org/officeDocument/2006/relationships/hyperlink" Target="https://drive.google.com/file/d/1HipcIPKgV3yNMB4CmPa6nfNtWiF_ZC6B/view?usp=drivesdk" TargetMode="External"/><Relationship Id="rId1800" Type="http://schemas.openxmlformats.org/officeDocument/2006/relationships/hyperlink" Target="https://drive.google.com/open?id=1XGa5FMXQlt7_BCvPckWKx7SlJQAsiu9u" TargetMode="External"/><Relationship Id="rId174" Type="http://schemas.openxmlformats.org/officeDocument/2006/relationships/hyperlink" Target="https://drive.google.com/file/d/1R3po3tOV8w2wLZvtg4H__1rv8Rxwi3Y9/view?usp=drivesdk" TargetMode="External"/><Relationship Id="rId381" Type="http://schemas.openxmlformats.org/officeDocument/2006/relationships/hyperlink" Target="https://drive.google.com/open?id=1lNuZqvVXkW_DvH3VcLtyoU60tC_g7byL" TargetMode="External"/><Relationship Id="rId241" Type="http://schemas.openxmlformats.org/officeDocument/2006/relationships/hyperlink" Target="https://drive.google.com/file/d/1eSUj-L0QAVOiPKuv4VzskK7Tbl3APcR9/view?usp=drivesdk" TargetMode="External"/><Relationship Id="rId479" Type="http://schemas.openxmlformats.org/officeDocument/2006/relationships/hyperlink" Target="https://drive.google.com/file/d/1fMU8PqPHY2Fw5mqkOqY_DVDNX2VzQMna/view?usp=drivesdk" TargetMode="External"/><Relationship Id="rId686" Type="http://schemas.openxmlformats.org/officeDocument/2006/relationships/hyperlink" Target="https://drive.google.com/open?id=1SLPCuApelFHc9lFblzoMJjdpjUvd9OEa" TargetMode="External"/><Relationship Id="rId893" Type="http://schemas.openxmlformats.org/officeDocument/2006/relationships/hyperlink" Target="https://drive.google.com/file/d/121J9u3wzV3fXLkHAB_vjKOCJkbW5pxsC/view?usp=drivesdk" TargetMode="External"/><Relationship Id="rId339" Type="http://schemas.openxmlformats.org/officeDocument/2006/relationships/hyperlink" Target="https://drive.google.com/file/d/1NVb5PJjRJbwtzvg3SzKUIjhgAylxFMbG/view?usp=drivesdk" TargetMode="External"/><Relationship Id="rId546" Type="http://schemas.openxmlformats.org/officeDocument/2006/relationships/hyperlink" Target="https://drive.google.com/open?id=16VzKhEFEqOswL1N6WWF9q-f-IeyCxE1f" TargetMode="External"/><Relationship Id="rId753" Type="http://schemas.openxmlformats.org/officeDocument/2006/relationships/hyperlink" Target="https://drive.google.com/file/d/1PFpRHmRr9jqu-DW3_GKGTfcxK00rGxB4/view?usp=drivesdk" TargetMode="External"/><Relationship Id="rId1176" Type="http://schemas.openxmlformats.org/officeDocument/2006/relationships/hyperlink" Target="https://drive.google.com/open?id=1_gxFlJCrx39rXZbxIwrbExwyrsn1ILfo" TargetMode="External"/><Relationship Id="rId1383" Type="http://schemas.openxmlformats.org/officeDocument/2006/relationships/hyperlink" Target="https://drive.google.com/open?id=1ceT-2kyekvS-NCQ1BL9WXmxdgYveUARQ" TargetMode="External"/><Relationship Id="rId101" Type="http://schemas.openxmlformats.org/officeDocument/2006/relationships/hyperlink" Target="https://drive.google.com/open?id=113c7ToNfOq_POqhC3K7AHd2xwJi1cEBc" TargetMode="External"/><Relationship Id="rId406" Type="http://schemas.openxmlformats.org/officeDocument/2006/relationships/hyperlink" Target="https://drive.google.com/open?id=1lnMZE6PMt9HvxBS8as6Eex9AvGTeY1Ie" TargetMode="External"/><Relationship Id="rId960" Type="http://schemas.openxmlformats.org/officeDocument/2006/relationships/hyperlink" Target="https://drive.google.com/open?id=1aQNA94GemaHalZGJMIKEeV2RPaVsgp96" TargetMode="External"/><Relationship Id="rId1036" Type="http://schemas.openxmlformats.org/officeDocument/2006/relationships/hyperlink" Target="https://drive.google.com/open?id=14d5dclbROWE8AccNg490fAo_XgE8urkA" TargetMode="External"/><Relationship Id="rId1243" Type="http://schemas.openxmlformats.org/officeDocument/2006/relationships/hyperlink" Target="https://drive.google.com/file/d/1P6osajCpniE2Oiu9580q0i6WrIig4FcZ/view?usp=drivesdk" TargetMode="External"/><Relationship Id="rId1590" Type="http://schemas.openxmlformats.org/officeDocument/2006/relationships/hyperlink" Target="https://drive.google.com/open?id=10y4VqG4iWkur7eZ1RYKCpySNlhKskrpW" TargetMode="External"/><Relationship Id="rId1688" Type="http://schemas.openxmlformats.org/officeDocument/2006/relationships/hyperlink" Target="https://drive.google.com/open?id=1-ZWvT8s3mjyuoXFTp8qTPxoG2cQDX2OD" TargetMode="External"/><Relationship Id="rId613" Type="http://schemas.openxmlformats.org/officeDocument/2006/relationships/hyperlink" Target="https://drive.google.com/open?id=1VtzZiHyuJQSjEztFHAaaEETe2MiYQt_s" TargetMode="External"/><Relationship Id="rId820" Type="http://schemas.openxmlformats.org/officeDocument/2006/relationships/hyperlink" Target="https://drive.google.com/open?id=10n7d3-G07U1eiTCj60dTMlY3o4p0GBUs" TargetMode="External"/><Relationship Id="rId918" Type="http://schemas.openxmlformats.org/officeDocument/2006/relationships/hyperlink" Target="https://drive.google.com/open?id=1w8TURSDPs9uFkU4a_qJrjadVo4uGv4-R" TargetMode="External"/><Relationship Id="rId1450" Type="http://schemas.openxmlformats.org/officeDocument/2006/relationships/hyperlink" Target="https://drive.google.com/open?id=1GtmQ1Ut830vwmcWK-ucY7Kqwfk3fgvvA" TargetMode="External"/><Relationship Id="rId1548" Type="http://schemas.openxmlformats.org/officeDocument/2006/relationships/hyperlink" Target="https://drive.google.com/open?id=1M_WndQwI4YLiGBi8BnpC1hl2BQPlDDAd" TargetMode="External"/><Relationship Id="rId1755" Type="http://schemas.openxmlformats.org/officeDocument/2006/relationships/hyperlink" Target="https://drive.google.com/open?id=1N0BUcibSGr1mpdSxS_0xoTvuKyJMPNOG" TargetMode="External"/><Relationship Id="rId1103" Type="http://schemas.openxmlformats.org/officeDocument/2006/relationships/hyperlink" Target="https://drive.google.com/file/d/1xD92T2bmKiMCEcJswq7cLfU5AeRKUS-k/view?usp=drivesdk" TargetMode="External"/><Relationship Id="rId1310" Type="http://schemas.openxmlformats.org/officeDocument/2006/relationships/hyperlink" Target="https://drive.google.com/open?id=1aYcrOU0t5AHIn-U1ujPStjsAjtGeI-mq" TargetMode="External"/><Relationship Id="rId1408" Type="http://schemas.openxmlformats.org/officeDocument/2006/relationships/hyperlink" Target="https://drive.google.com/open?id=11n8UYDXpdxmwo6MHjuxVFLVOgf1zLzYQ" TargetMode="External"/><Relationship Id="rId47" Type="http://schemas.openxmlformats.org/officeDocument/2006/relationships/hyperlink" Target="https://drive.google.com/file/d/1Y_1cj_uQrSLH2f6bLA_qJi-4uwft_CnO/view?usp=drivesdk" TargetMode="External"/><Relationship Id="rId1615" Type="http://schemas.openxmlformats.org/officeDocument/2006/relationships/hyperlink" Target="https://drive.google.com/open?id=1Ag9BUBGYIw4nIIGQf1UjZWjiV2XC4ZDy" TargetMode="External"/><Relationship Id="rId1822" Type="http://schemas.openxmlformats.org/officeDocument/2006/relationships/hyperlink" Target="https://drive.google.com/open?id=1IA4uu1z-v-z_A0fSz7TdfW2Abriyi3Ak" TargetMode="External"/><Relationship Id="rId196" Type="http://schemas.openxmlformats.org/officeDocument/2006/relationships/hyperlink" Target="https://drive.google.com/open?id=17SsuoWWYJJfqSIIn21n96DYkLSqZ0I6y" TargetMode="External"/><Relationship Id="rId263" Type="http://schemas.openxmlformats.org/officeDocument/2006/relationships/hyperlink" Target="https://drive.google.com/file/d/1FVJ502We950k8aFbYuz5Qpn787pkd1nX/view?usp=drivesdk" TargetMode="External"/><Relationship Id="rId470" Type="http://schemas.openxmlformats.org/officeDocument/2006/relationships/hyperlink" Target="https://drive.google.com/open?id=1WHRwlAzWxPn1lW2g9Zgz9nmioSmoErK6" TargetMode="External"/><Relationship Id="rId123" Type="http://schemas.openxmlformats.org/officeDocument/2006/relationships/hyperlink" Target="https://drive.google.com/file/d/19hg2cu0N8XfqNpfBK8vip2Z6qiKNucIs/view?usp=drivesdk" TargetMode="External"/><Relationship Id="rId330" Type="http://schemas.openxmlformats.org/officeDocument/2006/relationships/hyperlink" Target="https://drive.google.com/open?id=1Py0BVt2lAgh3n1-IAaYDxZGL1WEQyl3S" TargetMode="External"/><Relationship Id="rId568" Type="http://schemas.openxmlformats.org/officeDocument/2006/relationships/hyperlink" Target="https://drive.google.com/open?id=1cKgqBRd_JrCT3qU9SH3IpB6VwwghNvxS" TargetMode="External"/><Relationship Id="rId775" Type="http://schemas.openxmlformats.org/officeDocument/2006/relationships/hyperlink" Target="https://drive.google.com/file/d/1YW3JG2KmZGCZG2yF8e2y2rBDEdod5fL_/view?usp=drivesdk" TargetMode="External"/><Relationship Id="rId982" Type="http://schemas.openxmlformats.org/officeDocument/2006/relationships/hyperlink" Target="https://drive.google.com/open?id=1Pbs3yBfHQSKaA7InsdQoQdPvddPbpMhm" TargetMode="External"/><Relationship Id="rId1198" Type="http://schemas.openxmlformats.org/officeDocument/2006/relationships/hyperlink" Target="https://drive.google.com/open?id=1O5IBbAfAyfkGdPjWPaVjVqlniHPPH8Dq" TargetMode="External"/><Relationship Id="rId428" Type="http://schemas.openxmlformats.org/officeDocument/2006/relationships/hyperlink" Target="https://drive.google.com/open?id=1n-m1gVGYuFYseem_h2qkwKFXxvk3pHdL" TargetMode="External"/><Relationship Id="rId635" Type="http://schemas.openxmlformats.org/officeDocument/2006/relationships/hyperlink" Target="https://drive.google.com/open?id=1xXJ1Q4PXwj6fCReEXgm4Lo7-NdwgkzDO" TargetMode="External"/><Relationship Id="rId842" Type="http://schemas.openxmlformats.org/officeDocument/2006/relationships/hyperlink" Target="https://drive.google.com/open?id=14Wtzfn20rKEohezlh0tPurgEHfKWYZnT" TargetMode="External"/><Relationship Id="rId1058" Type="http://schemas.openxmlformats.org/officeDocument/2006/relationships/hyperlink" Target="https://drive.google.com/open?id=1tAa9OIMw1rBQLCYHzoTGaj2vQRRAYVSS" TargetMode="External"/><Relationship Id="rId1265" Type="http://schemas.openxmlformats.org/officeDocument/2006/relationships/hyperlink" Target="https://drive.google.com/file/d/1ncMyran_Ruk3pASyFe57H0WeTAX9Np0f/view?usp=drivesdk" TargetMode="External"/><Relationship Id="rId1472" Type="http://schemas.openxmlformats.org/officeDocument/2006/relationships/hyperlink" Target="https://drive.google.com/file/d/1_Q3hwZs5iZ4QSMdQaw59YtcgjJzO4Tz2/view?usp=drivesdk" TargetMode="External"/><Relationship Id="rId702" Type="http://schemas.openxmlformats.org/officeDocument/2006/relationships/hyperlink" Target="https://drive.google.com/open?id=1fMEwM5K4JjFxa-CIdMXTcCwhQ0z1TTVp" TargetMode="External"/><Relationship Id="rId1125" Type="http://schemas.openxmlformats.org/officeDocument/2006/relationships/hyperlink" Target="https://drive.google.com/file/d/1nZ-ZdfNljhQDvE8A270vlLZuI2Fl7UlF/view?usp=drivesdk" TargetMode="External"/><Relationship Id="rId1332" Type="http://schemas.openxmlformats.org/officeDocument/2006/relationships/hyperlink" Target="https://drive.google.com/file/d/12ccDsrq_cmtcPk6oBT2ExTzcRXCym7l-/view?usp=drivesdk" TargetMode="External"/><Relationship Id="rId1777" Type="http://schemas.openxmlformats.org/officeDocument/2006/relationships/hyperlink" Target="https://drive.google.com/file/d/1ywskdZbYRmlp-HHpA81dFQPq3qK33BvB/view?usp=drivesdk" TargetMode="External"/><Relationship Id="rId69" Type="http://schemas.openxmlformats.org/officeDocument/2006/relationships/hyperlink" Target="https://drive.google.com/open?id=1gsWtJq1v4Gyd39aPwAmcs-EgF_qiFD9u" TargetMode="External"/><Relationship Id="rId1637" Type="http://schemas.openxmlformats.org/officeDocument/2006/relationships/hyperlink" Target="https://drive.google.com/open?id=1hB3Nrct-NepJTD41ROxAOaDrYULO8kO_" TargetMode="External"/><Relationship Id="rId1704" Type="http://schemas.openxmlformats.org/officeDocument/2006/relationships/hyperlink" Target="https://drive.google.com/file/d/1jmMirRXertP-5igUMf8WDXRoJiFoRmVN/view?usp=drivesdk" TargetMode="External"/><Relationship Id="rId285" Type="http://schemas.openxmlformats.org/officeDocument/2006/relationships/hyperlink" Target="https://drive.google.com/open?id=1avU2LPq9MVscPIPgUO87jWPS3wjDcAZj" TargetMode="External"/><Relationship Id="rId492" Type="http://schemas.openxmlformats.org/officeDocument/2006/relationships/hyperlink" Target="https://drive.google.com/file/d/1JZteSGHLuupyavY6kYu-JHSiaS9HV0cv/view?usp=drivesdk" TargetMode="External"/><Relationship Id="rId797" Type="http://schemas.openxmlformats.org/officeDocument/2006/relationships/hyperlink" Target="https://drive.google.com/open?id=1tKpxCuq6BjrZmTsLw3agmrTNmVluh5Iy" TargetMode="External"/><Relationship Id="rId145" Type="http://schemas.openxmlformats.org/officeDocument/2006/relationships/hyperlink" Target="https://drive.google.com/file/d/13xSRcHhAw9cASMwENR5G46dR5gNznQFl/view?usp=drivesdk" TargetMode="External"/><Relationship Id="rId352" Type="http://schemas.openxmlformats.org/officeDocument/2006/relationships/hyperlink" Target="https://drive.google.com/open?id=1i0hxTvlhsgNIB5lDwspfVYHKaQazJOCd" TargetMode="External"/><Relationship Id="rId1287" Type="http://schemas.openxmlformats.org/officeDocument/2006/relationships/hyperlink" Target="https://drive.google.com/open?id=1aWWJz-F1eVhjQNvjC6EQD_IUNWL3m8pK" TargetMode="External"/><Relationship Id="rId212" Type="http://schemas.openxmlformats.org/officeDocument/2006/relationships/hyperlink" Target="https://drive.google.com/open?id=1bKOAg6lyCBHOMevy1E5cRUE0w4G8ErzV" TargetMode="External"/><Relationship Id="rId657" Type="http://schemas.openxmlformats.org/officeDocument/2006/relationships/hyperlink" Target="https://drive.google.com/open?id=1kerYWMs2zacLvwAXStIwSqgHdwdX8Lts" TargetMode="External"/><Relationship Id="rId864" Type="http://schemas.openxmlformats.org/officeDocument/2006/relationships/hyperlink" Target="https://drive.google.com/open?id=1bH5O4lxzC4pRLTP6hwIwGkRrdVfqLQOo" TargetMode="External"/><Relationship Id="rId1494" Type="http://schemas.openxmlformats.org/officeDocument/2006/relationships/hyperlink" Target="https://drive.google.com/file/d/1xM4gfALDPji1Z3-aupWj91arfY-Tdn1Y/view?usp=drivesdk" TargetMode="External"/><Relationship Id="rId1799" Type="http://schemas.openxmlformats.org/officeDocument/2006/relationships/hyperlink" Target="https://drive.google.com/file/d/1as8xXOAI-IRe4_O_7q4kVbC6aCn5Q45k/view?usp=drivesdk" TargetMode="External"/><Relationship Id="rId517" Type="http://schemas.openxmlformats.org/officeDocument/2006/relationships/hyperlink" Target="https://drive.google.com/open?id=1vRslPI3-DFOoOjbYmxVoaEDbYE6Guoiu" TargetMode="External"/><Relationship Id="rId724" Type="http://schemas.openxmlformats.org/officeDocument/2006/relationships/hyperlink" Target="https://drive.google.com/file/d/1KmR2gxhPOBU5ln7s9JhfSDorHCpY-9OE/view?usp=drivesdk" TargetMode="External"/><Relationship Id="rId931" Type="http://schemas.openxmlformats.org/officeDocument/2006/relationships/hyperlink" Target="https://drive.google.com/open?id=16czt7y2Ph7Xvo9I71D5XBivyOKKHwZZ1" TargetMode="External"/><Relationship Id="rId1147" Type="http://schemas.openxmlformats.org/officeDocument/2006/relationships/hyperlink" Target="https://drive.google.com/open?id=1wxN2C1wW5aLKoQGEyuPfoEj3vTPVnG-i" TargetMode="External"/><Relationship Id="rId1354" Type="http://schemas.openxmlformats.org/officeDocument/2006/relationships/hyperlink" Target="https://drive.google.com/file/d/1iYQAo8PGCg47s0iwcxl-ZDNZB5s68h6n/view?usp=drivesdk" TargetMode="External"/><Relationship Id="rId1561" Type="http://schemas.openxmlformats.org/officeDocument/2006/relationships/hyperlink" Target="https://drive.google.com/open?id=11huhnJhAfyW33Z7MnR4u260eBRle3HDb" TargetMode="External"/><Relationship Id="rId60" Type="http://schemas.openxmlformats.org/officeDocument/2006/relationships/hyperlink" Target="https://drive.google.com/file/d/1rGLF2cMrPdoxFfQGUKnAU2-x5h2Nrj0L/view?usp=drivesdk" TargetMode="External"/><Relationship Id="rId1007" Type="http://schemas.openxmlformats.org/officeDocument/2006/relationships/hyperlink" Target="https://drive.google.com/open?id=11Wi3MGhWz1e5aHCovDgxUT23aA_T_Dow" TargetMode="External"/><Relationship Id="rId1214" Type="http://schemas.openxmlformats.org/officeDocument/2006/relationships/hyperlink" Target="https://drive.google.com/open?id=1KhnpwAKnlugafAvsHyi0JpJCchTX8v7p" TargetMode="External"/><Relationship Id="rId1421" Type="http://schemas.openxmlformats.org/officeDocument/2006/relationships/hyperlink" Target="https://drive.google.com/open?id=1h7TtyhBj_CbFGEtW3geA_0LHWnqxfO02" TargetMode="External"/><Relationship Id="rId1659" Type="http://schemas.openxmlformats.org/officeDocument/2006/relationships/hyperlink" Target="https://drive.google.com/open?id=1fDolvF-EFj99WyAxW1ZKp07flmNA6i4_" TargetMode="External"/><Relationship Id="rId1519" Type="http://schemas.openxmlformats.org/officeDocument/2006/relationships/hyperlink" Target="https://drive.google.com/open?id=1tVKk3IFidYZsah9HBo3HPapyuX6HovbR" TargetMode="External"/><Relationship Id="rId1726" Type="http://schemas.openxmlformats.org/officeDocument/2006/relationships/hyperlink" Target="https://drive.google.com/open?id=1Tl9PnuGEKli3PtrEpff6QF9GP5zU4F2U" TargetMode="External"/><Relationship Id="rId18" Type="http://schemas.openxmlformats.org/officeDocument/2006/relationships/hyperlink" Target="https://drive.google.com/file/d/1iqAZj77rNM5GlUt-VtyronGyQkz8NvAc/view?usp=drivesdk" TargetMode="External"/><Relationship Id="rId167" Type="http://schemas.openxmlformats.org/officeDocument/2006/relationships/hyperlink" Target="https://drive.google.com/open?id=1rBvlyBB0WAQld6bOGSfg-GqFiQM4a_LA" TargetMode="External"/><Relationship Id="rId374" Type="http://schemas.openxmlformats.org/officeDocument/2006/relationships/hyperlink" Target="https://drive.google.com/open?id=16zF5Dsk9M_QzfroPjtBbjIT37ojVlXYY" TargetMode="External"/><Relationship Id="rId581" Type="http://schemas.openxmlformats.org/officeDocument/2006/relationships/hyperlink" Target="https://drive.google.com/open?id=1ZG1nM8MDY48W8-YNO1BsrfprIXtisjXm" TargetMode="External"/><Relationship Id="rId234" Type="http://schemas.openxmlformats.org/officeDocument/2006/relationships/hyperlink" Target="https://drive.google.com/file/d/1CumB7uXMHgdJcIyMTfzpXvf6X3rO7lKq/view?usp=drivesdk" TargetMode="External"/><Relationship Id="rId679" Type="http://schemas.openxmlformats.org/officeDocument/2006/relationships/hyperlink" Target="https://drive.google.com/open?id=1TAdVh4q298vDw6_aVdXt-5JoWTn2wPfq" TargetMode="External"/><Relationship Id="rId886" Type="http://schemas.openxmlformats.org/officeDocument/2006/relationships/hyperlink" Target="https://drive.google.com/file/d/1rg3nzynwVGPqAyW9ilneL43ilHy_V3ku/view?usp=drivesdk" TargetMode="External"/><Relationship Id="rId2" Type="http://schemas.openxmlformats.org/officeDocument/2006/relationships/hyperlink" Target="https://drive.google.com/open?id=1clCcRsGNiPvMvueSM7afdipyK8u1PRyG" TargetMode="External"/><Relationship Id="rId441" Type="http://schemas.openxmlformats.org/officeDocument/2006/relationships/hyperlink" Target="https://drive.google.com/open?id=1krh5_8KVYn98EO0We0b5YkjbrPsuuVg1" TargetMode="External"/><Relationship Id="rId539" Type="http://schemas.openxmlformats.org/officeDocument/2006/relationships/hyperlink" Target="https://drive.google.com/open?id=1JLBxumpyr2sC4cD1qY0h9_R5gAsHQSZF" TargetMode="External"/><Relationship Id="rId746" Type="http://schemas.openxmlformats.org/officeDocument/2006/relationships/hyperlink" Target="https://drive.google.com/file/d/1B2DxZuvW2Tehl6oYy5zuFsAuq3Gr8MJn/view?usp=drivesdk" TargetMode="External"/><Relationship Id="rId1071" Type="http://schemas.openxmlformats.org/officeDocument/2006/relationships/hyperlink" Target="https://drive.google.com/open?id=18GodHespOqm2qAKTOzupsG2q1nkz8d97" TargetMode="External"/><Relationship Id="rId1169" Type="http://schemas.openxmlformats.org/officeDocument/2006/relationships/hyperlink" Target="https://drive.google.com/open?id=1oopSB44J-BuASFALMmWaz9oyScc7Oi02" TargetMode="External"/><Relationship Id="rId1376" Type="http://schemas.openxmlformats.org/officeDocument/2006/relationships/hyperlink" Target="https://drive.google.com/open?id=1jIr582XW-rNSKLsVFNbjPMRDmiCoEFy1" TargetMode="External"/><Relationship Id="rId1583" Type="http://schemas.openxmlformats.org/officeDocument/2006/relationships/hyperlink" Target="https://drive.google.com/open?id=1iSev-BLkiu62GkesB0HHKq2GQbnoIjY_" TargetMode="External"/><Relationship Id="rId301" Type="http://schemas.openxmlformats.org/officeDocument/2006/relationships/hyperlink" Target="https://drive.google.com/open?id=1SEfcc3IIDwnNQOwlsmcM_WrwuGtnHA8L" TargetMode="External"/><Relationship Id="rId953" Type="http://schemas.openxmlformats.org/officeDocument/2006/relationships/hyperlink" Target="https://drive.google.com/open?id=15xD3QQWszqOshcOkYVxLHF3YFwCYm-45" TargetMode="External"/><Relationship Id="rId1029" Type="http://schemas.openxmlformats.org/officeDocument/2006/relationships/hyperlink" Target="https://drive.google.com/open?id=1tXT6nCtMDZTs47ueNYcDDkxPOIvtwTnJ" TargetMode="External"/><Relationship Id="rId1236" Type="http://schemas.openxmlformats.org/officeDocument/2006/relationships/hyperlink" Target="https://drive.google.com/file/d/1EFKuE_KpmwF2zPTVFtJGEhsKT62cej-L/view?usp=drivesdk" TargetMode="External"/><Relationship Id="rId1790" Type="http://schemas.openxmlformats.org/officeDocument/2006/relationships/hyperlink" Target="https://drive.google.com/open?id=1F0xf19Bj9lf0bSbrffqjbvQ-dxMZ3JQf" TargetMode="External"/><Relationship Id="rId82" Type="http://schemas.openxmlformats.org/officeDocument/2006/relationships/hyperlink" Target="https://drive.google.com/file/d/1kkTAd0htglpPvAOydIePCpVg65sY3l59/view?usp=drivesdk" TargetMode="External"/><Relationship Id="rId606" Type="http://schemas.openxmlformats.org/officeDocument/2006/relationships/hyperlink" Target="https://drive.google.com/open?id=1b5CnrwNbNZ5gWUwqVcZB7pP6-x7qppBB" TargetMode="External"/><Relationship Id="rId813" Type="http://schemas.openxmlformats.org/officeDocument/2006/relationships/hyperlink" Target="https://drive.google.com/open?id=1cQHh7Lr14rNo3Xhou2PerMAl4NQ2d162" TargetMode="External"/><Relationship Id="rId1443" Type="http://schemas.openxmlformats.org/officeDocument/2006/relationships/hyperlink" Target="https://drive.google.com/open?id=1BNp1knpTW-E5iAf1000N8pX5rc9wAWyv" TargetMode="External"/><Relationship Id="rId1650" Type="http://schemas.openxmlformats.org/officeDocument/2006/relationships/hyperlink" Target="https://drive.google.com/open?id=195hVXBBRPRM8V9N3DOtCswGwF9dd-X8T" TargetMode="External"/><Relationship Id="rId1748" Type="http://schemas.openxmlformats.org/officeDocument/2006/relationships/hyperlink" Target="https://drive.google.com/open?id=1DcnGG_Wqxk2Rn_kSZ7bTnZDWFjpzkBsE" TargetMode="External"/><Relationship Id="rId1303" Type="http://schemas.openxmlformats.org/officeDocument/2006/relationships/hyperlink" Target="https://drive.google.com/open?id=1OualOwrSJkgfsNAwJ--n1EndiPhzVNaM" TargetMode="External"/><Relationship Id="rId1510" Type="http://schemas.openxmlformats.org/officeDocument/2006/relationships/hyperlink" Target="https://drive.google.com/open?id=13UmeQg2YYF8pdemc8v9KhfKWR9glCZ-R" TargetMode="External"/><Relationship Id="rId1608" Type="http://schemas.openxmlformats.org/officeDocument/2006/relationships/hyperlink" Target="https://drive.google.com/open?id=1hp95kaJYKexMejBeJMyP4CGwfASShejj" TargetMode="External"/><Relationship Id="rId1815" Type="http://schemas.openxmlformats.org/officeDocument/2006/relationships/hyperlink" Target="https://drive.google.com/open?id=1W4kpvM1WiENYp0pxCmP1Yfq6MbCl3OOe" TargetMode="External"/><Relationship Id="rId189" Type="http://schemas.openxmlformats.org/officeDocument/2006/relationships/hyperlink" Target="https://drive.google.com/open?id=1tBEdUCFDwczl-VbZnzEd250dTa9tDhU-" TargetMode="External"/><Relationship Id="rId396" Type="http://schemas.openxmlformats.org/officeDocument/2006/relationships/hyperlink" Target="https://drive.google.com/file/d/1_1eer7b_0qeMYrBMj-9FvP0cL2LMz6Vm/view?usp=drivesdk" TargetMode="External"/><Relationship Id="rId256" Type="http://schemas.openxmlformats.org/officeDocument/2006/relationships/hyperlink" Target="https://drive.google.com/file/d/1U4C82GWjGj8sQHL9VVI7ETpOgEsi8-fL/view?usp=drivesdk" TargetMode="External"/><Relationship Id="rId463" Type="http://schemas.openxmlformats.org/officeDocument/2006/relationships/hyperlink" Target="https://drive.google.com/open?id=1qK5A2yTsHyZl2lEs0xM5Ya_EfLDd9Shh" TargetMode="External"/><Relationship Id="rId670" Type="http://schemas.openxmlformats.org/officeDocument/2006/relationships/hyperlink" Target="https://drive.google.com/open?id=1W4ogy-INaw7-0tKQV3VnHA65EEGMQUQ7" TargetMode="External"/><Relationship Id="rId1093" Type="http://schemas.openxmlformats.org/officeDocument/2006/relationships/hyperlink" Target="https://drive.google.com/open?id=17ozFKoEIbyikklacnhGpqjN18gO2nYOG" TargetMode="External"/><Relationship Id="rId116" Type="http://schemas.openxmlformats.org/officeDocument/2006/relationships/hyperlink" Target="https://drive.google.com/file/d/1L8OcV0M4DP2h41tgxrWX9LrFORZ-zAln/view?usp=drivesdk" TargetMode="External"/><Relationship Id="rId323" Type="http://schemas.openxmlformats.org/officeDocument/2006/relationships/hyperlink" Target="https://drive.google.com/open?id=1k0ko-rvmlJI6t784pH9JKDt_DOx2J5SM" TargetMode="External"/><Relationship Id="rId530" Type="http://schemas.openxmlformats.org/officeDocument/2006/relationships/hyperlink" Target="https://drive.google.com/open?id=19NyjsR6466ra4CIY7OhKiVAD7RXFZVki" TargetMode="External"/><Relationship Id="rId768" Type="http://schemas.openxmlformats.org/officeDocument/2006/relationships/hyperlink" Target="https://drive.google.com/file/d/13LjRCRyWw6TCA6u5L6af6maPnzbom_iu/view?usp=drivesdk" TargetMode="External"/><Relationship Id="rId975" Type="http://schemas.openxmlformats.org/officeDocument/2006/relationships/hyperlink" Target="https://drive.google.com/open?id=1GqNsZNHNOEl76FUMA6SlXANb59R1w4XW" TargetMode="External"/><Relationship Id="rId1160" Type="http://schemas.openxmlformats.org/officeDocument/2006/relationships/hyperlink" Target="https://drive.google.com/file/d/1b6-kUUxDNhYb0HghtGYCVyxnHjR0xakZ/view?usp=drivesdk" TargetMode="External"/><Relationship Id="rId1398" Type="http://schemas.openxmlformats.org/officeDocument/2006/relationships/hyperlink" Target="https://drive.google.com/open?id=1F3JeRgXDe9NgZro0JlQ9pPfg_UfDYlxH" TargetMode="External"/><Relationship Id="rId628" Type="http://schemas.openxmlformats.org/officeDocument/2006/relationships/hyperlink" Target="https://drive.google.com/open?id=1YCHK5LDw3muE2lL6fHOnKnwn3EobBnzB" TargetMode="External"/><Relationship Id="rId835" Type="http://schemas.openxmlformats.org/officeDocument/2006/relationships/hyperlink" Target="https://drive.google.com/open?id=1ic575SUl89zp4_jD8ZDsKPNIH62AiPTt" TargetMode="External"/><Relationship Id="rId1258" Type="http://schemas.openxmlformats.org/officeDocument/2006/relationships/hyperlink" Target="https://drive.google.com/file/d/1P7DH2PEn86auJmWTkWAK2CORios5Nr9E/view?usp=drivesdk" TargetMode="External"/><Relationship Id="rId1465" Type="http://schemas.openxmlformats.org/officeDocument/2006/relationships/hyperlink" Target="https://drive.google.com/file/d/1lQHUf7-hRE-j2F-1xRkUfuJnZ8Wol1QI/view?usp=drivesdk" TargetMode="External"/><Relationship Id="rId1672" Type="http://schemas.openxmlformats.org/officeDocument/2006/relationships/hyperlink" Target="https://drive.google.com/open?id=1JPGrfnzGea61Lry1sIG4TnqvKk7JS_3u" TargetMode="External"/><Relationship Id="rId1020" Type="http://schemas.openxmlformats.org/officeDocument/2006/relationships/hyperlink" Target="https://drive.google.com/file/d/15ymlD11EydpguSZ-HMYSINqh5BOkfv0p/view?usp=drivesdk" TargetMode="External"/><Relationship Id="rId1118" Type="http://schemas.openxmlformats.org/officeDocument/2006/relationships/hyperlink" Target="https://drive.google.com/file/d/19Dj-EmUqtg3ulm2co4RkAyhiokEyE3qx/view?usp=drivesdk" TargetMode="External"/><Relationship Id="rId1325" Type="http://schemas.openxmlformats.org/officeDocument/2006/relationships/hyperlink" Target="https://drive.google.com/file/d/1DLTEZGnG8gCRd7Om51r7BM5fu0BCoOwx/view?usp=drivesdk" TargetMode="External"/><Relationship Id="rId1532" Type="http://schemas.openxmlformats.org/officeDocument/2006/relationships/hyperlink" Target="https://drive.google.com/open?id=1xu8LXEtOK7OF6wh8URTguMjLNzNsSim4" TargetMode="External"/><Relationship Id="rId902" Type="http://schemas.openxmlformats.org/officeDocument/2006/relationships/hyperlink" Target="https://drive.google.com/open?id=10iGtkPxHn6AIJrQhZjoi1iTqUBMm-3Jk" TargetMode="External"/><Relationship Id="rId1837" Type="http://schemas.openxmlformats.org/officeDocument/2006/relationships/comments" Target="../comments1.xml"/><Relationship Id="rId31" Type="http://schemas.openxmlformats.org/officeDocument/2006/relationships/hyperlink" Target="https://drive.google.com/open?id=1nlmPkP-45l0RckkxkJ43NEhAWIefTJMJ" TargetMode="External"/><Relationship Id="rId180" Type="http://schemas.openxmlformats.org/officeDocument/2006/relationships/hyperlink" Target="https://drive.google.com/file/d/1VLo7oIUInAHebTzNBp-5W6yw_sXHR6GJ/view?usp=drivesdk" TargetMode="External"/><Relationship Id="rId278" Type="http://schemas.openxmlformats.org/officeDocument/2006/relationships/hyperlink" Target="https://drive.google.com/open?id=1BFxIbHj4lM3Rtew_5DpVNt31IDBtWxSK" TargetMode="External"/><Relationship Id="rId485" Type="http://schemas.openxmlformats.org/officeDocument/2006/relationships/hyperlink" Target="https://drive.google.com/file/d/1lB_EqJDp_rlxTvG-sfBsq7QIYZ5jyvHa/view?usp=drivesdk" TargetMode="External"/><Relationship Id="rId692" Type="http://schemas.openxmlformats.org/officeDocument/2006/relationships/hyperlink" Target="https://drive.google.com/open?id=1xksJORMqV1CqXC5qdr_JuIc67II3UNKY" TargetMode="External"/><Relationship Id="rId138" Type="http://schemas.openxmlformats.org/officeDocument/2006/relationships/hyperlink" Target="https://drive.google.com/file/d/1Ropjzoj7wsOWW79v2cagVYlAUyc5MWbB/view?usp=drivesdk" TargetMode="External"/><Relationship Id="rId345" Type="http://schemas.openxmlformats.org/officeDocument/2006/relationships/hyperlink" Target="https://drive.google.com/open?id=1FywGfOXVplITK2c3x0jkmkHXjfi78aCe" TargetMode="External"/><Relationship Id="rId552" Type="http://schemas.openxmlformats.org/officeDocument/2006/relationships/hyperlink" Target="https://drive.google.com/open?id=1Qd8mR45cadWQgQZ3cRxVzgWCSXcGVqHQ" TargetMode="External"/><Relationship Id="rId997" Type="http://schemas.openxmlformats.org/officeDocument/2006/relationships/hyperlink" Target="https://drive.google.com/open?id=1okQ1PijTvDLONphUN-I481XdcSe93F5c" TargetMode="External"/><Relationship Id="rId1182" Type="http://schemas.openxmlformats.org/officeDocument/2006/relationships/hyperlink" Target="https://drive.google.com/open?id=1QLEIj9gC7PJESonRmcOWV0X3fAEdQeY4" TargetMode="External"/><Relationship Id="rId205" Type="http://schemas.openxmlformats.org/officeDocument/2006/relationships/hyperlink" Target="https://drive.google.com/open?id=1rA5AHAMzpKF2mIcrSP6pZJO9WFYIOTqW" TargetMode="External"/><Relationship Id="rId412" Type="http://schemas.openxmlformats.org/officeDocument/2006/relationships/hyperlink" Target="https://drive.google.com/open?id=1PENqguw0N1rzJbnjLkF8AUFRoMyuy1W1" TargetMode="External"/><Relationship Id="rId857" Type="http://schemas.openxmlformats.org/officeDocument/2006/relationships/hyperlink" Target="https://drive.google.com/open?id=15P8Tiyr68WmJaebr2Y4GkqjC-E2cV5vH" TargetMode="External"/><Relationship Id="rId1042" Type="http://schemas.openxmlformats.org/officeDocument/2006/relationships/hyperlink" Target="https://drive.google.com/open?id=1AO_gYjBJ4ch0g-Zn0nSk2wfoGEWWkI5r" TargetMode="External"/><Relationship Id="rId1487" Type="http://schemas.openxmlformats.org/officeDocument/2006/relationships/hyperlink" Target="https://drive.google.com/file/d/1jG0kn-yOF8AVSI8Mk_VXPvahevkmPizo/view?usp=drivesdk" TargetMode="External"/><Relationship Id="rId1694" Type="http://schemas.openxmlformats.org/officeDocument/2006/relationships/hyperlink" Target="https://drive.google.com/open?id=1Kng9N-AXKikhYeY0wNcFdNnapQandzw3" TargetMode="External"/><Relationship Id="rId717" Type="http://schemas.openxmlformats.org/officeDocument/2006/relationships/hyperlink" Target="https://drive.google.com/file/d/1tLFH7DwwdA3DLwj9Noyc8mj2FgU0qeZu/view?usp=drivesdk" TargetMode="External"/><Relationship Id="rId924" Type="http://schemas.openxmlformats.org/officeDocument/2006/relationships/hyperlink" Target="https://drive.google.com/open?id=1ZdL403NvmUYu6D6owrkR3omYzfQPypbW" TargetMode="External"/><Relationship Id="rId1347" Type="http://schemas.openxmlformats.org/officeDocument/2006/relationships/hyperlink" Target="https://drive.google.com/file/d/1bF02XuVJtpK25WMY3OBQOWw0yvda_ht0/view?usp=drivesdk" TargetMode="External"/><Relationship Id="rId1554" Type="http://schemas.openxmlformats.org/officeDocument/2006/relationships/hyperlink" Target="https://drive.google.com/open?id=1Df-_qnsyibfEoQQZE-j1Kmw49j92EMgb" TargetMode="External"/><Relationship Id="rId1761" Type="http://schemas.openxmlformats.org/officeDocument/2006/relationships/hyperlink" Target="https://drive.google.com/open?id=1tk5zVivHVqjonMoVMV4mjHO1zcrLh_eM" TargetMode="External"/><Relationship Id="rId53" Type="http://schemas.openxmlformats.org/officeDocument/2006/relationships/hyperlink" Target="https://drive.google.com/file/d/17A-Oju2P-fRX8zWRe13li1ZDjzTd8VB6/view?usp=drivesdk" TargetMode="External"/><Relationship Id="rId1207" Type="http://schemas.openxmlformats.org/officeDocument/2006/relationships/hyperlink" Target="https://drive.google.com/open?id=1RPcQHyrNXDpOdS6bnHFKsph5a4GQJvYN" TargetMode="External"/><Relationship Id="rId1414" Type="http://schemas.openxmlformats.org/officeDocument/2006/relationships/hyperlink" Target="https://drive.google.com/open?id=16zTYzMSOuysbSIhZ_kkX-laLYIFlhaBM" TargetMode="External"/><Relationship Id="rId1621" Type="http://schemas.openxmlformats.org/officeDocument/2006/relationships/hyperlink" Target="https://drive.google.com/file/d/1lFveJ-44_4mdDauACrQmsXjOZ3QJho6B/view?usp=drivesdk" TargetMode="External"/><Relationship Id="rId1719" Type="http://schemas.openxmlformats.org/officeDocument/2006/relationships/hyperlink" Target="https://drive.google.com/open?id=1Jg_ETWMV_eoASaS8OvoOcJlQ_zyAm_KX" TargetMode="External"/><Relationship Id="rId367" Type="http://schemas.openxmlformats.org/officeDocument/2006/relationships/hyperlink" Target="https://drive.google.com/open?id=1of77-kOChJkUEuSfbGd5eA5qcAq-Aetp" TargetMode="External"/><Relationship Id="rId574" Type="http://schemas.openxmlformats.org/officeDocument/2006/relationships/hyperlink" Target="https://drive.google.com/open?id=1xehJw51gN0Eaigsh6uiqT-ZeQqubNA2g" TargetMode="External"/><Relationship Id="rId227" Type="http://schemas.openxmlformats.org/officeDocument/2006/relationships/hyperlink" Target="https://drive.google.com/file/d/1N3OGYx1Y0Si_fbSUomxJnc0xVpoL_XGY/view?usp=drivesdk" TargetMode="External"/><Relationship Id="rId781" Type="http://schemas.openxmlformats.org/officeDocument/2006/relationships/hyperlink" Target="https://drive.google.com/file/d/1NCP21owptJt3lE7nhc1wtVBMMbhSkp1C/view?usp=drivesdk" TargetMode="External"/><Relationship Id="rId879" Type="http://schemas.openxmlformats.org/officeDocument/2006/relationships/hyperlink" Target="https://drive.google.com/file/d/1VsYbWmPRol4b18rms4fLUK2jMJa8VpKQ/view?usp=drivesdk" TargetMode="External"/><Relationship Id="rId434" Type="http://schemas.openxmlformats.org/officeDocument/2006/relationships/hyperlink" Target="https://drive.google.com/open?id=1kMxGKMRvp62dgHgKUrBXVcr4v6pTENT0" TargetMode="External"/><Relationship Id="rId641" Type="http://schemas.openxmlformats.org/officeDocument/2006/relationships/hyperlink" Target="https://drive.google.com/file/d/1BuA0GSB57zbluZq4WhpXJ6-6AfRQ5tn3/view?usp=drivesdk" TargetMode="External"/><Relationship Id="rId739" Type="http://schemas.openxmlformats.org/officeDocument/2006/relationships/hyperlink" Target="https://drive.google.com/file/d/1KUj0lKyCdxFrqKWQyLwakRZidnw86n12/view?usp=drivesdk" TargetMode="External"/><Relationship Id="rId1064" Type="http://schemas.openxmlformats.org/officeDocument/2006/relationships/hyperlink" Target="https://drive.google.com/open?id=1ZJRDaXymq2ivhKSvQmGngRUQhHAyUY3Q" TargetMode="External"/><Relationship Id="rId1271" Type="http://schemas.openxmlformats.org/officeDocument/2006/relationships/hyperlink" Target="https://drive.google.com/file/d/1iKHyj84boFLuc2hD1g32RP74DPUSjmev/view?usp=drivesdk" TargetMode="External"/><Relationship Id="rId1369" Type="http://schemas.openxmlformats.org/officeDocument/2006/relationships/hyperlink" Target="https://drive.google.com/open?id=1KwNNt3oGnizGWHdzQltZCTwon39dd3zG" TargetMode="External"/><Relationship Id="rId1576" Type="http://schemas.openxmlformats.org/officeDocument/2006/relationships/hyperlink" Target="https://drive.google.com/open?id=1z35YZGsg_8iJGm3fjbobysb52Lw5PDjG" TargetMode="External"/><Relationship Id="rId501" Type="http://schemas.openxmlformats.org/officeDocument/2006/relationships/hyperlink" Target="https://drive.google.com/open?id=13nWRysXdrHEwfS9tM4MLMQxwjdfPhQtQ" TargetMode="External"/><Relationship Id="rId946" Type="http://schemas.openxmlformats.org/officeDocument/2006/relationships/hyperlink" Target="https://drive.google.com/open?id=1C21T0UYTGyWtPfpe3KmHRJC43LmdUCD0" TargetMode="External"/><Relationship Id="rId1131" Type="http://schemas.openxmlformats.org/officeDocument/2006/relationships/hyperlink" Target="https://drive.google.com/file/d/1tTpcp8xtQIfdEZ_45qj4SMY-uFTtlpH2/view?usp=drivesdk" TargetMode="External"/><Relationship Id="rId1229" Type="http://schemas.openxmlformats.org/officeDocument/2006/relationships/hyperlink" Target="https://drive.google.com/file/d/1qP0g1qMOuJ6JUS-CO2UfV15UpAe9GYd8/view?usp=drivesdk" TargetMode="External"/><Relationship Id="rId1783" Type="http://schemas.openxmlformats.org/officeDocument/2006/relationships/hyperlink" Target="https://drive.google.com/open?id=1SEEIGDgV6h-e_UP1cMtBmCKZY1urfOcg" TargetMode="External"/><Relationship Id="rId75" Type="http://schemas.openxmlformats.org/officeDocument/2006/relationships/hyperlink" Target="https://drive.google.com/file/d/1e6LHeynaNpJEdpLfvXbvE4yIAp1x0PcE/view?usp=drivesdk" TargetMode="External"/><Relationship Id="rId806" Type="http://schemas.openxmlformats.org/officeDocument/2006/relationships/hyperlink" Target="https://drive.google.com/open?id=1HsdlUoP0IEOIiwwXdjaDbVt45TmNF1KA" TargetMode="External"/><Relationship Id="rId1436" Type="http://schemas.openxmlformats.org/officeDocument/2006/relationships/hyperlink" Target="https://drive.google.com/open?id=1_0vE4UVJhGiKdJNC0xzYo93QKxPUapRV" TargetMode="External"/><Relationship Id="rId1643" Type="http://schemas.openxmlformats.org/officeDocument/2006/relationships/hyperlink" Target="https://drive.google.com/open?id=1QBS7xqacF0HxaT83Sm9dz0hLET-irV8w" TargetMode="External"/><Relationship Id="rId1503" Type="http://schemas.openxmlformats.org/officeDocument/2006/relationships/hyperlink" Target="https://drive.google.com/open?id=1_gOtsRkNZGU04CWIEklkwT2kpRbe7c6c" TargetMode="External"/><Relationship Id="rId1710" Type="http://schemas.openxmlformats.org/officeDocument/2006/relationships/hyperlink" Target="https://drive.google.com/file/d/1jb5ODMpYBl5uwyKVZsVjUB-nXYOkQGgl/view?usp=drivesdk" TargetMode="External"/><Relationship Id="rId291" Type="http://schemas.openxmlformats.org/officeDocument/2006/relationships/hyperlink" Target="https://drive.google.com/file/d/18xs4_7wmWiPNAjOaiT5DgH9zRcG9JkfO/view?usp=drivesdk" TargetMode="External"/><Relationship Id="rId1808" Type="http://schemas.openxmlformats.org/officeDocument/2006/relationships/hyperlink" Target="https://drive.google.com/open?id=1UVb37v3mK25cUNoEksfKlfr0NJK0DxT1" TargetMode="External"/><Relationship Id="rId151" Type="http://schemas.openxmlformats.org/officeDocument/2006/relationships/hyperlink" Target="https://drive.google.com/file/d/1rAul2psMOdRRwRlR8dKYOSmk5JTuHx8a/view?usp=drivesdk" TargetMode="External"/><Relationship Id="rId389" Type="http://schemas.openxmlformats.org/officeDocument/2006/relationships/hyperlink" Target="https://drive.google.com/file/d/1oAjFU42xOgoL1pSChS3u23QN8tUsiBJF/view?usp=drivesdk" TargetMode="External"/><Relationship Id="rId596" Type="http://schemas.openxmlformats.org/officeDocument/2006/relationships/hyperlink" Target="https://drive.google.com/open?id=1qhMI0x1a142fg6nKcV9CMjLYR_YRAKei" TargetMode="External"/><Relationship Id="rId249" Type="http://schemas.openxmlformats.org/officeDocument/2006/relationships/hyperlink" Target="https://drive.google.com/file/d/1cmy-5cSv40V_bbWN_IGFcivsVUSOf276/view?usp=drivesdk" TargetMode="External"/><Relationship Id="rId456" Type="http://schemas.openxmlformats.org/officeDocument/2006/relationships/hyperlink" Target="https://drive.google.com/open?id=15Dls0AEsYq8YYjhyu9n8XqDL4_vrtItq" TargetMode="External"/><Relationship Id="rId663" Type="http://schemas.openxmlformats.org/officeDocument/2006/relationships/hyperlink" Target="https://drive.google.com/open?id=1VtL3hMv3VJGvxv-EmWB8iaTY4VeqPquE" TargetMode="External"/><Relationship Id="rId870" Type="http://schemas.openxmlformats.org/officeDocument/2006/relationships/hyperlink" Target="https://drive.google.com/open?id=1GahYvH7TJF_4OOjD5N-lAdyeH3MmmeyK" TargetMode="External"/><Relationship Id="rId1086" Type="http://schemas.openxmlformats.org/officeDocument/2006/relationships/hyperlink" Target="https://drive.google.com/open?id=11YvtCdXyL4XP2BN_UcDc1eaPVO64w-_3" TargetMode="External"/><Relationship Id="rId1293" Type="http://schemas.openxmlformats.org/officeDocument/2006/relationships/hyperlink" Target="https://drive.google.com/file/d/131DYGLqDyad1hRqRnlIHchWeK1DXMI0I/view?usp=drivesdk" TargetMode="External"/><Relationship Id="rId109" Type="http://schemas.openxmlformats.org/officeDocument/2006/relationships/hyperlink" Target="https://drive.google.com/file/d/11dPT2egFVkf9O6bZc6f4MIrZlQrkwGNl/view?usp=drivesdk" TargetMode="External"/><Relationship Id="rId316" Type="http://schemas.openxmlformats.org/officeDocument/2006/relationships/hyperlink" Target="https://drive.google.com/open?id=1SL-bNAmKVyR6FXIuhTLHQlWRGfM8P9BN" TargetMode="External"/><Relationship Id="rId523" Type="http://schemas.openxmlformats.org/officeDocument/2006/relationships/hyperlink" Target="https://drive.google.com/open?id=1TEUT7D9HUln6uOmFB_-0_o7zusHQPzia" TargetMode="External"/><Relationship Id="rId968" Type="http://schemas.openxmlformats.org/officeDocument/2006/relationships/hyperlink" Target="https://drive.google.com/open?id=1EcgJVuRCp8KR8SJTQ_n0xU3QA5yX_jpX" TargetMode="External"/><Relationship Id="rId1153" Type="http://schemas.openxmlformats.org/officeDocument/2006/relationships/hyperlink" Target="https://drive.google.com/file/d/1Ri7cp5CJy4_lDE9ve0r_K3DN6mpe51WZ/view?usp=drivesdk" TargetMode="External"/><Relationship Id="rId1598" Type="http://schemas.openxmlformats.org/officeDocument/2006/relationships/hyperlink" Target="https://drive.google.com/open?id=1GqmXRAjX2g2bvml2_CJ0_V0xWQFZycoQ" TargetMode="External"/><Relationship Id="rId97" Type="http://schemas.openxmlformats.org/officeDocument/2006/relationships/hyperlink" Target="https://drive.google.com/open?id=1J1cxAjCOAsMPLMNV5Gmz8f81eKTH3C5h" TargetMode="External"/><Relationship Id="rId730" Type="http://schemas.openxmlformats.org/officeDocument/2006/relationships/hyperlink" Target="https://drive.google.com/open?id=1aUmX2nlBwXI5ZGxDHmaocNEbevKim1s_" TargetMode="External"/><Relationship Id="rId828" Type="http://schemas.openxmlformats.org/officeDocument/2006/relationships/hyperlink" Target="https://drive.google.com/open?id=1xpDgiTGo_Qv2CheJ6NMGWfIHLAX851sL" TargetMode="External"/><Relationship Id="rId1013" Type="http://schemas.openxmlformats.org/officeDocument/2006/relationships/hyperlink" Target="https://drive.google.com/file/d/1Vc0Iw4GiN6WYumVoZP5FgGSkwdoUW52G/view?usp=drivesdk" TargetMode="External"/><Relationship Id="rId1360" Type="http://schemas.openxmlformats.org/officeDocument/2006/relationships/hyperlink" Target="https://drive.google.com/file/d/14eosf7uVzZHHFkNtFswNMkxBp76VkZvV/view?usp=drivesdk" TargetMode="External"/><Relationship Id="rId1458" Type="http://schemas.openxmlformats.org/officeDocument/2006/relationships/hyperlink" Target="https://drive.google.com/file/d/1DKDZWjNsJvH5VdJ17BBFTvXcmSWuq90-/view?usp=drivesdk" TargetMode="External"/><Relationship Id="rId1665" Type="http://schemas.openxmlformats.org/officeDocument/2006/relationships/hyperlink" Target="https://drive.google.com/open?id=1Z_4RCsPdOgM5pkTeUE7Dh41wmlZV1gHM" TargetMode="External"/><Relationship Id="rId1220" Type="http://schemas.openxmlformats.org/officeDocument/2006/relationships/hyperlink" Target="https://drive.google.com/open?id=1oL4svIFCvBBNNjnrBBG7wi48-yJtnT8J" TargetMode="External"/><Relationship Id="rId1318" Type="http://schemas.openxmlformats.org/officeDocument/2006/relationships/hyperlink" Target="https://drive.google.com/open?id=1Zoj-Ww8tzfKS_i3vkxMONw4KFiy0Cb3H" TargetMode="External"/><Relationship Id="rId1525" Type="http://schemas.openxmlformats.org/officeDocument/2006/relationships/hyperlink" Target="https://drive.google.com/open?id=1OeXfbLFqK84VFNMPce8SpFTbxwb8wgDo" TargetMode="External"/><Relationship Id="rId1732" Type="http://schemas.openxmlformats.org/officeDocument/2006/relationships/hyperlink" Target="https://drive.google.com/open?id=1tDefKjNwhnEBc4IWRn_mikF_TA-fWZm1" TargetMode="External"/><Relationship Id="rId24" Type="http://schemas.openxmlformats.org/officeDocument/2006/relationships/hyperlink" Target="https://drive.google.com/open?id=1hS8-JclVgg3hjesn-bySXKEvtcRGrUGA" TargetMode="External"/><Relationship Id="rId173" Type="http://schemas.openxmlformats.org/officeDocument/2006/relationships/hyperlink" Target="https://drive.google.com/file/d/1acL9BF_eCHsWAtMHd-sgqUefkKSRTVpE/view?usp=drivesdk" TargetMode="External"/><Relationship Id="rId380" Type="http://schemas.openxmlformats.org/officeDocument/2006/relationships/hyperlink" Target="https://drive.google.com/open?id=1ajCPGkq_iY4y3CI-dqIgnxGRQpIeujm-" TargetMode="External"/><Relationship Id="rId240" Type="http://schemas.openxmlformats.org/officeDocument/2006/relationships/hyperlink" Target="https://drive.google.com/open?id=1WUPtYpUKGLUDnVQgVlcypGyKN0Pqy9lO" TargetMode="External"/><Relationship Id="rId478" Type="http://schemas.openxmlformats.org/officeDocument/2006/relationships/hyperlink" Target="https://drive.google.com/file/d/1xGiQYGoj56JGoShpY29vyGCHk6fYSgnT/view?usp=drivesdk" TargetMode="External"/><Relationship Id="rId685" Type="http://schemas.openxmlformats.org/officeDocument/2006/relationships/hyperlink" Target="https://drive.google.com/open?id=19MtS1xLqPazP0l5rEoq_UWp2xc66Tb1Z" TargetMode="External"/><Relationship Id="rId892" Type="http://schemas.openxmlformats.org/officeDocument/2006/relationships/hyperlink" Target="https://drive.google.com/open?id=1qasDWfIJXn6xGAtsnqeDJWUQJDbjKQ6N" TargetMode="External"/><Relationship Id="rId100" Type="http://schemas.openxmlformats.org/officeDocument/2006/relationships/hyperlink" Target="https://drive.google.com/open?id=1orMZUZ3NPLAcytkWwIm0KRVskwhD3BMF" TargetMode="External"/><Relationship Id="rId338" Type="http://schemas.openxmlformats.org/officeDocument/2006/relationships/hyperlink" Target="https://drive.google.com/open?id=1M9mxnR2U-4JpluGtzqyaPwIi-NswalOH" TargetMode="External"/><Relationship Id="rId545" Type="http://schemas.openxmlformats.org/officeDocument/2006/relationships/hyperlink" Target="https://drive.google.com/open?id=1J7_ge0bNWFw75R7fCTX71tFG3XVzHax7" TargetMode="External"/><Relationship Id="rId752" Type="http://schemas.openxmlformats.org/officeDocument/2006/relationships/hyperlink" Target="https://drive.google.com/file/d/1eFxclqZT6nPEf5lPWDWGALmalUSRRKFm/view?usp=drivesdk" TargetMode="External"/><Relationship Id="rId1175" Type="http://schemas.openxmlformats.org/officeDocument/2006/relationships/hyperlink" Target="https://drive.google.com/open?id=1RzGQz3ctA0Ul6GFr4-ctmxado405AhDg" TargetMode="External"/><Relationship Id="rId1382" Type="http://schemas.openxmlformats.org/officeDocument/2006/relationships/hyperlink" Target="https://drive.google.com/file/d/1W7XggAdJRDtjbvLPDS1ZRg1kJBqL66Qe/view?usp=drivesdk" TargetMode="External"/><Relationship Id="rId405" Type="http://schemas.openxmlformats.org/officeDocument/2006/relationships/hyperlink" Target="https://drive.google.com/open?id=1rGLgVsY4Dh-K51JDC1tcIUexRPtiJazT" TargetMode="External"/><Relationship Id="rId612" Type="http://schemas.openxmlformats.org/officeDocument/2006/relationships/hyperlink" Target="https://drive.google.com/file/d/1kDpUbUkzfXCmufgGqa-Bpa21_z_wZnEb/view?usp=drivesdk" TargetMode="External"/><Relationship Id="rId1035" Type="http://schemas.openxmlformats.org/officeDocument/2006/relationships/hyperlink" Target="https://drive.google.com/open?id=1UVE0VHr4f894tYTLqgaL8GH8tEn_w8f-" TargetMode="External"/><Relationship Id="rId1242" Type="http://schemas.openxmlformats.org/officeDocument/2006/relationships/hyperlink" Target="https://drive.google.com/open?id=11XDcnCPOQFh7K31WwTUcX-UcoHjdPL74" TargetMode="External"/><Relationship Id="rId1687" Type="http://schemas.openxmlformats.org/officeDocument/2006/relationships/hyperlink" Target="https://drive.google.com/open?id=1lhVzvJabBYt824fLhSmMtQTfNqpQGYjq" TargetMode="External"/><Relationship Id="rId917" Type="http://schemas.openxmlformats.org/officeDocument/2006/relationships/hyperlink" Target="https://drive.google.com/open?id=1HB1xXpEtocCcpvAbqVTngTLw9abzcRr1" TargetMode="External"/><Relationship Id="rId1102" Type="http://schemas.openxmlformats.org/officeDocument/2006/relationships/hyperlink" Target="https://drive.google.com/open?id=1YiCzf6aUILT09YoiMafT7eZS5url6SUu" TargetMode="External"/><Relationship Id="rId1547" Type="http://schemas.openxmlformats.org/officeDocument/2006/relationships/hyperlink" Target="https://drive.google.com/open?id=1jZjKqOgK4zY0G9vIkP5jrka9f4oyV3H0" TargetMode="External"/><Relationship Id="rId1754" Type="http://schemas.openxmlformats.org/officeDocument/2006/relationships/hyperlink" Target="https://drive.google.com/open?id=1m94G3co8ceimLq2uQXm0ZMyyPf0TAI3K" TargetMode="External"/><Relationship Id="rId46" Type="http://schemas.openxmlformats.org/officeDocument/2006/relationships/hyperlink" Target="https://drive.google.com/file/d/1fOE-k6st4X1sLH9VwULe6CvIlBX11qgQ/view?usp=drivesdk" TargetMode="External"/><Relationship Id="rId1407" Type="http://schemas.openxmlformats.org/officeDocument/2006/relationships/hyperlink" Target="https://drive.google.com/open?id=1V3z0nQ4HkZf6hzJA8H61pzsRtOvpTRZ9" TargetMode="External"/><Relationship Id="rId1614" Type="http://schemas.openxmlformats.org/officeDocument/2006/relationships/hyperlink" Target="https://drive.google.com/file/d/1bsW04ewIup2r0yX95WStwTSuUKprm9c2/view?usp=drivesdk" TargetMode="External"/><Relationship Id="rId1821" Type="http://schemas.openxmlformats.org/officeDocument/2006/relationships/hyperlink" Target="https://drive.google.com/open?id=10OMY3WDWLXTmWCHrQHOJFb5y2ftZw4HD" TargetMode="External"/><Relationship Id="rId195" Type="http://schemas.openxmlformats.org/officeDocument/2006/relationships/hyperlink" Target="https://drive.google.com/open?id=1-iGncyIuqWDahiSbdjl_dnvKzhe2QiNR" TargetMode="External"/><Relationship Id="rId262" Type="http://schemas.openxmlformats.org/officeDocument/2006/relationships/hyperlink" Target="https://drive.google.com/file/d/1mjAwQ7uS4FBXuN15pt5z-0wCZLTgu27q/view?usp=drivesdk" TargetMode="External"/><Relationship Id="rId567" Type="http://schemas.openxmlformats.org/officeDocument/2006/relationships/hyperlink" Target="https://drive.google.com/open?id=1BwyWaiIFVqHfpY6kQwaQUNIql54Ruyb6" TargetMode="External"/><Relationship Id="rId1197" Type="http://schemas.openxmlformats.org/officeDocument/2006/relationships/hyperlink" Target="https://drive.google.com/open?id=1q80f3QXyuo-F73ZSyInox8kdPUmtLLFT" TargetMode="External"/><Relationship Id="rId122" Type="http://schemas.openxmlformats.org/officeDocument/2006/relationships/hyperlink" Target="https://drive.google.com/open?id=1ufUVZmW0-brGinYHed7YfOdVZz2xt0OE" TargetMode="External"/><Relationship Id="rId774" Type="http://schemas.openxmlformats.org/officeDocument/2006/relationships/hyperlink" Target="https://drive.google.com/file/d/1nu1Locf6swBL9_NPbdlRjj7h-PzRgSKA/view?usp=drivesdk" TargetMode="External"/><Relationship Id="rId981" Type="http://schemas.openxmlformats.org/officeDocument/2006/relationships/hyperlink" Target="https://drive.google.com/open?id=1N5KOFkp4KzxBBgkKotKY-k6ONbTYDLxK" TargetMode="External"/><Relationship Id="rId1057" Type="http://schemas.openxmlformats.org/officeDocument/2006/relationships/hyperlink" Target="https://drive.google.com/open?id=1xtXAtXutuWH0-KsnstbtzkdIBtzhaU0U" TargetMode="External"/><Relationship Id="rId427" Type="http://schemas.openxmlformats.org/officeDocument/2006/relationships/hyperlink" Target="https://drive.google.com/open?id=1_xRkUDs7TZ6gog2MCpNLouEG1zLEN4I1" TargetMode="External"/><Relationship Id="rId634" Type="http://schemas.openxmlformats.org/officeDocument/2006/relationships/hyperlink" Target="https://drive.google.com/file/d/121rBD_mYuCZj1LpzkVmxEGffYJaP8bb6/view?usp=drivesdk" TargetMode="External"/><Relationship Id="rId841" Type="http://schemas.openxmlformats.org/officeDocument/2006/relationships/hyperlink" Target="https://drive.google.com/open?id=1XWRkZQt6E3_QJNZAEO6XKMswkWXsFelV" TargetMode="External"/><Relationship Id="rId1264" Type="http://schemas.openxmlformats.org/officeDocument/2006/relationships/hyperlink" Target="https://drive.google.com/file/d/1Dk8Fgf6WEh5tFMrhm7mzjZfg_53qU3dt/view?usp=drivesdk" TargetMode="External"/><Relationship Id="rId1471" Type="http://schemas.openxmlformats.org/officeDocument/2006/relationships/hyperlink" Target="https://drive.google.com/open?id=1quG24MkCAjDdP9XqzXodREU3ZVfip8rq" TargetMode="External"/><Relationship Id="rId1569" Type="http://schemas.openxmlformats.org/officeDocument/2006/relationships/hyperlink" Target="https://drive.google.com/open?id=1kUctJsx6Dd07VOL9kWILaXvyUoPNKny0" TargetMode="External"/><Relationship Id="rId701" Type="http://schemas.openxmlformats.org/officeDocument/2006/relationships/hyperlink" Target="https://drive.google.com/open?id=1UAQ3FtZ0lZunhZjf-cbtBHch1mKCE3OK" TargetMode="External"/><Relationship Id="rId939" Type="http://schemas.openxmlformats.org/officeDocument/2006/relationships/hyperlink" Target="https://drive.google.com/open?id=1ZcLAejg-JIsZJdHKaBKAfwuNnegYm3x4" TargetMode="External"/><Relationship Id="rId1124" Type="http://schemas.openxmlformats.org/officeDocument/2006/relationships/hyperlink" Target="https://drive.google.com/file/d/1pZIw1pYj4CzyYLsRG7sZKVMxzKtqx_o0/view?usp=drivesdk" TargetMode="External"/><Relationship Id="rId1331" Type="http://schemas.openxmlformats.org/officeDocument/2006/relationships/hyperlink" Target="https://drive.google.com/open?id=1TXJaNWpp94FacBaZGjrz3HULInr6ekUH" TargetMode="External"/><Relationship Id="rId1776" Type="http://schemas.openxmlformats.org/officeDocument/2006/relationships/hyperlink" Target="https://drive.google.com/open?id=1IHVwnYJFet24Vcd-Zs_PPdF1ibR-m5EG" TargetMode="External"/><Relationship Id="rId68" Type="http://schemas.openxmlformats.org/officeDocument/2006/relationships/hyperlink" Target="https://drive.google.com/file/d/1TN-B2qrnvCaHsDesIwvKva2laj6hGrAC/view?usp=drivesdk" TargetMode="External"/><Relationship Id="rId1429" Type="http://schemas.openxmlformats.org/officeDocument/2006/relationships/hyperlink" Target="https://drive.google.com/open?id=1QCipbzYanVkj-e5NcQ-HFwHIhilI4IEK" TargetMode="External"/><Relationship Id="rId1636" Type="http://schemas.openxmlformats.org/officeDocument/2006/relationships/hyperlink" Target="https://drive.google.com/open?id=1TeNMf01_5zQD2pVWp66jUbrYyBALBIa9" TargetMode="External"/><Relationship Id="rId1703" Type="http://schemas.openxmlformats.org/officeDocument/2006/relationships/hyperlink" Target="https://drive.google.com/file/d/1HltQdoo-GYuxM4Uk5C_geBaYsiD_SQUD/view?usp=drivesdk" TargetMode="External"/><Relationship Id="rId284" Type="http://schemas.openxmlformats.org/officeDocument/2006/relationships/hyperlink" Target="https://drive.google.com/file/d/10cjmQ3SLO59Wapd-tZdSTHipVUtvieno/view?usp=drivesdk" TargetMode="External"/><Relationship Id="rId491" Type="http://schemas.openxmlformats.org/officeDocument/2006/relationships/hyperlink" Target="https://drive.google.com/open?id=1qWhAYXVlfyDueSLZxhQBP7hOQ2ckzALC" TargetMode="External"/><Relationship Id="rId144" Type="http://schemas.openxmlformats.org/officeDocument/2006/relationships/hyperlink" Target="https://drive.google.com/file/d/19Bz34ZkOCWqFg7K5NVI4i8dJ_n0rkBnO/view?usp=drivesdk" TargetMode="External"/><Relationship Id="rId589" Type="http://schemas.openxmlformats.org/officeDocument/2006/relationships/hyperlink" Target="https://drive.google.com/open?id=1W4pJVPUKEtyov6v3_nclH8HwR6YZbLIu" TargetMode="External"/><Relationship Id="rId796" Type="http://schemas.openxmlformats.org/officeDocument/2006/relationships/hyperlink" Target="https://drive.google.com/file/d/10m31NKVyvMd4_q1J4hyP2hpdNrPRAWKH/view?usp=drivesdk" TargetMode="External"/><Relationship Id="rId351" Type="http://schemas.openxmlformats.org/officeDocument/2006/relationships/hyperlink" Target="https://drive.google.com/open?id=19hK4SvSLIgLJ8qXzrKeYxcJEVe7l5Ooh" TargetMode="External"/><Relationship Id="rId449" Type="http://schemas.openxmlformats.org/officeDocument/2006/relationships/hyperlink" Target="https://drive.google.com/open?id=17jtPNWYcWj6N0RFAaDbUNcOmoePxcvbB" TargetMode="External"/><Relationship Id="rId656" Type="http://schemas.openxmlformats.org/officeDocument/2006/relationships/hyperlink" Target="https://drive.google.com/open?id=14z5TpWS1X-UqJcjxGQga_QziFbVssovw" TargetMode="External"/><Relationship Id="rId863" Type="http://schemas.openxmlformats.org/officeDocument/2006/relationships/hyperlink" Target="https://drive.google.com/open?id=1Had9Ah7atw7eFWUOYaStmq4iKaCcf3Os" TargetMode="External"/><Relationship Id="rId1079" Type="http://schemas.openxmlformats.org/officeDocument/2006/relationships/hyperlink" Target="https://drive.google.com/open?id=1tqIBfkEg-QeJXq2JfYnQca7SPABXYu5k" TargetMode="External"/><Relationship Id="rId1286" Type="http://schemas.openxmlformats.org/officeDocument/2006/relationships/hyperlink" Target="https://drive.google.com/file/d/1rGUjjM5ox-KUhMnbCoCE5GSikS4MwulH/view?usp=drivesdk" TargetMode="External"/><Relationship Id="rId1493" Type="http://schemas.openxmlformats.org/officeDocument/2006/relationships/hyperlink" Target="https://drive.google.com/file/d/1MVaikJ-GvWoejJ7J8WKCPmCTnapivji3/view?usp=drivesdk" TargetMode="External"/><Relationship Id="rId211" Type="http://schemas.openxmlformats.org/officeDocument/2006/relationships/hyperlink" Target="https://drive.google.com/open?id=13XDoRsTEMFynKfnYkuC7bLcAM63Qk-e4" TargetMode="External"/><Relationship Id="rId309" Type="http://schemas.openxmlformats.org/officeDocument/2006/relationships/hyperlink" Target="https://drive.google.com/open?id=14pXNuYYHlf4IuKg41nJEK1Twa-6wLeal" TargetMode="External"/><Relationship Id="rId516" Type="http://schemas.openxmlformats.org/officeDocument/2006/relationships/hyperlink" Target="https://drive.google.com/open?id=1NZKRlh4KEDhN7qj_Tf4Ng3uxa5eNyN61" TargetMode="External"/><Relationship Id="rId1146" Type="http://schemas.openxmlformats.org/officeDocument/2006/relationships/hyperlink" Target="https://drive.google.com/file/d/1UwB491TG3UciFvyT4_-SZeslzgnUVRNg/view?usp=drivesdk" TargetMode="External"/><Relationship Id="rId1798" Type="http://schemas.openxmlformats.org/officeDocument/2006/relationships/hyperlink" Target="https://drive.google.com/file/d/1m8-RdawkPMRjkvUIpsufxDGCYAY6G-yQ/view?usp=drivesdk" TargetMode="External"/><Relationship Id="rId723" Type="http://schemas.openxmlformats.org/officeDocument/2006/relationships/hyperlink" Target="https://drive.google.com/open?id=1RlKcCTw78oO8JjJhEwsbWZhni3OwiwvD" TargetMode="External"/><Relationship Id="rId930" Type="http://schemas.openxmlformats.org/officeDocument/2006/relationships/hyperlink" Target="https://drive.google.com/open?id=1EnTuELIJ82XYXj4b3RWSDwBqGXYLPr9L" TargetMode="External"/><Relationship Id="rId1006" Type="http://schemas.openxmlformats.org/officeDocument/2006/relationships/hyperlink" Target="https://drive.google.com/file/d/1ChS9KQ239TWFpsltlOya-rV8ZWD1la_n/view?usp=drivesdk" TargetMode="External"/><Relationship Id="rId1353" Type="http://schemas.openxmlformats.org/officeDocument/2006/relationships/hyperlink" Target="https://drive.google.com/file/d/18_kOI8eqFTV_43C7TLk_AvLKTBorpHsB/view?usp=drivesdk" TargetMode="External"/><Relationship Id="rId1560" Type="http://schemas.openxmlformats.org/officeDocument/2006/relationships/hyperlink" Target="https://drive.google.com/open?id=1_uWB_VlICPzzLOJUdhH5_VzkzOFFj7WH" TargetMode="External"/><Relationship Id="rId1658" Type="http://schemas.openxmlformats.org/officeDocument/2006/relationships/hyperlink" Target="https://drive.google.com/open?id=12AvY8AZSRoUkITM_xnZnkTgDFjjME6Xb" TargetMode="External"/><Relationship Id="rId1213" Type="http://schemas.openxmlformats.org/officeDocument/2006/relationships/hyperlink" Target="https://drive.google.com/open?id=1EotEvcpi3xupSu_QT1hm_iv6k9YDLvtD" TargetMode="External"/><Relationship Id="rId1420" Type="http://schemas.openxmlformats.org/officeDocument/2006/relationships/hyperlink" Target="https://drive.google.com/open?id=1R24LI0sHDNfdafysvGVKd9zzhZIgdSjr" TargetMode="External"/><Relationship Id="rId1518" Type="http://schemas.openxmlformats.org/officeDocument/2006/relationships/hyperlink" Target="https://drive.google.com/open?id=1hunFnDoGYmax_LwNNdiHBDAV328Ck4nY" TargetMode="External"/><Relationship Id="rId1725" Type="http://schemas.openxmlformats.org/officeDocument/2006/relationships/hyperlink" Target="https://drive.google.com/open?id=1THSRQYcyWiIWlsp2p1OimwkdT7Zoou1q" TargetMode="External"/><Relationship Id="rId17" Type="http://schemas.openxmlformats.org/officeDocument/2006/relationships/hyperlink" Target="https://drive.google.com/open?id=1S9GtoPvcUdKZZPqbmChD9dn-KRao0tSC" TargetMode="External"/><Relationship Id="rId166" Type="http://schemas.openxmlformats.org/officeDocument/2006/relationships/hyperlink" Target="https://drive.google.com/file/d/1QWPtd7mgqdGkx5L_EIGeA9AM9zbdBx7Z/view?usp=drivesdk" TargetMode="External"/><Relationship Id="rId373" Type="http://schemas.openxmlformats.org/officeDocument/2006/relationships/hyperlink" Target="https://drive.google.com/open?id=1MDwUnYn3B7UskTz0Fju5Ue7eNRw4hVab" TargetMode="External"/><Relationship Id="rId580" Type="http://schemas.openxmlformats.org/officeDocument/2006/relationships/hyperlink" Target="https://drive.google.com/open?id=1YyN5wtIiVc6lK92ZzeHK167VCSK5FOGQ" TargetMode="External"/><Relationship Id="rId1" Type="http://schemas.openxmlformats.org/officeDocument/2006/relationships/hyperlink" Target="https://drive.google.com/open?id=1UiYxkXqwqXaDF7a7BsrNfJeCsYEbQmXR" TargetMode="External"/><Relationship Id="rId233" Type="http://schemas.openxmlformats.org/officeDocument/2006/relationships/hyperlink" Target="https://drive.google.com/open?id=1u0jj8T5-nyz41auNgLQEL1nng-Kqcr2k" TargetMode="External"/><Relationship Id="rId440" Type="http://schemas.openxmlformats.org/officeDocument/2006/relationships/hyperlink" Target="https://drive.google.com/open?id=1wGEMKP_VMMEkVEfmIq8RE9isAqDPu3qF" TargetMode="External"/><Relationship Id="rId678" Type="http://schemas.openxmlformats.org/officeDocument/2006/relationships/hyperlink" Target="https://drive.google.com/open?id=1sf53L6gNmf8yt-ZKFhe5xN6Wu0z2wOAn" TargetMode="External"/><Relationship Id="rId885" Type="http://schemas.openxmlformats.org/officeDocument/2006/relationships/hyperlink" Target="https://drive.google.com/open?id=1aA6PoxWcbG-lHcbf45QLbprz3UF2-5bK" TargetMode="External"/><Relationship Id="rId1070" Type="http://schemas.openxmlformats.org/officeDocument/2006/relationships/hyperlink" Target="https://drive.google.com/open?id=1nSZUhpCVUgxrj_RlZDhLc0Mx2t23bBV4" TargetMode="External"/><Relationship Id="rId300" Type="http://schemas.openxmlformats.org/officeDocument/2006/relationships/hyperlink" Target="https://drive.google.com/open?id=1MnMJb2GLmFijvX27EDQcF1BJRESrMDxp" TargetMode="External"/><Relationship Id="rId538" Type="http://schemas.openxmlformats.org/officeDocument/2006/relationships/hyperlink" Target="https://drive.google.com/open?id=1kfLuxAYIBg-rJfP_lHOYYH93-8fRjbMK" TargetMode="External"/><Relationship Id="rId745" Type="http://schemas.openxmlformats.org/officeDocument/2006/relationships/hyperlink" Target="https://drive.google.com/file/d/1S-Ir73vTY-S3TEtuF-dKXGrtXOrE9jRU/view?usp=drivesdk" TargetMode="External"/><Relationship Id="rId952" Type="http://schemas.openxmlformats.org/officeDocument/2006/relationships/hyperlink" Target="https://drive.google.com/open?id=1thEbmEyTGka1h4OnnJfcc80O_EFIyqxj" TargetMode="External"/><Relationship Id="rId1168" Type="http://schemas.openxmlformats.org/officeDocument/2006/relationships/hyperlink" Target="https://drive.google.com/open?id=1qCqNbDygOyf09W5N0fTmBJd-NlgWCELX" TargetMode="External"/><Relationship Id="rId1375" Type="http://schemas.openxmlformats.org/officeDocument/2006/relationships/hyperlink" Target="https://drive.google.com/file/d/1j72Tw_GZhy5BOPxTFQxDi2bI0RhVq3u3/view?usp=drivesdk" TargetMode="External"/><Relationship Id="rId1582" Type="http://schemas.openxmlformats.org/officeDocument/2006/relationships/hyperlink" Target="https://drive.google.com/open?id=1OCgBoRVAxKzZPwG3E4Oaj-_3BldMUKBz" TargetMode="External"/><Relationship Id="rId81" Type="http://schemas.openxmlformats.org/officeDocument/2006/relationships/hyperlink" Target="https://drive.google.com/file/d/1lzlg0ns5WElJpQ4UcQ_AISEnLRafplV5/view?usp=drivesdk" TargetMode="External"/><Relationship Id="rId605" Type="http://schemas.openxmlformats.org/officeDocument/2006/relationships/hyperlink" Target="https://drive.google.com/file/d/1OOQobrmJviVQjgKlrrhyGlDVH_O6UU8l/view?usp=drivesdk" TargetMode="External"/><Relationship Id="rId812" Type="http://schemas.openxmlformats.org/officeDocument/2006/relationships/hyperlink" Target="https://drive.google.com/open?id=1sGwdyYdNaIzGMWyWEvcrgNl6ydrjsci7" TargetMode="External"/><Relationship Id="rId1028" Type="http://schemas.openxmlformats.org/officeDocument/2006/relationships/hyperlink" Target="https://drive.google.com/open?id=1uZu1zqzrD6TzuYNpVXIDcg_81TWJqVDX" TargetMode="External"/><Relationship Id="rId1235" Type="http://schemas.openxmlformats.org/officeDocument/2006/relationships/hyperlink" Target="https://drive.google.com/open?id=11khFtFCaMufvkfvjWDM7QBw4lgGIikRu" TargetMode="External"/><Relationship Id="rId1442" Type="http://schemas.openxmlformats.org/officeDocument/2006/relationships/hyperlink" Target="https://drive.google.com/open?id=1Rcin_39H3cqpHjYyY2G52sJNTpDJsQWS" TargetMode="External"/><Relationship Id="rId1302" Type="http://schemas.openxmlformats.org/officeDocument/2006/relationships/hyperlink" Target="https://drive.google.com/open?id=1twFDqfXuVXKiafb5BTE7P0vsCMo5OENL" TargetMode="External"/><Relationship Id="rId1747" Type="http://schemas.openxmlformats.org/officeDocument/2006/relationships/hyperlink" Target="https://drive.google.com/open?id=1z0qEfATwxBOpdQWoDbSlDhEjJJbRs5rK" TargetMode="External"/><Relationship Id="rId39" Type="http://schemas.openxmlformats.org/officeDocument/2006/relationships/hyperlink" Target="https://drive.google.com/file/d/1cu5bqT8RmVd4c3loZDgP_IbAUqxmwmIK/view?usp=drivesdk" TargetMode="External"/><Relationship Id="rId1607" Type="http://schemas.openxmlformats.org/officeDocument/2006/relationships/hyperlink" Target="https://drive.google.com/file/d/1HKWhQ9ghsypZTiWWbImsastg_MVEuynA/view?usp=drivesdk" TargetMode="External"/><Relationship Id="rId1814" Type="http://schemas.openxmlformats.org/officeDocument/2006/relationships/hyperlink" Target="https://drive.google.com/open?id=1wyDi3f9emzdAE36zcMMbPGsXtXHe_O6l" TargetMode="External"/><Relationship Id="rId188" Type="http://schemas.openxmlformats.org/officeDocument/2006/relationships/hyperlink" Target="https://drive.google.com/file/d/1Lc15hJDBCQev2Ya2sODSRCd9dHLiJ3hy/view?usp=drivesdk" TargetMode="External"/><Relationship Id="rId395" Type="http://schemas.openxmlformats.org/officeDocument/2006/relationships/hyperlink" Target="https://drive.google.com/open?id=1Fh7QgpY5kuewDNX7Bi0r-hEMiCsixuZ7" TargetMode="External"/><Relationship Id="rId255" Type="http://schemas.openxmlformats.org/officeDocument/2006/relationships/hyperlink" Target="https://drive.google.com/file/d/1dWLnU3uPSLLhfkgNo5enDV0dAKOICCmH/view?usp=drivesdk" TargetMode="External"/><Relationship Id="rId462" Type="http://schemas.openxmlformats.org/officeDocument/2006/relationships/hyperlink" Target="https://drive.google.com/open?id=1aiPIMfR41IJwnzqnJR7Rqnbyld7sVLcO" TargetMode="External"/><Relationship Id="rId1092" Type="http://schemas.openxmlformats.org/officeDocument/2006/relationships/hyperlink" Target="https://drive.google.com/open?id=1_tVo-IHkcLq1vNYsvG0XGe7L4Hg1Uvm7" TargetMode="External"/><Relationship Id="rId1397" Type="http://schemas.openxmlformats.org/officeDocument/2006/relationships/hyperlink" Target="https://drive.google.com/open?id=1xMXmTGHFV8FZrSaOvvLxyudsNzNRPa5J" TargetMode="External"/><Relationship Id="rId115" Type="http://schemas.openxmlformats.org/officeDocument/2006/relationships/hyperlink" Target="https://drive.google.com/open?id=1NeHNERFMz2EoW1rd28CUB1zQ79osNYyk" TargetMode="External"/><Relationship Id="rId322" Type="http://schemas.openxmlformats.org/officeDocument/2006/relationships/hyperlink" Target="https://drive.google.com/open?id=1pqdB4K2x7VUh30FYpZo8Zs6keJPkZ3yK" TargetMode="External"/><Relationship Id="rId767" Type="http://schemas.openxmlformats.org/officeDocument/2006/relationships/hyperlink" Target="https://drive.google.com/file/d/1gS3uveg2HqQS-lajOYzVuJvg7WC6lYn6/view?usp=drivesdk" TargetMode="External"/><Relationship Id="rId974" Type="http://schemas.openxmlformats.org/officeDocument/2006/relationships/hyperlink" Target="https://drive.google.com/open?id=1BjEtuAIKsrfWxtNxGiaxZFtX_e1f_FNu" TargetMode="External"/><Relationship Id="rId627" Type="http://schemas.openxmlformats.org/officeDocument/2006/relationships/hyperlink" Target="https://drive.google.com/file/d/1WWBy6ldJxkK8-dwVBXAKNRcQAT3yZbbr/view?usp=drivesdk" TargetMode="External"/><Relationship Id="rId834" Type="http://schemas.openxmlformats.org/officeDocument/2006/relationships/hyperlink" Target="https://drive.google.com/open?id=1kjKZEov5Ev-H6AOznwlOS7Rj2nDfIpOb" TargetMode="External"/><Relationship Id="rId1257" Type="http://schemas.openxmlformats.org/officeDocument/2006/relationships/hyperlink" Target="https://drive.google.com/file/d/1cVXi3d1lRtsUMOB3x9zohxEPXqhf2L3Z/view?usp=drivesdk" TargetMode="External"/><Relationship Id="rId1464" Type="http://schemas.openxmlformats.org/officeDocument/2006/relationships/hyperlink" Target="https://drive.google.com/open?id=1r2GwlfMy28J48onUWikmUIw19q5UpDM5" TargetMode="External"/><Relationship Id="rId1671" Type="http://schemas.openxmlformats.org/officeDocument/2006/relationships/hyperlink" Target="https://drive.google.com/open?id=1-BeaSAQ1z4j_Ep-IEW4FDj7cKdTrQZbn" TargetMode="External"/><Relationship Id="rId901" Type="http://schemas.openxmlformats.org/officeDocument/2006/relationships/hyperlink" Target="https://drive.google.com/file/d/14ceatyfWda6e4wXLUCuhdvWwdTRftbIl/view?usp=drivesdk" TargetMode="External"/><Relationship Id="rId1117" Type="http://schemas.openxmlformats.org/officeDocument/2006/relationships/hyperlink" Target="https://drive.google.com/file/d/11Iah4el8ia8eJ0Go2YediAgtHSvF-k7z/view?usp=drivesdk" TargetMode="External"/><Relationship Id="rId1324" Type="http://schemas.openxmlformats.org/officeDocument/2006/relationships/hyperlink" Target="https://drive.google.com/open?id=1OB0jJfp4YhA9N6fUgsjvkjPuUuCp2ZcC" TargetMode="External"/><Relationship Id="rId1531" Type="http://schemas.openxmlformats.org/officeDocument/2006/relationships/hyperlink" Target="https://drive.google.com/open?id=1NgoQGtletASJF1OjBuxEFD2LyxQKHa6e" TargetMode="External"/><Relationship Id="rId1769" Type="http://schemas.openxmlformats.org/officeDocument/2006/relationships/hyperlink" Target="https://drive.google.com/open?id=1Gph2ikjFEf3YNsD7BbCphvqmrPZnGZze" TargetMode="External"/><Relationship Id="rId30" Type="http://schemas.openxmlformats.org/officeDocument/2006/relationships/hyperlink" Target="https://drive.google.com/open?id=1z9_qLyxhxX8Wgj8dxEhPEKxEa7qOmf2B" TargetMode="External"/><Relationship Id="rId1629" Type="http://schemas.openxmlformats.org/officeDocument/2006/relationships/hyperlink" Target="https://drive.google.com/open?id=10-iDro85rpl8OM-nauYHbVK28DZ0ziMb" TargetMode="External"/><Relationship Id="rId1836" Type="http://schemas.openxmlformats.org/officeDocument/2006/relationships/vmlDrawing" Target="../drawings/vmlDrawing1.vml"/><Relationship Id="rId277" Type="http://schemas.openxmlformats.org/officeDocument/2006/relationships/hyperlink" Target="https://drive.google.com/file/d/1wKcVqVDg-7rWJCSPLK6S0MgNJeNCVkw_/view?usp=drivesdk" TargetMode="External"/><Relationship Id="rId484" Type="http://schemas.openxmlformats.org/officeDocument/2006/relationships/hyperlink" Target="https://drive.google.com/open?id=1WmYfS_sdfG1N7LD6kF6xh5pxacu31vpN" TargetMode="External"/><Relationship Id="rId137" Type="http://schemas.openxmlformats.org/officeDocument/2006/relationships/hyperlink" Target="https://drive.google.com/file/d/1N8ipRAIi4uCLGTqAH32Xca29RdH1jM5q/view?usp=drivesdk" TargetMode="External"/><Relationship Id="rId344" Type="http://schemas.openxmlformats.org/officeDocument/2006/relationships/hyperlink" Target="https://drive.google.com/open?id=1BisaqYlw5KcBMbjKaV9E6QkspvibtuSs" TargetMode="External"/><Relationship Id="rId691" Type="http://schemas.openxmlformats.org/officeDocument/2006/relationships/hyperlink" Target="https://drive.google.com/open?id=1ny--2ayvsnwigGjbXwYN720DUDiEVSFp" TargetMode="External"/><Relationship Id="rId789" Type="http://schemas.openxmlformats.org/officeDocument/2006/relationships/hyperlink" Target="https://drive.google.com/file/d/1uDj9WedGSMgHXbu7wqfM4PAEfELd3aXd/view?usp=drivesdk" TargetMode="External"/><Relationship Id="rId996" Type="http://schemas.openxmlformats.org/officeDocument/2006/relationships/hyperlink" Target="https://drive.google.com/open?id=1vC0d42WQwFN9nTjemOZYXcFso0LM7w7i" TargetMode="External"/><Relationship Id="rId551" Type="http://schemas.openxmlformats.org/officeDocument/2006/relationships/hyperlink" Target="https://drive.google.com/open?id=1yz_mV0T2DnVoE_CacoEFU7f9AQJd9zw7" TargetMode="External"/><Relationship Id="rId649" Type="http://schemas.openxmlformats.org/officeDocument/2006/relationships/hyperlink" Target="https://drive.google.com/open?id=1cQ822PcueOSmO1EHbNHU0vYZSQNizi-Y" TargetMode="External"/><Relationship Id="rId856" Type="http://schemas.openxmlformats.org/officeDocument/2006/relationships/hyperlink" Target="https://drive.google.com/open?id=1ZcG6Q1aFj9aqTSot8gxZl3uOQtEaxnqm" TargetMode="External"/><Relationship Id="rId1181" Type="http://schemas.openxmlformats.org/officeDocument/2006/relationships/hyperlink" Target="https://drive.google.com/file/d/10QWz-9sjj9USP8rRVDxwCrk3esITnNZw/view?usp=drivesdk" TargetMode="External"/><Relationship Id="rId1279" Type="http://schemas.openxmlformats.org/officeDocument/2006/relationships/hyperlink" Target="https://drive.google.com/file/d/1W-9NMsyYG0gvNvv-nBX1ToyBWhOXzIeV/view?usp=drivesdk" TargetMode="External"/><Relationship Id="rId1486" Type="http://schemas.openxmlformats.org/officeDocument/2006/relationships/hyperlink" Target="https://drive.google.com/file/d/1dwW_1xbviZ4HuoRccQ7dt-csw6_dsEkL/view?usp=drivesdk" TargetMode="External"/><Relationship Id="rId204" Type="http://schemas.openxmlformats.org/officeDocument/2006/relationships/hyperlink" Target="https://drive.google.com/open?id=1YNR21xrlnemX8DyEx8E-BXPUEJjrVWA0" TargetMode="External"/><Relationship Id="rId411" Type="http://schemas.openxmlformats.org/officeDocument/2006/relationships/hyperlink" Target="https://drive.google.com/file/d/1UL4z-XYF28-xByW26wngN3i25euoYHtP/view?usp=drivesdk" TargetMode="External"/><Relationship Id="rId509" Type="http://schemas.openxmlformats.org/officeDocument/2006/relationships/hyperlink" Target="https://drive.google.com/open?id=1lrFWJ-YjKCFSpHmG-terxCpT9lzXAZRI" TargetMode="External"/><Relationship Id="rId1041" Type="http://schemas.openxmlformats.org/officeDocument/2006/relationships/hyperlink" Target="https://drive.google.com/file/d/1Rs0ZQjv_Eo_dpd05SXjX73iaSlDtiSo8/view?usp=drivesdk" TargetMode="External"/><Relationship Id="rId1139" Type="http://schemas.openxmlformats.org/officeDocument/2006/relationships/hyperlink" Target="https://drive.google.com/file/d/1Z5NfdIvq-mLilIlMskwn_6DvnBLjTDvq/view?usp=drivesdk" TargetMode="External"/><Relationship Id="rId1346" Type="http://schemas.openxmlformats.org/officeDocument/2006/relationships/hyperlink" Target="https://drive.google.com/file/d/1jtgNkVHU6KFzJkHdtNwWcePwOtmE5zAN/view?usp=drivesdk" TargetMode="External"/><Relationship Id="rId1693" Type="http://schemas.openxmlformats.org/officeDocument/2006/relationships/hyperlink" Target="https://drive.google.com/open?id=1H0z86za87TvvKsWfDlM60mPamdgvIKmF" TargetMode="External"/><Relationship Id="rId716" Type="http://schemas.openxmlformats.org/officeDocument/2006/relationships/hyperlink" Target="https://drive.google.com/open?id=1gsDO8DvA_FX0GwxiMTueaDl955tGT8LI" TargetMode="External"/><Relationship Id="rId923" Type="http://schemas.openxmlformats.org/officeDocument/2006/relationships/hyperlink" Target="https://drive.google.com/open?id=1NBkJlhHoY9QCDLbza-gRy7ipJWrYk745" TargetMode="External"/><Relationship Id="rId1553" Type="http://schemas.openxmlformats.org/officeDocument/2006/relationships/hyperlink" Target="https://drive.google.com/open?id=1G7o6CLQovOw6Ry0I4jPhXFBa_Qy0e8_S" TargetMode="External"/><Relationship Id="rId1760" Type="http://schemas.openxmlformats.org/officeDocument/2006/relationships/hyperlink" Target="https://drive.google.com/open?id=1F4b0ugMcY8MEXIjUUUPDuxz41t1B-Xsr" TargetMode="External"/><Relationship Id="rId52" Type="http://schemas.openxmlformats.org/officeDocument/2006/relationships/hyperlink" Target="https://drive.google.com/open?id=1WFu5J47kpz3ch8Jv9IdTZdt7Ltbe6lcy" TargetMode="External"/><Relationship Id="rId1206" Type="http://schemas.openxmlformats.org/officeDocument/2006/relationships/hyperlink" Target="https://drive.google.com/open?id=1Tbs_lqOzSt0Na2CgWRBV4YzPSHAue1nd" TargetMode="External"/><Relationship Id="rId1413" Type="http://schemas.openxmlformats.org/officeDocument/2006/relationships/hyperlink" Target="https://drive.google.com/open?id=1a0Ha5TJ4jLlEOovyMLdRIeoyLK61vjby" TargetMode="External"/><Relationship Id="rId1620" Type="http://schemas.openxmlformats.org/officeDocument/2006/relationships/hyperlink" Target="https://drive.google.com/file/d/1nMxl3xplK7vVEZXVbg0APFvCeWP03vEP/view?usp=drivesdk" TargetMode="External"/><Relationship Id="rId1718" Type="http://schemas.openxmlformats.org/officeDocument/2006/relationships/hyperlink" Target="https://drive.google.com/open?id=16MQb2uvdhpQJS5bCV9eXpsifGjvkksUP" TargetMode="External"/><Relationship Id="rId299" Type="http://schemas.openxmlformats.org/officeDocument/2006/relationships/hyperlink" Target="https://drive.google.com/open?id=18Wt-gRhp8LqOikan58dtcKgOfmT4zp6I" TargetMode="External"/><Relationship Id="rId159" Type="http://schemas.openxmlformats.org/officeDocument/2006/relationships/hyperlink" Target="https://drive.google.com/file/d/1lV_Ecc7aNct74yOpzPCM3u9qy5FCBKNs/view?usp=drivesdk" TargetMode="External"/><Relationship Id="rId366" Type="http://schemas.openxmlformats.org/officeDocument/2006/relationships/hyperlink" Target="https://drive.google.com/open?id=14B5ZJdE5M_yWXunDz4r5gMD5-Y1GtBJ5" TargetMode="External"/><Relationship Id="rId573" Type="http://schemas.openxmlformats.org/officeDocument/2006/relationships/hyperlink" Target="https://drive.google.com/open?id=1kfgips5vDxcDwKs5ItZIO7gkbJD4b8zN" TargetMode="External"/><Relationship Id="rId780" Type="http://schemas.openxmlformats.org/officeDocument/2006/relationships/hyperlink" Target="https://drive.google.com/open?id=11EwsshDzdb0XeqjNhP7oqBXPngPAS6JS" TargetMode="External"/><Relationship Id="rId226" Type="http://schemas.openxmlformats.org/officeDocument/2006/relationships/hyperlink" Target="https://drive.google.com/open?id=150iYtHvoLHKkOZ8BVA2Xw85zVqNph8zl" TargetMode="External"/><Relationship Id="rId433" Type="http://schemas.openxmlformats.org/officeDocument/2006/relationships/hyperlink" Target="https://drive.google.com/open?id=1VgyuzvsBazZkzWByse3gGLwZYzXb5PWz" TargetMode="External"/><Relationship Id="rId878" Type="http://schemas.openxmlformats.org/officeDocument/2006/relationships/hyperlink" Target="https://drive.google.com/open?id=11YWtaSh7nZBh_VZx28U9v1YPFCNVnx-u" TargetMode="External"/><Relationship Id="rId1063" Type="http://schemas.openxmlformats.org/officeDocument/2006/relationships/hyperlink" Target="https://drive.google.com/open?id=1POS0CBFSiN2TL58FOigHjl9IUbJX2oNn" TargetMode="External"/><Relationship Id="rId1270" Type="http://schemas.openxmlformats.org/officeDocument/2006/relationships/hyperlink" Target="https://drive.google.com/open?id=1tqVik-YAZw8BxOmep-EfVx6QSHJhFTok" TargetMode="External"/><Relationship Id="rId640" Type="http://schemas.openxmlformats.org/officeDocument/2006/relationships/hyperlink" Target="https://drive.google.com/file/d/1PYqu2AbDNYFjEu9DCWHb8cHVDTu3zdLO/view?usp=drivesdk" TargetMode="External"/><Relationship Id="rId738" Type="http://schemas.openxmlformats.org/officeDocument/2006/relationships/hyperlink" Target="https://drive.google.com/file/d/1JGIW13YYdpR4umLEo41z7aVZewoGyO8p/view?usp=drivesdk" TargetMode="External"/><Relationship Id="rId945" Type="http://schemas.openxmlformats.org/officeDocument/2006/relationships/hyperlink" Target="https://drive.google.com/open?id=1bYmRf5vZXKYtQSIl2xtyfBdLzO6k_Hsd" TargetMode="External"/><Relationship Id="rId1368" Type="http://schemas.openxmlformats.org/officeDocument/2006/relationships/hyperlink" Target="https://drive.google.com/file/d/1LhYN0vQM6Yg4zPTJROleiKk9t1njcn_n/view?usp=drivesdk" TargetMode="External"/><Relationship Id="rId1575" Type="http://schemas.openxmlformats.org/officeDocument/2006/relationships/hyperlink" Target="https://drive.google.com/open?id=1b4tzHCXdTCaFb8PAe1GNLSUM00IltaGN" TargetMode="External"/><Relationship Id="rId1782" Type="http://schemas.openxmlformats.org/officeDocument/2006/relationships/hyperlink" Target="https://drive.google.com/open?id=1C4Sygk3SrRt8VKRzYr287gDjFnVFkIoh" TargetMode="External"/><Relationship Id="rId74" Type="http://schemas.openxmlformats.org/officeDocument/2006/relationships/hyperlink" Target="https://drive.google.com/file/d/113-RtzaYLkNHuvxYKqZ0LM-rtTFjeR4K/view?usp=drivesdk" TargetMode="External"/><Relationship Id="rId500" Type="http://schemas.openxmlformats.org/officeDocument/2006/relationships/hyperlink" Target="https://drive.google.com/file/d/1fWARPg-OrEVN5KAGKLDpeOg--BN1WVCH/view?usp=drivesdk" TargetMode="External"/><Relationship Id="rId805" Type="http://schemas.openxmlformats.org/officeDocument/2006/relationships/hyperlink" Target="https://drive.google.com/open?id=1SBHGzMJll283wkKzo7LD3aWWrQ8-15cE" TargetMode="External"/><Relationship Id="rId1130" Type="http://schemas.openxmlformats.org/officeDocument/2006/relationships/hyperlink" Target="https://drive.google.com/open?id=1YJcgM5ODaDTHRxzHZIj4tt2h-XuaQejC" TargetMode="External"/><Relationship Id="rId1228" Type="http://schemas.openxmlformats.org/officeDocument/2006/relationships/hyperlink" Target="https://drive.google.com/open?id=1rGBaKOuQo59LIXCPYZzAjokN0H34mYX1" TargetMode="External"/><Relationship Id="rId1435" Type="http://schemas.openxmlformats.org/officeDocument/2006/relationships/hyperlink" Target="https://drive.google.com/open?id=1b0RSpsZy8O7Gk8pWTRPM-b5zNeYsBwud" TargetMode="External"/><Relationship Id="rId1642" Type="http://schemas.openxmlformats.org/officeDocument/2006/relationships/hyperlink" Target="https://drive.google.com/open?id=18igOkMjiE_KCEbmcBz_16UjNyF0SNgtR" TargetMode="External"/><Relationship Id="rId1502" Type="http://schemas.openxmlformats.org/officeDocument/2006/relationships/hyperlink" Target="https://drive.google.com/file/d/1lMEFGe3m-QSyv2rRM50GRuAu9CrD-uUJ/view?usp=drivesdk" TargetMode="External"/><Relationship Id="rId1807" Type="http://schemas.openxmlformats.org/officeDocument/2006/relationships/hyperlink" Target="https://drive.google.com/open?id=1aL7WuUjSO3UDJjL52dMOEh855uKOU7Ps" TargetMode="External"/><Relationship Id="rId290" Type="http://schemas.openxmlformats.org/officeDocument/2006/relationships/hyperlink" Target="https://drive.google.com/file/d/1gH0wz28gqgbX9Q5LRKA-3jHURkYGqkp3/view?usp=drivesdk" TargetMode="External"/><Relationship Id="rId388" Type="http://schemas.openxmlformats.org/officeDocument/2006/relationships/hyperlink" Target="https://drive.google.com/open?id=1aF26Ln1JCSGMw72KDJxFPxbR1awwvySD" TargetMode="External"/><Relationship Id="rId150" Type="http://schemas.openxmlformats.org/officeDocument/2006/relationships/hyperlink" Target="https://drive.google.com/open?id=1iMiGsK0fDBHMW_s9t_WNUSCo5baVSxKd" TargetMode="External"/><Relationship Id="rId595" Type="http://schemas.openxmlformats.org/officeDocument/2006/relationships/hyperlink" Target="https://drive.google.com/open?id=1zIIp4u3pl5k7u9VLBzAQNX7TYeFyfGIO" TargetMode="External"/><Relationship Id="rId248" Type="http://schemas.openxmlformats.org/officeDocument/2006/relationships/hyperlink" Target="https://drive.google.com/file/d/1htsRVVZr4SD4ZNLOYIJiqzj1MLaXQOQs/view?usp=drivesdk" TargetMode="External"/><Relationship Id="rId455" Type="http://schemas.openxmlformats.org/officeDocument/2006/relationships/hyperlink" Target="https://drive.google.com/open?id=1g7MDaekEXPMEY4KRuEgmRMDxgUnVaWan" TargetMode="External"/><Relationship Id="rId662" Type="http://schemas.openxmlformats.org/officeDocument/2006/relationships/hyperlink" Target="https://drive.google.com/file/d/1cyGRn_r0ohs1-uiYktznAkDREyCEzPfy/view?usp=drivesdk" TargetMode="External"/><Relationship Id="rId1085" Type="http://schemas.openxmlformats.org/officeDocument/2006/relationships/hyperlink" Target="https://drive.google.com/open?id=1n16V75mezri15IdhlqdQhaCmUbTL3LSO" TargetMode="External"/><Relationship Id="rId1292" Type="http://schemas.openxmlformats.org/officeDocument/2006/relationships/hyperlink" Target="https://drive.google.com/file/d/1l36LDtPy7A7yLs7c2RAaFcnoTL5lGLBe/view?usp=drivesdk" TargetMode="External"/><Relationship Id="rId108" Type="http://schemas.openxmlformats.org/officeDocument/2006/relationships/hyperlink" Target="https://drive.google.com/open?id=1-_ecLS4gWqQzcvrVGT38HPzNldU0iUJp" TargetMode="External"/><Relationship Id="rId315" Type="http://schemas.openxmlformats.org/officeDocument/2006/relationships/hyperlink" Target="https://drive.google.com/open?id=1P0gMaVECX58gUOSoLhzpJ1E6rRDoD4PA" TargetMode="External"/><Relationship Id="rId522" Type="http://schemas.openxmlformats.org/officeDocument/2006/relationships/hyperlink" Target="https://drive.google.com/open?id=14OlDax7H_QywSxEGnLrkU4pyQ-T78yyH" TargetMode="External"/><Relationship Id="rId967" Type="http://schemas.openxmlformats.org/officeDocument/2006/relationships/hyperlink" Target="https://drive.google.com/open?id=15EvdsIYQYffsMojGDK1SULudtZ-wTcOF" TargetMode="External"/><Relationship Id="rId1152" Type="http://schemas.openxmlformats.org/officeDocument/2006/relationships/hyperlink" Target="https://drive.google.com/file/d/1sWONRpT1vEbocs9wdv32cs3ujWnpg2DN/view?usp=drivesdk" TargetMode="External"/><Relationship Id="rId1597" Type="http://schemas.openxmlformats.org/officeDocument/2006/relationships/hyperlink" Target="https://drive.google.com/open?id=1RyVCeM1UJQWb__iBiA91tgfomdjXAVo4" TargetMode="External"/><Relationship Id="rId96" Type="http://schemas.openxmlformats.org/officeDocument/2006/relationships/hyperlink" Target="https://drive.google.com/file/d/165iTFmz24Q4N94OoU8EKD8B0DWVDesAf/view?usp=drivesdk" TargetMode="External"/><Relationship Id="rId827" Type="http://schemas.openxmlformats.org/officeDocument/2006/relationships/hyperlink" Target="https://drive.google.com/open?id=1biLexq1Kl68k6rRNg5DAVqf3V_tFR-vF" TargetMode="External"/><Relationship Id="rId1012" Type="http://schemas.openxmlformats.org/officeDocument/2006/relationships/hyperlink" Target="https://drive.google.com/file/d/1c4DYl8cZ6JNj-dOc0tBH5Fi-yCfOARQK/view?usp=drivesdk" TargetMode="External"/><Relationship Id="rId1457" Type="http://schemas.openxmlformats.org/officeDocument/2006/relationships/hyperlink" Target="https://drive.google.com/open?id=1ni6efb8vji13kx59GULvQyyGGPoKyXlf" TargetMode="External"/><Relationship Id="rId1664" Type="http://schemas.openxmlformats.org/officeDocument/2006/relationships/hyperlink" Target="https://drive.google.com/open?id=1sH36eaI9NwREyUPZsJzEotEBlEDUEspz" TargetMode="External"/><Relationship Id="rId1317" Type="http://schemas.openxmlformats.org/officeDocument/2006/relationships/hyperlink" Target="https://drive.google.com/open?id=140t4hGXv4IKVud7_aWLh4VeYTLRr9ao0" TargetMode="External"/><Relationship Id="rId1524" Type="http://schemas.openxmlformats.org/officeDocument/2006/relationships/hyperlink" Target="https://drive.google.com/open?id=15Ir1rNoC7vBrGWFMDvooeHwX2fkXQs2D" TargetMode="External"/><Relationship Id="rId1731" Type="http://schemas.openxmlformats.org/officeDocument/2006/relationships/hyperlink" Target="https://drive.google.com/open?id=1XD07wZoLfZGTMK-uADDA0J8H8oLMPwin" TargetMode="External"/><Relationship Id="rId23" Type="http://schemas.openxmlformats.org/officeDocument/2006/relationships/hyperlink" Target="https://drive.google.com/open?id=1QMsFB0s4il5oS9ehEl9RkpzDEq6LiY1r" TargetMode="External"/><Relationship Id="rId1829" Type="http://schemas.openxmlformats.org/officeDocument/2006/relationships/hyperlink" Target="https://drive.google.com/open?id=13WsUJhstSmg58-v2AWSnDoF3IQjuOwbz" TargetMode="External"/><Relationship Id="rId172" Type="http://schemas.openxmlformats.org/officeDocument/2006/relationships/hyperlink" Target="https://drive.google.com/open?id=1EyZ9SUlmbm7iaXWOjo34CbrYdRWvvXLH" TargetMode="External"/><Relationship Id="rId477" Type="http://schemas.openxmlformats.org/officeDocument/2006/relationships/hyperlink" Target="https://drive.google.com/open?id=1tA_PZDgomao27Umd96fzdmeOqTFffLsU" TargetMode="External"/><Relationship Id="rId684" Type="http://schemas.openxmlformats.org/officeDocument/2006/relationships/hyperlink" Target="https://drive.google.com/open?id=1IF6PfvgkNnyGeYDWVrUJdXiKMMpDKJV4" TargetMode="External"/><Relationship Id="rId337" Type="http://schemas.openxmlformats.org/officeDocument/2006/relationships/hyperlink" Target="https://drive.google.com/open?id=12sfOVr20mZlXbxH96vklhqJc9WzApHA9" TargetMode="External"/><Relationship Id="rId891" Type="http://schemas.openxmlformats.org/officeDocument/2006/relationships/hyperlink" Target="https://drive.google.com/open?id=1uQiQN4rDGgK9LmMCd3et2DD5D68FzMr7" TargetMode="External"/><Relationship Id="rId989" Type="http://schemas.openxmlformats.org/officeDocument/2006/relationships/hyperlink" Target="https://drive.google.com/open?id=117I8K49dyJ_u6n_x6Jalcc3PPZs8QxrK" TargetMode="External"/><Relationship Id="rId544" Type="http://schemas.openxmlformats.org/officeDocument/2006/relationships/hyperlink" Target="https://drive.google.com/open?id=19AzrCEvxAxysqOM8iDScC0tbLMHTfapk" TargetMode="External"/><Relationship Id="rId751" Type="http://schemas.openxmlformats.org/officeDocument/2006/relationships/hyperlink" Target="https://drive.google.com/open?id=1V_Oh8oVh7udTTLuAfE0Lo2W2pq_ufpLL" TargetMode="External"/><Relationship Id="rId849" Type="http://schemas.openxmlformats.org/officeDocument/2006/relationships/hyperlink" Target="https://drive.google.com/open?id=1gKxp7RPyH0Xdpr3ufdEnykBGIUpJn7EH" TargetMode="External"/><Relationship Id="rId1174" Type="http://schemas.openxmlformats.org/officeDocument/2006/relationships/hyperlink" Target="https://drive.google.com/file/d/1WEo0RATABDPlZ2tZZRDLzU4beOnbdXdk/view?usp=drivesdk" TargetMode="External"/><Relationship Id="rId1381" Type="http://schemas.openxmlformats.org/officeDocument/2006/relationships/hyperlink" Target="https://drive.google.com/file/d/1wklE2j-QrtYBviAMbXEeaWfQK3loBzIq/view?usp=drivesdk" TargetMode="External"/><Relationship Id="rId1479" Type="http://schemas.openxmlformats.org/officeDocument/2006/relationships/hyperlink" Target="https://drive.google.com/file/d/1bxB83rUbO8fZgCuhMe4q_f3QxYQi1yWL/view?usp=drivesdk" TargetMode="External"/><Relationship Id="rId1686" Type="http://schemas.openxmlformats.org/officeDocument/2006/relationships/hyperlink" Target="https://drive.google.com/open?id=1aYVKO40QtoJv_fOnbnVvSwmBNngsv2r1" TargetMode="External"/><Relationship Id="rId404" Type="http://schemas.openxmlformats.org/officeDocument/2006/relationships/hyperlink" Target="https://drive.google.com/file/d/1VUqDfZNeobdwdqIgnFMCPrfWNixJ-NUe/view?usp=drivesdk" TargetMode="External"/><Relationship Id="rId611" Type="http://schemas.openxmlformats.org/officeDocument/2006/relationships/hyperlink" Target="https://drive.google.com/file/d/1ACMtMIt9WH7gJL1YTY_R1TqPv_M8o82O/view?usp=drivesdk" TargetMode="External"/><Relationship Id="rId1034" Type="http://schemas.openxmlformats.org/officeDocument/2006/relationships/hyperlink" Target="https://drive.google.com/file/d/1MqMUYz1LCEX61ty92V6tr6TK3cc7fy0c/view?usp=drivesdk" TargetMode="External"/><Relationship Id="rId1241" Type="http://schemas.openxmlformats.org/officeDocument/2006/relationships/hyperlink" Target="https://drive.google.com/open?id=1dH7JRDTOwW7n6Gbe3f18ZtrOkGtAN1Lq" TargetMode="External"/><Relationship Id="rId1339" Type="http://schemas.openxmlformats.org/officeDocument/2006/relationships/hyperlink" Target="https://drive.google.com/file/d/1pZ7_LZXS2OMCYFmn8G6Ql4hE4PpnGZIb/view?usp=drivesdk" TargetMode="External"/><Relationship Id="rId709" Type="http://schemas.openxmlformats.org/officeDocument/2006/relationships/hyperlink" Target="https://drive.google.com/open?id=1zZT4T2aEWDffA9oF2bxGW3ZQqUvKUKdl" TargetMode="External"/><Relationship Id="rId916" Type="http://schemas.openxmlformats.org/officeDocument/2006/relationships/hyperlink" Target="https://drive.google.com/open?id=1ICVL96h3aXCgBA3Wm_aR6xChcJiDnbIg" TargetMode="External"/><Relationship Id="rId1101" Type="http://schemas.openxmlformats.org/officeDocument/2006/relationships/hyperlink" Target="https://drive.google.com/open?id=1ZzgwjDcxznJ-I1WLCDgSECvM2lfXzfva" TargetMode="External"/><Relationship Id="rId1546" Type="http://schemas.openxmlformats.org/officeDocument/2006/relationships/hyperlink" Target="https://drive.google.com/open?id=1X8pLfmsZcGs2oNbvQAILi3AWkm6eJe38" TargetMode="External"/><Relationship Id="rId1753" Type="http://schemas.openxmlformats.org/officeDocument/2006/relationships/hyperlink" Target="https://drive.google.com/open?id=1T0SB9dZ60jPpjrDa6lLeKrnV-eT_9ciT" TargetMode="External"/><Relationship Id="rId45" Type="http://schemas.openxmlformats.org/officeDocument/2006/relationships/hyperlink" Target="https://drive.google.com/open?id=1202KesyNw_AL_Ov80ZPx1_aItueJ-sdt" TargetMode="External"/><Relationship Id="rId1406" Type="http://schemas.openxmlformats.org/officeDocument/2006/relationships/hyperlink" Target="https://drive.google.com/open?id=1Qw_xxR57O2TZQ6lCd89moKRs_fFvYk7O" TargetMode="External"/><Relationship Id="rId1613" Type="http://schemas.openxmlformats.org/officeDocument/2006/relationships/hyperlink" Target="https://drive.google.com/file/d/1a1EBcpUl3uGEQHFH-yvmv5py253V7Ty0/view?usp=drivesdk" TargetMode="External"/><Relationship Id="rId1820" Type="http://schemas.openxmlformats.org/officeDocument/2006/relationships/hyperlink" Target="https://drive.google.com/file/d/16nVdNEmISf1ZfSeFzfqeJohcmiUZj3_4/view?usp=drivesdk" TargetMode="External"/><Relationship Id="rId194" Type="http://schemas.openxmlformats.org/officeDocument/2006/relationships/hyperlink" Target="https://drive.google.com/open?id=13Dyy-TkLPdz_tHpY77h-vWYUKAUi1HhU" TargetMode="External"/><Relationship Id="rId261" Type="http://schemas.openxmlformats.org/officeDocument/2006/relationships/hyperlink" Target="https://drive.google.com/open?id=11iQJUJRlVCeQjy4TyKCNvXEettlNo0M3" TargetMode="External"/><Relationship Id="rId499" Type="http://schemas.openxmlformats.org/officeDocument/2006/relationships/hyperlink" Target="https://drive.google.com/file/d/14KEoggJRyTrU2rfiB_a6RT23-mn0i5oF/view?usp=drivesdk" TargetMode="External"/><Relationship Id="rId359" Type="http://schemas.openxmlformats.org/officeDocument/2006/relationships/hyperlink" Target="https://drive.google.com/open?id=1IavJlM-aM8LsHvnRhNUsomBe8aprfuUa" TargetMode="External"/><Relationship Id="rId566" Type="http://schemas.openxmlformats.org/officeDocument/2006/relationships/hyperlink" Target="https://drive.google.com/open?id=1TyUExEC5TNPPNFNiq0KCR88cEMR4wKge" TargetMode="External"/><Relationship Id="rId773" Type="http://schemas.openxmlformats.org/officeDocument/2006/relationships/hyperlink" Target="https://drive.google.com/open?id=17GbgwZvudPXxtkVM3o5GN-baWymbFF8N" TargetMode="External"/><Relationship Id="rId1196" Type="http://schemas.openxmlformats.org/officeDocument/2006/relationships/hyperlink" Target="https://drive.google.com/open?id=1CH53gL2LhajQxh_N6kLzYkfKK3n9tNto" TargetMode="External"/><Relationship Id="rId121" Type="http://schemas.openxmlformats.org/officeDocument/2006/relationships/hyperlink" Target="https://drive.google.com/open?id=11lvkls76eLidtqR--C_3wCzi5Rs_R1JO" TargetMode="External"/><Relationship Id="rId219" Type="http://schemas.openxmlformats.org/officeDocument/2006/relationships/hyperlink" Target="https://drive.google.com/open?id=14OOSbaMTx1JScWfAW8hk7j5um3940AL1" TargetMode="External"/><Relationship Id="rId426" Type="http://schemas.openxmlformats.org/officeDocument/2006/relationships/hyperlink" Target="https://drive.google.com/open?id=1WLMfXShzh4eRBoeGJVLnlje990QU7_BG" TargetMode="External"/><Relationship Id="rId633" Type="http://schemas.openxmlformats.org/officeDocument/2006/relationships/hyperlink" Target="https://drive.google.com/file/d/1rsmWDmOfQWqgakc9kbpWbV2th4m3KVrL/view?usp=drivesdk" TargetMode="External"/><Relationship Id="rId980" Type="http://schemas.openxmlformats.org/officeDocument/2006/relationships/hyperlink" Target="https://drive.google.com/open?id=1zGpW40HkkQVZaTLL-yq5ttkH6ascoaET" TargetMode="External"/><Relationship Id="rId1056" Type="http://schemas.openxmlformats.org/officeDocument/2006/relationships/hyperlink" Target="https://drive.google.com/open?id=1Dy3f1VeEE-K2ZL0tdh3T_i3MlvYMcz2t" TargetMode="External"/><Relationship Id="rId1263" Type="http://schemas.openxmlformats.org/officeDocument/2006/relationships/hyperlink" Target="https://drive.google.com/open?id=1CIzUe9iI0GCEU1bY2uTAJ4NIbq9ODWO3" TargetMode="External"/><Relationship Id="rId840" Type="http://schemas.openxmlformats.org/officeDocument/2006/relationships/hyperlink" Target="https://drive.google.com/open?id=1Z40iKaT1oi_38ZEnX4lxGnlLsPY7z94m" TargetMode="External"/><Relationship Id="rId938" Type="http://schemas.openxmlformats.org/officeDocument/2006/relationships/hyperlink" Target="https://drive.google.com/open?id=1HBD5hByKFmMFvsCPU3Uh4rVvzm8udHBt" TargetMode="External"/><Relationship Id="rId1470" Type="http://schemas.openxmlformats.org/officeDocument/2006/relationships/hyperlink" Target="https://drive.google.com/open?id=1oZlDO_nKWbJD0iOoafh_mHuuOI1esWfy" TargetMode="External"/><Relationship Id="rId1568" Type="http://schemas.openxmlformats.org/officeDocument/2006/relationships/hyperlink" Target="https://drive.google.com/open?id=1hHWPUyd7WeAFOQMER0hrfNJQZc1CS_OR" TargetMode="External"/><Relationship Id="rId1775" Type="http://schemas.openxmlformats.org/officeDocument/2006/relationships/hyperlink" Target="https://drive.google.com/open?id=1-yf6xUscBNc-1lQCYz08ZQAB4x1JtUDG" TargetMode="External"/><Relationship Id="rId67" Type="http://schemas.openxmlformats.org/officeDocument/2006/relationships/hyperlink" Target="https://drive.google.com/file/d/1Krbngcg3LevTmh8RK_u5DM-laACF9QbU/view?usp=drivesdk" TargetMode="External"/><Relationship Id="rId700" Type="http://schemas.openxmlformats.org/officeDocument/2006/relationships/hyperlink" Target="https://drive.google.com/open?id=1ip_f1a4ScMDoHRS133h44Awh7hcErk1q" TargetMode="External"/><Relationship Id="rId1123" Type="http://schemas.openxmlformats.org/officeDocument/2006/relationships/hyperlink" Target="https://drive.google.com/open?id=1saOQ_anXC66Kp_0O_P0h_Ko2q5bPjKqR" TargetMode="External"/><Relationship Id="rId1330" Type="http://schemas.openxmlformats.org/officeDocument/2006/relationships/hyperlink" Target="https://drive.google.com/open?id=1qilbczuAOdVhst2bWS1yaHSAm4MRnHqM" TargetMode="External"/><Relationship Id="rId1428" Type="http://schemas.openxmlformats.org/officeDocument/2006/relationships/hyperlink" Target="https://drive.google.com/open?id=1WWpbzj1qzZXBWq99eSYmtti_vh7tZNNQ" TargetMode="External"/><Relationship Id="rId1635" Type="http://schemas.openxmlformats.org/officeDocument/2006/relationships/hyperlink" Target="https://drive.google.com/file/d/1ZViWTTeDhQ8RS0URxd7QUzl0smlmE3FY/view?usp=drivesdk" TargetMode="External"/><Relationship Id="rId1702" Type="http://schemas.openxmlformats.org/officeDocument/2006/relationships/hyperlink" Target="https://drive.google.com/open?id=1NABxqqisgF4WY9lUfCKPdzUOfRavkbN0" TargetMode="External"/><Relationship Id="rId283" Type="http://schemas.openxmlformats.org/officeDocument/2006/relationships/hyperlink" Target="https://drive.google.com/file/d/1131ACoaDplNXo7vMepR0ciXvEIdUmJsU/view?usp=drivesdk" TargetMode="External"/><Relationship Id="rId490" Type="http://schemas.openxmlformats.org/officeDocument/2006/relationships/hyperlink" Target="https://drive.google.com/open?id=11a66-DIVCY_HxZ8csLFP3qOsyDTSYoBh" TargetMode="External"/><Relationship Id="rId143" Type="http://schemas.openxmlformats.org/officeDocument/2006/relationships/hyperlink" Target="https://drive.google.com/open?id=1WsgR_grPx5wORSlEdzIHBQKYCFRVdQQj" TargetMode="External"/><Relationship Id="rId350" Type="http://schemas.openxmlformats.org/officeDocument/2006/relationships/hyperlink" Target="https://drive.google.com/open?id=1ooMxvWHVqWuBIBUIL-_b8aLVLZ4jcdBt" TargetMode="External"/><Relationship Id="rId588" Type="http://schemas.openxmlformats.org/officeDocument/2006/relationships/hyperlink" Target="https://drive.google.com/open?id=13bRkol4S_Qe4I5ERU3gTts22sAgbWjsU" TargetMode="External"/><Relationship Id="rId795" Type="http://schemas.openxmlformats.org/officeDocument/2006/relationships/hyperlink" Target="https://drive.google.com/file/d/17GKheTKsKFegF7CksxW5kv85INBhxGSr/view?usp=drivesdk" TargetMode="External"/><Relationship Id="rId9" Type="http://schemas.openxmlformats.org/officeDocument/2006/relationships/hyperlink" Target="https://drive.google.com/open?id=1hnTkGcb9emqpIlFnHL42aERmwAvdlcP6" TargetMode="External"/><Relationship Id="rId210" Type="http://schemas.openxmlformats.org/officeDocument/2006/relationships/hyperlink" Target="https://drive.google.com/open?id=1wsAqp46603UoMRo19svbRjHzk54WPmwF" TargetMode="External"/><Relationship Id="rId448" Type="http://schemas.openxmlformats.org/officeDocument/2006/relationships/hyperlink" Target="https://drive.google.com/open?id=10Qqwl4YwMb_61oQ8ETov1LxqaYtGC5BB" TargetMode="External"/><Relationship Id="rId655" Type="http://schemas.openxmlformats.org/officeDocument/2006/relationships/hyperlink" Target="https://drive.google.com/file/d/1DNsHpCro1CItNVgSKYwLf5dogYIKGxYS/view?usp=drivesdk" TargetMode="External"/><Relationship Id="rId862" Type="http://schemas.openxmlformats.org/officeDocument/2006/relationships/hyperlink" Target="https://drive.google.com/open?id=18LuO6RnjxFRgOg4cx6IWw7gKE7O01DA4" TargetMode="External"/><Relationship Id="rId1078" Type="http://schemas.openxmlformats.org/officeDocument/2006/relationships/hyperlink" Target="https://drive.google.com/open?id=1B8ccQIWXYeXcrZcRoJha2IWIYOZcM7yO" TargetMode="External"/><Relationship Id="rId1285" Type="http://schemas.openxmlformats.org/officeDocument/2006/relationships/hyperlink" Target="https://drive.google.com/file/d/1TKmPe0ZQIuracZHNoHjIp4IX9JlSODMq/view?usp=drivesdk" TargetMode="External"/><Relationship Id="rId1492" Type="http://schemas.openxmlformats.org/officeDocument/2006/relationships/hyperlink" Target="https://drive.google.com/open?id=1CZZAtFicVaIc-78smiGn23DbEby0R-tz" TargetMode="External"/><Relationship Id="rId308" Type="http://schemas.openxmlformats.org/officeDocument/2006/relationships/hyperlink" Target="https://drive.google.com/open?id=1md0hdCKsO7DwCrYcgXRKzRDxgxt-d17-" TargetMode="External"/><Relationship Id="rId515" Type="http://schemas.openxmlformats.org/officeDocument/2006/relationships/hyperlink" Target="https://drive.google.com/open?id=15RSYlQr4t58mpPm-wgrTa3wKTuSa9zSu" TargetMode="External"/><Relationship Id="rId722" Type="http://schemas.openxmlformats.org/officeDocument/2006/relationships/hyperlink" Target="https://drive.google.com/open?id=1ipj3tj24NqYp2h2vSMdQoA4ztNtT7yPG" TargetMode="External"/><Relationship Id="rId1145" Type="http://schemas.openxmlformats.org/officeDocument/2006/relationships/hyperlink" Target="https://drive.google.com/file/d/1oLhsHZLlqa1HwVcCPcl3WsLoCQ-apWo7/view?usp=drivesdk" TargetMode="External"/><Relationship Id="rId1352" Type="http://schemas.openxmlformats.org/officeDocument/2006/relationships/hyperlink" Target="https://drive.google.com/open?id=1TVqH6gQhxKzMXsJW7xoN8HS3wfzssb7F" TargetMode="External"/><Relationship Id="rId1797" Type="http://schemas.openxmlformats.org/officeDocument/2006/relationships/hyperlink" Target="https://drive.google.com/open?id=1tcDIHo6s3kv0tgOWqnEmU4WPJGHyoeFd" TargetMode="External"/><Relationship Id="rId89" Type="http://schemas.openxmlformats.org/officeDocument/2006/relationships/hyperlink" Target="https://drive.google.com/file/d/15IB0dc7Kn0mmjT7UiJqhbV_jdOkQr_fT/view?usp=drivesdk" TargetMode="External"/><Relationship Id="rId1005" Type="http://schemas.openxmlformats.org/officeDocument/2006/relationships/hyperlink" Target="https://drive.google.com/file/d/18wyw8iSkj4Y-aoiMIIxueMn1F04DYfBU/view?usp=drivesdk" TargetMode="External"/><Relationship Id="rId1212" Type="http://schemas.openxmlformats.org/officeDocument/2006/relationships/hyperlink" Target="https://drive.google.com/open?id=1ftoG7juQtKanAUCNlK2Zj3PL84Tauwzp" TargetMode="External"/><Relationship Id="rId1657" Type="http://schemas.openxmlformats.org/officeDocument/2006/relationships/hyperlink" Target="https://drive.google.com/open?id=1RjzCL8zC7R7dOJKxIIG5esQX1OXH7CoF" TargetMode="External"/><Relationship Id="rId1517" Type="http://schemas.openxmlformats.org/officeDocument/2006/relationships/hyperlink" Target="https://drive.google.com/open?id=1jfVJ_l0mn_5phXzalqrceOEdWUboVyrC" TargetMode="External"/><Relationship Id="rId1724" Type="http://schemas.openxmlformats.org/officeDocument/2006/relationships/hyperlink" Target="https://drive.google.com/open?id=1br8ApKiZVn1zRulDx2CB7MOoY2001zdQ" TargetMode="External"/><Relationship Id="rId16" Type="http://schemas.openxmlformats.org/officeDocument/2006/relationships/hyperlink" Target="https://drive.google.com/open?id=1xBKlqNFyQxTdlWjicjU0vhpe72EWa71A" TargetMode="External"/><Relationship Id="rId165" Type="http://schemas.openxmlformats.org/officeDocument/2006/relationships/hyperlink" Target="https://drive.google.com/file/d/1imidiT2QJzRLXhtxlYexEGMIDBlSYPWv/view?usp=drivesdk" TargetMode="External"/><Relationship Id="rId372" Type="http://schemas.openxmlformats.org/officeDocument/2006/relationships/hyperlink" Target="https://drive.google.com/open?id=1cixoHZ2HfA-c074GpjGXdCW1ui9Mg9yb" TargetMode="External"/><Relationship Id="rId677" Type="http://schemas.openxmlformats.org/officeDocument/2006/relationships/hyperlink" Target="https://drive.google.com/open?id=1CIh87wo3HizcLYrPCT8AZ9EUTZgqHK2J" TargetMode="External"/><Relationship Id="rId232" Type="http://schemas.openxmlformats.org/officeDocument/2006/relationships/hyperlink" Target="https://drive.google.com/open?id=13Kp47pzjS6i-0XxRDRNjRz4N9V33KeXL" TargetMode="External"/><Relationship Id="rId884" Type="http://schemas.openxmlformats.org/officeDocument/2006/relationships/hyperlink" Target="https://drive.google.com/open?id=1F1lSbBq4nlEACzjSrRb18_Z-O7TyWlVK" TargetMode="External"/><Relationship Id="rId537" Type="http://schemas.openxmlformats.org/officeDocument/2006/relationships/hyperlink" Target="https://drive.google.com/open?id=1WHcdPLPfeMuoRcxbChgEPenX6bJ2pHZV" TargetMode="External"/><Relationship Id="rId744" Type="http://schemas.openxmlformats.org/officeDocument/2006/relationships/hyperlink" Target="https://drive.google.com/open?id=1HXrHMaMOGeC0a_EHer0OxUk3abtvYNK5" TargetMode="External"/><Relationship Id="rId951" Type="http://schemas.openxmlformats.org/officeDocument/2006/relationships/hyperlink" Target="https://drive.google.com/open?id=1nFapg_kY8nPGIj3Lo9i1wX9k-_nMNu3w" TargetMode="External"/><Relationship Id="rId1167" Type="http://schemas.openxmlformats.org/officeDocument/2006/relationships/hyperlink" Target="https://drive.google.com/file/d/1C-rL1Y_ZGeF2BmaJWCu76PopJp_zEJaQ/view?usp=drivesdk" TargetMode="External"/><Relationship Id="rId1374" Type="http://schemas.openxmlformats.org/officeDocument/2006/relationships/hyperlink" Target="https://drive.google.com/file/d/1Z0A_qojPEltX21wUAbZkbMzZ5YXovNoL/view?usp=drivesdk" TargetMode="External"/><Relationship Id="rId1581" Type="http://schemas.openxmlformats.org/officeDocument/2006/relationships/hyperlink" Target="https://drive.google.com/open?id=1CPEkjwXl2jEuni3dk37Jft6cbqglyMe1" TargetMode="External"/><Relationship Id="rId1679" Type="http://schemas.openxmlformats.org/officeDocument/2006/relationships/hyperlink" Target="https://drive.google.com/open?id=1PxDjVMY6KFXCPgsHUcmwQsIw-0KRPe-Q" TargetMode="External"/><Relationship Id="rId80" Type="http://schemas.openxmlformats.org/officeDocument/2006/relationships/hyperlink" Target="https://drive.google.com/open?id=11Xp6831II-crniGUGaA-GKC8RTeW7JYd" TargetMode="External"/><Relationship Id="rId604" Type="http://schemas.openxmlformats.org/officeDocument/2006/relationships/hyperlink" Target="https://drive.google.com/file/d/1Z0nNvagzdoxsTqS-70GLKsZJjU7Wawjv/view?usp=drivesdk" TargetMode="External"/><Relationship Id="rId811" Type="http://schemas.openxmlformats.org/officeDocument/2006/relationships/hyperlink" Target="https://drive.google.com/open?id=1QMzecrJaCz8D_ckop84ofnxnPpgUbYyT" TargetMode="External"/><Relationship Id="rId1027" Type="http://schemas.openxmlformats.org/officeDocument/2006/relationships/hyperlink" Target="https://drive.google.com/file/d/1lKzFPeEQ4xES7fl60QuCDyNHBGbNpIi2/view?usp=drivesdk" TargetMode="External"/><Relationship Id="rId1234" Type="http://schemas.openxmlformats.org/officeDocument/2006/relationships/hyperlink" Target="https://drive.google.com/open?id=1Qt7zR8IcOxMN1XTHqhuHW7qPhHDyfncQ" TargetMode="External"/><Relationship Id="rId1441" Type="http://schemas.openxmlformats.org/officeDocument/2006/relationships/hyperlink" Target="https://drive.google.com/open?id=14sc-FwMeKtbtCBRE0ofZzvsWBuMfSroh" TargetMode="External"/><Relationship Id="rId909" Type="http://schemas.openxmlformats.org/officeDocument/2006/relationships/hyperlink" Target="https://drive.google.com/open?id=1HcuruOX6s7vS20vlncxJvSMkczArJnqP" TargetMode="External"/><Relationship Id="rId1301" Type="http://schemas.openxmlformats.org/officeDocument/2006/relationships/hyperlink" Target="https://drive.google.com/open?id=1JqOMUPPdYWtt-IhnNvADSW8-gWNY9JRo" TargetMode="External"/><Relationship Id="rId1539" Type="http://schemas.openxmlformats.org/officeDocument/2006/relationships/hyperlink" Target="https://drive.google.com/open?id=10hdUY1BEWPPAfkZTI-hWLujE2Qm5BlFi" TargetMode="External"/><Relationship Id="rId1746" Type="http://schemas.openxmlformats.org/officeDocument/2006/relationships/hyperlink" Target="https://drive.google.com/open?id=19-CZ-Ew1TWV-YGLY1DdfWMwoJh3YLK0K" TargetMode="External"/><Relationship Id="rId38" Type="http://schemas.openxmlformats.org/officeDocument/2006/relationships/hyperlink" Target="https://drive.google.com/open?id=1QSXpoO1SGmVV1v5hxwsGqK8XMgTMxnhH" TargetMode="External"/><Relationship Id="rId1606" Type="http://schemas.openxmlformats.org/officeDocument/2006/relationships/hyperlink" Target="https://drive.google.com/file/d/1CK1eZQouhlCg9Bgt5GnphTo5OFD73C4-/view?usp=drivesdk" TargetMode="External"/><Relationship Id="rId1813" Type="http://schemas.openxmlformats.org/officeDocument/2006/relationships/hyperlink" Target="https://drive.google.com/file/d/15gANN1btdaws1JzUnOuloOMzvQUTa9pU/view?usp=drivesdk" TargetMode="External"/><Relationship Id="rId187" Type="http://schemas.openxmlformats.org/officeDocument/2006/relationships/hyperlink" Target="https://drive.google.com/file/d/1JwmUTeS4xIMahZ08l3Ex19AjqzB4JP0l/view?usp=drivesdk" TargetMode="External"/><Relationship Id="rId394" Type="http://schemas.openxmlformats.org/officeDocument/2006/relationships/hyperlink" Target="https://drive.google.com/open?id=1UAVLDD74MVwAzPY2rF5OfFqSFE5bDAeB" TargetMode="External"/><Relationship Id="rId254" Type="http://schemas.openxmlformats.org/officeDocument/2006/relationships/hyperlink" Target="https://drive.google.com/open?id=1lfxgcT-ErfRKeNqxWBJtzY2NNV5Fvg8V" TargetMode="External"/><Relationship Id="rId699" Type="http://schemas.openxmlformats.org/officeDocument/2006/relationships/hyperlink" Target="https://drive.google.com/open?id=1kZCzyQRJg0OzeLLm9vNU4da6LFuaFQFV" TargetMode="External"/><Relationship Id="rId1091" Type="http://schemas.openxmlformats.org/officeDocument/2006/relationships/hyperlink" Target="https://drive.google.com/open?id=1UXZP8bPJRo2EityNJqbRQ7qGF4gQOc7e" TargetMode="External"/><Relationship Id="rId114" Type="http://schemas.openxmlformats.org/officeDocument/2006/relationships/hyperlink" Target="https://drive.google.com/open?id=13vjNv5sZhT6GFsul_qd-C0dlEBy8o95-" TargetMode="External"/><Relationship Id="rId461" Type="http://schemas.openxmlformats.org/officeDocument/2006/relationships/hyperlink" Target="https://drive.google.com/open?id=16HKNE-wBD68B92YOYJZJw70dO1M7usa6" TargetMode="External"/><Relationship Id="rId559" Type="http://schemas.openxmlformats.org/officeDocument/2006/relationships/hyperlink" Target="https://drive.google.com/open?id=1Y5MZLPhtUSwNRrpMdO9eiWPbnuMBWam9" TargetMode="External"/><Relationship Id="rId766" Type="http://schemas.openxmlformats.org/officeDocument/2006/relationships/hyperlink" Target="https://drive.google.com/open?id=1K_GakJ02OHzJ1XRjGuZm3QGVXHsmYBLY" TargetMode="External"/><Relationship Id="rId1189" Type="http://schemas.openxmlformats.org/officeDocument/2006/relationships/hyperlink" Target="https://drive.google.com/open?id=1nxtya9Y1k3N2Xo4BCO7Ai_JYI6YENa9_" TargetMode="External"/><Relationship Id="rId1396" Type="http://schemas.openxmlformats.org/officeDocument/2006/relationships/hyperlink" Target="https://drive.google.com/file/d/1aj718N_5J1rJDkKqi2ST8Lw1lszKdtj5/view?usp=drivesdk" TargetMode="External"/><Relationship Id="rId321" Type="http://schemas.openxmlformats.org/officeDocument/2006/relationships/hyperlink" Target="https://drive.google.com/open?id=17HF5Ea8h1n-IBYkgtFSzhs4SKQztZFqZ" TargetMode="External"/><Relationship Id="rId419" Type="http://schemas.openxmlformats.org/officeDocument/2006/relationships/hyperlink" Target="https://drive.google.com/open?id=1EF9vpvyZieL3Q8JNxDx2LFvMJ58sS-he" TargetMode="External"/><Relationship Id="rId626" Type="http://schemas.openxmlformats.org/officeDocument/2006/relationships/hyperlink" Target="https://drive.google.com/file/d/1c4WS5Tc1hcN3vFSAmgIC9WNmU4nY-JCR/view?usp=drivesdk" TargetMode="External"/><Relationship Id="rId973" Type="http://schemas.openxmlformats.org/officeDocument/2006/relationships/hyperlink" Target="https://drive.google.com/open?id=11LcO7gZqJdnIfvkfD9eVgTd94aICX1i6" TargetMode="External"/><Relationship Id="rId1049" Type="http://schemas.openxmlformats.org/officeDocument/2006/relationships/hyperlink" Target="https://drive.google.com/open?id=1X4MQQQ7Vjq0beEwu6iEStWgOA-ZLWrb8" TargetMode="External"/><Relationship Id="rId1256" Type="http://schemas.openxmlformats.org/officeDocument/2006/relationships/hyperlink" Target="https://drive.google.com/open?id=1bOqB0CVrKZv17LiP-0FSMj9CI0JWbT-k" TargetMode="External"/><Relationship Id="rId833" Type="http://schemas.openxmlformats.org/officeDocument/2006/relationships/hyperlink" Target="https://drive.google.com/open?id=1vXl3eleL_XIY02iDwAtM3P7UddiATD8T" TargetMode="External"/><Relationship Id="rId1116" Type="http://schemas.openxmlformats.org/officeDocument/2006/relationships/hyperlink" Target="https://drive.google.com/open?id=1acCGiZGgi_s1UH9Icv98Cp1Pg-vZsbUv" TargetMode="External"/><Relationship Id="rId1463" Type="http://schemas.openxmlformats.org/officeDocument/2006/relationships/hyperlink" Target="https://drive.google.com/open?id=1gcHBfa1P6Sx3Y9BBWRMshyaThU_I6tNc" TargetMode="External"/><Relationship Id="rId1670" Type="http://schemas.openxmlformats.org/officeDocument/2006/relationships/hyperlink" Target="https://drive.google.com/open?id=1nsfr8aXTgOlBQ0pWSsCnHnyMK9M1elRn" TargetMode="External"/><Relationship Id="rId1768" Type="http://schemas.openxmlformats.org/officeDocument/2006/relationships/hyperlink" Target="https://drive.google.com/open?id=1iLpC0DDiTReqjlS0frp9r5QYFHHBO49n" TargetMode="External"/><Relationship Id="rId900" Type="http://schemas.openxmlformats.org/officeDocument/2006/relationships/hyperlink" Target="https://drive.google.com/file/d/1MiqH5gTxNaZC7gzQhtobMFGvn0gpsNTN/view?usp=drivesdk" TargetMode="External"/><Relationship Id="rId1323" Type="http://schemas.openxmlformats.org/officeDocument/2006/relationships/hyperlink" Target="https://drive.google.com/open?id=1n6r_N3O6zwjFpi99fQ7SLj43X2NFJBGw" TargetMode="External"/><Relationship Id="rId1530" Type="http://schemas.openxmlformats.org/officeDocument/2006/relationships/hyperlink" Target="https://drive.google.com/file/d/1MeZk6lbuc75-oGz2iLiMDEiL4v0sFB8P/view?usp=drivesdk" TargetMode="External"/><Relationship Id="rId1628" Type="http://schemas.openxmlformats.org/officeDocument/2006/relationships/hyperlink" Target="https://drive.google.com/file/d/1ep4IOuwoFDyDcqP_p15EPgTzu__rx6m2/view?usp=drivesdk" TargetMode="External"/><Relationship Id="rId1835" Type="http://schemas.openxmlformats.org/officeDocument/2006/relationships/hyperlink" Target="mailto:21-maldonadolopez.jimena@cetis57.edu.mx" TargetMode="External"/><Relationship Id="rId276" Type="http://schemas.openxmlformats.org/officeDocument/2006/relationships/hyperlink" Target="https://drive.google.com/file/d/1gRtLrSeu-Jr6QVJGcF1XBorp8znjnVh3/view?usp=drivesdk" TargetMode="External"/><Relationship Id="rId483" Type="http://schemas.openxmlformats.org/officeDocument/2006/relationships/hyperlink" Target="https://drive.google.com/open?id=1yYAe9MN_dDUflZrn1Z5rEpdHflEX4r15" TargetMode="External"/><Relationship Id="rId690" Type="http://schemas.openxmlformats.org/officeDocument/2006/relationships/hyperlink" Target="https://drive.google.com/file/d/1wE_RCBcPC0v6Vf940CUcJURDdFS09TcX/view?usp=drivesdk" TargetMode="External"/><Relationship Id="rId136" Type="http://schemas.openxmlformats.org/officeDocument/2006/relationships/hyperlink" Target="https://drive.google.com/open?id=1v6AtYPt7vRuRzhvRxD3YvxTs1m178u11" TargetMode="External"/><Relationship Id="rId343" Type="http://schemas.openxmlformats.org/officeDocument/2006/relationships/hyperlink" Target="https://drive.google.com/open?id=1zILz-GBkrlk_IEUtD6RUTN6WujIiHPgX" TargetMode="External"/><Relationship Id="rId550" Type="http://schemas.openxmlformats.org/officeDocument/2006/relationships/hyperlink" Target="https://drive.google.com/open?id=1FrI5dzpc4DycXSrl2w_F7fajf0wwBr4E" TargetMode="External"/><Relationship Id="rId788" Type="http://schemas.openxmlformats.org/officeDocument/2006/relationships/hyperlink" Target="https://drive.google.com/file/d/1U38T9C-Fs86WtwLVnPFBbDWAnRsCut44/view?usp=drivesdk" TargetMode="External"/><Relationship Id="rId995" Type="http://schemas.openxmlformats.org/officeDocument/2006/relationships/hyperlink" Target="https://drive.google.com/open?id=1a-vHrUw61Wnrt0z6lWIpoyGG4Dd64V9l" TargetMode="External"/><Relationship Id="rId1180" Type="http://schemas.openxmlformats.org/officeDocument/2006/relationships/hyperlink" Target="https://drive.google.com/file/d/1h84xwwB8cU6dYOtz-Kxx9HywzaCxFhop/view?usp=drivesdk" TargetMode="External"/><Relationship Id="rId203" Type="http://schemas.openxmlformats.org/officeDocument/2006/relationships/hyperlink" Target="https://drive.google.com/open?id=1YpdhiQdXJnm5begiR9XXIE7VQGZX-16g" TargetMode="External"/><Relationship Id="rId648" Type="http://schemas.openxmlformats.org/officeDocument/2006/relationships/hyperlink" Target="https://drive.google.com/file/d/1W7G9GnwIa2gUAgEz85Gw5QlwdGF8-lSs/view?usp=drivesdk" TargetMode="External"/><Relationship Id="rId855" Type="http://schemas.openxmlformats.org/officeDocument/2006/relationships/hyperlink" Target="https://drive.google.com/open?id=10DKBSv5nK3ZyuKQ0MjxSzJyDT1atTkQ2" TargetMode="External"/><Relationship Id="rId1040" Type="http://schemas.openxmlformats.org/officeDocument/2006/relationships/hyperlink" Target="https://drive.google.com/file/d/1yUXK5M8wv_VfwpvJQor52H-qZ9kOTmhx/view?usp=drivesdk" TargetMode="External"/><Relationship Id="rId1278" Type="http://schemas.openxmlformats.org/officeDocument/2006/relationships/hyperlink" Target="https://drive.google.com/file/d/1V84SP9U_vnrJV-NVPDhTQ_EjC0iGoyeE/view?usp=drivesdk" TargetMode="External"/><Relationship Id="rId1485" Type="http://schemas.openxmlformats.org/officeDocument/2006/relationships/hyperlink" Target="https://drive.google.com/open?id=1mE0moeOjl_Osrdl6-Ix1DO7jfqNc8Nel" TargetMode="External"/><Relationship Id="rId1692" Type="http://schemas.openxmlformats.org/officeDocument/2006/relationships/hyperlink" Target="https://drive.google.com/open?id=1KCeVE5jWpwoQQMuiDGsMdknSkySrT1Nt" TargetMode="External"/><Relationship Id="rId410" Type="http://schemas.openxmlformats.org/officeDocument/2006/relationships/hyperlink" Target="https://drive.google.com/file/d/1K73ufn7_rTNuKRUUmEeF3efeWVaadj59/view?usp=drivesdk" TargetMode="External"/><Relationship Id="rId508" Type="http://schemas.openxmlformats.org/officeDocument/2006/relationships/hyperlink" Target="https://drive.google.com/open?id=14F1-D2nCIDFDAIifyWvsLvS4ZcQX1PfJ" TargetMode="External"/><Relationship Id="rId715" Type="http://schemas.openxmlformats.org/officeDocument/2006/relationships/hyperlink" Target="https://drive.google.com/open?id=1bihuSgUQ68lNHcrO66r8pEwdz0_liETY" TargetMode="External"/><Relationship Id="rId922" Type="http://schemas.openxmlformats.org/officeDocument/2006/relationships/hyperlink" Target="https://drive.google.com/file/d/1kGvsJmVgpQ9zz5S3Pwuba3OlI838-QRN/view?usp=drivesdk" TargetMode="External"/><Relationship Id="rId1138" Type="http://schemas.openxmlformats.org/officeDocument/2006/relationships/hyperlink" Target="https://drive.google.com/file/d/1-1xo_wlxqf-QKxhT5yvmpzAw1PCdDUZe/view?usp=drivesdk" TargetMode="External"/><Relationship Id="rId1345" Type="http://schemas.openxmlformats.org/officeDocument/2006/relationships/hyperlink" Target="https://drive.google.com/open?id=1aJgKfWCzFnDpSM4KFKmJQJolQBEKX5M_" TargetMode="External"/><Relationship Id="rId1552" Type="http://schemas.openxmlformats.org/officeDocument/2006/relationships/hyperlink" Target="https://drive.google.com/open?id=156vZ0hLRI3X1_KoAkyX5Qm8WaOPtVzlj" TargetMode="External"/><Relationship Id="rId1205" Type="http://schemas.openxmlformats.org/officeDocument/2006/relationships/hyperlink" Target="https://drive.google.com/open?id=15O19ofhLKmugUjLOK-Mng8rDZnK5pxhY" TargetMode="External"/><Relationship Id="rId51" Type="http://schemas.openxmlformats.org/officeDocument/2006/relationships/hyperlink" Target="https://drive.google.com/open?id=1HEL3s8pxb8kOXNnpypNVt6D0Y9BLb6G_" TargetMode="External"/><Relationship Id="rId1412" Type="http://schemas.openxmlformats.org/officeDocument/2006/relationships/hyperlink" Target="https://drive.google.com/open?id=12OOKrkTnnlxM5MGMg4kx_RrQNLXpF1Yi" TargetMode="External"/><Relationship Id="rId1717" Type="http://schemas.openxmlformats.org/officeDocument/2006/relationships/hyperlink" Target="https://drive.google.com/open?id=1isWYO3A35FvUezCBcoSkwX6rikn2qEvf" TargetMode="External"/><Relationship Id="rId298" Type="http://schemas.openxmlformats.org/officeDocument/2006/relationships/hyperlink" Target="https://drive.google.com/file/d/1iM7YFjCNXgy1RFgU5kzNAol0sXVZN43U/view?usp=drivesdk" TargetMode="External"/><Relationship Id="rId158" Type="http://schemas.openxmlformats.org/officeDocument/2006/relationships/hyperlink" Target="https://drive.google.com/file/d/1NfvREvYOqX5-ub6j00VdWR2llJFYWP-O/view?usp=drivesdk" TargetMode="External"/><Relationship Id="rId365" Type="http://schemas.openxmlformats.org/officeDocument/2006/relationships/hyperlink" Target="https://drive.google.com/open?id=1JfjZjwacILh_dLvKkXzepBxsfw1alxW2" TargetMode="External"/><Relationship Id="rId572" Type="http://schemas.openxmlformats.org/officeDocument/2006/relationships/hyperlink" Target="https://drive.google.com/open?id=1GpTUZlEQ4WxObJmgMeVT2iKpGsf7oOj5" TargetMode="External"/><Relationship Id="rId225" Type="http://schemas.openxmlformats.org/officeDocument/2006/relationships/hyperlink" Target="https://drive.google.com/open?id=18I8icc0OO5gqOZugVzwaFeLZNH3-y_zu" TargetMode="External"/><Relationship Id="rId432" Type="http://schemas.openxmlformats.org/officeDocument/2006/relationships/hyperlink" Target="https://drive.google.com/open?id=1VFkOT6vjAkq7A-PJ2QB51qUquICX6Bax" TargetMode="External"/><Relationship Id="rId877" Type="http://schemas.openxmlformats.org/officeDocument/2006/relationships/hyperlink" Target="https://drive.google.com/open?id=1pcR8HkYRH4UzZ-jvxQoDXJYhN6JcgpUC" TargetMode="External"/><Relationship Id="rId1062" Type="http://schemas.openxmlformats.org/officeDocument/2006/relationships/hyperlink" Target="https://drive.google.com/file/d/1nbFo5Uo_hrUguORX34CQL5PchHIpRUrL/view?usp=drivesdk" TargetMode="External"/><Relationship Id="rId737" Type="http://schemas.openxmlformats.org/officeDocument/2006/relationships/hyperlink" Target="https://drive.google.com/open?id=1vKM7NYlvKuBLN_PEkWZrVdqaPJL6FTze" TargetMode="External"/><Relationship Id="rId944" Type="http://schemas.openxmlformats.org/officeDocument/2006/relationships/hyperlink" Target="https://drive.google.com/open?id=1Izie_IkG7Zlbuy6g5NRplAj_RtqLHki1" TargetMode="External"/><Relationship Id="rId1367" Type="http://schemas.openxmlformats.org/officeDocument/2006/relationships/hyperlink" Target="https://drive.google.com/file/d/1jWmCUA_zjrCSX3II1V7MK489kFQdUi75/view?usp=drivesdk" TargetMode="External"/><Relationship Id="rId1574" Type="http://schemas.openxmlformats.org/officeDocument/2006/relationships/hyperlink" Target="https://drive.google.com/open?id=1LkmTnQoxw2fxC_gxg8dSFWTK3EaLar15" TargetMode="External"/><Relationship Id="rId1781" Type="http://schemas.openxmlformats.org/officeDocument/2006/relationships/hyperlink" Target="https://drive.google.com/open?id=1gxu2ZgPco9yvtW9veqlZzyh8D2nqhU7E" TargetMode="External"/><Relationship Id="rId73" Type="http://schemas.openxmlformats.org/officeDocument/2006/relationships/hyperlink" Target="https://drive.google.com/open?id=16G0GYuJPuq5Yv0EiEv5F-A5Rd3ZVYZn8" TargetMode="External"/><Relationship Id="rId804" Type="http://schemas.openxmlformats.org/officeDocument/2006/relationships/hyperlink" Target="https://drive.google.com/open?id=18qaewHhdsdJIrk5WCiwBQ6AGNKoExceX" TargetMode="External"/><Relationship Id="rId1227" Type="http://schemas.openxmlformats.org/officeDocument/2006/relationships/hyperlink" Target="https://drive.google.com/open?id=1AWFvWAkpQoFnzAxBnxJw4rt3UcGCRTNO" TargetMode="External"/><Relationship Id="rId1434" Type="http://schemas.openxmlformats.org/officeDocument/2006/relationships/hyperlink" Target="https://drive.google.com/open?id=1Jk7xWxdYn_HwvffR6jwFxH14OrL-Phnl" TargetMode="External"/><Relationship Id="rId1641" Type="http://schemas.openxmlformats.org/officeDocument/2006/relationships/hyperlink" Target="https://drive.google.com/file/d/1bO3_Kbz6ZfybvPejfvlrNtNm8OqeHOaa/view?usp=drivesdk" TargetMode="External"/><Relationship Id="rId1501" Type="http://schemas.openxmlformats.org/officeDocument/2006/relationships/hyperlink" Target="https://drive.google.com/file/d/1faXb_vNOPlD5yL4Mtfbns7pVgjfN0f6F/view?usp=drivesdk" TargetMode="External"/><Relationship Id="rId1739" Type="http://schemas.openxmlformats.org/officeDocument/2006/relationships/hyperlink" Target="https://drive.google.com/open?id=1qBLwEsr-Q2F5WsF-qaU9-Bb-9V0ZQXJM" TargetMode="External"/><Relationship Id="rId1806" Type="http://schemas.openxmlformats.org/officeDocument/2006/relationships/hyperlink" Target="https://drive.google.com/file/d/1c3tCbg0lPxeoEjQoZV6_Eqj7QZops7CO/view?usp=drivesdk" TargetMode="External"/><Relationship Id="rId387" Type="http://schemas.openxmlformats.org/officeDocument/2006/relationships/hyperlink" Target="https://drive.google.com/open?id=1xlq8E8KzhxnAwAoIdnWjELvPZ6o9QUs1" TargetMode="External"/><Relationship Id="rId594" Type="http://schemas.openxmlformats.org/officeDocument/2006/relationships/hyperlink" Target="https://drive.google.com/open?id=19UgSuhdpI3KSGq3XzDp4_oQswfJc_ug8" TargetMode="External"/><Relationship Id="rId247" Type="http://schemas.openxmlformats.org/officeDocument/2006/relationships/hyperlink" Target="https://drive.google.com/open?id=1lYnps4JszLV7-I4whTBGdoKiuNgmKWN8" TargetMode="External"/><Relationship Id="rId899" Type="http://schemas.openxmlformats.org/officeDocument/2006/relationships/hyperlink" Target="https://drive.google.com/open?id=15V-ARN9jRQSBYL4I5IPG2SCXywBuc1eN" TargetMode="External"/><Relationship Id="rId1084" Type="http://schemas.openxmlformats.org/officeDocument/2006/relationships/hyperlink" Target="https://drive.google.com/open?id=1vueQmMb1A0eyIV4I2BsqJRzcHHg-IykY" TargetMode="External"/><Relationship Id="rId107" Type="http://schemas.openxmlformats.org/officeDocument/2006/relationships/hyperlink" Target="https://drive.google.com/open?id=1SE-XQDLHMTog7jU4uOkGq4AmSA-BKRqw" TargetMode="External"/><Relationship Id="rId454" Type="http://schemas.openxmlformats.org/officeDocument/2006/relationships/hyperlink" Target="https://drive.google.com/open?id=1mrRg8h2qQQ143R8oRbEx0i2DTYwjiodS" TargetMode="External"/><Relationship Id="rId661" Type="http://schemas.openxmlformats.org/officeDocument/2006/relationships/hyperlink" Target="https://drive.google.com/file/d/1-18emLo8BEP3rrHUXHvxukZkkEKq-p9o/view?usp=drivesdk" TargetMode="External"/><Relationship Id="rId759" Type="http://schemas.openxmlformats.org/officeDocument/2006/relationships/hyperlink" Target="https://drive.google.com/file/d/1TfZ6cIEaJaNfIzUzkCUaFyUJhCNWuLbh/view?usp=drivesdk" TargetMode="External"/><Relationship Id="rId966" Type="http://schemas.openxmlformats.org/officeDocument/2006/relationships/hyperlink" Target="https://drive.google.com/open?id=127C7xpvSlkAZPel1LGmJiNSkCqapcRYu" TargetMode="External"/><Relationship Id="rId1291" Type="http://schemas.openxmlformats.org/officeDocument/2006/relationships/hyperlink" Target="https://drive.google.com/open?id=1mnvsLFlRjePBg68o4d6bAHzETpJnh6To" TargetMode="External"/><Relationship Id="rId1389" Type="http://schemas.openxmlformats.org/officeDocument/2006/relationships/hyperlink" Target="https://drive.google.com/file/d/1ptHqVG1nM1zRY9INa6sdDIEz9FpV37ki/view?usp=drivesdk" TargetMode="External"/><Relationship Id="rId1596" Type="http://schemas.openxmlformats.org/officeDocument/2006/relationships/hyperlink" Target="https://drive.google.com/open?id=1LHdN26FR2f2qOvd0Z5d9y_1jUrxD-wBg" TargetMode="External"/><Relationship Id="rId314" Type="http://schemas.openxmlformats.org/officeDocument/2006/relationships/hyperlink" Target="https://drive.google.com/open?id=1ZtgGIbPkh-J7itDN1-vf1jyRu_qvJYN8" TargetMode="External"/><Relationship Id="rId521" Type="http://schemas.openxmlformats.org/officeDocument/2006/relationships/hyperlink" Target="https://drive.google.com/file/d/1czQsKKqXUrxRDyxBXNaJeiIftZf-YoP3/view?usp=drivesdk" TargetMode="External"/><Relationship Id="rId619" Type="http://schemas.openxmlformats.org/officeDocument/2006/relationships/hyperlink" Target="https://drive.google.com/file/d/14P3aaX7yKB2hU7dCFcUEVuKWJwDMdtDD/view?usp=drivesdk" TargetMode="External"/><Relationship Id="rId1151" Type="http://schemas.openxmlformats.org/officeDocument/2006/relationships/hyperlink" Target="https://drive.google.com/open?id=1hun8b7NtF0s9yVzbMl1nzLmuvYBjMUD9" TargetMode="External"/><Relationship Id="rId1249" Type="http://schemas.openxmlformats.org/officeDocument/2006/relationships/hyperlink" Target="https://drive.google.com/open?id=1hfQT-GxcmcoKFjdwtrEXRFhKvu-MMlXF" TargetMode="External"/><Relationship Id="rId95" Type="http://schemas.openxmlformats.org/officeDocument/2006/relationships/hyperlink" Target="https://drive.google.com/file/d/1-JrfomEFZz9hJEfy-0p42aeM2PJv5aJe/view?usp=drivesdk" TargetMode="External"/><Relationship Id="rId826" Type="http://schemas.openxmlformats.org/officeDocument/2006/relationships/hyperlink" Target="https://drive.google.com/open?id=1-Ze7xf54GhSTp3RTt1DjLQcHr3UAYPYr" TargetMode="External"/><Relationship Id="rId1011" Type="http://schemas.openxmlformats.org/officeDocument/2006/relationships/hyperlink" Target="https://drive.google.com/open?id=1rw_jRvD6f9CTZFvJIZ15D7uZQbt7GD4U" TargetMode="External"/><Relationship Id="rId1109" Type="http://schemas.openxmlformats.org/officeDocument/2006/relationships/hyperlink" Target="https://drive.google.com/open?id=1_Ho79xqDx1dOpqGaNYxWI0ynzF8bqul3" TargetMode="External"/><Relationship Id="rId1456" Type="http://schemas.openxmlformats.org/officeDocument/2006/relationships/hyperlink" Target="https://drive.google.com/open?id=1I2PrnNoUWRuA0pOTertfsO3oHFpYrrHU" TargetMode="External"/><Relationship Id="rId1663" Type="http://schemas.openxmlformats.org/officeDocument/2006/relationships/hyperlink" Target="https://drive.google.com/open?id=1v3QSj8L5DZWPHpwQBUusK7id0shoeYWi" TargetMode="External"/><Relationship Id="rId1316" Type="http://schemas.openxmlformats.org/officeDocument/2006/relationships/hyperlink" Target="https://drive.google.com/open?id=1wHHrwiYdX9JJj0RPl5ft5pbcB-r6B_E1" TargetMode="External"/><Relationship Id="rId1523" Type="http://schemas.openxmlformats.org/officeDocument/2006/relationships/hyperlink" Target="https://drive.google.com/file/d/1EL55Yg9j6haEerBZRCgAJUdvHPCV_ijM/view?usp=drivesdk" TargetMode="External"/><Relationship Id="rId1730" Type="http://schemas.openxmlformats.org/officeDocument/2006/relationships/hyperlink" Target="https://drive.google.com/open?id=10uYlAUMEAjZMlSLj6hLxsHz4OVE0thoD" TargetMode="External"/><Relationship Id="rId22" Type="http://schemas.openxmlformats.org/officeDocument/2006/relationships/hyperlink" Target="https://drive.google.com/open?id=1FQ5z7I_rMRgJPDfpGmcGrVnR-_I4kT57" TargetMode="External"/><Relationship Id="rId1828" Type="http://schemas.openxmlformats.org/officeDocument/2006/relationships/hyperlink" Target="https://drive.google.com/open?id=1KpPYavxlZyJTdUjye3c8cyQlh8N9kLcw" TargetMode="External"/><Relationship Id="rId171" Type="http://schemas.openxmlformats.org/officeDocument/2006/relationships/hyperlink" Target="https://drive.google.com/open?id=1wdF2GEgFx57fBYrurDPimnB0AypkQCnF" TargetMode="External"/><Relationship Id="rId269" Type="http://schemas.openxmlformats.org/officeDocument/2006/relationships/hyperlink" Target="https://drive.google.com/file/d/1WQzsisb9AdlRQ1Zu2C6dXlxugm6JubjD/view?usp=drivesdk" TargetMode="External"/><Relationship Id="rId476" Type="http://schemas.openxmlformats.org/officeDocument/2006/relationships/hyperlink" Target="https://drive.google.com/open?id=1neXss711TaXcQ1VQUiIibxZzYZqxpy1r" TargetMode="External"/><Relationship Id="rId683" Type="http://schemas.openxmlformats.org/officeDocument/2006/relationships/hyperlink" Target="https://drive.google.com/file/d/1DQo3KChNlK7DbY3i5SaGCXoVcbQcFsN2/view?usp=drivesdk" TargetMode="External"/><Relationship Id="rId890" Type="http://schemas.openxmlformats.org/officeDocument/2006/relationships/hyperlink" Target="https://drive.google.com/open?id=1OMEHSaI4qBnhOIpJMKda1XQWDqLgYddk" TargetMode="External"/><Relationship Id="rId129" Type="http://schemas.openxmlformats.org/officeDocument/2006/relationships/hyperlink" Target="https://drive.google.com/open?id=1JyP6RGdy6Fld4l7d16nmSTVnMCHkdfql" TargetMode="External"/><Relationship Id="rId336" Type="http://schemas.openxmlformats.org/officeDocument/2006/relationships/hyperlink" Target="https://drive.google.com/open?id=1w2CtSBDoRaG6j7GSsNqAa563hY7m3IWi" TargetMode="External"/><Relationship Id="rId543" Type="http://schemas.openxmlformats.org/officeDocument/2006/relationships/hyperlink" Target="https://drive.google.com/open?id=13v72oH-6ecVbO3asLUFU2Yyb467oBqZG" TargetMode="External"/><Relationship Id="rId988" Type="http://schemas.openxmlformats.org/officeDocument/2006/relationships/hyperlink" Target="https://drive.google.com/open?id=1vSYFxuo3FBs6s4sExHM3KMmvbQB2metD" TargetMode="External"/><Relationship Id="rId1173" Type="http://schemas.openxmlformats.org/officeDocument/2006/relationships/hyperlink" Target="https://drive.google.com/file/d/1s8khxw7yBVZ_mig9fUP0ybkpTkTATBvA/view?usp=drivesdk" TargetMode="External"/><Relationship Id="rId1380" Type="http://schemas.openxmlformats.org/officeDocument/2006/relationships/hyperlink" Target="https://drive.google.com/open?id=1Y3WygJhBCbelGfXrEdGaLTO6_ZtwQOoA" TargetMode="External"/><Relationship Id="rId403" Type="http://schemas.openxmlformats.org/officeDocument/2006/relationships/hyperlink" Target="https://drive.google.com/file/d/1GV-WnMgGhrt4tSAW4EpQrcDPOEuoaseC/view?usp=drivesdk" TargetMode="External"/><Relationship Id="rId750" Type="http://schemas.openxmlformats.org/officeDocument/2006/relationships/hyperlink" Target="https://drive.google.com/open?id=1gYEnK2Vi2Qb2oxKcPGcxuJpk1qGFF9Cl" TargetMode="External"/><Relationship Id="rId848" Type="http://schemas.openxmlformats.org/officeDocument/2006/relationships/hyperlink" Target="https://drive.google.com/open?id=10ekek2_AJD-hMt63vp_4vJguK1xi1ruv" TargetMode="External"/><Relationship Id="rId1033" Type="http://schemas.openxmlformats.org/officeDocument/2006/relationships/hyperlink" Target="https://drive.google.com/file/d/1IK5uuJB3lU7OZFDYHqBs9cZSlnWhQlTI/view?usp=drivesdk" TargetMode="External"/><Relationship Id="rId1478" Type="http://schemas.openxmlformats.org/officeDocument/2006/relationships/hyperlink" Target="https://drive.google.com/open?id=1MXeOkQPEoQdC4HqCipnkHak4_gTfmc8z" TargetMode="External"/><Relationship Id="rId1685" Type="http://schemas.openxmlformats.org/officeDocument/2006/relationships/hyperlink" Target="https://drive.google.com/open?id=1ubtSY4mc9m5iRWoWBM3ZupZmslPqR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L322"/>
  <sheetViews>
    <sheetView tabSelected="1" workbookViewId="0">
      <pane ySplit="1" topLeftCell="A2" activePane="bottomLeft" state="frozen"/>
      <selection pane="bottomLeft" activeCell="A265" sqref="A265:XFD1359"/>
    </sheetView>
  </sheetViews>
  <sheetFormatPr baseColWidth="10" defaultColWidth="12.5703125" defaultRowHeight="15.75" customHeight="1" x14ac:dyDescent="0.2"/>
  <cols>
    <col min="1" max="1" width="18.85546875" customWidth="1"/>
    <col min="2" max="2" width="22.28515625" customWidth="1"/>
    <col min="3" max="4" width="18.85546875" customWidth="1"/>
    <col min="5" max="5" width="21.85546875" customWidth="1"/>
    <col min="6" max="12" width="18.85546875" customWidth="1"/>
    <col min="13" max="13" width="21.140625" customWidth="1"/>
    <col min="14" max="37" width="18.85546875" customWidth="1"/>
    <col min="38" max="38" width="19.85546875" customWidth="1"/>
    <col min="39" max="47" width="18.85546875" customWidth="1"/>
    <col min="48" max="48" width="26.42578125" customWidth="1"/>
    <col min="49" max="100" width="18.85546875" customWidth="1"/>
    <col min="101" max="101" width="23.85546875" customWidth="1"/>
    <col min="102" max="111" width="18.85546875" customWidth="1"/>
    <col min="112" max="112" width="20.5703125" customWidth="1"/>
    <col min="113" max="181" width="18.85546875" customWidth="1"/>
    <col min="182" max="182" width="31.42578125" customWidth="1"/>
    <col min="183" max="194" width="18.85546875" customWidth="1"/>
  </cols>
  <sheetData>
    <row r="1" spans="1:194" ht="15.75" customHeight="1" x14ac:dyDescent="0.25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142</v>
      </c>
      <c r="L1" s="1" t="s">
        <v>79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141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2789</v>
      </c>
      <c r="AF1" s="1" t="s">
        <v>2790</v>
      </c>
      <c r="AG1" s="1" t="s">
        <v>2791</v>
      </c>
      <c r="AH1" s="1" t="s">
        <v>113</v>
      </c>
      <c r="AI1" s="1" t="s">
        <v>2792</v>
      </c>
      <c r="AJ1" s="1" t="s">
        <v>2793</v>
      </c>
      <c r="AK1" s="1" t="s">
        <v>2794</v>
      </c>
      <c r="AL1" s="1" t="s">
        <v>2795</v>
      </c>
      <c r="AM1" s="1" t="s">
        <v>2796</v>
      </c>
      <c r="AN1" s="1" t="s">
        <v>2797</v>
      </c>
      <c r="AO1" s="1" t="s">
        <v>2798</v>
      </c>
      <c r="AP1" s="1" t="s">
        <v>2799</v>
      </c>
      <c r="AQ1" s="1" t="s">
        <v>2800</v>
      </c>
      <c r="AR1" s="1" t="s">
        <v>2801</v>
      </c>
      <c r="AS1" s="1" t="s">
        <v>2802</v>
      </c>
      <c r="AT1" s="1" t="s">
        <v>2803</v>
      </c>
      <c r="AU1" s="1" t="s">
        <v>2804</v>
      </c>
      <c r="AV1" s="1" t="s">
        <v>2805</v>
      </c>
      <c r="AW1" s="1" t="s">
        <v>2806</v>
      </c>
      <c r="AX1" s="1" t="s">
        <v>2807</v>
      </c>
      <c r="AY1" s="1" t="s">
        <v>2808</v>
      </c>
      <c r="AZ1" s="1" t="s">
        <v>2809</v>
      </c>
      <c r="BA1" s="1" t="s">
        <v>2810</v>
      </c>
      <c r="BB1" s="1" t="s">
        <v>2811</v>
      </c>
      <c r="BC1" s="1" t="s">
        <v>2812</v>
      </c>
      <c r="BD1" s="1" t="s">
        <v>2813</v>
      </c>
      <c r="BE1" s="1" t="s">
        <v>2814</v>
      </c>
      <c r="BF1" s="1" t="s">
        <v>2815</v>
      </c>
      <c r="BG1" s="1" t="s">
        <v>2816</v>
      </c>
      <c r="BH1" s="1" t="s">
        <v>2817</v>
      </c>
      <c r="BI1" s="1" t="s">
        <v>2818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120</v>
      </c>
      <c r="BS1" s="1" t="s">
        <v>122</v>
      </c>
      <c r="BT1" s="1" t="s">
        <v>123</v>
      </c>
      <c r="BU1" s="1" t="s">
        <v>124</v>
      </c>
      <c r="BV1" s="1" t="s">
        <v>125</v>
      </c>
      <c r="BW1" s="1" t="s">
        <v>126</v>
      </c>
      <c r="BX1" s="1" t="s">
        <v>127</v>
      </c>
      <c r="BY1" s="1" t="s">
        <v>128</v>
      </c>
      <c r="BZ1" s="1" t="s">
        <v>129</v>
      </c>
      <c r="CA1" s="1" t="s">
        <v>130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135</v>
      </c>
      <c r="CG1" s="1" t="s">
        <v>136</v>
      </c>
      <c r="CH1" s="1" t="s">
        <v>2819</v>
      </c>
      <c r="CI1" s="1" t="s">
        <v>2820</v>
      </c>
      <c r="CJ1" s="1" t="s">
        <v>137</v>
      </c>
      <c r="CK1" s="1" t="s">
        <v>138</v>
      </c>
      <c r="CL1" s="1" t="s">
        <v>139</v>
      </c>
      <c r="CM1" s="1" t="s">
        <v>140</v>
      </c>
      <c r="CN1" s="1" t="s">
        <v>143</v>
      </c>
      <c r="CO1" s="1" t="s">
        <v>144</v>
      </c>
      <c r="CP1" s="1" t="s">
        <v>145</v>
      </c>
      <c r="CQ1" s="1" t="s">
        <v>2821</v>
      </c>
      <c r="CR1" s="1" t="s">
        <v>2822</v>
      </c>
      <c r="CS1" s="1" t="s">
        <v>2823</v>
      </c>
      <c r="CT1" s="6" t="s">
        <v>81</v>
      </c>
      <c r="CU1" s="7" t="s">
        <v>82</v>
      </c>
      <c r="CV1" s="7" t="s">
        <v>83</v>
      </c>
      <c r="CW1" s="7" t="s">
        <v>84</v>
      </c>
      <c r="CX1" s="8" t="s">
        <v>80</v>
      </c>
      <c r="CY1" s="7" t="s">
        <v>85</v>
      </c>
      <c r="CZ1" s="54" t="s">
        <v>86</v>
      </c>
      <c r="DA1" s="9" t="s">
        <v>146</v>
      </c>
      <c r="DB1" s="9" t="s">
        <v>147</v>
      </c>
      <c r="DC1" s="9" t="s">
        <v>148</v>
      </c>
      <c r="DD1" s="9" t="s">
        <v>149</v>
      </c>
      <c r="DE1" s="9" t="s">
        <v>150</v>
      </c>
      <c r="DF1" s="9" t="s">
        <v>151</v>
      </c>
      <c r="DG1" s="9" t="s">
        <v>87</v>
      </c>
      <c r="DH1" s="10" t="s">
        <v>79</v>
      </c>
      <c r="DI1" s="10" t="s">
        <v>152</v>
      </c>
      <c r="DJ1" s="11" t="s">
        <v>153</v>
      </c>
      <c r="DK1" s="12" t="s">
        <v>154</v>
      </c>
      <c r="DL1" s="13" t="s">
        <v>2824</v>
      </c>
      <c r="DM1" s="13" t="s">
        <v>2825</v>
      </c>
      <c r="DN1" s="14" t="s">
        <v>2826</v>
      </c>
      <c r="DO1" s="15" t="s">
        <v>155</v>
      </c>
      <c r="DP1" s="15" t="s">
        <v>156</v>
      </c>
      <c r="DQ1" s="15" t="s">
        <v>157</v>
      </c>
      <c r="DR1" s="15" t="s">
        <v>158</v>
      </c>
      <c r="DS1" s="15" t="s">
        <v>159</v>
      </c>
      <c r="DT1" s="15" t="s">
        <v>160</v>
      </c>
      <c r="DU1" s="15" t="s">
        <v>161</v>
      </c>
      <c r="DV1" s="15" t="s">
        <v>162</v>
      </c>
      <c r="DW1" s="15" t="s">
        <v>163</v>
      </c>
      <c r="DX1" s="15" t="s">
        <v>164</v>
      </c>
      <c r="DY1" s="15" t="s">
        <v>165</v>
      </c>
      <c r="DZ1" s="15" t="s">
        <v>166</v>
      </c>
      <c r="EA1" s="15" t="s">
        <v>167</v>
      </c>
      <c r="EB1" s="15" t="s">
        <v>168</v>
      </c>
      <c r="EC1" s="15" t="s">
        <v>169</v>
      </c>
      <c r="ED1" s="15" t="s">
        <v>170</v>
      </c>
      <c r="EE1" s="15" t="s">
        <v>171</v>
      </c>
      <c r="EF1" s="15" t="s">
        <v>172</v>
      </c>
      <c r="EG1" s="15" t="s">
        <v>173</v>
      </c>
      <c r="EH1" s="15" t="s">
        <v>174</v>
      </c>
      <c r="EI1" s="15" t="s">
        <v>175</v>
      </c>
      <c r="EJ1" s="16" t="s">
        <v>176</v>
      </c>
      <c r="EK1" s="17" t="s">
        <v>177</v>
      </c>
      <c r="EL1" s="17" t="s">
        <v>178</v>
      </c>
      <c r="EM1" s="17" t="s">
        <v>179</v>
      </c>
      <c r="EN1" s="18" t="s">
        <v>180</v>
      </c>
      <c r="EO1" s="17" t="s">
        <v>181</v>
      </c>
      <c r="EP1" s="19" t="s">
        <v>182</v>
      </c>
      <c r="EQ1" s="20" t="s">
        <v>183</v>
      </c>
      <c r="ER1" s="21" t="s">
        <v>184</v>
      </c>
      <c r="ES1" s="21" t="s">
        <v>185</v>
      </c>
      <c r="ET1" s="21" t="s">
        <v>186</v>
      </c>
      <c r="EU1" s="22" t="s">
        <v>187</v>
      </c>
      <c r="EV1" s="21" t="s">
        <v>188</v>
      </c>
      <c r="EW1" s="23" t="s">
        <v>189</v>
      </c>
      <c r="EX1" s="24" t="s">
        <v>190</v>
      </c>
      <c r="EY1" s="25" t="s">
        <v>191</v>
      </c>
      <c r="EZ1" s="25" t="s">
        <v>192</v>
      </c>
      <c r="FA1" s="25" t="s">
        <v>193</v>
      </c>
      <c r="FB1" s="26" t="s">
        <v>194</v>
      </c>
      <c r="FC1" s="25" t="s">
        <v>195</v>
      </c>
      <c r="FD1" s="27" t="s">
        <v>196</v>
      </c>
      <c r="FE1" s="28" t="s">
        <v>197</v>
      </c>
      <c r="FF1" s="29" t="s">
        <v>198</v>
      </c>
      <c r="FG1" s="29" t="s">
        <v>199</v>
      </c>
      <c r="FH1" s="29" t="s">
        <v>200</v>
      </c>
      <c r="FI1" s="30" t="s">
        <v>201</v>
      </c>
      <c r="FJ1" s="29" t="s">
        <v>202</v>
      </c>
      <c r="FK1" s="31" t="s">
        <v>203</v>
      </c>
      <c r="FL1" s="32" t="s">
        <v>204</v>
      </c>
      <c r="FM1" s="33" t="s">
        <v>205</v>
      </c>
      <c r="FN1" s="33" t="s">
        <v>206</v>
      </c>
      <c r="FO1" s="33" t="s">
        <v>207</v>
      </c>
      <c r="FP1" s="34" t="s">
        <v>208</v>
      </c>
      <c r="FQ1" s="33" t="s">
        <v>209</v>
      </c>
      <c r="FR1" s="35" t="s">
        <v>210</v>
      </c>
      <c r="FS1" s="36" t="s">
        <v>211</v>
      </c>
      <c r="FT1" s="37" t="s">
        <v>212</v>
      </c>
      <c r="FU1" s="37" t="s">
        <v>213</v>
      </c>
      <c r="FV1" s="37" t="s">
        <v>214</v>
      </c>
      <c r="FW1" s="38" t="s">
        <v>215</v>
      </c>
      <c r="FX1" s="37" t="s">
        <v>216</v>
      </c>
      <c r="FY1" s="39" t="s">
        <v>217</v>
      </c>
      <c r="FZ1" s="10" t="s">
        <v>2</v>
      </c>
      <c r="GA1" s="40" t="s">
        <v>218</v>
      </c>
      <c r="GB1" s="40" t="s">
        <v>219</v>
      </c>
      <c r="GC1" s="40" t="s">
        <v>220</v>
      </c>
      <c r="GD1" s="40" t="s">
        <v>221</v>
      </c>
      <c r="GE1" s="40"/>
      <c r="GF1" s="40"/>
      <c r="GG1" s="40"/>
      <c r="GH1" s="40"/>
      <c r="GI1" s="40" t="s">
        <v>2827</v>
      </c>
      <c r="GJ1" s="40" t="s">
        <v>2828</v>
      </c>
      <c r="GK1" s="40" t="s">
        <v>2829</v>
      </c>
      <c r="GL1" s="40" t="s">
        <v>2830</v>
      </c>
    </row>
    <row r="2" spans="1:194" ht="15.75" customHeight="1" x14ac:dyDescent="0.2">
      <c r="A2" s="2">
        <v>45138.741151064816</v>
      </c>
      <c r="B2" s="1" t="s">
        <v>3</v>
      </c>
      <c r="C2" s="1" t="s">
        <v>2831</v>
      </c>
      <c r="D2" s="1" t="s">
        <v>2832</v>
      </c>
      <c r="E2" s="1" t="s">
        <v>2017</v>
      </c>
      <c r="F2" s="1" t="s">
        <v>262</v>
      </c>
      <c r="G2" s="5" t="s">
        <v>2833</v>
      </c>
      <c r="H2" s="41">
        <v>31331</v>
      </c>
      <c r="I2" s="1">
        <v>37</v>
      </c>
      <c r="J2" s="1">
        <v>5522462492</v>
      </c>
      <c r="K2" s="1">
        <v>5556917624</v>
      </c>
      <c r="L2" s="1" t="s">
        <v>7397</v>
      </c>
      <c r="M2" s="1">
        <v>22309060570115</v>
      </c>
      <c r="N2" s="1" t="s">
        <v>246</v>
      </c>
      <c r="O2" s="1" t="s">
        <v>225</v>
      </c>
      <c r="P2" s="1" t="s">
        <v>278</v>
      </c>
      <c r="Q2" s="1" t="s">
        <v>263</v>
      </c>
      <c r="R2" s="1" t="s">
        <v>236</v>
      </c>
      <c r="S2" s="1" t="s">
        <v>228</v>
      </c>
      <c r="T2" s="1" t="s">
        <v>229</v>
      </c>
      <c r="U2" s="1" t="s">
        <v>249</v>
      </c>
      <c r="V2" s="1" t="s">
        <v>228</v>
      </c>
      <c r="W2" s="1" t="s">
        <v>2834</v>
      </c>
      <c r="X2" s="1" t="s">
        <v>249</v>
      </c>
      <c r="Y2" s="1" t="s">
        <v>2835</v>
      </c>
      <c r="Z2" s="1" t="s">
        <v>240</v>
      </c>
      <c r="AA2" s="44" t="s">
        <v>575</v>
      </c>
      <c r="AB2" s="1">
        <v>69</v>
      </c>
      <c r="AC2" s="1">
        <v>18</v>
      </c>
      <c r="AD2" s="1" t="s">
        <v>837</v>
      </c>
      <c r="AE2" s="1" t="s">
        <v>2836</v>
      </c>
      <c r="AF2" s="1" t="s">
        <v>265</v>
      </c>
      <c r="AG2" s="1">
        <v>48</v>
      </c>
      <c r="AH2" s="5" t="s">
        <v>2837</v>
      </c>
      <c r="AI2" s="1">
        <v>5522462492</v>
      </c>
      <c r="AJ2" s="1">
        <v>5556917624</v>
      </c>
      <c r="AK2" s="1" t="s">
        <v>3</v>
      </c>
      <c r="AL2" s="1" t="s">
        <v>2838</v>
      </c>
      <c r="AM2" s="1" t="s">
        <v>2839</v>
      </c>
      <c r="AN2" s="1" t="s">
        <v>2840</v>
      </c>
      <c r="AO2" s="1" t="s">
        <v>435</v>
      </c>
      <c r="AP2" s="1">
        <v>63</v>
      </c>
      <c r="AQ2" s="1" t="s">
        <v>689</v>
      </c>
      <c r="AR2" s="42">
        <v>0.84722222221898846</v>
      </c>
      <c r="AS2" s="42">
        <v>0.875</v>
      </c>
      <c r="AT2" s="1">
        <v>5522462492</v>
      </c>
      <c r="AU2" s="1">
        <v>556917624</v>
      </c>
      <c r="AV2" s="1" t="s">
        <v>2841</v>
      </c>
      <c r="AW2" s="5" t="s">
        <v>2842</v>
      </c>
      <c r="AX2" s="1" t="s">
        <v>2843</v>
      </c>
      <c r="AY2" s="1" t="s">
        <v>2844</v>
      </c>
      <c r="AZ2" s="1" t="s">
        <v>2845</v>
      </c>
      <c r="BA2" s="1" t="s">
        <v>403</v>
      </c>
      <c r="BB2" s="1">
        <v>30</v>
      </c>
      <c r="BC2" s="1" t="s">
        <v>1445</v>
      </c>
      <c r="BD2" s="43">
        <v>0.375</v>
      </c>
      <c r="BE2" s="43">
        <v>0.58333333333575865</v>
      </c>
      <c r="BF2" s="1">
        <v>5522462492</v>
      </c>
      <c r="BG2" s="1">
        <v>5556917624</v>
      </c>
      <c r="BH2" s="1" t="s">
        <v>2846</v>
      </c>
      <c r="BI2" s="5" t="s">
        <v>2847</v>
      </c>
      <c r="BJ2" s="1" t="s">
        <v>236</v>
      </c>
      <c r="BL2" s="1">
        <v>1.7</v>
      </c>
      <c r="BM2" s="1">
        <v>95</v>
      </c>
      <c r="BN2" s="1" t="s">
        <v>236</v>
      </c>
      <c r="BO2" s="1" t="s">
        <v>228</v>
      </c>
      <c r="BQ2" s="1" t="s">
        <v>236</v>
      </c>
      <c r="BR2" s="1" t="s">
        <v>237</v>
      </c>
      <c r="BS2" s="1" t="s">
        <v>228</v>
      </c>
      <c r="BT2" s="1" t="s">
        <v>237</v>
      </c>
      <c r="BU2" s="1" t="s">
        <v>228</v>
      </c>
      <c r="BW2" s="1" t="s">
        <v>272</v>
      </c>
      <c r="BX2" s="1">
        <v>15</v>
      </c>
      <c r="BY2" s="1">
        <v>200</v>
      </c>
      <c r="BZ2" s="1" t="s">
        <v>458</v>
      </c>
      <c r="CA2" s="1" t="s">
        <v>1054</v>
      </c>
      <c r="CB2" s="1" t="s">
        <v>2247</v>
      </c>
      <c r="CC2" s="1" t="s">
        <v>322</v>
      </c>
      <c r="CD2" s="1">
        <v>200</v>
      </c>
      <c r="CE2" s="1">
        <v>200</v>
      </c>
      <c r="CF2" s="1" t="s">
        <v>236</v>
      </c>
      <c r="CG2" s="1" t="s">
        <v>242</v>
      </c>
      <c r="CH2" s="1" t="s">
        <v>243</v>
      </c>
      <c r="CI2" s="1" t="s">
        <v>243</v>
      </c>
      <c r="CJ2" s="1" t="s">
        <v>2848</v>
      </c>
      <c r="CL2" s="5" t="s">
        <v>2849</v>
      </c>
      <c r="CM2" s="1">
        <v>12345678911</v>
      </c>
      <c r="CN2" s="1" t="s">
        <v>228</v>
      </c>
      <c r="CQ2" s="42">
        <v>0.58333333333575865</v>
      </c>
      <c r="CR2" s="42">
        <v>0.875</v>
      </c>
      <c r="CT2" s="45" t="str">
        <f t="array" ref="CT2">IFERROR(INDEX(#REF!,MATCH('Respuestas de formulario 1.1'!$B2,#REF!,0),MATCH('Respuestas de formulario 1.1'!CT$1,#REF!,0)),"")</f>
        <v/>
      </c>
      <c r="CU2" s="46" t="str">
        <f t="array" ref="CU2">IFERROR(INDEX(#REF!,MATCH('Respuestas de formulario 1.1'!$B2,#REF!,0),MATCH('Respuestas de formulario 1.1'!CU$1,#REF!,0)),"")</f>
        <v/>
      </c>
      <c r="CV2" s="46" t="str">
        <f t="array" ref="CV2">IFERROR(INDEX(#REF!,MATCH('Respuestas de formulario 1.1'!$B2,#REF!,0),MATCH('Respuestas de formulario 1.1'!CV$1,#REF!,0)),"")</f>
        <v/>
      </c>
      <c r="CW2" s="46" t="str">
        <f t="array" ref="CW2">IFERROR(INDEX(#REF!,MATCH('Respuestas de formulario 1.1'!$B2,#REF!,0),MATCH('Respuestas de formulario 1.1'!CW$1,#REF!,0)),"")</f>
        <v/>
      </c>
      <c r="CX2" s="46" t="str">
        <f t="array" ref="CX2">IFERROR(INDEX(#REF!,MATCH('Respuestas de formulario 1.1'!$B2,#REF!,0),MATCH('Respuestas de formulario 1.1'!CX$1,#REF!,0)),"")</f>
        <v/>
      </c>
      <c r="CY2" s="46" t="str">
        <f t="array" ref="CY2">IFERROR(INDEX(#REF!,MATCH('Respuestas de formulario 1.1'!$B2,#REF!,0),MATCH('Respuestas de formulario 1.1'!CY$1,#REF!,0)),"")</f>
        <v/>
      </c>
      <c r="CZ2" s="55" t="str">
        <f t="array" ref="CZ2">IFERROR(INDEX(#REF!,MATCH('Respuestas de formulario 1.1'!$B2,#REF!,0),MATCH('Respuestas de formulario 1.1'!CZ$1,#REF!,0)),"")</f>
        <v/>
      </c>
      <c r="DA2" s="45" t="e">
        <f t="array" ref="DA2">INDEX(#REF!,MATCH('Respuestas de formulario 1.1'!$B2,#REF!,0),MATCH('Respuestas de formulario 1.1'!DA$1,#REF!,0))</f>
        <v>#REF!</v>
      </c>
      <c r="DB2" s="45" t="e">
        <f t="array" ref="DB2">INDEX(#REF!,MATCH('Respuestas de formulario 1.1'!$B2,#REF!,0),MATCH('Respuestas de formulario 1.1'!DB$1,#REF!,0))</f>
        <v>#REF!</v>
      </c>
      <c r="DC2" s="45" t="e">
        <f t="array" ref="DC2">INDEX(#REF!,MATCH('Respuestas de formulario 1.1'!$B2,#REF!,0),MATCH('Respuestas de formulario 1.1'!DC$1,#REF!,0))</f>
        <v>#REF!</v>
      </c>
      <c r="DD2" s="47" t="e">
        <f t="array" ref="DD2">INDEX(#REF!,MATCH('Respuestas de formulario 1.1'!$B2,#REF!,0),MATCH('Respuestas de formulario 1.1'!DD$1,#REF!,0))</f>
        <v>#REF!</v>
      </c>
      <c r="DE2" s="45" t="e">
        <f t="array" ref="DE2">INDEX(#REF!,MATCH('Respuestas de formulario 1.1'!$B2,#REF!,0),MATCH('Respuestas de formulario 1.1'!DE$1,#REF!,0))</f>
        <v>#REF!</v>
      </c>
      <c r="DF2" s="45" t="e">
        <f t="array" ref="DF2">INDEX(#REF!,MATCH('Respuestas de formulario 1.1'!$B2,#REF!,0),MATCH('Respuestas de formulario 1.1'!DF$1,#REF!,0))</f>
        <v>#REF!</v>
      </c>
      <c r="DG2" s="45" t="e">
        <f t="array" ref="DG2">INDEX(#REF!,MATCH('Respuestas de formulario 1.1'!$B2,#REF!,0),MATCH('Respuestas de formulario 1.1'!DG$1,#REF!,0))</f>
        <v>#REF!</v>
      </c>
      <c r="DH2" s="45" t="e">
        <f t="array" ref="DH2">INDEX(#REF!,MATCH('Respuestas de formulario 1.1'!$B2,#REF!,0),MATCH('Respuestas de formulario 1.1'!DH$1,#REF!,0))</f>
        <v>#REF!</v>
      </c>
      <c r="DI2" s="48" t="e">
        <f>VLOOKUP(CONCATENATE($DF2," TUTO ",$DC2),#REF!,3,0)</f>
        <v>#REF!</v>
      </c>
      <c r="DJ2" s="48" t="e">
        <f t="array" ref="DJ2">IF('Respuestas de formulario 1.1'!A2="","",INDEX(#REF!,MATCH('Respuestas de formulario 1.1'!B2,#REF!,0),MATCH('Respuestas de formulario 1.1'!$DH$1,#REF!,0)))</f>
        <v>#REF!</v>
      </c>
      <c r="DK2" s="52" t="str">
        <f>CONCATENATE("http://doc.google.com/uc?id=",MID('Respuestas de formulario 1.1'!G2,34,33))</f>
        <v>http://doc.google.com/uc?id=1UiYxkXqwqXaDF7a7BsrNfJeCsYEbQmXR</v>
      </c>
      <c r="DL2" s="49" t="str">
        <f>CONCATENATE("http://doc.google.com/uc?id=",MID('Respuestas de formulario 1.1'!AH2,34,33))</f>
        <v>http://doc.google.com/uc?id=1clCcRsGNiPvMvueSM7afdipyK8u1PRyG</v>
      </c>
      <c r="DM2" s="50" t="str">
        <f>CONCATENATE("http://doc.google.com/uc?id=",MID('Respuestas de formulario 1.1'!AW2,34,33))</f>
        <v>http://doc.google.com/uc?id=1f1tuO8zO1BR9yaWSzxCeTgWSBxqrCuUR</v>
      </c>
      <c r="DN2" s="53" t="str">
        <f>CONCATENATE("http://doc.google.com/uc?id=",MID('Respuestas de formulario 1.1'!$BI2,34,33))</f>
        <v>http://doc.google.com/uc?id=199-Zevta_7-yFu0RZwuvT7SQWBGKGAw2</v>
      </c>
      <c r="DO2" s="45" t="str">
        <f>IFERROR(VLOOKUP(CONCATENATE('Respuestas de formulario 1.1'!$B2,MID('Respuestas de formulario 1.1'!DO$1,2,1)),#REF!,12,0),"")</f>
        <v/>
      </c>
      <c r="DP2" s="45" t="str">
        <f>IFERROR(VLOOKUP(CONCATENATE('Respuestas de formulario 1.1'!$B2,MID('Respuestas de formulario 1.1'!DP$1,2,1)),#REF!,12,0),"")</f>
        <v/>
      </c>
      <c r="DQ2" s="45" t="str">
        <f>IFERROR(VLOOKUP(CONCATENATE('Respuestas de formulario 1.1'!$B2,MID('Respuestas de formulario 1.1'!DQ$1,2,1)),#REF!,12,0),"")</f>
        <v/>
      </c>
      <c r="DR2" s="45" t="str">
        <f>IFERROR(VLOOKUP(CONCATENATE('Respuestas de formulario 1.1'!$B2,MID('Respuestas de formulario 1.1'!DR$1,2,1)),#REF!,12,0),"")</f>
        <v/>
      </c>
      <c r="DS2" s="45" t="str">
        <f>IFERROR(VLOOKUP(CONCATENATE('Respuestas de formulario 1.1'!$B2,MID('Respuestas de formulario 1.1'!DS$1,2,1)),#REF!,12,0),"")</f>
        <v/>
      </c>
      <c r="DT2" s="45" t="str">
        <f>IFERROR(VLOOKUP(CONCATENATE('Respuestas de formulario 1.1'!$B2,MID('Respuestas de formulario 1.1'!DT$1,2,1)),#REF!,12,0),"")</f>
        <v/>
      </c>
      <c r="DU2" s="45" t="str">
        <f>IFERROR(VLOOKUP(CONCATENATE('Respuestas de formulario 1.1'!$B2,MID('Respuestas de formulario 1.1'!DU$1,2,1)),#REF!,12,0),"")</f>
        <v/>
      </c>
      <c r="DV2" s="45" t="str">
        <f>IFERROR(VLOOKUP(CONCATENATE('Respuestas de formulario 1.1'!$B2,MID('Respuestas de formulario 1.1'!DV$1,2,1)),#REF!,12,0),"")</f>
        <v/>
      </c>
      <c r="DW2" s="45" t="str">
        <f>IFERROR(VLOOKUP(CONCATENATE('Respuestas de formulario 1.1'!$B2,MID('Respuestas de formulario 1.1'!DW$1,2,1)),#REF!,12,0),"")</f>
        <v/>
      </c>
      <c r="DX2" s="45" t="str">
        <f>IFERROR(VLOOKUP(CONCATENATE('Respuestas de formulario 1.1'!$B2,MID('Respuestas de formulario 1.1'!DX$1,2,1)),#REF!,12,0),"")</f>
        <v/>
      </c>
      <c r="DY2" s="45" t="str">
        <f>IFERROR(VLOOKUP(CONCATENATE('Respuestas de formulario 1.1'!$B2,MID('Respuestas de formulario 1.1'!DY$1,2,1)),#REF!,12,0),"")</f>
        <v/>
      </c>
      <c r="DZ2" s="45" t="str">
        <f>IFERROR(VLOOKUP(CONCATENATE('Respuestas de formulario 1.1'!$B2,MID('Respuestas de formulario 1.1'!DZ$1,2,1)),#REF!,12,0),"")</f>
        <v/>
      </c>
      <c r="EA2" s="45" t="str">
        <f>IFERROR(VLOOKUP(CONCATENATE('Respuestas de formulario 1.1'!$B2,MID('Respuestas de formulario 1.1'!EA$1,2,1)),#REF!,12,0),"")</f>
        <v/>
      </c>
      <c r="EB2" s="45" t="str">
        <f>IFERROR(VLOOKUP(CONCATENATE('Respuestas de formulario 1.1'!$B2,MID('Respuestas de formulario 1.1'!EB$1,2,1)),#REF!,12,0),"")</f>
        <v/>
      </c>
      <c r="EC2" s="45" t="str">
        <f>IFERROR(VLOOKUP(CONCATENATE('Respuestas de formulario 1.1'!$B2,MID('Respuestas de formulario 1.1'!EC$1,2,1)),#REF!,12,0),"")</f>
        <v/>
      </c>
      <c r="ED2" s="45" t="str">
        <f>IFERROR(VLOOKUP(CONCATENATE('Respuestas de formulario 1.1'!$B2,MID('Respuestas de formulario 1.1'!ED$1,2,1)),#REF!,12,0),"")</f>
        <v/>
      </c>
      <c r="EE2" s="45" t="str">
        <f>IFERROR(VLOOKUP(CONCATENATE('Respuestas de formulario 1.1'!$B2,MID('Respuestas de formulario 1.1'!EE$1,2,1)),#REF!,12,0),"")</f>
        <v/>
      </c>
      <c r="EF2" s="45" t="str">
        <f>IFERROR(VLOOKUP(CONCATENATE('Respuestas de formulario 1.1'!$B2,MID('Respuestas de formulario 1.1'!EF$1,2,1)),#REF!,12,0),"")</f>
        <v/>
      </c>
      <c r="EG2" s="45" t="str">
        <f>IFERROR(VLOOKUP(CONCATENATE('Respuestas de formulario 1.1'!$B2,MID('Respuestas de formulario 1.1'!EG$1,2,1)),#REF!,12,0),"")</f>
        <v/>
      </c>
      <c r="EH2" s="45" t="str">
        <f>IFERROR(VLOOKUP(CONCATENATE('Respuestas de formulario 1.1'!$B2,MID('Respuestas de formulario 1.1'!EH$1,2,1)),#REF!,12,0),"")</f>
        <v/>
      </c>
      <c r="EI2" s="45" t="str">
        <f>IFERROR(VLOOKUP(CONCATENATE('Respuestas de formulario 1.1'!$B2,MID('Respuestas de formulario 1.1'!EI$1,2,1)),#REF!,12,0),"")</f>
        <v/>
      </c>
      <c r="EJ2" s="45" t="str">
        <f t="array" ref="EJ2">IF(DO2="","", INDEX(#REF!,MATCH(CONCATENATE('Respuestas de formulario 1.1'!$B2,DO2),#REF!,0),MATCH('Respuestas de formulario 1.1'!EJ$1,#REF!,0)))</f>
        <v/>
      </c>
      <c r="EK2" s="46" t="str">
        <f t="array" ref="EK2">IF(DP2="","", INDEX(#REF!,MATCH(CONCATENATE('Respuestas de formulario 1.1'!$B2,DP2),#REF!,0),MATCH('Respuestas de formulario 1.1'!EK$1,#REF!,0)))</f>
        <v/>
      </c>
      <c r="EL2" s="46" t="str">
        <f t="array" ref="EL2">IF(DQ2="","", INDEX(#REF!,MATCH(CONCATENATE('Respuestas de formulario 1.1'!$B2,DQ2),#REF!,0),MATCH('Respuestas de formulario 1.1'!EL$1,#REF!,0)))</f>
        <v/>
      </c>
      <c r="EM2" s="46" t="str">
        <f t="array" ref="EM2">IF(DR2="","", INDEX(#REF!,MATCH(CONCATENATE('Respuestas de formulario 1.1'!$B2,DR2),#REF!,0),MATCH('Respuestas de formulario 1.1'!EM$1,#REF!,0)))</f>
        <v/>
      </c>
      <c r="EN2" s="46" t="str">
        <f t="array" ref="EN2">IF(DS2="","", INDEX(#REF!,MATCH(CONCATENATE('Respuestas de formulario 1.1'!$B2,DS2),#REF!,0),MATCH('Respuestas de formulario 1.1'!EN$1,#REF!,0)))</f>
        <v/>
      </c>
      <c r="EO2" s="46" t="str">
        <f t="array" ref="EO2">IF(DT2="","", INDEX(#REF!,MATCH(CONCATENATE('Respuestas de formulario 1.1'!$B2,DT2),#REF!,0),MATCH('Respuestas de formulario 1.1'!EO$1,#REF!,0)))</f>
        <v/>
      </c>
      <c r="EP2" s="45" t="str">
        <f t="array" ref="EP2">IF(DU2="","", INDEX(#REF!,MATCH(CONCATENATE('Respuestas de formulario 1.1'!$B2,DU2),#REF!,0),MATCH('Respuestas de formulario 1.1'!EP$1,#REF!,0)))</f>
        <v/>
      </c>
      <c r="EQ2" s="45" t="str">
        <f t="array" ref="EQ2">IF(DP2="","", INDEX(#REF!,MATCH(CONCATENATE('Respuestas de formulario 1.1'!$B2,DP2),#REF!,0),MATCH('Respuestas de formulario 1.1'!EQ$1,#REF!,0)))</f>
        <v/>
      </c>
      <c r="ER2" s="46" t="str">
        <f t="array" ref="ER2">IF(DQ2="","", INDEX(#REF!,MATCH(CONCATENATE('Respuestas de formulario 1.1'!$B2,DQ2),#REF!,0),MATCH('Respuestas de formulario 1.1'!ER$1,#REF!,0)))</f>
        <v/>
      </c>
      <c r="ES2" s="46" t="str">
        <f t="array" ref="ES2">IF(DR2="","", INDEX(#REF!,MATCH(CONCATENATE('Respuestas de formulario 1.1'!$B2,DR2),#REF!,0),MATCH('Respuestas de formulario 1.1'!ES$1,#REF!,0)))</f>
        <v/>
      </c>
      <c r="ET2" s="46" t="str">
        <f t="array" ref="ET2">IF(DS2="","", INDEX(#REF!,MATCH(CONCATENATE('Respuestas de formulario 1.1'!$B2,DS2),#REF!,0),MATCH('Respuestas de formulario 1.1'!ET$1,#REF!,0)))</f>
        <v/>
      </c>
      <c r="EU2" s="46" t="str">
        <f t="array" ref="EU2">IF(DT2="","", INDEX(#REF!,MATCH(CONCATENATE('Respuestas de formulario 1.1'!$B2,DT2),#REF!,0),MATCH('Respuestas de formulario 1.1'!EU$1,#REF!,0)))</f>
        <v/>
      </c>
      <c r="EV2" s="46" t="str">
        <f t="array" ref="EV2">IF(DU2="","", INDEX(#REF!,MATCH(CONCATENATE('Respuestas de formulario 1.1'!$B2,DU2),#REF!,0),MATCH('Respuestas de formulario 1.1'!EV$1,#REF!,0)))</f>
        <v/>
      </c>
      <c r="EW2" s="45" t="str">
        <f t="array" ref="EW2">IF(DV2="","", INDEX(#REF!,MATCH(CONCATENATE('Respuestas de formulario 1.1'!$B2,DV2),#REF!,0),MATCH('Respuestas de formulario 1.1'!EW$1,#REF!,0)))</f>
        <v/>
      </c>
      <c r="EX2" s="45" t="str">
        <f t="array" ref="EX2">IF($DQ2="","", INDEX(#REF!,MATCH(CONCATENATE('Respuestas de formulario 1.1'!$B2,$DQ2),#REF!,0),MATCH('Respuestas de formulario 1.1'!EX$1,#REF!,0)))</f>
        <v/>
      </c>
      <c r="EY2" s="46" t="str">
        <f t="array" ref="EY2">IF($DQ2="","", INDEX(#REF!,MATCH(CONCATENATE('Respuestas de formulario 1.1'!$B2,$DQ2),#REF!,0),MATCH('Respuestas de formulario 1.1'!EY$1,#REF!,0)))</f>
        <v/>
      </c>
      <c r="EZ2" s="46" t="str">
        <f t="array" ref="EZ2">IF($DQ2="","", INDEX(#REF!,MATCH(CONCATENATE('Respuestas de formulario 1.1'!$B2,$DQ2),#REF!,0),MATCH('Respuestas de formulario 1.1'!EZ$1,#REF!,0)))</f>
        <v/>
      </c>
      <c r="FA2" s="46" t="str">
        <f t="array" ref="FA2">IF($DQ2="","", INDEX(#REF!,MATCH(CONCATENATE('Respuestas de formulario 1.1'!$B2,$DQ2),#REF!,0),MATCH('Respuestas de formulario 1.1'!FA$1,#REF!,0)))</f>
        <v/>
      </c>
      <c r="FB2" s="46" t="str">
        <f t="array" ref="FB2">IF($DQ2="","", INDEX(#REF!,MATCH(CONCATENATE('Respuestas de formulario 1.1'!$B2,$DQ2),#REF!,0),MATCH('Respuestas de formulario 1.1'!FB$1,#REF!,0)))</f>
        <v/>
      </c>
      <c r="FC2" s="46" t="str">
        <f t="array" ref="FC2">IF($DQ2="","", INDEX(#REF!,MATCH(CONCATENATE('Respuestas de formulario 1.1'!$B2,$DQ2),#REF!,0),MATCH('Respuestas de formulario 1.1'!FC$1,#REF!,0)))</f>
        <v/>
      </c>
      <c r="FD2" s="45" t="str">
        <f t="array" ref="FD2">IF($DQ2="","", INDEX(#REF!,MATCH(CONCATENATE('Respuestas de formulario 1.1'!$B2,$DQ2),#REF!,0),MATCH('Respuestas de formulario 1.1'!FD$1,#REF!,0)))</f>
        <v/>
      </c>
      <c r="FE2" s="45" t="str">
        <f t="array" ref="FE2">IF($DR2="","", INDEX(#REF!,MATCH(CONCATENATE(#REF!,$DR2),#REF!,0),MATCH(#REF!,#REF!,0)))</f>
        <v/>
      </c>
      <c r="FF2" s="46" t="str">
        <f t="array" ref="FF2">IF($DR2="","", INDEX(#REF!,MATCH(CONCATENATE(#REF!,$DR2),#REF!,0),MATCH(#REF!,#REF!,0)))</f>
        <v/>
      </c>
      <c r="FG2" s="46" t="str">
        <f t="array" ref="FG2">IF($DR2="","", INDEX(#REF!,MATCH(CONCATENATE(#REF!,$DR2),#REF!,0),MATCH(#REF!,#REF!,0)))</f>
        <v/>
      </c>
      <c r="FH2" s="46" t="str">
        <f t="array" ref="FH2">IF($DR2="","", INDEX(#REF!,MATCH(CONCATENATE(#REF!,$DR2),#REF!,0),MATCH(#REF!,#REF!,0)))</f>
        <v/>
      </c>
      <c r="FI2" s="46" t="str">
        <f t="array" ref="FI2">IF($DR2="","", INDEX(#REF!,MATCH(CONCATENATE(#REF!,$DR2),#REF!,0),MATCH(#REF!,#REF!,0)))</f>
        <v/>
      </c>
      <c r="FJ2" s="46" t="str">
        <f t="array" ref="FJ2">IF($DR2="","", INDEX(#REF!,MATCH(CONCATENATE(#REF!,$DR2),#REF!,0),MATCH(#REF!,#REF!,0)))</f>
        <v/>
      </c>
      <c r="FK2" s="45" t="str">
        <f t="array" ref="FK2">IF($DR2="","", INDEX(#REF!,MATCH(CONCATENATE(#REF!,$DR2),#REF!,0),MATCH(#REF!,#REF!,0)))</f>
        <v/>
      </c>
      <c r="FL2" s="45" t="str">
        <f t="array" ref="FL2">IF($DT2="","", INDEX(#REF!,MATCH(CONCATENATE('Respuestas de formulario 1.1'!$B2,$DS2),#REF!,0),MATCH('Respuestas de formulario 1.1'!FL$1,#REF!,0)))</f>
        <v/>
      </c>
      <c r="FM2" s="46" t="str">
        <f t="array" ref="FM2">IF($DT2="","", INDEX(#REF!,MATCH(CONCATENATE('Respuestas de formulario 1.1'!$B2,$DS2),#REF!,0),MATCH('Respuestas de formulario 1.1'!FM$1,#REF!,0)))</f>
        <v/>
      </c>
      <c r="FN2" s="46" t="str">
        <f t="array" ref="FN2">IF($DT2="","", INDEX(#REF!,MATCH(CONCATENATE('Respuestas de formulario 1.1'!$B2,$DS2),#REF!,0),MATCH('Respuestas de formulario 1.1'!FN$1,#REF!,0)))</f>
        <v/>
      </c>
      <c r="FO2" s="46" t="str">
        <f t="array" ref="FO2">IF($DT2="","", INDEX(#REF!,MATCH(CONCATENATE('Respuestas de formulario 1.1'!$B2,$DS2),#REF!,0),MATCH('Respuestas de formulario 1.1'!FO$1,#REF!,0)))</f>
        <v/>
      </c>
      <c r="FP2" s="46" t="str">
        <f t="array" ref="FP2">IF($DT2="","", INDEX(#REF!,MATCH(CONCATENATE('Respuestas de formulario 1.1'!$B2,$DS2),#REF!,0),MATCH('Respuestas de formulario 1.1'!FP$1,#REF!,0)))</f>
        <v/>
      </c>
      <c r="FQ2" s="46" t="str">
        <f t="array" ref="FQ2">IF($DT2="","", INDEX(#REF!,MATCH(CONCATENATE('Respuestas de formulario 1.1'!$B2,$DS2),#REF!,0),MATCH('Respuestas de formulario 1.1'!FQ$1,#REF!,0)))</f>
        <v/>
      </c>
      <c r="FR2" s="45" t="str">
        <f t="array" ref="FR2">IF($DT2="","", INDEX(#REF!,MATCH(CONCATENATE('Respuestas de formulario 1.1'!$B2,$DS2),#REF!,0),MATCH('Respuestas de formulario 1.1'!FR$1,#REF!,0)))</f>
        <v/>
      </c>
      <c r="FS2" s="45" t="str">
        <f t="array" ref="FS2">IF($DU2="","", INDEX(#REF!,MATCH(CONCATENATE('Respuestas de formulario 1.1'!$B2,$DT2),#REF!,0),MATCH('Respuestas de formulario 1.1'!FS$1,#REF!,0)))</f>
        <v/>
      </c>
      <c r="FT2" s="46" t="str">
        <f t="array" ref="FT2">IF($DU2="","", INDEX(#REF!,MATCH(CONCATENATE('Respuestas de formulario 1.1'!$B2,$DT2),#REF!,0),MATCH('Respuestas de formulario 1.1'!FT$1,#REF!,0)))</f>
        <v/>
      </c>
      <c r="FU2" s="46" t="str">
        <f t="array" ref="FU2">IF($DU2="","", INDEX(#REF!,MATCH(CONCATENATE('Respuestas de formulario 1.1'!$B2,$DT2),#REF!,0),MATCH('Respuestas de formulario 1.1'!FU$1,#REF!,0)))</f>
        <v/>
      </c>
      <c r="FV2" s="46" t="str">
        <f t="array" ref="FV2">IF($DU2="","", INDEX(#REF!,MATCH(CONCATENATE('Respuestas de formulario 1.1'!$B2,$DT2),#REF!,0),MATCH('Respuestas de formulario 1.1'!FV$1,#REF!,0)))</f>
        <v/>
      </c>
      <c r="FW2" s="46" t="str">
        <f t="array" ref="FW2">IF($DU2="","", INDEX(#REF!,MATCH(CONCATENATE('Respuestas de formulario 1.1'!$B2,$DT2),#REF!,0),MATCH('Respuestas de formulario 1.1'!FW$1,#REF!,0)))</f>
        <v/>
      </c>
      <c r="FX2" s="46" t="str">
        <f t="array" ref="FX2">IF($DU2="","", INDEX(#REF!,MATCH(CONCATENATE('Respuestas de formulario 1.1'!$B2,$DT2),#REF!,0),MATCH('Respuestas de formulario 1.1'!FX$1,#REF!,0)))</f>
        <v/>
      </c>
      <c r="FY2" s="45" t="str">
        <f t="array" ref="FY2">IF($DU2="","", INDEX(#REF!,MATCH(CONCATENATE('Respuestas de formulario 1.1'!$B2,$DT2),#REF!,0),MATCH('Respuestas de formulario 1.1'!FY$1,#REF!,0)))</f>
        <v/>
      </c>
      <c r="FZ2" s="3" t="s">
        <v>4</v>
      </c>
    </row>
    <row r="3" spans="1:194" ht="15.75" customHeight="1" x14ac:dyDescent="0.2">
      <c r="A3" s="2">
        <v>45139.753113402781</v>
      </c>
      <c r="B3" s="59" t="s">
        <v>37</v>
      </c>
      <c r="C3" s="1" t="s">
        <v>1219</v>
      </c>
      <c r="D3" s="1" t="s">
        <v>245</v>
      </c>
      <c r="E3" s="1" t="s">
        <v>2468</v>
      </c>
      <c r="F3" s="1" t="s">
        <v>223</v>
      </c>
      <c r="G3" s="5" t="s">
        <v>2850</v>
      </c>
      <c r="H3" s="41">
        <v>39047</v>
      </c>
      <c r="I3" s="1">
        <v>16</v>
      </c>
      <c r="J3" s="1">
        <v>5614140113</v>
      </c>
      <c r="K3" s="1">
        <v>5558578102</v>
      </c>
      <c r="L3" s="1" t="s">
        <v>1883</v>
      </c>
      <c r="M3" s="1">
        <v>21309060570033</v>
      </c>
      <c r="N3" s="1" t="s">
        <v>1108</v>
      </c>
      <c r="O3" s="1" t="s">
        <v>247</v>
      </c>
      <c r="P3" s="1" t="s">
        <v>226</v>
      </c>
      <c r="Q3" s="1" t="s">
        <v>263</v>
      </c>
      <c r="R3" s="1" t="s">
        <v>236</v>
      </c>
      <c r="S3" s="1" t="s">
        <v>228</v>
      </c>
      <c r="T3" s="1" t="s">
        <v>229</v>
      </c>
      <c r="U3" s="1" t="s">
        <v>394</v>
      </c>
      <c r="V3" s="1" t="s">
        <v>228</v>
      </c>
      <c r="W3" s="1" t="s">
        <v>2851</v>
      </c>
      <c r="X3" s="1" t="s">
        <v>394</v>
      </c>
      <c r="Y3" s="1" t="s">
        <v>1502</v>
      </c>
      <c r="Z3" s="1" t="s">
        <v>231</v>
      </c>
      <c r="AA3" s="1">
        <v>56430</v>
      </c>
      <c r="AB3" s="1" t="s">
        <v>2852</v>
      </c>
      <c r="AC3" s="1" t="s">
        <v>1530</v>
      </c>
      <c r="AD3" s="1" t="s">
        <v>2853</v>
      </c>
      <c r="AE3" s="1" t="s">
        <v>2854</v>
      </c>
      <c r="AF3" s="1" t="s">
        <v>435</v>
      </c>
      <c r="AG3" s="1">
        <v>43</v>
      </c>
      <c r="AH3" s="5" t="s">
        <v>2855</v>
      </c>
      <c r="AI3" s="1">
        <v>5582248448</v>
      </c>
      <c r="AJ3" s="1">
        <v>5558578102</v>
      </c>
      <c r="AK3" s="1" t="s">
        <v>1885</v>
      </c>
      <c r="AL3" s="1" t="s">
        <v>941</v>
      </c>
      <c r="AM3" s="1" t="s">
        <v>245</v>
      </c>
      <c r="AN3" s="1" t="s">
        <v>2435</v>
      </c>
      <c r="AO3" s="1" t="s">
        <v>586</v>
      </c>
      <c r="AP3" s="1">
        <v>22</v>
      </c>
      <c r="AQ3" s="1" t="s">
        <v>303</v>
      </c>
      <c r="AR3" s="42">
        <v>0</v>
      </c>
      <c r="AS3" s="42">
        <v>0</v>
      </c>
      <c r="AT3" s="1">
        <v>5581817568</v>
      </c>
      <c r="AU3" s="1">
        <v>5558578102</v>
      </c>
      <c r="AV3" s="1" t="s">
        <v>2856</v>
      </c>
      <c r="AW3" s="5" t="s">
        <v>2857</v>
      </c>
      <c r="AX3" s="1" t="s">
        <v>245</v>
      </c>
      <c r="AY3" s="1" t="s">
        <v>369</v>
      </c>
      <c r="AZ3" s="1" t="s">
        <v>436</v>
      </c>
      <c r="BA3" s="1" t="s">
        <v>265</v>
      </c>
      <c r="BB3" s="1">
        <v>42</v>
      </c>
      <c r="BC3" s="1" t="s">
        <v>328</v>
      </c>
      <c r="BD3" s="43">
        <v>0</v>
      </c>
      <c r="BE3" s="43">
        <v>0</v>
      </c>
      <c r="BF3" s="1">
        <v>5582242491</v>
      </c>
      <c r="BG3" s="1">
        <v>5558578102</v>
      </c>
      <c r="BH3" s="1" t="s">
        <v>1884</v>
      </c>
      <c r="BI3" s="5" t="s">
        <v>2858</v>
      </c>
      <c r="BJ3" s="1" t="s">
        <v>236</v>
      </c>
      <c r="BL3" s="1">
        <v>1.6</v>
      </c>
      <c r="BM3" s="1">
        <v>54</v>
      </c>
      <c r="BN3" s="1" t="s">
        <v>236</v>
      </c>
      <c r="BO3" s="1" t="s">
        <v>228</v>
      </c>
      <c r="BQ3" s="1" t="s">
        <v>228</v>
      </c>
      <c r="BR3" s="1" t="s">
        <v>237</v>
      </c>
      <c r="BS3" s="1" t="s">
        <v>236</v>
      </c>
      <c r="BT3" s="1" t="s">
        <v>457</v>
      </c>
      <c r="BU3" s="1" t="s">
        <v>228</v>
      </c>
      <c r="BW3" s="1" t="s">
        <v>272</v>
      </c>
      <c r="BX3" s="1">
        <v>120</v>
      </c>
      <c r="BY3" s="1">
        <v>170</v>
      </c>
      <c r="BZ3" s="1" t="s">
        <v>2010</v>
      </c>
      <c r="CA3" s="1" t="s">
        <v>254</v>
      </c>
      <c r="CB3" s="1" t="s">
        <v>231</v>
      </c>
      <c r="CC3" s="1" t="s">
        <v>322</v>
      </c>
      <c r="CD3" s="1">
        <v>5000</v>
      </c>
      <c r="CE3" s="1">
        <v>2000</v>
      </c>
      <c r="CF3" s="1" t="s">
        <v>236</v>
      </c>
      <c r="CG3" s="1" t="s">
        <v>242</v>
      </c>
      <c r="CH3" s="1" t="s">
        <v>243</v>
      </c>
      <c r="CI3" s="1" t="s">
        <v>243</v>
      </c>
      <c r="CJ3" s="1" t="s">
        <v>2848</v>
      </c>
      <c r="CL3" s="5" t="s">
        <v>2859</v>
      </c>
      <c r="CM3" s="1">
        <v>12210615444</v>
      </c>
      <c r="CN3" s="1" t="s">
        <v>228</v>
      </c>
      <c r="CQ3" s="42">
        <v>0.29166666666424135</v>
      </c>
      <c r="CR3" s="42">
        <v>0.75</v>
      </c>
      <c r="CT3" s="45" t="str">
        <f t="array" ref="CT3">IFERROR(INDEX(#REF!,MATCH('Respuestas de formulario 1.1'!$B3,#REF!,0),MATCH('Respuestas de formulario 1.1'!CT$1,#REF!,0)),"")</f>
        <v/>
      </c>
      <c r="CU3" s="56" t="str">
        <f t="array" ref="CU3">IFERROR(INDEX(#REF!,MATCH('Respuestas de formulario 1.1'!$B3,#REF!,0),MATCH('Respuestas de formulario 1.1'!CU$1,#REF!,0)),"")</f>
        <v/>
      </c>
      <c r="CV3" s="56" t="str">
        <f t="array" ref="CV3">IFERROR(INDEX(#REF!,MATCH('Respuestas de formulario 1.1'!$B3,#REF!,0),MATCH('Respuestas de formulario 1.1'!CV$1,#REF!,0)),"")</f>
        <v/>
      </c>
      <c r="CW3" s="56" t="str">
        <f t="array" ref="CW3">IFERROR(INDEX(#REF!,MATCH('Respuestas de formulario 1.1'!$B3,#REF!,0),MATCH('Respuestas de formulario 1.1'!CW$1,#REF!,0)),"")</f>
        <v/>
      </c>
      <c r="CX3" s="56" t="str">
        <f t="array" ref="CX3">IFERROR(INDEX(#REF!,MATCH('Respuestas de formulario 1.1'!$B3,#REF!,0),MATCH('Respuestas de formulario 1.1'!CX$1,#REF!,0)),"")</f>
        <v/>
      </c>
      <c r="CY3" s="56" t="str">
        <f t="array" ref="CY3">IFERROR(INDEX(#REF!,MATCH('Respuestas de formulario 1.1'!$B3,#REF!,0),MATCH('Respuestas de formulario 1.1'!CY$1,#REF!,0)),"")</f>
        <v/>
      </c>
      <c r="CZ3" s="57" t="str">
        <f t="array" ref="CZ3">IFERROR(INDEX(#REF!,MATCH('Respuestas de formulario 1.1'!$B3,#REF!,0),MATCH('Respuestas de formulario 1.1'!CZ$1,#REF!,0)),"")</f>
        <v/>
      </c>
      <c r="DA3" s="45" t="e">
        <f t="array" ref="DA3">INDEX(#REF!,MATCH('Respuestas de formulario 1.1'!$B3,#REF!,0),MATCH('Respuestas de formulario 1.1'!DA$1,#REF!,0))</f>
        <v>#REF!</v>
      </c>
      <c r="DB3" s="45" t="e">
        <f t="array" ref="DB3">INDEX(#REF!,MATCH('Respuestas de formulario 1.1'!$B3,#REF!,0),MATCH('Respuestas de formulario 1.1'!DB$1,#REF!,0))</f>
        <v>#REF!</v>
      </c>
      <c r="DC3" s="45" t="e">
        <f t="array" ref="DC3">INDEX(#REF!,MATCH('Respuestas de formulario 1.1'!$B3,#REF!,0),MATCH('Respuestas de formulario 1.1'!DC$1,#REF!,0))</f>
        <v>#REF!</v>
      </c>
      <c r="DD3" s="45" t="e">
        <f t="array" ref="DD3">INDEX(#REF!,MATCH('Respuestas de formulario 1.1'!$B3,#REF!,0),MATCH('Respuestas de formulario 1.1'!DD$1,#REF!,0))</f>
        <v>#REF!</v>
      </c>
      <c r="DE3" s="45" t="e">
        <f t="array" ref="DE3">INDEX(#REF!,MATCH('Respuestas de formulario 1.1'!$B3,#REF!,0),MATCH('Respuestas de formulario 1.1'!DE$1,#REF!,0))</f>
        <v>#REF!</v>
      </c>
      <c r="DF3" s="45" t="e">
        <f t="array" ref="DF3">INDEX(#REF!,MATCH('Respuestas de formulario 1.1'!$B3,#REF!,0),MATCH('Respuestas de formulario 1.1'!DF$1,#REF!,0))</f>
        <v>#REF!</v>
      </c>
      <c r="DG3" s="45" t="e">
        <f t="array" ref="DG3">INDEX(#REF!,MATCH('Respuestas de formulario 1.1'!$B3,#REF!,0),MATCH('Respuestas de formulario 1.1'!DG$1,#REF!,0))</f>
        <v>#REF!</v>
      </c>
      <c r="DH3" s="45" t="e">
        <f t="array" ref="DH3">INDEX(#REF!,MATCH('Respuestas de formulario 1.1'!$B3,#REF!,0),MATCH('Respuestas de formulario 1.1'!DH$1,#REF!,0))</f>
        <v>#REF!</v>
      </c>
      <c r="DI3" s="48" t="e">
        <f>VLOOKUP(CONCATENATE($DF3," TUTO ",$DC3),#REF!,3,0)</f>
        <v>#REF!</v>
      </c>
      <c r="DJ3" s="48" t="e">
        <f t="array" ref="DJ3">IF('Respuestas de formulario 1.1'!A3="","",INDEX(#REF!,MATCH('Respuestas de formulario 1.1'!B3,#REF!,0),MATCH('Respuestas de formulario 1.1'!$DH$1,#REF!,0)))</f>
        <v>#REF!</v>
      </c>
      <c r="DK3" s="52" t="str">
        <f>CONCATENATE("http://doc.google.com/uc?id=",MID('Respuestas de formulario 1.1'!G3,34,33))</f>
        <v>http://doc.google.com/uc?id=1sBZ3Ket9DrmCONOY8FfJUao6WlboyCR0</v>
      </c>
      <c r="DL3" s="49" t="str">
        <f>CONCATENATE("http://doc.google.com/uc?id=",MID('Respuestas de formulario 1.1'!AH3,34,33))</f>
        <v>http://doc.google.com/uc?id=1jLLiTNhHg85iNLEZn-4qT4GlcU5vDDax</v>
      </c>
      <c r="DM3" s="50" t="str">
        <f>CONCATENATE("http://doc.google.com/uc?id=",MID('Respuestas de formulario 1.1'!AW3,34,33))</f>
        <v>http://doc.google.com/uc?id=1IKf0w54jThlSrQ5hlOibz2NHHfJiCFXG</v>
      </c>
      <c r="DN3" s="53" t="str">
        <f>CONCATENATE("http://doc.google.com/uc?id=",MID('Respuestas de formulario 1.1'!$BI3,34,33))</f>
        <v>http://doc.google.com/uc?id=1hnTkGcb9emqpIlFnHL42aERmwAvdlcP6</v>
      </c>
      <c r="DO3" s="45" t="str">
        <f>IFERROR(VLOOKUP(CONCATENATE('Respuestas de formulario 1.1'!$B3,MID('Respuestas de formulario 1.1'!DO$1,2,1)),#REF!,12,0),"")</f>
        <v/>
      </c>
      <c r="DP3" s="45" t="str">
        <f>IFERROR(VLOOKUP(CONCATENATE('Respuestas de formulario 1.1'!$B3,MID('Respuestas de formulario 1.1'!DP$1,2,1)),#REF!,12,0),"")</f>
        <v/>
      </c>
      <c r="DQ3" s="45" t="str">
        <f>IFERROR(VLOOKUP(CONCATENATE('Respuestas de formulario 1.1'!$B3,MID('Respuestas de formulario 1.1'!DQ$1,2,1)),#REF!,12,0),"")</f>
        <v/>
      </c>
      <c r="DR3" s="45" t="str">
        <f>IFERROR(VLOOKUP(CONCATENATE('Respuestas de formulario 1.1'!$B3,MID('Respuestas de formulario 1.1'!DR$1,2,1)),#REF!,12,0),"")</f>
        <v/>
      </c>
      <c r="DS3" s="45" t="str">
        <f>IFERROR(VLOOKUP(CONCATENATE('Respuestas de formulario 1.1'!$B3,MID('Respuestas de formulario 1.1'!DS$1,2,1)),#REF!,12,0),"")</f>
        <v/>
      </c>
      <c r="DT3" s="45" t="str">
        <f>IFERROR(VLOOKUP(CONCATENATE('Respuestas de formulario 1.1'!$B3,MID('Respuestas de formulario 1.1'!DT$1,2,1)),#REF!,12,0),"")</f>
        <v/>
      </c>
      <c r="DU3" s="45" t="str">
        <f>IFERROR(VLOOKUP(CONCATENATE('Respuestas de formulario 1.1'!$B3,MID('Respuestas de formulario 1.1'!DU$1,2,1)),#REF!,12,0),"")</f>
        <v/>
      </c>
      <c r="DV3" s="45" t="str">
        <f>IFERROR(VLOOKUP(CONCATENATE('Respuestas de formulario 1.1'!$B3,MID('Respuestas de formulario 1.1'!DV$1,2,1)),#REF!,12,0),"")</f>
        <v/>
      </c>
      <c r="DW3" s="45" t="str">
        <f>IFERROR(VLOOKUP(CONCATENATE('Respuestas de formulario 1.1'!$B3,MID('Respuestas de formulario 1.1'!DW$1,2,1)),#REF!,12,0),"")</f>
        <v/>
      </c>
      <c r="DX3" s="45" t="str">
        <f>IFERROR(VLOOKUP(CONCATENATE('Respuestas de formulario 1.1'!$B3,MID('Respuestas de formulario 1.1'!DX$1,2,1)),#REF!,12,0),"")</f>
        <v/>
      </c>
      <c r="DY3" s="45" t="str">
        <f>IFERROR(VLOOKUP(CONCATENATE('Respuestas de formulario 1.1'!$B3,MID('Respuestas de formulario 1.1'!DY$1,2,1)),#REF!,12,0),"")</f>
        <v/>
      </c>
      <c r="DZ3" s="45" t="str">
        <f>IFERROR(VLOOKUP(CONCATENATE('Respuestas de formulario 1.1'!$B3,MID('Respuestas de formulario 1.1'!DZ$1,2,1)),#REF!,12,0),"")</f>
        <v/>
      </c>
      <c r="EA3" s="45" t="str">
        <f>IFERROR(VLOOKUP(CONCATENATE('Respuestas de formulario 1.1'!$B3,MID('Respuestas de formulario 1.1'!EA$1,2,1)),#REF!,12,0),"")</f>
        <v/>
      </c>
      <c r="EB3" s="45" t="str">
        <f>IFERROR(VLOOKUP(CONCATENATE('Respuestas de formulario 1.1'!$B3,MID('Respuestas de formulario 1.1'!EB$1,2,1)),#REF!,12,0),"")</f>
        <v/>
      </c>
      <c r="EC3" s="45" t="str">
        <f>IFERROR(VLOOKUP(CONCATENATE('Respuestas de formulario 1.1'!$B3,MID('Respuestas de formulario 1.1'!EC$1,2,1)),#REF!,12,0),"")</f>
        <v/>
      </c>
      <c r="ED3" s="45" t="str">
        <f>IFERROR(VLOOKUP(CONCATENATE('Respuestas de formulario 1.1'!$B3,MID('Respuestas de formulario 1.1'!ED$1,2,1)),#REF!,12,0),"")</f>
        <v/>
      </c>
      <c r="EE3" s="45" t="str">
        <f>IFERROR(VLOOKUP(CONCATENATE('Respuestas de formulario 1.1'!$B3,MID('Respuestas de formulario 1.1'!EE$1,2,1)),#REF!,12,0),"")</f>
        <v/>
      </c>
      <c r="EF3" s="45" t="str">
        <f>IFERROR(VLOOKUP(CONCATENATE('Respuestas de formulario 1.1'!$B3,MID('Respuestas de formulario 1.1'!EF$1,2,1)),#REF!,12,0),"")</f>
        <v/>
      </c>
      <c r="EG3" s="45" t="str">
        <f>IFERROR(VLOOKUP(CONCATENATE('Respuestas de formulario 1.1'!$B3,MID('Respuestas de formulario 1.1'!EG$1,2,1)),#REF!,12,0),"")</f>
        <v/>
      </c>
      <c r="EH3" s="45" t="str">
        <f>IFERROR(VLOOKUP(CONCATENATE('Respuestas de formulario 1.1'!$B3,MID('Respuestas de formulario 1.1'!EH$1,2,1)),#REF!,12,0),"")</f>
        <v/>
      </c>
      <c r="EI3" s="45" t="str">
        <f>IFERROR(VLOOKUP(CONCATENATE('Respuestas de formulario 1.1'!$B3,MID('Respuestas de formulario 1.1'!EI$1,2,1)),#REF!,12,0),"")</f>
        <v/>
      </c>
      <c r="EJ3" s="45" t="str">
        <f t="array" ref="EJ3">IF(DO3="","", INDEX(#REF!,MATCH(CONCATENATE('Respuestas de formulario 1.1'!$B3,DO3),#REF!,0),MATCH('Respuestas de formulario 1.1'!EJ$1,#REF!,0)))</f>
        <v/>
      </c>
      <c r="EK3" s="56" t="str">
        <f t="array" ref="EK3">IF(DP3="","", INDEX(#REF!,MATCH(CONCATENATE('Respuestas de formulario 1.1'!$B3,DP3),#REF!,0),MATCH('Respuestas de formulario 1.1'!EK$1,#REF!,0)))</f>
        <v/>
      </c>
      <c r="EL3" s="56" t="str">
        <f t="array" ref="EL3">IF(DQ3="","", INDEX(#REF!,MATCH(CONCATENATE('Respuestas de formulario 1.1'!$B3,DQ3),#REF!,0),MATCH('Respuestas de formulario 1.1'!EL$1,#REF!,0)))</f>
        <v/>
      </c>
      <c r="EM3" s="56" t="str">
        <f t="array" ref="EM3">IF(DR3="","", INDEX(#REF!,MATCH(CONCATENATE('Respuestas de formulario 1.1'!$B3,DR3),#REF!,0),MATCH('Respuestas de formulario 1.1'!EM$1,#REF!,0)))</f>
        <v/>
      </c>
      <c r="EN3" s="56" t="str">
        <f t="array" ref="EN3">IF(DS3="","", INDEX(#REF!,MATCH(CONCATENATE('Respuestas de formulario 1.1'!$B3,DS3),#REF!,0),MATCH('Respuestas de formulario 1.1'!EN$1,#REF!,0)))</f>
        <v/>
      </c>
      <c r="EO3" s="56" t="str">
        <f t="array" ref="EO3">IF(DT3="","", INDEX(#REF!,MATCH(CONCATENATE('Respuestas de formulario 1.1'!$B3,DT3),#REF!,0),MATCH('Respuestas de formulario 1.1'!EO$1,#REF!,0)))</f>
        <v/>
      </c>
      <c r="EP3" s="45" t="str">
        <f t="array" ref="EP3">IF(DU3="","", INDEX(#REF!,MATCH(CONCATENATE('Respuestas de formulario 1.1'!$B3,DU3),#REF!,0),MATCH('Respuestas de formulario 1.1'!EP$1,#REF!,0)))</f>
        <v/>
      </c>
      <c r="EQ3" s="45" t="str">
        <f t="array" ref="EQ3">IF(DP3="","", INDEX(#REF!,MATCH(CONCATENATE('Respuestas de formulario 1.1'!$B3,DP3),#REF!,0),MATCH('Respuestas de formulario 1.1'!EQ$1,#REF!,0)))</f>
        <v/>
      </c>
      <c r="ER3" s="56" t="str">
        <f t="array" ref="ER3">IF(DQ3="","", INDEX(#REF!,MATCH(CONCATENATE('Respuestas de formulario 1.1'!$B3,DQ3),#REF!,0),MATCH('Respuestas de formulario 1.1'!ER$1,#REF!,0)))</f>
        <v/>
      </c>
      <c r="ES3" s="56" t="str">
        <f t="array" ref="ES3">IF(DR3="","", INDEX(#REF!,MATCH(CONCATENATE('Respuestas de formulario 1.1'!$B3,DR3),#REF!,0),MATCH('Respuestas de formulario 1.1'!ES$1,#REF!,0)))</f>
        <v/>
      </c>
      <c r="ET3" s="56" t="str">
        <f t="array" ref="ET3">IF(DS3="","", INDEX(#REF!,MATCH(CONCATENATE('Respuestas de formulario 1.1'!$B3,DS3),#REF!,0),MATCH('Respuestas de formulario 1.1'!ET$1,#REF!,0)))</f>
        <v/>
      </c>
      <c r="EU3" s="56" t="str">
        <f t="array" ref="EU3">IF(DT3="","", INDEX(#REF!,MATCH(CONCATENATE('Respuestas de formulario 1.1'!$B3,DT3),#REF!,0),MATCH('Respuestas de formulario 1.1'!EU$1,#REF!,0)))</f>
        <v/>
      </c>
      <c r="EV3" s="56" t="str">
        <f t="array" ref="EV3">IF(DU3="","", INDEX(#REF!,MATCH(CONCATENATE('Respuestas de formulario 1.1'!$B3,DU3),#REF!,0),MATCH('Respuestas de formulario 1.1'!EV$1,#REF!,0)))</f>
        <v/>
      </c>
      <c r="EW3" s="45" t="str">
        <f t="array" ref="EW3">IF(DV3="","", INDEX(#REF!,MATCH(CONCATENATE('Respuestas de formulario 1.1'!$B3,DV3),#REF!,0),MATCH('Respuestas de formulario 1.1'!EW$1,#REF!,0)))</f>
        <v/>
      </c>
      <c r="EX3" s="45" t="str">
        <f t="array" ref="EX3">IF($DQ3="","", INDEX(#REF!,MATCH(CONCATENATE('Respuestas de formulario 1.1'!$B3,$DQ3),#REF!,0),MATCH('Respuestas de formulario 1.1'!EX$1,#REF!,0)))</f>
        <v/>
      </c>
      <c r="EY3" s="56" t="str">
        <f t="array" ref="EY3">IF($DQ3="","", INDEX(#REF!,MATCH(CONCATENATE('Respuestas de formulario 1.1'!$B3,$DQ3),#REF!,0),MATCH('Respuestas de formulario 1.1'!EY$1,#REF!,0)))</f>
        <v/>
      </c>
      <c r="EZ3" s="56" t="str">
        <f t="array" ref="EZ3">IF($DQ3="","", INDEX(#REF!,MATCH(CONCATENATE('Respuestas de formulario 1.1'!$B3,$DQ3),#REF!,0),MATCH('Respuestas de formulario 1.1'!EZ$1,#REF!,0)))</f>
        <v/>
      </c>
      <c r="FA3" s="56" t="str">
        <f t="array" ref="FA3">IF($DQ3="","", INDEX(#REF!,MATCH(CONCATENATE('Respuestas de formulario 1.1'!$B3,$DQ3),#REF!,0),MATCH('Respuestas de formulario 1.1'!FA$1,#REF!,0)))</f>
        <v/>
      </c>
      <c r="FB3" s="56" t="str">
        <f t="array" ref="FB3">IF($DQ3="","", INDEX(#REF!,MATCH(CONCATENATE('Respuestas de formulario 1.1'!$B3,$DQ3),#REF!,0),MATCH('Respuestas de formulario 1.1'!FB$1,#REF!,0)))</f>
        <v/>
      </c>
      <c r="FC3" s="56" t="str">
        <f t="array" ref="FC3">IF($DQ3="","", INDEX(#REF!,MATCH(CONCATENATE('Respuestas de formulario 1.1'!$B3,$DQ3),#REF!,0),MATCH('Respuestas de formulario 1.1'!FC$1,#REF!,0)))</f>
        <v/>
      </c>
      <c r="FD3" s="45" t="str">
        <f t="array" ref="FD3">IF($DQ3="","", INDEX(#REF!,MATCH(CONCATENATE('Respuestas de formulario 1.1'!$B3,$DQ3),#REF!,0),MATCH('Respuestas de formulario 1.1'!FD$1,#REF!,0)))</f>
        <v/>
      </c>
      <c r="FE3" s="45" t="str">
        <f t="array" ref="FE3">IF($DR3="","", INDEX(#REF!,MATCH(CONCATENATE(#REF!,$DR3),#REF!,0),MATCH(#REF!,#REF!,0)))</f>
        <v/>
      </c>
      <c r="FF3" s="56" t="str">
        <f t="array" ref="FF3">IF($DR3="","", INDEX(#REF!,MATCH(CONCATENATE(#REF!,$DR3),#REF!,0),MATCH(#REF!,#REF!,0)))</f>
        <v/>
      </c>
      <c r="FG3" s="56" t="str">
        <f t="array" ref="FG3">IF($DR3="","", INDEX(#REF!,MATCH(CONCATENATE(#REF!,$DR3),#REF!,0),MATCH(#REF!,#REF!,0)))</f>
        <v/>
      </c>
      <c r="FH3" s="56" t="str">
        <f t="array" ref="FH3">IF($DR3="","", INDEX(#REF!,MATCH(CONCATENATE(#REF!,$DR3),#REF!,0),MATCH(#REF!,#REF!,0)))</f>
        <v/>
      </c>
      <c r="FI3" s="56" t="str">
        <f t="array" ref="FI3">IF($DR3="","", INDEX(#REF!,MATCH(CONCATENATE(#REF!,$DR3),#REF!,0),MATCH(#REF!,#REF!,0)))</f>
        <v/>
      </c>
      <c r="FJ3" s="56" t="str">
        <f t="array" ref="FJ3">IF($DR3="","", INDEX(#REF!,MATCH(CONCATENATE(#REF!,$DR3),#REF!,0),MATCH(#REF!,#REF!,0)))</f>
        <v/>
      </c>
      <c r="FK3" s="45" t="str">
        <f t="array" ref="FK3">IF($DR3="","", INDEX(#REF!,MATCH(CONCATENATE(#REF!,$DR3),#REF!,0),MATCH(#REF!,#REF!,0)))</f>
        <v/>
      </c>
      <c r="FL3" s="45" t="str">
        <f t="array" ref="FL3">IF($DT3="","", INDEX(#REF!,MATCH(CONCATENATE('Respuestas de formulario 1.1'!$B3,$DS3),#REF!,0),MATCH('Respuestas de formulario 1.1'!FL$1,#REF!,0)))</f>
        <v/>
      </c>
      <c r="FM3" s="56" t="str">
        <f t="array" ref="FM3">IF($DT3="","", INDEX(#REF!,MATCH(CONCATENATE('Respuestas de formulario 1.1'!$B3,$DS3),#REF!,0),MATCH('Respuestas de formulario 1.1'!FM$1,#REF!,0)))</f>
        <v/>
      </c>
      <c r="FN3" s="56" t="str">
        <f t="array" ref="FN3">IF($DT3="","", INDEX(#REF!,MATCH(CONCATENATE('Respuestas de formulario 1.1'!$B3,$DS3),#REF!,0),MATCH('Respuestas de formulario 1.1'!FN$1,#REF!,0)))</f>
        <v/>
      </c>
      <c r="FO3" s="56" t="str">
        <f t="array" ref="FO3">IF($DT3="","", INDEX(#REF!,MATCH(CONCATENATE('Respuestas de formulario 1.1'!$B3,$DS3),#REF!,0),MATCH('Respuestas de formulario 1.1'!FO$1,#REF!,0)))</f>
        <v/>
      </c>
      <c r="FP3" s="56" t="str">
        <f t="array" ref="FP3">IF($DT3="","", INDEX(#REF!,MATCH(CONCATENATE('Respuestas de formulario 1.1'!$B3,$DS3),#REF!,0),MATCH('Respuestas de formulario 1.1'!FP$1,#REF!,0)))</f>
        <v/>
      </c>
      <c r="FQ3" s="56" t="str">
        <f t="array" ref="FQ3">IF($DT3="","", INDEX(#REF!,MATCH(CONCATENATE('Respuestas de formulario 1.1'!$B3,$DS3),#REF!,0),MATCH('Respuestas de formulario 1.1'!FQ$1,#REF!,0)))</f>
        <v/>
      </c>
      <c r="FR3" s="45" t="str">
        <f t="array" ref="FR3">IF($DT3="","", INDEX(#REF!,MATCH(CONCATENATE('Respuestas de formulario 1.1'!$B3,$DS3),#REF!,0),MATCH('Respuestas de formulario 1.1'!FR$1,#REF!,0)))</f>
        <v/>
      </c>
      <c r="FS3" s="45" t="str">
        <f t="array" ref="FS3">IF($DU3="","", INDEX(#REF!,MATCH(CONCATENATE('Respuestas de formulario 1.1'!$B3,$DT3),#REF!,0),MATCH('Respuestas de formulario 1.1'!FS$1,#REF!,0)))</f>
        <v/>
      </c>
      <c r="FT3" s="56" t="str">
        <f t="array" ref="FT3">IF($DU3="","", INDEX(#REF!,MATCH(CONCATENATE('Respuestas de formulario 1.1'!$B3,$DT3),#REF!,0),MATCH('Respuestas de formulario 1.1'!FT$1,#REF!,0)))</f>
        <v/>
      </c>
      <c r="FU3" s="56" t="str">
        <f t="array" ref="FU3">IF($DU3="","", INDEX(#REF!,MATCH(CONCATENATE('Respuestas de formulario 1.1'!$B3,$DT3),#REF!,0),MATCH('Respuestas de formulario 1.1'!FU$1,#REF!,0)))</f>
        <v/>
      </c>
      <c r="FV3" s="56" t="str">
        <f t="array" ref="FV3">IF($DU3="","", INDEX(#REF!,MATCH(CONCATENATE('Respuestas de formulario 1.1'!$B3,$DT3),#REF!,0),MATCH('Respuestas de formulario 1.1'!FV$1,#REF!,0)))</f>
        <v/>
      </c>
      <c r="FW3" s="56" t="str">
        <f t="array" ref="FW3">IF($DU3="","", INDEX(#REF!,MATCH(CONCATENATE('Respuestas de formulario 1.1'!$B3,$DT3),#REF!,0),MATCH('Respuestas de formulario 1.1'!FW$1,#REF!,0)))</f>
        <v/>
      </c>
      <c r="FX3" s="56" t="str">
        <f t="array" ref="FX3">IF($DU3="","", INDEX(#REF!,MATCH(CONCATENATE('Respuestas de formulario 1.1'!$B3,$DT3),#REF!,0),MATCH('Respuestas de formulario 1.1'!FX$1,#REF!,0)))</f>
        <v/>
      </c>
      <c r="FY3" s="45" t="str">
        <f t="array" ref="FY3">IF($DU3="","", INDEX(#REF!,MATCH(CONCATENATE('Respuestas de formulario 1.1'!$B3,$DT3),#REF!,0),MATCH('Respuestas de formulario 1.1'!FY$1,#REF!,0)))</f>
        <v/>
      </c>
      <c r="FZ3" s="3" t="s">
        <v>2860</v>
      </c>
      <c r="GA3" s="1" t="s">
        <v>2861</v>
      </c>
      <c r="GB3" s="5" t="s">
        <v>2862</v>
      </c>
      <c r="GC3" s="4" t="str">
        <f>HYPERLINK("https://drive.google.com/file/d/1sdQcTKDcWr2XZyg31v270it_-7MrnT79/view?usp=drivesdk","MALDONADO LOPEZ JIMENA Formato de reinscripción y pago 2022-2")</f>
        <v>MALDONADO LOPEZ JIMENA Formato de reinscripción y pago 2022-2</v>
      </c>
      <c r="GD3" s="1" t="s">
        <v>2863</v>
      </c>
      <c r="GE3" s="1"/>
      <c r="GF3" s="1"/>
      <c r="GG3" s="1"/>
      <c r="GH3" s="1"/>
      <c r="GI3" s="1" t="s">
        <v>2864</v>
      </c>
      <c r="GJ3" s="5" t="s">
        <v>2865</v>
      </c>
      <c r="GK3" s="5" t="str">
        <f>HYPERLINK("https://drive.google.com/file/d/1w7oC-PYx5RffbMdqv_7P1POHsgvgIdZ4/view?usp=drivesdk","MALDONADO LOPEZ JIMENA Formato de reinscripción y pago 2022-2")</f>
        <v>MALDONADO LOPEZ JIMENA Formato de reinscripción y pago 2022-2</v>
      </c>
      <c r="GL3" s="1" t="s">
        <v>2866</v>
      </c>
    </row>
    <row r="4" spans="1:194" ht="15.75" customHeight="1" x14ac:dyDescent="0.2">
      <c r="A4" s="2">
        <v>45139.019679259261</v>
      </c>
      <c r="B4" s="1" t="s">
        <v>285</v>
      </c>
      <c r="C4" s="1" t="s">
        <v>259</v>
      </c>
      <c r="D4" s="1" t="s">
        <v>333</v>
      </c>
      <c r="E4" s="1" t="s">
        <v>287</v>
      </c>
      <c r="F4" s="1" t="s">
        <v>262</v>
      </c>
      <c r="G4" s="5" t="s">
        <v>2867</v>
      </c>
      <c r="H4" s="41">
        <v>38830</v>
      </c>
      <c r="I4" s="1">
        <v>17</v>
      </c>
      <c r="J4" s="1">
        <v>5583546538</v>
      </c>
      <c r="K4" s="1" t="s">
        <v>301</v>
      </c>
      <c r="L4" s="1" t="s">
        <v>288</v>
      </c>
      <c r="M4" s="1">
        <v>213090605700</v>
      </c>
      <c r="N4" s="1" t="s">
        <v>1108</v>
      </c>
      <c r="O4" s="1" t="s">
        <v>247</v>
      </c>
      <c r="P4" s="1" t="s">
        <v>278</v>
      </c>
      <c r="Q4" s="1" t="s">
        <v>263</v>
      </c>
      <c r="R4" s="1" t="s">
        <v>236</v>
      </c>
      <c r="S4" s="1" t="s">
        <v>228</v>
      </c>
      <c r="T4" s="1" t="s">
        <v>229</v>
      </c>
      <c r="U4" s="1" t="s">
        <v>289</v>
      </c>
      <c r="V4" s="1" t="s">
        <v>228</v>
      </c>
      <c r="W4" s="1" t="s">
        <v>2868</v>
      </c>
      <c r="X4" s="1" t="s">
        <v>289</v>
      </c>
      <c r="Y4" s="1" t="s">
        <v>1377</v>
      </c>
      <c r="Z4" s="1" t="s">
        <v>231</v>
      </c>
      <c r="AA4" s="1">
        <v>56576</v>
      </c>
      <c r="AB4" s="1" t="s">
        <v>290</v>
      </c>
      <c r="AC4" s="1" t="s">
        <v>2869</v>
      </c>
      <c r="AD4" s="1" t="s">
        <v>2870</v>
      </c>
      <c r="AE4" s="1" t="s">
        <v>2871</v>
      </c>
      <c r="AF4" s="1" t="s">
        <v>445</v>
      </c>
      <c r="AG4" s="1">
        <v>44</v>
      </c>
      <c r="AH4" s="5" t="s">
        <v>2872</v>
      </c>
      <c r="AI4" s="1">
        <v>5548631041</v>
      </c>
      <c r="AJ4" s="1">
        <v>5551187395</v>
      </c>
      <c r="AK4" s="1" t="s">
        <v>292</v>
      </c>
      <c r="AL4" s="1" t="s">
        <v>433</v>
      </c>
      <c r="AM4" s="1" t="s">
        <v>340</v>
      </c>
      <c r="AN4" s="1" t="s">
        <v>296</v>
      </c>
      <c r="AO4" s="1" t="s">
        <v>420</v>
      </c>
      <c r="AP4" s="1">
        <v>45</v>
      </c>
      <c r="AQ4" s="1" t="s">
        <v>2481</v>
      </c>
      <c r="AR4" s="42">
        <v>0.29166666666424135</v>
      </c>
      <c r="AS4" s="42">
        <v>0.70833333333575865</v>
      </c>
      <c r="AT4" s="1">
        <v>5551030958</v>
      </c>
      <c r="AU4" s="1">
        <v>5551187395</v>
      </c>
      <c r="AV4" s="1" t="s">
        <v>292</v>
      </c>
      <c r="AW4" s="5" t="s">
        <v>2873</v>
      </c>
      <c r="AX4" s="1" t="s">
        <v>333</v>
      </c>
      <c r="AY4" s="1" t="s">
        <v>293</v>
      </c>
      <c r="AZ4" s="1" t="s">
        <v>2874</v>
      </c>
      <c r="BA4" s="1" t="s">
        <v>265</v>
      </c>
      <c r="BB4" s="1">
        <v>44</v>
      </c>
      <c r="BC4" s="1" t="s">
        <v>1191</v>
      </c>
      <c r="BD4" s="43">
        <v>0.5</v>
      </c>
      <c r="BE4" s="43">
        <v>0.5</v>
      </c>
      <c r="BF4" s="1">
        <v>5548631041</v>
      </c>
      <c r="BG4" s="1">
        <v>5551187395</v>
      </c>
      <c r="BH4" s="1" t="s">
        <v>292</v>
      </c>
      <c r="BI4" s="5" t="s">
        <v>2875</v>
      </c>
      <c r="BJ4" s="1" t="s">
        <v>236</v>
      </c>
      <c r="BK4" s="1" t="s">
        <v>929</v>
      </c>
      <c r="BL4" s="1">
        <v>1.7</v>
      </c>
      <c r="BM4" s="1">
        <v>75</v>
      </c>
      <c r="BN4" s="1" t="s">
        <v>236</v>
      </c>
      <c r="BO4" s="1" t="s">
        <v>228</v>
      </c>
      <c r="BP4" s="1" t="s">
        <v>297</v>
      </c>
      <c r="BQ4" s="1" t="s">
        <v>228</v>
      </c>
      <c r="BR4" s="1" t="s">
        <v>237</v>
      </c>
      <c r="BS4" s="1" t="s">
        <v>228</v>
      </c>
      <c r="BT4" s="1" t="s">
        <v>237</v>
      </c>
      <c r="BU4" s="1" t="s">
        <v>228</v>
      </c>
      <c r="BW4" s="1" t="s">
        <v>272</v>
      </c>
      <c r="BX4" s="1">
        <v>150</v>
      </c>
      <c r="BY4" s="1">
        <v>300</v>
      </c>
      <c r="BZ4" s="1" t="s">
        <v>298</v>
      </c>
      <c r="CA4" s="1" t="s">
        <v>299</v>
      </c>
      <c r="CB4" s="1" t="s">
        <v>240</v>
      </c>
      <c r="CC4" s="1" t="s">
        <v>255</v>
      </c>
      <c r="CD4" s="1">
        <v>509</v>
      </c>
      <c r="CE4" s="1">
        <v>1500</v>
      </c>
      <c r="CF4" s="1" t="s">
        <v>236</v>
      </c>
      <c r="CG4" s="1" t="s">
        <v>242</v>
      </c>
      <c r="CH4" s="1" t="s">
        <v>243</v>
      </c>
      <c r="CI4" s="1" t="s">
        <v>243</v>
      </c>
      <c r="CJ4" s="1" t="s">
        <v>2848</v>
      </c>
      <c r="CL4" s="5" t="s">
        <v>2876</v>
      </c>
      <c r="CM4" s="1">
        <v>12210633041</v>
      </c>
      <c r="CN4" s="1" t="s">
        <v>228</v>
      </c>
      <c r="CQ4" s="42">
        <v>0.5</v>
      </c>
      <c r="CR4" s="42">
        <v>0.5</v>
      </c>
      <c r="CT4" s="45" t="str">
        <f t="array" ref="CT4">IFERROR(INDEX(#REF!,MATCH('Respuestas de formulario 1.1'!$B4,#REF!,0),MATCH('Respuestas de formulario 1.1'!CT$1,#REF!,0)),"")</f>
        <v/>
      </c>
      <c r="CU4" s="56" t="str">
        <f t="array" ref="CU4">IFERROR(INDEX(#REF!,MATCH('Respuestas de formulario 1.1'!$B4,#REF!,0),MATCH('Respuestas de formulario 1.1'!CU$1,#REF!,0)),"")</f>
        <v/>
      </c>
      <c r="CV4" s="56" t="str">
        <f t="array" ref="CV4">IFERROR(INDEX(#REF!,MATCH('Respuestas de formulario 1.1'!$B4,#REF!,0),MATCH('Respuestas de formulario 1.1'!CV$1,#REF!,0)),"")</f>
        <v/>
      </c>
      <c r="CW4" s="56" t="str">
        <f t="array" ref="CW4">IFERROR(INDEX(#REF!,MATCH('Respuestas de formulario 1.1'!$B4,#REF!,0),MATCH('Respuestas de formulario 1.1'!CW$1,#REF!,0)),"")</f>
        <v/>
      </c>
      <c r="CX4" s="56" t="str">
        <f t="array" ref="CX4">IFERROR(INDEX(#REF!,MATCH('Respuestas de formulario 1.1'!$B4,#REF!,0),MATCH('Respuestas de formulario 1.1'!CX$1,#REF!,0)),"")</f>
        <v/>
      </c>
      <c r="CY4" s="56" t="str">
        <f t="array" ref="CY4">IFERROR(INDEX(#REF!,MATCH('Respuestas de formulario 1.1'!$B4,#REF!,0),MATCH('Respuestas de formulario 1.1'!CY$1,#REF!,0)),"")</f>
        <v/>
      </c>
      <c r="CZ4" s="57" t="str">
        <f t="array" ref="CZ4">IFERROR(INDEX(#REF!,MATCH('Respuestas de formulario 1.1'!$B4,#REF!,0),MATCH('Respuestas de formulario 1.1'!CZ$1,#REF!,0)),"")</f>
        <v/>
      </c>
      <c r="DA4" s="45" t="e">
        <f t="array" ref="DA4">INDEX(#REF!,MATCH('Respuestas de formulario 1.1'!$B4,#REF!,0),MATCH('Respuestas de formulario 1.1'!DA$1,#REF!,0))</f>
        <v>#REF!</v>
      </c>
      <c r="DB4" s="45" t="e">
        <f t="array" ref="DB4">INDEX(#REF!,MATCH('Respuestas de formulario 1.1'!$B4,#REF!,0),MATCH('Respuestas de formulario 1.1'!DB$1,#REF!,0))</f>
        <v>#REF!</v>
      </c>
      <c r="DC4" s="45" t="e">
        <f t="array" ref="DC4">INDEX(#REF!,MATCH('Respuestas de formulario 1.1'!$B4,#REF!,0),MATCH('Respuestas de formulario 1.1'!DC$1,#REF!,0))</f>
        <v>#REF!</v>
      </c>
      <c r="DD4" s="45" t="e">
        <f t="array" ref="DD4">INDEX(#REF!,MATCH('Respuestas de formulario 1.1'!$B4,#REF!,0),MATCH('Respuestas de formulario 1.1'!DD$1,#REF!,0))</f>
        <v>#REF!</v>
      </c>
      <c r="DE4" s="45" t="e">
        <f t="array" ref="DE4">INDEX(#REF!,MATCH('Respuestas de formulario 1.1'!$B4,#REF!,0),MATCH('Respuestas de formulario 1.1'!DE$1,#REF!,0))</f>
        <v>#REF!</v>
      </c>
      <c r="DF4" s="45" t="e">
        <f t="array" ref="DF4">INDEX(#REF!,MATCH('Respuestas de formulario 1.1'!$B4,#REF!,0),MATCH('Respuestas de formulario 1.1'!DF$1,#REF!,0))</f>
        <v>#REF!</v>
      </c>
      <c r="DG4" s="45" t="e">
        <f t="array" ref="DG4">INDEX(#REF!,MATCH('Respuestas de formulario 1.1'!$B4,#REF!,0),MATCH('Respuestas de formulario 1.1'!DG$1,#REF!,0))</f>
        <v>#REF!</v>
      </c>
      <c r="DH4" s="45" t="e">
        <f t="array" ref="DH4">INDEX(#REF!,MATCH('Respuestas de formulario 1.1'!$B4,#REF!,0),MATCH('Respuestas de formulario 1.1'!DH$1,#REF!,0))</f>
        <v>#REF!</v>
      </c>
      <c r="DI4" s="48" t="e">
        <f>VLOOKUP(CONCATENATE($DF4," TUTO ",$DC4),#REF!,3,0)</f>
        <v>#REF!</v>
      </c>
      <c r="DJ4" s="48" t="e">
        <f t="array" ref="DJ4">IF('Respuestas de formulario 1.1'!A4="","",INDEX(#REF!,MATCH('Respuestas de formulario 1.1'!B4,#REF!,0),MATCH('Respuestas de formulario 1.1'!$DH$1,#REF!,0)))</f>
        <v>#REF!</v>
      </c>
      <c r="DK4" s="52" t="str">
        <f>CONCATENATE("http://doc.google.com/uc?id=",MID('Respuestas de formulario 1.1'!G4,34,33))</f>
        <v>http://doc.google.com/uc?id=1ZQtgBLUHsXT9LCo_M3cxEIHLDg4PuJis</v>
      </c>
      <c r="DL4" s="49" t="str">
        <f>CONCATENATE("http://doc.google.com/uc?id=",MID('Respuestas de formulario 1.1'!AH4,34,33))</f>
        <v>http://doc.google.com/uc?id=18682IYp7sMu_JCAau-L9kq9V84TQm7RG</v>
      </c>
      <c r="DM4" s="50" t="str">
        <f>CONCATENATE("http://doc.google.com/uc?id=",MID('Respuestas de formulario 1.1'!AW4,34,33))</f>
        <v>http://doc.google.com/uc?id=1smp80xrSRWAMMEi6whv9KkhpV7iW88E0</v>
      </c>
      <c r="DN4" s="53" t="str">
        <f>CONCATENATE("http://doc.google.com/uc?id=",MID('Respuestas de formulario 1.1'!$BI4,34,33))</f>
        <v>http://doc.google.com/uc?id=1xBKlqNFyQxTdlWjicjU0vhpe72EWa71A</v>
      </c>
      <c r="DO4" s="45" t="str">
        <f>IFERROR(VLOOKUP(CONCATENATE('Respuestas de formulario 1.1'!$B4,MID('Respuestas de formulario 1.1'!DO$1,2,1)),#REF!,12,0),"")</f>
        <v/>
      </c>
      <c r="DP4" s="45" t="str">
        <f>IFERROR(VLOOKUP(CONCATENATE('Respuestas de formulario 1.1'!$B4,MID('Respuestas de formulario 1.1'!DP$1,2,1)),#REF!,12,0),"")</f>
        <v/>
      </c>
      <c r="DQ4" s="45" t="str">
        <f>IFERROR(VLOOKUP(CONCATENATE('Respuestas de formulario 1.1'!$B4,MID('Respuestas de formulario 1.1'!DQ$1,2,1)),#REF!,12,0),"")</f>
        <v/>
      </c>
      <c r="DR4" s="45" t="str">
        <f>IFERROR(VLOOKUP(CONCATENATE('Respuestas de formulario 1.1'!$B4,MID('Respuestas de formulario 1.1'!DR$1,2,1)),#REF!,12,0),"")</f>
        <v/>
      </c>
      <c r="DS4" s="45" t="str">
        <f>IFERROR(VLOOKUP(CONCATENATE('Respuestas de formulario 1.1'!$B4,MID('Respuestas de formulario 1.1'!DS$1,2,1)),#REF!,12,0),"")</f>
        <v/>
      </c>
      <c r="DT4" s="45" t="str">
        <f>IFERROR(VLOOKUP(CONCATENATE('Respuestas de formulario 1.1'!$B4,MID('Respuestas de formulario 1.1'!DT$1,2,1)),#REF!,12,0),"")</f>
        <v/>
      </c>
      <c r="DU4" s="45" t="str">
        <f>IFERROR(VLOOKUP(CONCATENATE('Respuestas de formulario 1.1'!$B4,MID('Respuestas de formulario 1.1'!DU$1,2,1)),#REF!,12,0),"")</f>
        <v/>
      </c>
      <c r="DV4" s="45" t="str">
        <f>IFERROR(VLOOKUP(CONCATENATE('Respuestas de formulario 1.1'!$B4,MID('Respuestas de formulario 1.1'!DV$1,2,1)),#REF!,12,0),"")</f>
        <v/>
      </c>
      <c r="DW4" s="45" t="str">
        <f>IFERROR(VLOOKUP(CONCATENATE('Respuestas de formulario 1.1'!$B4,MID('Respuestas de formulario 1.1'!DW$1,2,1)),#REF!,12,0),"")</f>
        <v/>
      </c>
      <c r="DX4" s="45" t="str">
        <f>IFERROR(VLOOKUP(CONCATENATE('Respuestas de formulario 1.1'!$B4,MID('Respuestas de formulario 1.1'!DX$1,2,1)),#REF!,12,0),"")</f>
        <v/>
      </c>
      <c r="DY4" s="45" t="str">
        <f>IFERROR(VLOOKUP(CONCATENATE('Respuestas de formulario 1.1'!$B4,MID('Respuestas de formulario 1.1'!DY$1,2,1)),#REF!,12,0),"")</f>
        <v/>
      </c>
      <c r="DZ4" s="45" t="str">
        <f>IFERROR(VLOOKUP(CONCATENATE('Respuestas de formulario 1.1'!$B4,MID('Respuestas de formulario 1.1'!DZ$1,2,1)),#REF!,12,0),"")</f>
        <v/>
      </c>
      <c r="EA4" s="45" t="str">
        <f>IFERROR(VLOOKUP(CONCATENATE('Respuestas de formulario 1.1'!$B4,MID('Respuestas de formulario 1.1'!EA$1,2,1)),#REF!,12,0),"")</f>
        <v/>
      </c>
      <c r="EB4" s="45" t="str">
        <f>IFERROR(VLOOKUP(CONCATENATE('Respuestas de formulario 1.1'!$B4,MID('Respuestas de formulario 1.1'!EB$1,2,1)),#REF!,12,0),"")</f>
        <v/>
      </c>
      <c r="EC4" s="45" t="str">
        <f>IFERROR(VLOOKUP(CONCATENATE('Respuestas de formulario 1.1'!$B4,MID('Respuestas de formulario 1.1'!EC$1,2,1)),#REF!,12,0),"")</f>
        <v/>
      </c>
      <c r="ED4" s="45" t="str">
        <f>IFERROR(VLOOKUP(CONCATENATE('Respuestas de formulario 1.1'!$B4,MID('Respuestas de formulario 1.1'!ED$1,2,1)),#REF!,12,0),"")</f>
        <v/>
      </c>
      <c r="EE4" s="45" t="str">
        <f>IFERROR(VLOOKUP(CONCATENATE('Respuestas de formulario 1.1'!$B4,MID('Respuestas de formulario 1.1'!EE$1,2,1)),#REF!,12,0),"")</f>
        <v/>
      </c>
      <c r="EF4" s="45" t="str">
        <f>IFERROR(VLOOKUP(CONCATENATE('Respuestas de formulario 1.1'!$B4,MID('Respuestas de formulario 1.1'!EF$1,2,1)),#REF!,12,0),"")</f>
        <v/>
      </c>
      <c r="EG4" s="45" t="str">
        <f>IFERROR(VLOOKUP(CONCATENATE('Respuestas de formulario 1.1'!$B4,MID('Respuestas de formulario 1.1'!EG$1,2,1)),#REF!,12,0),"")</f>
        <v/>
      </c>
      <c r="EH4" s="45" t="str">
        <f>IFERROR(VLOOKUP(CONCATENATE('Respuestas de formulario 1.1'!$B4,MID('Respuestas de formulario 1.1'!EH$1,2,1)),#REF!,12,0),"")</f>
        <v/>
      </c>
      <c r="EI4" s="45" t="str">
        <f>IFERROR(VLOOKUP(CONCATENATE('Respuestas de formulario 1.1'!$B4,MID('Respuestas de formulario 1.1'!EI$1,2,1)),#REF!,12,0),"")</f>
        <v/>
      </c>
      <c r="EJ4" s="45" t="str">
        <f t="array" ref="EJ4">IF(DO4="","", INDEX(#REF!,MATCH(CONCATENATE('Respuestas de formulario 1.1'!$B4,DO4),#REF!,0),MATCH('Respuestas de formulario 1.1'!EJ$1,#REF!,0)))</f>
        <v/>
      </c>
      <c r="EK4" s="56" t="str">
        <f t="array" ref="EK4">IF(DP4="","", INDEX(#REF!,MATCH(CONCATENATE('Respuestas de formulario 1.1'!$B4,DP4),#REF!,0),MATCH('Respuestas de formulario 1.1'!EK$1,#REF!,0)))</f>
        <v/>
      </c>
      <c r="EL4" s="56" t="str">
        <f t="array" ref="EL4">IF(DQ4="","", INDEX(#REF!,MATCH(CONCATENATE('Respuestas de formulario 1.1'!$B4,DQ4),#REF!,0),MATCH('Respuestas de formulario 1.1'!EL$1,#REF!,0)))</f>
        <v/>
      </c>
      <c r="EM4" s="56" t="str">
        <f t="array" ref="EM4">IF(DR4="","", INDEX(#REF!,MATCH(CONCATENATE('Respuestas de formulario 1.1'!$B4,DR4),#REF!,0),MATCH('Respuestas de formulario 1.1'!EM$1,#REF!,0)))</f>
        <v/>
      </c>
      <c r="EN4" s="56" t="str">
        <f t="array" ref="EN4">IF(DS4="","", INDEX(#REF!,MATCH(CONCATENATE('Respuestas de formulario 1.1'!$B4,DS4),#REF!,0),MATCH('Respuestas de formulario 1.1'!EN$1,#REF!,0)))</f>
        <v/>
      </c>
      <c r="EO4" s="56" t="str">
        <f t="array" ref="EO4">IF(DT4="","", INDEX(#REF!,MATCH(CONCATENATE('Respuestas de formulario 1.1'!$B4,DT4),#REF!,0),MATCH('Respuestas de formulario 1.1'!EO$1,#REF!,0)))</f>
        <v/>
      </c>
      <c r="EP4" s="45" t="str">
        <f t="array" ref="EP4">IF(DU4="","", INDEX(#REF!,MATCH(CONCATENATE('Respuestas de formulario 1.1'!$B4,DU4),#REF!,0),MATCH('Respuestas de formulario 1.1'!EP$1,#REF!,0)))</f>
        <v/>
      </c>
      <c r="EQ4" s="45" t="str">
        <f t="array" ref="EQ4">IF(DP4="","", INDEX(#REF!,MATCH(CONCATENATE('Respuestas de formulario 1.1'!$B4,DP4),#REF!,0),MATCH('Respuestas de formulario 1.1'!EQ$1,#REF!,0)))</f>
        <v/>
      </c>
      <c r="ER4" s="56" t="str">
        <f t="array" ref="ER4">IF(DQ4="","", INDEX(#REF!,MATCH(CONCATENATE('Respuestas de formulario 1.1'!$B4,DQ4),#REF!,0),MATCH('Respuestas de formulario 1.1'!ER$1,#REF!,0)))</f>
        <v/>
      </c>
      <c r="ES4" s="56" t="str">
        <f t="array" ref="ES4">IF(DR4="","", INDEX(#REF!,MATCH(CONCATENATE('Respuestas de formulario 1.1'!$B4,DR4),#REF!,0),MATCH('Respuestas de formulario 1.1'!ES$1,#REF!,0)))</f>
        <v/>
      </c>
      <c r="ET4" s="56" t="str">
        <f t="array" ref="ET4">IF(DS4="","", INDEX(#REF!,MATCH(CONCATENATE('Respuestas de formulario 1.1'!$B4,DS4),#REF!,0),MATCH('Respuestas de formulario 1.1'!ET$1,#REF!,0)))</f>
        <v/>
      </c>
      <c r="EU4" s="56" t="str">
        <f t="array" ref="EU4">IF(DT4="","", INDEX(#REF!,MATCH(CONCATENATE('Respuestas de formulario 1.1'!$B4,DT4),#REF!,0),MATCH('Respuestas de formulario 1.1'!EU$1,#REF!,0)))</f>
        <v/>
      </c>
      <c r="EV4" s="56" t="str">
        <f t="array" ref="EV4">IF(DU4="","", INDEX(#REF!,MATCH(CONCATENATE('Respuestas de formulario 1.1'!$B4,DU4),#REF!,0),MATCH('Respuestas de formulario 1.1'!EV$1,#REF!,0)))</f>
        <v/>
      </c>
      <c r="EW4" s="45" t="str">
        <f t="array" ref="EW4">IF(DV4="","", INDEX(#REF!,MATCH(CONCATENATE('Respuestas de formulario 1.1'!$B4,DV4),#REF!,0),MATCH('Respuestas de formulario 1.1'!EW$1,#REF!,0)))</f>
        <v/>
      </c>
      <c r="EX4" s="45" t="str">
        <f t="array" ref="EX4">IF($DQ4="","", INDEX(#REF!,MATCH(CONCATENATE('Respuestas de formulario 1.1'!$B4,$DQ4),#REF!,0),MATCH('Respuestas de formulario 1.1'!EX$1,#REF!,0)))</f>
        <v/>
      </c>
      <c r="EY4" s="56" t="str">
        <f t="array" ref="EY4">IF($DQ4="","", INDEX(#REF!,MATCH(CONCATENATE('Respuestas de formulario 1.1'!$B4,$DQ4),#REF!,0),MATCH('Respuestas de formulario 1.1'!EY$1,#REF!,0)))</f>
        <v/>
      </c>
      <c r="EZ4" s="56" t="str">
        <f t="array" ref="EZ4">IF($DQ4="","", INDEX(#REF!,MATCH(CONCATENATE('Respuestas de formulario 1.1'!$B4,$DQ4),#REF!,0),MATCH('Respuestas de formulario 1.1'!EZ$1,#REF!,0)))</f>
        <v/>
      </c>
      <c r="FA4" s="56" t="str">
        <f t="array" ref="FA4">IF($DQ4="","", INDEX(#REF!,MATCH(CONCATENATE('Respuestas de formulario 1.1'!$B4,$DQ4),#REF!,0),MATCH('Respuestas de formulario 1.1'!FA$1,#REF!,0)))</f>
        <v/>
      </c>
      <c r="FB4" s="56" t="str">
        <f t="array" ref="FB4">IF($DQ4="","", INDEX(#REF!,MATCH(CONCATENATE('Respuestas de formulario 1.1'!$B4,$DQ4),#REF!,0),MATCH('Respuestas de formulario 1.1'!FB$1,#REF!,0)))</f>
        <v/>
      </c>
      <c r="FC4" s="56" t="str">
        <f t="array" ref="FC4">IF($DQ4="","", INDEX(#REF!,MATCH(CONCATENATE('Respuestas de formulario 1.1'!$B4,$DQ4),#REF!,0),MATCH('Respuestas de formulario 1.1'!FC$1,#REF!,0)))</f>
        <v/>
      </c>
      <c r="FD4" s="45" t="str">
        <f t="array" ref="FD4">IF($DQ4="","", INDEX(#REF!,MATCH(CONCATENATE('Respuestas de formulario 1.1'!$B4,$DQ4),#REF!,0),MATCH('Respuestas de formulario 1.1'!FD$1,#REF!,0)))</f>
        <v/>
      </c>
      <c r="FE4" s="45" t="str">
        <f t="array" ref="FE4">IF($DR4="","", INDEX(#REF!,MATCH(CONCATENATE(#REF!,$DR4),#REF!,0),MATCH(#REF!,#REF!,0)))</f>
        <v/>
      </c>
      <c r="FF4" s="56" t="str">
        <f t="array" ref="FF4">IF($DR4="","", INDEX(#REF!,MATCH(CONCATENATE(#REF!,$DR4),#REF!,0),MATCH(#REF!,#REF!,0)))</f>
        <v/>
      </c>
      <c r="FG4" s="56" t="str">
        <f t="array" ref="FG4">IF($DR4="","", INDEX(#REF!,MATCH(CONCATENATE(#REF!,$DR4),#REF!,0),MATCH(#REF!,#REF!,0)))</f>
        <v/>
      </c>
      <c r="FH4" s="56" t="str">
        <f t="array" ref="FH4">IF($DR4="","", INDEX(#REF!,MATCH(CONCATENATE(#REF!,$DR4),#REF!,0),MATCH(#REF!,#REF!,0)))</f>
        <v/>
      </c>
      <c r="FI4" s="56" t="str">
        <f t="array" ref="FI4">IF($DR4="","", INDEX(#REF!,MATCH(CONCATENATE(#REF!,$DR4),#REF!,0),MATCH(#REF!,#REF!,0)))</f>
        <v/>
      </c>
      <c r="FJ4" s="56" t="str">
        <f t="array" ref="FJ4">IF($DR4="","", INDEX(#REF!,MATCH(CONCATENATE(#REF!,$DR4),#REF!,0),MATCH(#REF!,#REF!,0)))</f>
        <v/>
      </c>
      <c r="FK4" s="45" t="str">
        <f t="array" ref="FK4">IF($DR4="","", INDEX(#REF!,MATCH(CONCATENATE(#REF!,$DR4),#REF!,0),MATCH(#REF!,#REF!,0)))</f>
        <v/>
      </c>
      <c r="FL4" s="45" t="str">
        <f t="array" ref="FL4">IF($DT4="","", INDEX(#REF!,MATCH(CONCATENATE('Respuestas de formulario 1.1'!$B4,$DS4),#REF!,0),MATCH('Respuestas de formulario 1.1'!FL$1,#REF!,0)))</f>
        <v/>
      </c>
      <c r="FM4" s="56" t="str">
        <f t="array" ref="FM4">IF($DT4="","", INDEX(#REF!,MATCH(CONCATENATE('Respuestas de formulario 1.1'!$B4,$DS4),#REF!,0),MATCH('Respuestas de formulario 1.1'!FM$1,#REF!,0)))</f>
        <v/>
      </c>
      <c r="FN4" s="56" t="str">
        <f t="array" ref="FN4">IF($DT4="","", INDEX(#REF!,MATCH(CONCATENATE('Respuestas de formulario 1.1'!$B4,$DS4),#REF!,0),MATCH('Respuestas de formulario 1.1'!FN$1,#REF!,0)))</f>
        <v/>
      </c>
      <c r="FO4" s="56" t="str">
        <f t="array" ref="FO4">IF($DT4="","", INDEX(#REF!,MATCH(CONCATENATE('Respuestas de formulario 1.1'!$B4,$DS4),#REF!,0),MATCH('Respuestas de formulario 1.1'!FO$1,#REF!,0)))</f>
        <v/>
      </c>
      <c r="FP4" s="56" t="str">
        <f t="array" ref="FP4">IF($DT4="","", INDEX(#REF!,MATCH(CONCATENATE('Respuestas de formulario 1.1'!$B4,$DS4),#REF!,0),MATCH('Respuestas de formulario 1.1'!FP$1,#REF!,0)))</f>
        <v/>
      </c>
      <c r="FQ4" s="56" t="str">
        <f t="array" ref="FQ4">IF($DT4="","", INDEX(#REF!,MATCH(CONCATENATE('Respuestas de formulario 1.1'!$B4,$DS4),#REF!,0),MATCH('Respuestas de formulario 1.1'!FQ$1,#REF!,0)))</f>
        <v/>
      </c>
      <c r="FR4" s="45" t="str">
        <f t="array" ref="FR4">IF($DT4="","", INDEX(#REF!,MATCH(CONCATENATE('Respuestas de formulario 1.1'!$B4,$DS4),#REF!,0),MATCH('Respuestas de formulario 1.1'!FR$1,#REF!,0)))</f>
        <v/>
      </c>
      <c r="FS4" s="45" t="str">
        <f t="array" ref="FS4">IF($DU4="","", INDEX(#REF!,MATCH(CONCATENATE('Respuestas de formulario 1.1'!$B4,$DT4),#REF!,0),MATCH('Respuestas de formulario 1.1'!FS$1,#REF!,0)))</f>
        <v/>
      </c>
      <c r="FT4" s="56" t="str">
        <f t="array" ref="FT4">IF($DU4="","", INDEX(#REF!,MATCH(CONCATENATE('Respuestas de formulario 1.1'!$B4,$DT4),#REF!,0),MATCH('Respuestas de formulario 1.1'!FT$1,#REF!,0)))</f>
        <v/>
      </c>
      <c r="FU4" s="56" t="str">
        <f t="array" ref="FU4">IF($DU4="","", INDEX(#REF!,MATCH(CONCATENATE('Respuestas de formulario 1.1'!$B4,$DT4),#REF!,0),MATCH('Respuestas de formulario 1.1'!FU$1,#REF!,0)))</f>
        <v/>
      </c>
      <c r="FV4" s="56" t="str">
        <f t="array" ref="FV4">IF($DU4="","", INDEX(#REF!,MATCH(CONCATENATE('Respuestas de formulario 1.1'!$B4,$DT4),#REF!,0),MATCH('Respuestas de formulario 1.1'!FV$1,#REF!,0)))</f>
        <v/>
      </c>
      <c r="FW4" s="56" t="str">
        <f t="array" ref="FW4">IF($DU4="","", INDEX(#REF!,MATCH(CONCATENATE('Respuestas de formulario 1.1'!$B4,$DT4),#REF!,0),MATCH('Respuestas de formulario 1.1'!FW$1,#REF!,0)))</f>
        <v/>
      </c>
      <c r="FX4" s="56" t="str">
        <f t="array" ref="FX4">IF($DU4="","", INDEX(#REF!,MATCH(CONCATENATE('Respuestas de formulario 1.1'!$B4,$DT4),#REF!,0),MATCH('Respuestas de formulario 1.1'!FX$1,#REF!,0)))</f>
        <v/>
      </c>
      <c r="FY4" s="45" t="str">
        <f t="array" ref="FY4">IF($DU4="","", INDEX(#REF!,MATCH(CONCATENATE('Respuestas de formulario 1.1'!$B4,$DT4),#REF!,0),MATCH('Respuestas de formulario 1.1'!FY$1,#REF!,0)))</f>
        <v/>
      </c>
      <c r="FZ4" s="3" t="s">
        <v>2860</v>
      </c>
      <c r="GA4" s="1" t="s">
        <v>2877</v>
      </c>
      <c r="GB4" s="5" t="s">
        <v>2878</v>
      </c>
      <c r="GC4" s="4" t="str">
        <f>HYPERLINK("https://drive.google.com/file/d/1iqAZj77rNM5GlUt-VtyronGyQkz8NvAc/view?usp=drivesdk","MARTINEZ  RAMIREZ LUIS FERNANDO  Formato de reinscripción y pago 2022-2")</f>
        <v>MARTINEZ  RAMIREZ LUIS FERNANDO  Formato de reinscripción y pago 2022-2</v>
      </c>
      <c r="GD4" s="1" t="s">
        <v>2879</v>
      </c>
      <c r="GE4" s="1"/>
      <c r="GF4" s="1"/>
      <c r="GG4" s="1"/>
      <c r="GH4" s="1"/>
      <c r="GI4" s="1" t="s">
        <v>2880</v>
      </c>
      <c r="GJ4" s="5" t="s">
        <v>2881</v>
      </c>
      <c r="GK4" s="5" t="str">
        <f>HYPERLINK("https://drive.google.com/file/d/120hTZ2ThPqbhpofu3gmnzsf1GmBgcHEb/view?usp=drivesdk","MARTINEZ  RAMIREZ LUIS FERNANDO  Formato de reinscripción y pago 2022-2")</f>
        <v>MARTINEZ  RAMIREZ LUIS FERNANDO  Formato de reinscripción y pago 2022-2</v>
      </c>
      <c r="GL4" s="1" t="s">
        <v>2882</v>
      </c>
    </row>
    <row r="5" spans="1:194" ht="15.75" customHeight="1" x14ac:dyDescent="0.2">
      <c r="A5" s="2">
        <v>45142.731886921298</v>
      </c>
      <c r="B5" s="1" t="s">
        <v>2323</v>
      </c>
      <c r="C5" s="1" t="s">
        <v>560</v>
      </c>
      <c r="D5" s="1" t="s">
        <v>1074</v>
      </c>
      <c r="E5" s="1" t="s">
        <v>857</v>
      </c>
      <c r="F5" s="1" t="s">
        <v>262</v>
      </c>
      <c r="G5" s="5" t="s">
        <v>2883</v>
      </c>
      <c r="H5" s="41">
        <v>32062</v>
      </c>
      <c r="I5" s="1">
        <v>35</v>
      </c>
      <c r="J5" s="1">
        <v>5546630099</v>
      </c>
      <c r="K5" s="1" t="s">
        <v>2884</v>
      </c>
      <c r="L5" s="1" t="s">
        <v>2324</v>
      </c>
      <c r="M5" s="1">
        <v>21309060570944</v>
      </c>
      <c r="N5" s="1" t="s">
        <v>1108</v>
      </c>
      <c r="O5" s="1" t="s">
        <v>225</v>
      </c>
      <c r="P5" s="1" t="s">
        <v>226</v>
      </c>
      <c r="Q5" s="1" t="s">
        <v>248</v>
      </c>
      <c r="R5" s="1" t="s">
        <v>236</v>
      </c>
      <c r="S5" s="1" t="s">
        <v>228</v>
      </c>
      <c r="T5" s="1" t="s">
        <v>411</v>
      </c>
      <c r="U5" s="1" t="s">
        <v>249</v>
      </c>
      <c r="V5" s="1" t="s">
        <v>228</v>
      </c>
      <c r="W5" s="1" t="s">
        <v>2885</v>
      </c>
      <c r="X5" s="1" t="s">
        <v>249</v>
      </c>
      <c r="Y5" s="1" t="s">
        <v>1381</v>
      </c>
      <c r="Z5" s="1" t="s">
        <v>240</v>
      </c>
      <c r="AA5" s="44" t="s">
        <v>967</v>
      </c>
      <c r="AB5" s="1">
        <v>11</v>
      </c>
      <c r="AC5" s="1">
        <v>0</v>
      </c>
      <c r="AD5" s="1" t="s">
        <v>2325</v>
      </c>
      <c r="AE5" s="1" t="s">
        <v>2326</v>
      </c>
      <c r="AF5" s="1" t="s">
        <v>265</v>
      </c>
      <c r="AG5" s="1">
        <v>66</v>
      </c>
      <c r="AH5" s="5" t="s">
        <v>2886</v>
      </c>
      <c r="AI5" s="1">
        <v>5546683677</v>
      </c>
      <c r="AJ5" s="1">
        <v>5589893326</v>
      </c>
      <c r="AK5" s="1"/>
      <c r="AL5" s="1" t="s">
        <v>560</v>
      </c>
      <c r="AM5" s="1" t="s">
        <v>234</v>
      </c>
      <c r="AN5" s="1" t="s">
        <v>2887</v>
      </c>
      <c r="AO5" s="1" t="s">
        <v>435</v>
      </c>
      <c r="AP5" s="1">
        <v>79</v>
      </c>
      <c r="AQ5" s="1" t="s">
        <v>1287</v>
      </c>
      <c r="AR5" s="42">
        <v>0.29166666666424135</v>
      </c>
      <c r="AS5" s="42">
        <v>0.70833333333575865</v>
      </c>
      <c r="AT5" s="1">
        <v>5619229525</v>
      </c>
      <c r="AU5" s="1">
        <v>5589893326</v>
      </c>
      <c r="AV5" s="1"/>
      <c r="AW5" s="5" t="s">
        <v>2888</v>
      </c>
      <c r="AX5" s="1" t="s">
        <v>560</v>
      </c>
      <c r="AY5" s="1" t="s">
        <v>1074</v>
      </c>
      <c r="AZ5" s="1" t="s">
        <v>628</v>
      </c>
      <c r="BA5" s="1" t="s">
        <v>586</v>
      </c>
      <c r="BB5" s="1">
        <v>47</v>
      </c>
      <c r="BC5" s="1" t="s">
        <v>267</v>
      </c>
      <c r="BD5" s="43">
        <v>0.29166666666424135</v>
      </c>
      <c r="BE5" s="43">
        <v>0.5625</v>
      </c>
      <c r="BF5" s="1">
        <v>9981693414</v>
      </c>
      <c r="BG5" s="1">
        <v>9988480429</v>
      </c>
      <c r="BH5" s="1"/>
      <c r="BI5" s="5" t="s">
        <v>2889</v>
      </c>
      <c r="BJ5" s="1" t="s">
        <v>236</v>
      </c>
      <c r="BL5" s="1">
        <v>1.87</v>
      </c>
      <c r="BM5" s="1">
        <v>116</v>
      </c>
      <c r="BN5" s="1" t="s">
        <v>236</v>
      </c>
      <c r="BO5" s="1" t="s">
        <v>228</v>
      </c>
      <c r="BQ5" s="1" t="s">
        <v>228</v>
      </c>
      <c r="BR5" s="1" t="s">
        <v>237</v>
      </c>
      <c r="BS5" s="1" t="s">
        <v>236</v>
      </c>
      <c r="BT5" s="1" t="s">
        <v>331</v>
      </c>
      <c r="BU5" s="1" t="s">
        <v>228</v>
      </c>
      <c r="BW5" s="1" t="s">
        <v>238</v>
      </c>
      <c r="BX5" s="1">
        <v>70</v>
      </c>
      <c r="BY5" s="1">
        <v>150</v>
      </c>
      <c r="BZ5" s="1" t="s">
        <v>253</v>
      </c>
      <c r="CA5" s="1" t="s">
        <v>273</v>
      </c>
      <c r="CB5" s="1" t="s">
        <v>240</v>
      </c>
      <c r="CC5" s="1" t="s">
        <v>274</v>
      </c>
      <c r="CD5" s="1">
        <v>1000</v>
      </c>
      <c r="CE5" s="1">
        <v>2000</v>
      </c>
      <c r="CF5" s="1" t="s">
        <v>236</v>
      </c>
      <c r="CG5" s="1" t="s">
        <v>242</v>
      </c>
      <c r="CH5" s="1" t="s">
        <v>243</v>
      </c>
      <c r="CI5" s="1" t="s">
        <v>243</v>
      </c>
      <c r="CJ5" s="1" t="s">
        <v>2848</v>
      </c>
      <c r="CL5" s="5" t="s">
        <v>2890</v>
      </c>
      <c r="CM5" s="1">
        <v>30108702348</v>
      </c>
      <c r="CN5" s="1" t="s">
        <v>228</v>
      </c>
      <c r="CQ5" s="42">
        <v>0.33333333333575865</v>
      </c>
      <c r="CR5" s="42">
        <v>0.75</v>
      </c>
      <c r="CT5" s="45" t="str">
        <f t="array" ref="CT5">IFERROR(INDEX(#REF!,MATCH('Respuestas de formulario 1.1'!$B5,#REF!,0),MATCH('Respuestas de formulario 1.1'!CT$1,#REF!,0)),"")</f>
        <v/>
      </c>
      <c r="CU5" s="56" t="str">
        <f t="array" ref="CU5">IFERROR(INDEX(#REF!,MATCH('Respuestas de formulario 1.1'!$B5,#REF!,0),MATCH('Respuestas de formulario 1.1'!CU$1,#REF!,0)),"")</f>
        <v/>
      </c>
      <c r="CV5" s="56" t="str">
        <f t="array" ref="CV5">IFERROR(INDEX(#REF!,MATCH('Respuestas de formulario 1.1'!$B5,#REF!,0),MATCH('Respuestas de formulario 1.1'!CV$1,#REF!,0)),"")</f>
        <v/>
      </c>
      <c r="CW5" s="56" t="str">
        <f t="array" ref="CW5">IFERROR(INDEX(#REF!,MATCH('Respuestas de formulario 1.1'!$B5,#REF!,0),MATCH('Respuestas de formulario 1.1'!CW$1,#REF!,0)),"")</f>
        <v/>
      </c>
      <c r="CX5" s="56" t="str">
        <f t="array" ref="CX5">IFERROR(INDEX(#REF!,MATCH('Respuestas de formulario 1.1'!$B5,#REF!,0),MATCH('Respuestas de formulario 1.1'!CX$1,#REF!,0)),"")</f>
        <v/>
      </c>
      <c r="CY5" s="56" t="str">
        <f t="array" ref="CY5">IFERROR(INDEX(#REF!,MATCH('Respuestas de formulario 1.1'!$B5,#REF!,0),MATCH('Respuestas de formulario 1.1'!CY$1,#REF!,0)),"")</f>
        <v/>
      </c>
      <c r="CZ5" s="57" t="str">
        <f t="array" ref="CZ5">IFERROR(INDEX(#REF!,MATCH('Respuestas de formulario 1.1'!$B5,#REF!,0),MATCH('Respuestas de formulario 1.1'!CZ$1,#REF!,0)),"")</f>
        <v/>
      </c>
      <c r="DA5" s="45" t="e">
        <f t="array" ref="DA5">INDEX(#REF!,MATCH('Respuestas de formulario 1.1'!$B5,#REF!,0),MATCH('Respuestas de formulario 1.1'!DA$1,#REF!,0))</f>
        <v>#REF!</v>
      </c>
      <c r="DB5" s="45" t="e">
        <f t="array" ref="DB5">INDEX(#REF!,MATCH('Respuestas de formulario 1.1'!$B5,#REF!,0),MATCH('Respuestas de formulario 1.1'!DB$1,#REF!,0))</f>
        <v>#REF!</v>
      </c>
      <c r="DC5" s="45" t="e">
        <f t="array" ref="DC5">INDEX(#REF!,MATCH('Respuestas de formulario 1.1'!$B5,#REF!,0),MATCH('Respuestas de formulario 1.1'!DC$1,#REF!,0))</f>
        <v>#REF!</v>
      </c>
      <c r="DD5" s="45" t="e">
        <f t="array" ref="DD5">INDEX(#REF!,MATCH('Respuestas de formulario 1.1'!$B5,#REF!,0),MATCH('Respuestas de formulario 1.1'!DD$1,#REF!,0))</f>
        <v>#REF!</v>
      </c>
      <c r="DE5" s="45" t="e">
        <f t="array" ref="DE5">INDEX(#REF!,MATCH('Respuestas de formulario 1.1'!$B5,#REF!,0),MATCH('Respuestas de formulario 1.1'!DE$1,#REF!,0))</f>
        <v>#REF!</v>
      </c>
      <c r="DF5" s="45" t="e">
        <f t="array" ref="DF5">INDEX(#REF!,MATCH('Respuestas de formulario 1.1'!$B5,#REF!,0),MATCH('Respuestas de formulario 1.1'!DF$1,#REF!,0))</f>
        <v>#REF!</v>
      </c>
      <c r="DG5" s="45" t="e">
        <f t="array" ref="DG5">INDEX(#REF!,MATCH('Respuestas de formulario 1.1'!$B5,#REF!,0),MATCH('Respuestas de formulario 1.1'!DG$1,#REF!,0))</f>
        <v>#REF!</v>
      </c>
      <c r="DH5" s="45" t="e">
        <f t="array" ref="DH5">INDEX(#REF!,MATCH('Respuestas de formulario 1.1'!$B5,#REF!,0),MATCH('Respuestas de formulario 1.1'!DH$1,#REF!,0))</f>
        <v>#REF!</v>
      </c>
      <c r="DI5" s="48" t="e">
        <f>VLOOKUP(CONCATENATE($DF5," TUTO ",$DC5),#REF!,3,0)</f>
        <v>#REF!</v>
      </c>
      <c r="DJ5" s="48" t="e">
        <f t="array" ref="DJ5">IF('Respuestas de formulario 1.1'!A5="","",INDEX(#REF!,MATCH('Respuestas de formulario 1.1'!B5,#REF!,0),MATCH('Respuestas de formulario 1.1'!$DH$1,#REF!,0)))</f>
        <v>#REF!</v>
      </c>
      <c r="DK5" s="52" t="str">
        <f>CONCATENATE("http://doc.google.com/uc?id=",MID('Respuestas de formulario 1.1'!G5,34,33))</f>
        <v>http://doc.google.com/uc?id=1FH9UHRGwPtLgSnB4FrRAtseWOJWuBy9E</v>
      </c>
      <c r="DL5" s="49" t="str">
        <f>CONCATENATE("http://doc.google.com/uc?id=",MID('Respuestas de formulario 1.1'!AH5,34,33))</f>
        <v>http://doc.google.com/uc?id=1Bl-Wc711dYu6Fauu2OyYV2u6VTh64ME-</v>
      </c>
      <c r="DM5" s="50" t="str">
        <f>CONCATENATE("http://doc.google.com/uc?id=",MID('Respuestas de formulario 1.1'!AW5,34,33))</f>
        <v>http://doc.google.com/uc?id=1FQ5z7I_rMRgJPDfpGmcGrVnR-_I4kT57</v>
      </c>
      <c r="DN5" s="53" t="str">
        <f>CONCATENATE("http://doc.google.com/uc?id=",MID('Respuestas de formulario 1.1'!$BI5,34,33))</f>
        <v>http://doc.google.com/uc?id=1QMsFB0s4il5oS9ehEl9RkpzDEq6LiY1r</v>
      </c>
      <c r="DO5" s="45" t="str">
        <f>IFERROR(VLOOKUP(CONCATENATE('Respuestas de formulario 1.1'!$B5,MID('Respuestas de formulario 1.1'!DO$1,2,1)),#REF!,12,0),"")</f>
        <v/>
      </c>
      <c r="DP5" s="45" t="str">
        <f>IFERROR(VLOOKUP(CONCATENATE('Respuestas de formulario 1.1'!$B5,MID('Respuestas de formulario 1.1'!DP$1,2,1)),#REF!,12,0),"")</f>
        <v/>
      </c>
      <c r="DQ5" s="45" t="str">
        <f>IFERROR(VLOOKUP(CONCATENATE('Respuestas de formulario 1.1'!$B5,MID('Respuestas de formulario 1.1'!DQ$1,2,1)),#REF!,12,0),"")</f>
        <v/>
      </c>
      <c r="DR5" s="45" t="str">
        <f>IFERROR(VLOOKUP(CONCATENATE('Respuestas de formulario 1.1'!$B5,MID('Respuestas de formulario 1.1'!DR$1,2,1)),#REF!,12,0),"")</f>
        <v/>
      </c>
      <c r="DS5" s="45" t="str">
        <f>IFERROR(VLOOKUP(CONCATENATE('Respuestas de formulario 1.1'!$B5,MID('Respuestas de formulario 1.1'!DS$1,2,1)),#REF!,12,0),"")</f>
        <v/>
      </c>
      <c r="DT5" s="45" t="str">
        <f>IFERROR(VLOOKUP(CONCATENATE('Respuestas de formulario 1.1'!$B5,MID('Respuestas de formulario 1.1'!DT$1,2,1)),#REF!,12,0),"")</f>
        <v/>
      </c>
      <c r="DU5" s="45" t="str">
        <f>IFERROR(VLOOKUP(CONCATENATE('Respuestas de formulario 1.1'!$B5,MID('Respuestas de formulario 1.1'!DU$1,2,1)),#REF!,12,0),"")</f>
        <v/>
      </c>
      <c r="DV5" s="45" t="str">
        <f>IFERROR(VLOOKUP(CONCATENATE('Respuestas de formulario 1.1'!$B5,MID('Respuestas de formulario 1.1'!DV$1,2,1)),#REF!,12,0),"")</f>
        <v/>
      </c>
      <c r="DW5" s="45" t="str">
        <f>IFERROR(VLOOKUP(CONCATENATE('Respuestas de formulario 1.1'!$B5,MID('Respuestas de formulario 1.1'!DW$1,2,1)),#REF!,12,0),"")</f>
        <v/>
      </c>
      <c r="DX5" s="45" t="str">
        <f>IFERROR(VLOOKUP(CONCATENATE('Respuestas de formulario 1.1'!$B5,MID('Respuestas de formulario 1.1'!DX$1,2,1)),#REF!,12,0),"")</f>
        <v/>
      </c>
      <c r="DY5" s="45" t="str">
        <f>IFERROR(VLOOKUP(CONCATENATE('Respuestas de formulario 1.1'!$B5,MID('Respuestas de formulario 1.1'!DY$1,2,1)),#REF!,12,0),"")</f>
        <v/>
      </c>
      <c r="DZ5" s="45" t="str">
        <f>IFERROR(VLOOKUP(CONCATENATE('Respuestas de formulario 1.1'!$B5,MID('Respuestas de formulario 1.1'!DZ$1,2,1)),#REF!,12,0),"")</f>
        <v/>
      </c>
      <c r="EA5" s="45" t="str">
        <f>IFERROR(VLOOKUP(CONCATENATE('Respuestas de formulario 1.1'!$B5,MID('Respuestas de formulario 1.1'!EA$1,2,1)),#REF!,12,0),"")</f>
        <v/>
      </c>
      <c r="EB5" s="45" t="str">
        <f>IFERROR(VLOOKUP(CONCATENATE('Respuestas de formulario 1.1'!$B5,MID('Respuestas de formulario 1.1'!EB$1,2,1)),#REF!,12,0),"")</f>
        <v/>
      </c>
      <c r="EC5" s="45" t="str">
        <f>IFERROR(VLOOKUP(CONCATENATE('Respuestas de formulario 1.1'!$B5,MID('Respuestas de formulario 1.1'!EC$1,2,1)),#REF!,12,0),"")</f>
        <v/>
      </c>
      <c r="ED5" s="45" t="str">
        <f>IFERROR(VLOOKUP(CONCATENATE('Respuestas de formulario 1.1'!$B5,MID('Respuestas de formulario 1.1'!ED$1,2,1)),#REF!,12,0),"")</f>
        <v/>
      </c>
      <c r="EE5" s="45" t="str">
        <f>IFERROR(VLOOKUP(CONCATENATE('Respuestas de formulario 1.1'!$B5,MID('Respuestas de formulario 1.1'!EE$1,2,1)),#REF!,12,0),"")</f>
        <v/>
      </c>
      <c r="EF5" s="45" t="str">
        <f>IFERROR(VLOOKUP(CONCATENATE('Respuestas de formulario 1.1'!$B5,MID('Respuestas de formulario 1.1'!EF$1,2,1)),#REF!,12,0),"")</f>
        <v/>
      </c>
      <c r="EG5" s="45" t="str">
        <f>IFERROR(VLOOKUP(CONCATENATE('Respuestas de formulario 1.1'!$B5,MID('Respuestas de formulario 1.1'!EG$1,2,1)),#REF!,12,0),"")</f>
        <v/>
      </c>
      <c r="EH5" s="45" t="str">
        <f>IFERROR(VLOOKUP(CONCATENATE('Respuestas de formulario 1.1'!$B5,MID('Respuestas de formulario 1.1'!EH$1,2,1)),#REF!,12,0),"")</f>
        <v/>
      </c>
      <c r="EI5" s="45" t="str">
        <f>IFERROR(VLOOKUP(CONCATENATE('Respuestas de formulario 1.1'!$B5,MID('Respuestas de formulario 1.1'!EI$1,2,1)),#REF!,12,0),"")</f>
        <v/>
      </c>
      <c r="EJ5" s="45" t="str">
        <f t="array" ref="EJ5">IF(DO5="","", INDEX(#REF!,MATCH(CONCATENATE('Respuestas de formulario 1.1'!$B5,DO5),#REF!,0),MATCH('Respuestas de formulario 1.1'!EJ$1,#REF!,0)))</f>
        <v/>
      </c>
      <c r="EK5" s="56" t="str">
        <f t="array" ref="EK5">IF(DP5="","", INDEX(#REF!,MATCH(CONCATENATE('Respuestas de formulario 1.1'!$B5,DP5),#REF!,0),MATCH('Respuestas de formulario 1.1'!EK$1,#REF!,0)))</f>
        <v/>
      </c>
      <c r="EL5" s="56" t="str">
        <f t="array" ref="EL5">IF(DQ5="","", INDEX(#REF!,MATCH(CONCATENATE('Respuestas de formulario 1.1'!$B5,DQ5),#REF!,0),MATCH('Respuestas de formulario 1.1'!EL$1,#REF!,0)))</f>
        <v/>
      </c>
      <c r="EM5" s="56" t="str">
        <f t="array" ref="EM5">IF(DR5="","", INDEX(#REF!,MATCH(CONCATENATE('Respuestas de formulario 1.1'!$B5,DR5),#REF!,0),MATCH('Respuestas de formulario 1.1'!EM$1,#REF!,0)))</f>
        <v/>
      </c>
      <c r="EN5" s="56" t="str">
        <f t="array" ref="EN5">IF(DS5="","", INDEX(#REF!,MATCH(CONCATENATE('Respuestas de formulario 1.1'!$B5,DS5),#REF!,0),MATCH('Respuestas de formulario 1.1'!EN$1,#REF!,0)))</f>
        <v/>
      </c>
      <c r="EO5" s="56" t="str">
        <f t="array" ref="EO5">IF(DT5="","", INDEX(#REF!,MATCH(CONCATENATE('Respuestas de formulario 1.1'!$B5,DT5),#REF!,0),MATCH('Respuestas de formulario 1.1'!EO$1,#REF!,0)))</f>
        <v/>
      </c>
      <c r="EP5" s="45" t="str">
        <f t="array" ref="EP5">IF(DU5="","", INDEX(#REF!,MATCH(CONCATENATE('Respuestas de formulario 1.1'!$B5,DU5),#REF!,0),MATCH('Respuestas de formulario 1.1'!EP$1,#REF!,0)))</f>
        <v/>
      </c>
      <c r="EQ5" s="45" t="str">
        <f t="array" ref="EQ5">IF(DP5="","", INDEX(#REF!,MATCH(CONCATENATE('Respuestas de formulario 1.1'!$B5,DP5),#REF!,0),MATCH('Respuestas de formulario 1.1'!EQ$1,#REF!,0)))</f>
        <v/>
      </c>
      <c r="ER5" s="56" t="str">
        <f t="array" ref="ER5">IF(DQ5="","", INDEX(#REF!,MATCH(CONCATENATE('Respuestas de formulario 1.1'!$B5,DQ5),#REF!,0),MATCH('Respuestas de formulario 1.1'!ER$1,#REF!,0)))</f>
        <v/>
      </c>
      <c r="ES5" s="56" t="str">
        <f t="array" ref="ES5">IF(DR5="","", INDEX(#REF!,MATCH(CONCATENATE('Respuestas de formulario 1.1'!$B5,DR5),#REF!,0),MATCH('Respuestas de formulario 1.1'!ES$1,#REF!,0)))</f>
        <v/>
      </c>
      <c r="ET5" s="56" t="str">
        <f t="array" ref="ET5">IF(DS5="","", INDEX(#REF!,MATCH(CONCATENATE('Respuestas de formulario 1.1'!$B5,DS5),#REF!,0),MATCH('Respuestas de formulario 1.1'!ET$1,#REF!,0)))</f>
        <v/>
      </c>
      <c r="EU5" s="56" t="str">
        <f t="array" ref="EU5">IF(DT5="","", INDEX(#REF!,MATCH(CONCATENATE('Respuestas de formulario 1.1'!$B5,DT5),#REF!,0),MATCH('Respuestas de formulario 1.1'!EU$1,#REF!,0)))</f>
        <v/>
      </c>
      <c r="EV5" s="56" t="str">
        <f t="array" ref="EV5">IF(DU5="","", INDEX(#REF!,MATCH(CONCATENATE('Respuestas de formulario 1.1'!$B5,DU5),#REF!,0),MATCH('Respuestas de formulario 1.1'!EV$1,#REF!,0)))</f>
        <v/>
      </c>
      <c r="EW5" s="45" t="str">
        <f t="array" ref="EW5">IF(DV5="","", INDEX(#REF!,MATCH(CONCATENATE('Respuestas de formulario 1.1'!$B5,DV5),#REF!,0),MATCH('Respuestas de formulario 1.1'!EW$1,#REF!,0)))</f>
        <v/>
      </c>
      <c r="EX5" s="45" t="str">
        <f t="array" ref="EX5">IF($DQ5="","", INDEX(#REF!,MATCH(CONCATENATE('Respuestas de formulario 1.1'!$B5,$DQ5),#REF!,0),MATCH('Respuestas de formulario 1.1'!EX$1,#REF!,0)))</f>
        <v/>
      </c>
      <c r="EY5" s="56" t="str">
        <f t="array" ref="EY5">IF($DQ5="","", INDEX(#REF!,MATCH(CONCATENATE('Respuestas de formulario 1.1'!$B5,$DQ5),#REF!,0),MATCH('Respuestas de formulario 1.1'!EY$1,#REF!,0)))</f>
        <v/>
      </c>
      <c r="EZ5" s="56" t="str">
        <f t="array" ref="EZ5">IF($DQ5="","", INDEX(#REF!,MATCH(CONCATENATE('Respuestas de formulario 1.1'!$B5,$DQ5),#REF!,0),MATCH('Respuestas de formulario 1.1'!EZ$1,#REF!,0)))</f>
        <v/>
      </c>
      <c r="FA5" s="56" t="str">
        <f t="array" ref="FA5">IF($DQ5="","", INDEX(#REF!,MATCH(CONCATENATE('Respuestas de formulario 1.1'!$B5,$DQ5),#REF!,0),MATCH('Respuestas de formulario 1.1'!FA$1,#REF!,0)))</f>
        <v/>
      </c>
      <c r="FB5" s="56" t="str">
        <f t="array" ref="FB5">IF($DQ5="","", INDEX(#REF!,MATCH(CONCATENATE('Respuestas de formulario 1.1'!$B5,$DQ5),#REF!,0),MATCH('Respuestas de formulario 1.1'!FB$1,#REF!,0)))</f>
        <v/>
      </c>
      <c r="FC5" s="56" t="str">
        <f t="array" ref="FC5">IF($DQ5="","", INDEX(#REF!,MATCH(CONCATENATE('Respuestas de formulario 1.1'!$B5,$DQ5),#REF!,0),MATCH('Respuestas de formulario 1.1'!FC$1,#REF!,0)))</f>
        <v/>
      </c>
      <c r="FD5" s="45" t="str">
        <f t="array" ref="FD5">IF($DQ5="","", INDEX(#REF!,MATCH(CONCATENATE('Respuestas de formulario 1.1'!$B5,$DQ5),#REF!,0),MATCH('Respuestas de formulario 1.1'!FD$1,#REF!,0)))</f>
        <v/>
      </c>
      <c r="FE5" s="45" t="str">
        <f t="array" ref="FE5">IF($DR5="","", INDEX(#REF!,MATCH(CONCATENATE(#REF!,$DR5),#REF!,0),MATCH(#REF!,#REF!,0)))</f>
        <v/>
      </c>
      <c r="FF5" s="56" t="str">
        <f t="array" ref="FF5">IF($DR5="","", INDEX(#REF!,MATCH(CONCATENATE(#REF!,$DR5),#REF!,0),MATCH(#REF!,#REF!,0)))</f>
        <v/>
      </c>
      <c r="FG5" s="56" t="str">
        <f t="array" ref="FG5">IF($DR5="","", INDEX(#REF!,MATCH(CONCATENATE(#REF!,$DR5),#REF!,0),MATCH(#REF!,#REF!,0)))</f>
        <v/>
      </c>
      <c r="FH5" s="56" t="str">
        <f t="array" ref="FH5">IF($DR5="","", INDEX(#REF!,MATCH(CONCATENATE(#REF!,$DR5),#REF!,0),MATCH(#REF!,#REF!,0)))</f>
        <v/>
      </c>
      <c r="FI5" s="56" t="str">
        <f t="array" ref="FI5">IF($DR5="","", INDEX(#REF!,MATCH(CONCATENATE(#REF!,$DR5),#REF!,0),MATCH(#REF!,#REF!,0)))</f>
        <v/>
      </c>
      <c r="FJ5" s="56" t="str">
        <f t="array" ref="FJ5">IF($DR5="","", INDEX(#REF!,MATCH(CONCATENATE(#REF!,$DR5),#REF!,0),MATCH(#REF!,#REF!,0)))</f>
        <v/>
      </c>
      <c r="FK5" s="45" t="str">
        <f t="array" ref="FK5">IF($DR5="","", INDEX(#REF!,MATCH(CONCATENATE(#REF!,$DR5),#REF!,0),MATCH(#REF!,#REF!,0)))</f>
        <v/>
      </c>
      <c r="FL5" s="45" t="str">
        <f t="array" ref="FL5">IF($DT5="","", INDEX(#REF!,MATCH(CONCATENATE('Respuestas de formulario 1.1'!$B5,$DS5),#REF!,0),MATCH('Respuestas de formulario 1.1'!FL$1,#REF!,0)))</f>
        <v/>
      </c>
      <c r="FM5" s="56" t="str">
        <f t="array" ref="FM5">IF($DT5="","", INDEX(#REF!,MATCH(CONCATENATE('Respuestas de formulario 1.1'!$B5,$DS5),#REF!,0),MATCH('Respuestas de formulario 1.1'!FM$1,#REF!,0)))</f>
        <v/>
      </c>
      <c r="FN5" s="56" t="str">
        <f t="array" ref="FN5">IF($DT5="","", INDEX(#REF!,MATCH(CONCATENATE('Respuestas de formulario 1.1'!$B5,$DS5),#REF!,0),MATCH('Respuestas de formulario 1.1'!FN$1,#REF!,0)))</f>
        <v/>
      </c>
      <c r="FO5" s="56" t="str">
        <f t="array" ref="FO5">IF($DT5="","", INDEX(#REF!,MATCH(CONCATENATE('Respuestas de formulario 1.1'!$B5,$DS5),#REF!,0),MATCH('Respuestas de formulario 1.1'!FO$1,#REF!,0)))</f>
        <v/>
      </c>
      <c r="FP5" s="56" t="str">
        <f t="array" ref="FP5">IF($DT5="","", INDEX(#REF!,MATCH(CONCATENATE('Respuestas de formulario 1.1'!$B5,$DS5),#REF!,0),MATCH('Respuestas de formulario 1.1'!FP$1,#REF!,0)))</f>
        <v/>
      </c>
      <c r="FQ5" s="56" t="str">
        <f t="array" ref="FQ5">IF($DT5="","", INDEX(#REF!,MATCH(CONCATENATE('Respuestas de formulario 1.1'!$B5,$DS5),#REF!,0),MATCH('Respuestas de formulario 1.1'!FQ$1,#REF!,0)))</f>
        <v/>
      </c>
      <c r="FR5" s="45" t="str">
        <f t="array" ref="FR5">IF($DT5="","", INDEX(#REF!,MATCH(CONCATENATE('Respuestas de formulario 1.1'!$B5,$DS5),#REF!,0),MATCH('Respuestas de formulario 1.1'!FR$1,#REF!,0)))</f>
        <v/>
      </c>
      <c r="FS5" s="45" t="str">
        <f t="array" ref="FS5">IF($DU5="","", INDEX(#REF!,MATCH(CONCATENATE('Respuestas de formulario 1.1'!$B5,$DT5),#REF!,0),MATCH('Respuestas de formulario 1.1'!FS$1,#REF!,0)))</f>
        <v/>
      </c>
      <c r="FT5" s="56" t="str">
        <f t="array" ref="FT5">IF($DU5="","", INDEX(#REF!,MATCH(CONCATENATE('Respuestas de formulario 1.1'!$B5,$DT5),#REF!,0),MATCH('Respuestas de formulario 1.1'!FT$1,#REF!,0)))</f>
        <v/>
      </c>
      <c r="FU5" s="56" t="str">
        <f t="array" ref="FU5">IF($DU5="","", INDEX(#REF!,MATCH(CONCATENATE('Respuestas de formulario 1.1'!$B5,$DT5),#REF!,0),MATCH('Respuestas de formulario 1.1'!FU$1,#REF!,0)))</f>
        <v/>
      </c>
      <c r="FV5" s="56" t="str">
        <f t="array" ref="FV5">IF($DU5="","", INDEX(#REF!,MATCH(CONCATENATE('Respuestas de formulario 1.1'!$B5,$DT5),#REF!,0),MATCH('Respuestas de formulario 1.1'!FV$1,#REF!,0)))</f>
        <v/>
      </c>
      <c r="FW5" s="56" t="str">
        <f t="array" ref="FW5">IF($DU5="","", INDEX(#REF!,MATCH(CONCATENATE('Respuestas de formulario 1.1'!$B5,$DT5),#REF!,0),MATCH('Respuestas de formulario 1.1'!FW$1,#REF!,0)))</f>
        <v/>
      </c>
      <c r="FX5" s="56" t="str">
        <f t="array" ref="FX5">IF($DU5="","", INDEX(#REF!,MATCH(CONCATENATE('Respuestas de formulario 1.1'!$B5,$DT5),#REF!,0),MATCH('Respuestas de formulario 1.1'!FX$1,#REF!,0)))</f>
        <v/>
      </c>
      <c r="FY5" s="45" t="str">
        <f t="array" ref="FY5">IF($DU5="","", INDEX(#REF!,MATCH(CONCATENATE('Respuestas de formulario 1.1'!$B5,$DT5),#REF!,0),MATCH('Respuestas de formulario 1.1'!FY$1,#REF!,0)))</f>
        <v/>
      </c>
      <c r="FZ5" s="3" t="s">
        <v>2860</v>
      </c>
      <c r="GA5" s="1" t="s">
        <v>2891</v>
      </c>
      <c r="GB5" s="51" t="s">
        <v>2892</v>
      </c>
      <c r="GC5" s="4" t="str">
        <f>HYPERLINK("https://drive.google.com/file/d/1HipcIPKgV3yNMB4CmPa6nfNtWiF_ZC6B/view?usp=drivesdk","GONZALEZ  CRUZ  MIGUEL ANGEL Formato de reinscripción y pago 2022-2")</f>
        <v>GONZALEZ  CRUZ  MIGUEL ANGEL Formato de reinscripción y pago 2022-2</v>
      </c>
      <c r="GD5" s="1" t="s">
        <v>2893</v>
      </c>
      <c r="GE5" s="1"/>
      <c r="GF5" s="1"/>
      <c r="GG5" s="1"/>
      <c r="GH5" s="1"/>
      <c r="GI5" s="1" t="s">
        <v>2894</v>
      </c>
      <c r="GJ5" s="5" t="s">
        <v>2895</v>
      </c>
      <c r="GK5" s="5" t="str">
        <f>HYPERLINK("https://drive.google.com/file/d/1NCdAOwMmg69oUlSbaXoBvJazavo7n5zB/view?usp=drivesdk","GONZALEZ  CRUZ  MIGUEL ANO Formato de reinscripción y pago 2022-2")</f>
        <v>GONZALEZ  CRUZ  MIGUEL ANO Formato de reinscripción y pago 2022-2</v>
      </c>
      <c r="GL5" s="1" t="s">
        <v>2896</v>
      </c>
    </row>
    <row r="6" spans="1:194" ht="15.75" customHeight="1" x14ac:dyDescent="0.2">
      <c r="A6" s="2">
        <v>45139.023246550925</v>
      </c>
      <c r="B6" s="1" t="s">
        <v>73</v>
      </c>
      <c r="C6" s="1" t="s">
        <v>560</v>
      </c>
      <c r="D6" s="1" t="s">
        <v>441</v>
      </c>
      <c r="E6" s="1" t="s">
        <v>1390</v>
      </c>
      <c r="F6" s="1" t="s">
        <v>262</v>
      </c>
      <c r="G6" s="5" t="s">
        <v>2897</v>
      </c>
      <c r="H6" s="41">
        <v>38809</v>
      </c>
      <c r="I6" s="1">
        <v>17</v>
      </c>
      <c r="J6" s="1">
        <v>5576351355</v>
      </c>
      <c r="K6" s="1">
        <v>5593320686</v>
      </c>
      <c r="L6" s="1" t="s">
        <v>1391</v>
      </c>
      <c r="M6" s="1">
        <v>213090605702</v>
      </c>
      <c r="N6" s="1" t="s">
        <v>1108</v>
      </c>
      <c r="O6" s="1" t="s">
        <v>247</v>
      </c>
      <c r="P6" s="1" t="s">
        <v>226</v>
      </c>
      <c r="Q6" s="1" t="s">
        <v>227</v>
      </c>
      <c r="R6" s="1" t="s">
        <v>236</v>
      </c>
      <c r="S6" s="1" t="s">
        <v>228</v>
      </c>
      <c r="T6" s="1" t="s">
        <v>229</v>
      </c>
      <c r="U6" s="1" t="s">
        <v>289</v>
      </c>
      <c r="V6" s="1" t="s">
        <v>228</v>
      </c>
      <c r="W6" s="1" t="s">
        <v>2898</v>
      </c>
      <c r="X6" s="1" t="s">
        <v>289</v>
      </c>
      <c r="Y6" s="1" t="s">
        <v>1394</v>
      </c>
      <c r="Z6" s="1" t="s">
        <v>231</v>
      </c>
      <c r="AA6" s="1">
        <v>56567</v>
      </c>
      <c r="AB6" s="1">
        <v>10</v>
      </c>
      <c r="AC6" s="1">
        <v>3</v>
      </c>
      <c r="AD6" s="1" t="s">
        <v>2899</v>
      </c>
      <c r="AE6" s="1" t="s">
        <v>1392</v>
      </c>
      <c r="AF6" s="1" t="s">
        <v>758</v>
      </c>
      <c r="AG6" s="1">
        <v>19</v>
      </c>
      <c r="AH6" s="5" t="s">
        <v>2900</v>
      </c>
      <c r="AI6" s="1">
        <v>5630679486</v>
      </c>
      <c r="AJ6" s="1">
        <v>5593320686</v>
      </c>
      <c r="AK6" s="1" t="s">
        <v>2901</v>
      </c>
      <c r="AL6" s="1" t="s">
        <v>560</v>
      </c>
      <c r="AM6" s="1" t="s">
        <v>441</v>
      </c>
      <c r="AN6" s="1" t="s">
        <v>2145</v>
      </c>
      <c r="AO6" s="1" t="s">
        <v>758</v>
      </c>
      <c r="AP6" s="1">
        <v>28</v>
      </c>
      <c r="AQ6" s="1" t="s">
        <v>235</v>
      </c>
      <c r="AR6" s="42">
        <v>0.41666666666424135</v>
      </c>
      <c r="AS6" s="42">
        <v>0.83333333333575865</v>
      </c>
      <c r="AT6" s="1">
        <v>5514239156</v>
      </c>
      <c r="AU6" s="1">
        <v>5593320686</v>
      </c>
      <c r="AV6" s="1" t="s">
        <v>2902</v>
      </c>
      <c r="AW6" s="5" t="s">
        <v>2903</v>
      </c>
      <c r="AX6" s="1" t="s">
        <v>421</v>
      </c>
      <c r="AY6" s="1" t="s">
        <v>441</v>
      </c>
      <c r="AZ6" s="1" t="s">
        <v>2375</v>
      </c>
      <c r="BA6" s="1" t="s">
        <v>488</v>
      </c>
      <c r="BB6" s="1">
        <v>26</v>
      </c>
      <c r="BC6" s="1" t="s">
        <v>1044</v>
      </c>
      <c r="BD6" s="43">
        <v>0.29166666666424135</v>
      </c>
      <c r="BE6" s="43">
        <v>0.625</v>
      </c>
      <c r="BF6" s="1">
        <v>5544602651</v>
      </c>
      <c r="BG6" s="1">
        <v>5593320686</v>
      </c>
      <c r="BH6" s="1" t="s">
        <v>2904</v>
      </c>
      <c r="BI6" s="5" t="s">
        <v>2905</v>
      </c>
      <c r="BJ6" s="1" t="s">
        <v>236</v>
      </c>
      <c r="BL6" s="1">
        <v>180</v>
      </c>
      <c r="BM6" s="1">
        <v>64</v>
      </c>
      <c r="BN6" s="1" t="s">
        <v>236</v>
      </c>
      <c r="BO6" s="1" t="s">
        <v>236</v>
      </c>
      <c r="BP6" s="1" t="s">
        <v>1393</v>
      </c>
      <c r="BQ6" s="1" t="s">
        <v>236</v>
      </c>
      <c r="BR6" s="1" t="s">
        <v>348</v>
      </c>
      <c r="BS6" s="1" t="s">
        <v>236</v>
      </c>
      <c r="BT6" s="1" t="s">
        <v>457</v>
      </c>
      <c r="BU6" s="1" t="s">
        <v>228</v>
      </c>
      <c r="BW6" s="1" t="s">
        <v>272</v>
      </c>
      <c r="BX6" s="1">
        <v>150</v>
      </c>
      <c r="BY6" s="1">
        <v>260</v>
      </c>
      <c r="BZ6" s="1" t="s">
        <v>253</v>
      </c>
      <c r="CA6" s="1" t="s">
        <v>550</v>
      </c>
      <c r="CB6" s="1" t="s">
        <v>240</v>
      </c>
      <c r="CC6" s="1" t="s">
        <v>274</v>
      </c>
      <c r="CD6" s="1">
        <v>500</v>
      </c>
      <c r="CE6" s="1">
        <v>1700</v>
      </c>
      <c r="CF6" s="1" t="s">
        <v>236</v>
      </c>
      <c r="CG6" s="1" t="s">
        <v>323</v>
      </c>
      <c r="CH6" s="1" t="s">
        <v>243</v>
      </c>
      <c r="CI6" s="1" t="s">
        <v>243</v>
      </c>
      <c r="CJ6" s="1" t="s">
        <v>2848</v>
      </c>
      <c r="CL6" s="5" t="s">
        <v>2906</v>
      </c>
      <c r="CM6" s="44" t="s">
        <v>2907</v>
      </c>
      <c r="CN6" s="1" t="s">
        <v>228</v>
      </c>
      <c r="CQ6" s="42">
        <v>0.41666666666424135</v>
      </c>
      <c r="CR6" s="42">
        <v>0.83333333333575865</v>
      </c>
      <c r="CT6" s="45" t="str">
        <f t="array" ref="CT6">IFERROR(INDEX(#REF!,MATCH('Respuestas de formulario 1.1'!$B6,#REF!,0),MATCH('Respuestas de formulario 1.1'!CT$1,#REF!,0)),"")</f>
        <v/>
      </c>
      <c r="CU6" s="56" t="str">
        <f t="array" ref="CU6">IFERROR(INDEX(#REF!,MATCH('Respuestas de formulario 1.1'!$B6,#REF!,0),MATCH('Respuestas de formulario 1.1'!CU$1,#REF!,0)),"")</f>
        <v/>
      </c>
      <c r="CV6" s="56" t="str">
        <f t="array" ref="CV6">IFERROR(INDEX(#REF!,MATCH('Respuestas de formulario 1.1'!$B6,#REF!,0),MATCH('Respuestas de formulario 1.1'!CV$1,#REF!,0)),"")</f>
        <v/>
      </c>
      <c r="CW6" s="56" t="str">
        <f t="array" ref="CW6">IFERROR(INDEX(#REF!,MATCH('Respuestas de formulario 1.1'!$B6,#REF!,0),MATCH('Respuestas de formulario 1.1'!CW$1,#REF!,0)),"")</f>
        <v/>
      </c>
      <c r="CX6" s="56" t="str">
        <f t="array" ref="CX6">IFERROR(INDEX(#REF!,MATCH('Respuestas de formulario 1.1'!$B6,#REF!,0),MATCH('Respuestas de formulario 1.1'!CX$1,#REF!,0)),"")</f>
        <v/>
      </c>
      <c r="CY6" s="56" t="str">
        <f t="array" ref="CY6">IFERROR(INDEX(#REF!,MATCH('Respuestas de formulario 1.1'!$B6,#REF!,0),MATCH('Respuestas de formulario 1.1'!CY$1,#REF!,0)),"")</f>
        <v/>
      </c>
      <c r="CZ6" s="57" t="str">
        <f t="array" ref="CZ6">IFERROR(INDEX(#REF!,MATCH('Respuestas de formulario 1.1'!$B6,#REF!,0),MATCH('Respuestas de formulario 1.1'!CZ$1,#REF!,0)),"")</f>
        <v/>
      </c>
      <c r="DA6" s="45" t="e">
        <f t="array" ref="DA6">INDEX(#REF!,MATCH('Respuestas de formulario 1.1'!$B6,#REF!,0),MATCH('Respuestas de formulario 1.1'!DA$1,#REF!,0))</f>
        <v>#REF!</v>
      </c>
      <c r="DB6" s="45" t="e">
        <f t="array" ref="DB6">INDEX(#REF!,MATCH('Respuestas de formulario 1.1'!$B6,#REF!,0),MATCH('Respuestas de formulario 1.1'!DB$1,#REF!,0))</f>
        <v>#REF!</v>
      </c>
      <c r="DC6" s="45" t="e">
        <f t="array" ref="DC6">INDEX(#REF!,MATCH('Respuestas de formulario 1.1'!$B6,#REF!,0),MATCH('Respuestas de formulario 1.1'!DC$1,#REF!,0))</f>
        <v>#REF!</v>
      </c>
      <c r="DD6" s="45" t="e">
        <f t="array" ref="DD6">INDEX(#REF!,MATCH('Respuestas de formulario 1.1'!$B6,#REF!,0),MATCH('Respuestas de formulario 1.1'!DD$1,#REF!,0))</f>
        <v>#REF!</v>
      </c>
      <c r="DE6" s="45" t="e">
        <f t="array" ref="DE6">INDEX(#REF!,MATCH('Respuestas de formulario 1.1'!$B6,#REF!,0),MATCH('Respuestas de formulario 1.1'!DE$1,#REF!,0))</f>
        <v>#REF!</v>
      </c>
      <c r="DF6" s="45" t="e">
        <f t="array" ref="DF6">INDEX(#REF!,MATCH('Respuestas de formulario 1.1'!$B6,#REF!,0),MATCH('Respuestas de formulario 1.1'!DF$1,#REF!,0))</f>
        <v>#REF!</v>
      </c>
      <c r="DG6" s="45" t="e">
        <f t="array" ref="DG6">INDEX(#REF!,MATCH('Respuestas de formulario 1.1'!$B6,#REF!,0),MATCH('Respuestas de formulario 1.1'!DG$1,#REF!,0))</f>
        <v>#REF!</v>
      </c>
      <c r="DH6" s="45" t="e">
        <f t="array" ref="DH6">INDEX(#REF!,MATCH('Respuestas de formulario 1.1'!$B6,#REF!,0),MATCH('Respuestas de formulario 1.1'!DH$1,#REF!,0))</f>
        <v>#REF!</v>
      </c>
      <c r="DI6" s="48" t="e">
        <f>VLOOKUP(CONCATENATE($DF6," TUTO ",$DC6),#REF!,3,0)</f>
        <v>#REF!</v>
      </c>
      <c r="DJ6" s="48" t="e">
        <f t="array" ref="DJ6">IF('Respuestas de formulario 1.1'!A6="","",INDEX(#REF!,MATCH('Respuestas de formulario 1.1'!B6,#REF!,0),MATCH('Respuestas de formulario 1.1'!$DH$1,#REF!,0)))</f>
        <v>#REF!</v>
      </c>
      <c r="DK6" s="52" t="str">
        <f>CONCATENATE("http://doc.google.com/uc?id=",MID('Respuestas de formulario 1.1'!G6,34,33))</f>
        <v>http://doc.google.com/uc?id=1x0wPYIObqAYv92WT1_JsbtBqO3L-rU7O</v>
      </c>
      <c r="DL6" s="49" t="str">
        <f>CONCATENATE("http://doc.google.com/uc?id=",MID('Respuestas de formulario 1.1'!AH6,34,33))</f>
        <v>http://doc.google.com/uc?id=1GqNuL16hRqbQllMAPXU1YlR99PreW7bs</v>
      </c>
      <c r="DM6" s="50" t="str">
        <f>CONCATENATE("http://doc.google.com/uc?id=",MID('Respuestas de formulario 1.1'!AW6,34,33))</f>
        <v>http://doc.google.com/uc?id=1pH9GH3324bL90zL9ceccP9WjRCubd9pV</v>
      </c>
      <c r="DN6" s="53" t="str">
        <f>CONCATENATE("http://doc.google.com/uc?id=",MID('Respuestas de formulario 1.1'!$BI6,34,33))</f>
        <v>http://doc.google.com/uc?id=1z9_qLyxhxX8Wgj8dxEhPEKxEa7qOmf2B</v>
      </c>
      <c r="DO6" s="45" t="str">
        <f>IFERROR(VLOOKUP(CONCATENATE('Respuestas de formulario 1.1'!$B6,MID('Respuestas de formulario 1.1'!DO$1,2,1)),#REF!,12,0),"")</f>
        <v/>
      </c>
      <c r="DP6" s="45" t="str">
        <f>IFERROR(VLOOKUP(CONCATENATE('Respuestas de formulario 1.1'!$B6,MID('Respuestas de formulario 1.1'!DP$1,2,1)),#REF!,12,0),"")</f>
        <v/>
      </c>
      <c r="DQ6" s="45" t="str">
        <f>IFERROR(VLOOKUP(CONCATENATE('Respuestas de formulario 1.1'!$B6,MID('Respuestas de formulario 1.1'!DQ$1,2,1)),#REF!,12,0),"")</f>
        <v/>
      </c>
      <c r="DR6" s="45" t="str">
        <f>IFERROR(VLOOKUP(CONCATENATE('Respuestas de formulario 1.1'!$B6,MID('Respuestas de formulario 1.1'!DR$1,2,1)),#REF!,12,0),"")</f>
        <v/>
      </c>
      <c r="DS6" s="45" t="str">
        <f>IFERROR(VLOOKUP(CONCATENATE('Respuestas de formulario 1.1'!$B6,MID('Respuestas de formulario 1.1'!DS$1,2,1)),#REF!,12,0),"")</f>
        <v/>
      </c>
      <c r="DT6" s="45" t="str">
        <f>IFERROR(VLOOKUP(CONCATENATE('Respuestas de formulario 1.1'!$B6,MID('Respuestas de formulario 1.1'!DT$1,2,1)),#REF!,12,0),"")</f>
        <v/>
      </c>
      <c r="DU6" s="45" t="str">
        <f>IFERROR(VLOOKUP(CONCATENATE('Respuestas de formulario 1.1'!$B6,MID('Respuestas de formulario 1.1'!DU$1,2,1)),#REF!,12,0),"")</f>
        <v/>
      </c>
      <c r="DV6" s="45" t="str">
        <f>IFERROR(VLOOKUP(CONCATENATE('Respuestas de formulario 1.1'!$B6,MID('Respuestas de formulario 1.1'!DV$1,2,1)),#REF!,12,0),"")</f>
        <v/>
      </c>
      <c r="DW6" s="45" t="str">
        <f>IFERROR(VLOOKUP(CONCATENATE('Respuestas de formulario 1.1'!$B6,MID('Respuestas de formulario 1.1'!DW$1,2,1)),#REF!,12,0),"")</f>
        <v/>
      </c>
      <c r="DX6" s="45" t="str">
        <f>IFERROR(VLOOKUP(CONCATENATE('Respuestas de formulario 1.1'!$B6,MID('Respuestas de formulario 1.1'!DX$1,2,1)),#REF!,12,0),"")</f>
        <v/>
      </c>
      <c r="DY6" s="45" t="str">
        <f>IFERROR(VLOOKUP(CONCATENATE('Respuestas de formulario 1.1'!$B6,MID('Respuestas de formulario 1.1'!DY$1,2,1)),#REF!,12,0),"")</f>
        <v/>
      </c>
      <c r="DZ6" s="45" t="str">
        <f>IFERROR(VLOOKUP(CONCATENATE('Respuestas de formulario 1.1'!$B6,MID('Respuestas de formulario 1.1'!DZ$1,2,1)),#REF!,12,0),"")</f>
        <v/>
      </c>
      <c r="EA6" s="45" t="str">
        <f>IFERROR(VLOOKUP(CONCATENATE('Respuestas de formulario 1.1'!$B6,MID('Respuestas de formulario 1.1'!EA$1,2,1)),#REF!,12,0),"")</f>
        <v/>
      </c>
      <c r="EB6" s="45" t="str">
        <f>IFERROR(VLOOKUP(CONCATENATE('Respuestas de formulario 1.1'!$B6,MID('Respuestas de formulario 1.1'!EB$1,2,1)),#REF!,12,0),"")</f>
        <v/>
      </c>
      <c r="EC6" s="45" t="str">
        <f>IFERROR(VLOOKUP(CONCATENATE('Respuestas de formulario 1.1'!$B6,MID('Respuestas de formulario 1.1'!EC$1,2,1)),#REF!,12,0),"")</f>
        <v/>
      </c>
      <c r="ED6" s="45" t="str">
        <f>IFERROR(VLOOKUP(CONCATENATE('Respuestas de formulario 1.1'!$B6,MID('Respuestas de formulario 1.1'!ED$1,2,1)),#REF!,12,0),"")</f>
        <v/>
      </c>
      <c r="EE6" s="45" t="str">
        <f>IFERROR(VLOOKUP(CONCATENATE('Respuestas de formulario 1.1'!$B6,MID('Respuestas de formulario 1.1'!EE$1,2,1)),#REF!,12,0),"")</f>
        <v/>
      </c>
      <c r="EF6" s="45" t="str">
        <f>IFERROR(VLOOKUP(CONCATENATE('Respuestas de formulario 1.1'!$B6,MID('Respuestas de formulario 1.1'!EF$1,2,1)),#REF!,12,0),"")</f>
        <v/>
      </c>
      <c r="EG6" s="45" t="str">
        <f>IFERROR(VLOOKUP(CONCATENATE('Respuestas de formulario 1.1'!$B6,MID('Respuestas de formulario 1.1'!EG$1,2,1)),#REF!,12,0),"")</f>
        <v/>
      </c>
      <c r="EH6" s="45" t="str">
        <f>IFERROR(VLOOKUP(CONCATENATE('Respuestas de formulario 1.1'!$B6,MID('Respuestas de formulario 1.1'!EH$1,2,1)),#REF!,12,0),"")</f>
        <v/>
      </c>
      <c r="EI6" s="45" t="str">
        <f>IFERROR(VLOOKUP(CONCATENATE('Respuestas de formulario 1.1'!$B6,MID('Respuestas de formulario 1.1'!EI$1,2,1)),#REF!,12,0),"")</f>
        <v/>
      </c>
      <c r="EJ6" s="45" t="str">
        <f t="array" ref="EJ6">IF(DO6="","", INDEX(#REF!,MATCH(CONCATENATE('Respuestas de formulario 1.1'!$B6,DO6),#REF!,0),MATCH('Respuestas de formulario 1.1'!EJ$1,#REF!,0)))</f>
        <v/>
      </c>
      <c r="EK6" s="56" t="str">
        <f t="array" ref="EK6">IF(DP6="","", INDEX(#REF!,MATCH(CONCATENATE('Respuestas de formulario 1.1'!$B6,DP6),#REF!,0),MATCH('Respuestas de formulario 1.1'!EK$1,#REF!,0)))</f>
        <v/>
      </c>
      <c r="EL6" s="56" t="str">
        <f t="array" ref="EL6">IF(DQ6="","", INDEX(#REF!,MATCH(CONCATENATE('Respuestas de formulario 1.1'!$B6,DQ6),#REF!,0),MATCH('Respuestas de formulario 1.1'!EL$1,#REF!,0)))</f>
        <v/>
      </c>
      <c r="EM6" s="56" t="str">
        <f t="array" ref="EM6">IF(DR6="","", INDEX(#REF!,MATCH(CONCATENATE('Respuestas de formulario 1.1'!$B6,DR6),#REF!,0),MATCH('Respuestas de formulario 1.1'!EM$1,#REF!,0)))</f>
        <v/>
      </c>
      <c r="EN6" s="56" t="str">
        <f t="array" ref="EN6">IF(DS6="","", INDEX(#REF!,MATCH(CONCATENATE('Respuestas de formulario 1.1'!$B6,DS6),#REF!,0),MATCH('Respuestas de formulario 1.1'!EN$1,#REF!,0)))</f>
        <v/>
      </c>
      <c r="EO6" s="56" t="str">
        <f t="array" ref="EO6">IF(DT6="","", INDEX(#REF!,MATCH(CONCATENATE('Respuestas de formulario 1.1'!$B6,DT6),#REF!,0),MATCH('Respuestas de formulario 1.1'!EO$1,#REF!,0)))</f>
        <v/>
      </c>
      <c r="EP6" s="45" t="str">
        <f t="array" ref="EP6">IF(DU6="","", INDEX(#REF!,MATCH(CONCATENATE('Respuestas de formulario 1.1'!$B6,DU6),#REF!,0),MATCH('Respuestas de formulario 1.1'!EP$1,#REF!,0)))</f>
        <v/>
      </c>
      <c r="EQ6" s="45" t="str">
        <f t="array" ref="EQ6">IF(DP6="","", INDEX(#REF!,MATCH(CONCATENATE('Respuestas de formulario 1.1'!$B6,DP6),#REF!,0),MATCH('Respuestas de formulario 1.1'!EQ$1,#REF!,0)))</f>
        <v/>
      </c>
      <c r="ER6" s="56" t="str">
        <f t="array" ref="ER6">IF(DQ6="","", INDEX(#REF!,MATCH(CONCATENATE('Respuestas de formulario 1.1'!$B6,DQ6),#REF!,0),MATCH('Respuestas de formulario 1.1'!ER$1,#REF!,0)))</f>
        <v/>
      </c>
      <c r="ES6" s="56" t="str">
        <f t="array" ref="ES6">IF(DR6="","", INDEX(#REF!,MATCH(CONCATENATE('Respuestas de formulario 1.1'!$B6,DR6),#REF!,0),MATCH('Respuestas de formulario 1.1'!ES$1,#REF!,0)))</f>
        <v/>
      </c>
      <c r="ET6" s="56" t="str">
        <f t="array" ref="ET6">IF(DS6="","", INDEX(#REF!,MATCH(CONCATENATE('Respuestas de formulario 1.1'!$B6,DS6),#REF!,0),MATCH('Respuestas de formulario 1.1'!ET$1,#REF!,0)))</f>
        <v/>
      </c>
      <c r="EU6" s="56" t="str">
        <f t="array" ref="EU6">IF(DT6="","", INDEX(#REF!,MATCH(CONCATENATE('Respuestas de formulario 1.1'!$B6,DT6),#REF!,0),MATCH('Respuestas de formulario 1.1'!EU$1,#REF!,0)))</f>
        <v/>
      </c>
      <c r="EV6" s="56" t="str">
        <f t="array" ref="EV6">IF(DU6="","", INDEX(#REF!,MATCH(CONCATENATE('Respuestas de formulario 1.1'!$B6,DU6),#REF!,0),MATCH('Respuestas de formulario 1.1'!EV$1,#REF!,0)))</f>
        <v/>
      </c>
      <c r="EW6" s="45" t="str">
        <f t="array" ref="EW6">IF(DV6="","", INDEX(#REF!,MATCH(CONCATENATE('Respuestas de formulario 1.1'!$B6,DV6),#REF!,0),MATCH('Respuestas de formulario 1.1'!EW$1,#REF!,0)))</f>
        <v/>
      </c>
      <c r="EX6" s="45" t="str">
        <f t="array" ref="EX6">IF($DQ6="","", INDEX(#REF!,MATCH(CONCATENATE('Respuestas de formulario 1.1'!$B6,$DQ6),#REF!,0),MATCH('Respuestas de formulario 1.1'!EX$1,#REF!,0)))</f>
        <v/>
      </c>
      <c r="EY6" s="56" t="str">
        <f t="array" ref="EY6">IF($DQ6="","", INDEX(#REF!,MATCH(CONCATENATE('Respuestas de formulario 1.1'!$B6,$DQ6),#REF!,0),MATCH('Respuestas de formulario 1.1'!EY$1,#REF!,0)))</f>
        <v/>
      </c>
      <c r="EZ6" s="56" t="str">
        <f t="array" ref="EZ6">IF($DQ6="","", INDEX(#REF!,MATCH(CONCATENATE('Respuestas de formulario 1.1'!$B6,$DQ6),#REF!,0),MATCH('Respuestas de formulario 1.1'!EZ$1,#REF!,0)))</f>
        <v/>
      </c>
      <c r="FA6" s="56" t="str">
        <f t="array" ref="FA6">IF($DQ6="","", INDEX(#REF!,MATCH(CONCATENATE('Respuestas de formulario 1.1'!$B6,$DQ6),#REF!,0),MATCH('Respuestas de formulario 1.1'!FA$1,#REF!,0)))</f>
        <v/>
      </c>
      <c r="FB6" s="56" t="str">
        <f t="array" ref="FB6">IF($DQ6="","", INDEX(#REF!,MATCH(CONCATENATE('Respuestas de formulario 1.1'!$B6,$DQ6),#REF!,0),MATCH('Respuestas de formulario 1.1'!FB$1,#REF!,0)))</f>
        <v/>
      </c>
      <c r="FC6" s="56" t="str">
        <f t="array" ref="FC6">IF($DQ6="","", INDEX(#REF!,MATCH(CONCATENATE('Respuestas de formulario 1.1'!$B6,$DQ6),#REF!,0),MATCH('Respuestas de formulario 1.1'!FC$1,#REF!,0)))</f>
        <v/>
      </c>
      <c r="FD6" s="45" t="str">
        <f t="array" ref="FD6">IF($DQ6="","", INDEX(#REF!,MATCH(CONCATENATE('Respuestas de formulario 1.1'!$B6,$DQ6),#REF!,0),MATCH('Respuestas de formulario 1.1'!FD$1,#REF!,0)))</f>
        <v/>
      </c>
      <c r="FE6" s="45" t="str">
        <f t="array" ref="FE6">IF($DR6="","", INDEX(#REF!,MATCH(CONCATENATE(#REF!,$DR6),#REF!,0),MATCH(#REF!,#REF!,0)))</f>
        <v/>
      </c>
      <c r="FF6" s="56" t="str">
        <f t="array" ref="FF6">IF($DR6="","", INDEX(#REF!,MATCH(CONCATENATE(#REF!,$DR6),#REF!,0),MATCH(#REF!,#REF!,0)))</f>
        <v/>
      </c>
      <c r="FG6" s="56" t="str">
        <f t="array" ref="FG6">IF($DR6="","", INDEX(#REF!,MATCH(CONCATENATE(#REF!,$DR6),#REF!,0),MATCH(#REF!,#REF!,0)))</f>
        <v/>
      </c>
      <c r="FH6" s="56" t="str">
        <f t="array" ref="FH6">IF($DR6="","", INDEX(#REF!,MATCH(CONCATENATE(#REF!,$DR6),#REF!,0),MATCH(#REF!,#REF!,0)))</f>
        <v/>
      </c>
      <c r="FI6" s="56" t="str">
        <f t="array" ref="FI6">IF($DR6="","", INDEX(#REF!,MATCH(CONCATENATE(#REF!,$DR6),#REF!,0),MATCH(#REF!,#REF!,0)))</f>
        <v/>
      </c>
      <c r="FJ6" s="56" t="str">
        <f t="array" ref="FJ6">IF($DR6="","", INDEX(#REF!,MATCH(CONCATENATE(#REF!,$DR6),#REF!,0),MATCH(#REF!,#REF!,0)))</f>
        <v/>
      </c>
      <c r="FK6" s="45" t="str">
        <f t="array" ref="FK6">IF($DR6="","", INDEX(#REF!,MATCH(CONCATENATE(#REF!,$DR6),#REF!,0),MATCH(#REF!,#REF!,0)))</f>
        <v/>
      </c>
      <c r="FL6" s="45" t="str">
        <f t="array" ref="FL6">IF($DT6="","", INDEX(#REF!,MATCH(CONCATENATE('Respuestas de formulario 1.1'!$B6,$DS6),#REF!,0),MATCH('Respuestas de formulario 1.1'!FL$1,#REF!,0)))</f>
        <v/>
      </c>
      <c r="FM6" s="56" t="str">
        <f t="array" ref="FM6">IF($DT6="","", INDEX(#REF!,MATCH(CONCATENATE('Respuestas de formulario 1.1'!$B6,$DS6),#REF!,0),MATCH('Respuestas de formulario 1.1'!FM$1,#REF!,0)))</f>
        <v/>
      </c>
      <c r="FN6" s="56" t="str">
        <f t="array" ref="FN6">IF($DT6="","", INDEX(#REF!,MATCH(CONCATENATE('Respuestas de formulario 1.1'!$B6,$DS6),#REF!,0),MATCH('Respuestas de formulario 1.1'!FN$1,#REF!,0)))</f>
        <v/>
      </c>
      <c r="FO6" s="56" t="str">
        <f t="array" ref="FO6">IF($DT6="","", INDEX(#REF!,MATCH(CONCATENATE('Respuestas de formulario 1.1'!$B6,$DS6),#REF!,0),MATCH('Respuestas de formulario 1.1'!FO$1,#REF!,0)))</f>
        <v/>
      </c>
      <c r="FP6" s="56" t="str">
        <f t="array" ref="FP6">IF($DT6="","", INDEX(#REF!,MATCH(CONCATENATE('Respuestas de formulario 1.1'!$B6,$DS6),#REF!,0),MATCH('Respuestas de formulario 1.1'!FP$1,#REF!,0)))</f>
        <v/>
      </c>
      <c r="FQ6" s="56" t="str">
        <f t="array" ref="FQ6">IF($DT6="","", INDEX(#REF!,MATCH(CONCATENATE('Respuestas de formulario 1.1'!$B6,$DS6),#REF!,0),MATCH('Respuestas de formulario 1.1'!FQ$1,#REF!,0)))</f>
        <v/>
      </c>
      <c r="FR6" s="45" t="str">
        <f t="array" ref="FR6">IF($DT6="","", INDEX(#REF!,MATCH(CONCATENATE('Respuestas de formulario 1.1'!$B6,$DS6),#REF!,0),MATCH('Respuestas de formulario 1.1'!FR$1,#REF!,0)))</f>
        <v/>
      </c>
      <c r="FS6" s="45" t="str">
        <f t="array" ref="FS6">IF($DU6="","", INDEX(#REF!,MATCH(CONCATENATE('Respuestas de formulario 1.1'!$B6,$DT6),#REF!,0),MATCH('Respuestas de formulario 1.1'!FS$1,#REF!,0)))</f>
        <v/>
      </c>
      <c r="FT6" s="56" t="str">
        <f t="array" ref="FT6">IF($DU6="","", INDEX(#REF!,MATCH(CONCATENATE('Respuestas de formulario 1.1'!$B6,$DT6),#REF!,0),MATCH('Respuestas de formulario 1.1'!FT$1,#REF!,0)))</f>
        <v/>
      </c>
      <c r="FU6" s="56" t="str">
        <f t="array" ref="FU6">IF($DU6="","", INDEX(#REF!,MATCH(CONCATENATE('Respuestas de formulario 1.1'!$B6,$DT6),#REF!,0),MATCH('Respuestas de formulario 1.1'!FU$1,#REF!,0)))</f>
        <v/>
      </c>
      <c r="FV6" s="56" t="str">
        <f t="array" ref="FV6">IF($DU6="","", INDEX(#REF!,MATCH(CONCATENATE('Respuestas de formulario 1.1'!$B6,$DT6),#REF!,0),MATCH('Respuestas de formulario 1.1'!FV$1,#REF!,0)))</f>
        <v/>
      </c>
      <c r="FW6" s="56" t="str">
        <f t="array" ref="FW6">IF($DU6="","", INDEX(#REF!,MATCH(CONCATENATE('Respuestas de formulario 1.1'!$B6,$DT6),#REF!,0),MATCH('Respuestas de formulario 1.1'!FW$1,#REF!,0)))</f>
        <v/>
      </c>
      <c r="FX6" s="56" t="str">
        <f t="array" ref="FX6">IF($DU6="","", INDEX(#REF!,MATCH(CONCATENATE('Respuestas de formulario 1.1'!$B6,$DT6),#REF!,0),MATCH('Respuestas de formulario 1.1'!FX$1,#REF!,0)))</f>
        <v/>
      </c>
      <c r="FY6" s="45" t="str">
        <f t="array" ref="FY6">IF($DU6="","", INDEX(#REF!,MATCH(CONCATENATE('Respuestas de formulario 1.1'!$B6,$DT6),#REF!,0),MATCH('Respuestas de formulario 1.1'!FY$1,#REF!,0)))</f>
        <v/>
      </c>
      <c r="FZ6" s="3" t="s">
        <v>2860</v>
      </c>
      <c r="GA6" s="1" t="s">
        <v>2908</v>
      </c>
      <c r="GB6" s="5" t="s">
        <v>2909</v>
      </c>
      <c r="GC6" s="4" t="str">
        <f>HYPERLINK("https://drive.google.com/file/d/1DdmKlKH877pz1__I8vSHIY3bSiZpXMpr/view?usp=drivesdk","GONZALEZ  SUAREZ  OMAR  Formato de reinscripción y pago 2022-2")</f>
        <v>GONZALEZ  SUAREZ  OMAR  Formato de reinscripción y pago 2022-2</v>
      </c>
      <c r="GD6" s="1" t="s">
        <v>2910</v>
      </c>
      <c r="GE6" s="1"/>
      <c r="GF6" s="1"/>
      <c r="GG6" s="1"/>
      <c r="GH6" s="1"/>
      <c r="GI6" s="1" t="s">
        <v>2911</v>
      </c>
      <c r="GJ6" s="5" t="s">
        <v>2912</v>
      </c>
      <c r="GK6" s="5" t="str">
        <f>HYPERLINK("https://drive.google.com/file/d/13-Q9tEL-_NNrDQuFwOtlILNsX-1VyafO/view?usp=drivesdk","GONZALEZ  SUAREZ  OMAR  Formato de reinscripción y pago 2022-2")</f>
        <v>GONZALEZ  SUAREZ  OMAR  Formato de reinscripción y pago 2022-2</v>
      </c>
      <c r="GL6" s="1" t="s">
        <v>2910</v>
      </c>
    </row>
    <row r="7" spans="1:194" ht="15.75" customHeight="1" x14ac:dyDescent="0.2">
      <c r="A7" s="2">
        <v>45139.024411759259</v>
      </c>
      <c r="B7" s="1" t="s">
        <v>606</v>
      </c>
      <c r="C7" s="1" t="s">
        <v>607</v>
      </c>
      <c r="D7" s="1" t="s">
        <v>480</v>
      </c>
      <c r="E7" s="1" t="s">
        <v>608</v>
      </c>
      <c r="F7" s="1" t="s">
        <v>223</v>
      </c>
      <c r="G7" s="5" t="s">
        <v>2913</v>
      </c>
      <c r="H7" s="41">
        <v>38989</v>
      </c>
      <c r="I7" s="1">
        <v>16</v>
      </c>
      <c r="J7" s="1">
        <v>2241009186</v>
      </c>
      <c r="K7" s="1">
        <v>26352536</v>
      </c>
      <c r="L7" s="1" t="s">
        <v>609</v>
      </c>
      <c r="M7" s="1">
        <v>213090605701</v>
      </c>
      <c r="N7" s="1" t="s">
        <v>1108</v>
      </c>
      <c r="O7" s="1" t="s">
        <v>247</v>
      </c>
      <c r="P7" s="1" t="s">
        <v>226</v>
      </c>
      <c r="Q7" s="1" t="s">
        <v>263</v>
      </c>
      <c r="R7" s="1" t="s">
        <v>236</v>
      </c>
      <c r="S7" s="1" t="s">
        <v>228</v>
      </c>
      <c r="T7" s="1" t="s">
        <v>411</v>
      </c>
      <c r="U7" s="1" t="s">
        <v>249</v>
      </c>
      <c r="V7" s="1" t="s">
        <v>228</v>
      </c>
      <c r="W7" s="1" t="s">
        <v>2914</v>
      </c>
      <c r="X7" s="1" t="s">
        <v>249</v>
      </c>
      <c r="Y7" s="1" t="s">
        <v>601</v>
      </c>
      <c r="Z7" s="1" t="s">
        <v>240</v>
      </c>
      <c r="AA7" s="44" t="s">
        <v>548</v>
      </c>
      <c r="AB7" s="1">
        <v>39</v>
      </c>
      <c r="AC7" s="1">
        <v>20</v>
      </c>
      <c r="AD7" s="1" t="s">
        <v>2915</v>
      </c>
      <c r="AE7" s="1" t="s">
        <v>2916</v>
      </c>
      <c r="AF7" s="1" t="s">
        <v>403</v>
      </c>
      <c r="AG7" s="1">
        <v>19</v>
      </c>
      <c r="AH7" s="5" t="s">
        <v>2917</v>
      </c>
      <c r="AI7" s="1">
        <v>5516810340</v>
      </c>
      <c r="AJ7" s="1">
        <v>5526352536</v>
      </c>
      <c r="AK7" s="1" t="s">
        <v>2918</v>
      </c>
      <c r="AL7" s="1" t="s">
        <v>607</v>
      </c>
      <c r="AM7" s="1" t="s">
        <v>2285</v>
      </c>
      <c r="AN7" s="1" t="s">
        <v>2919</v>
      </c>
      <c r="AO7" s="1" t="s">
        <v>420</v>
      </c>
      <c r="AP7" s="1">
        <v>43</v>
      </c>
      <c r="AQ7" s="1" t="s">
        <v>235</v>
      </c>
      <c r="AR7" s="42">
        <v>0.33333333333575865</v>
      </c>
      <c r="AS7" s="42">
        <v>0.25</v>
      </c>
      <c r="AT7" s="1">
        <v>5583466582</v>
      </c>
      <c r="AU7" s="1">
        <v>5583466582</v>
      </c>
      <c r="AV7" s="1"/>
      <c r="AW7" s="5" t="s">
        <v>2920</v>
      </c>
      <c r="AX7" s="1" t="s">
        <v>480</v>
      </c>
      <c r="AY7" s="1" t="s">
        <v>934</v>
      </c>
      <c r="AZ7" s="1" t="s">
        <v>1764</v>
      </c>
      <c r="BA7" s="1" t="s">
        <v>461</v>
      </c>
      <c r="BB7" s="1">
        <v>40</v>
      </c>
      <c r="BC7" s="1" t="s">
        <v>2921</v>
      </c>
      <c r="BD7" s="43">
        <v>0.33333333333575865</v>
      </c>
      <c r="BE7" s="43">
        <v>0.25</v>
      </c>
      <c r="BF7" s="1">
        <v>5649285249</v>
      </c>
      <c r="BG7" s="1">
        <v>5526352536</v>
      </c>
      <c r="BH7" s="1" t="s">
        <v>610</v>
      </c>
      <c r="BI7" s="5" t="s">
        <v>2922</v>
      </c>
      <c r="BJ7" s="1" t="s">
        <v>236</v>
      </c>
      <c r="BL7" s="1">
        <v>165</v>
      </c>
      <c r="BM7" s="1">
        <v>80</v>
      </c>
      <c r="BN7" s="1" t="s">
        <v>228</v>
      </c>
      <c r="BO7" s="1" t="s">
        <v>228</v>
      </c>
      <c r="BQ7" s="1" t="s">
        <v>228</v>
      </c>
      <c r="BR7" s="1" t="s">
        <v>237</v>
      </c>
      <c r="BS7" s="1" t="s">
        <v>228</v>
      </c>
      <c r="BT7" s="1" t="s">
        <v>237</v>
      </c>
      <c r="BU7" s="1" t="s">
        <v>228</v>
      </c>
      <c r="BW7" s="1" t="s">
        <v>238</v>
      </c>
      <c r="BX7" s="1">
        <v>180</v>
      </c>
      <c r="BY7" s="1">
        <v>150</v>
      </c>
      <c r="BZ7" s="1" t="s">
        <v>1517</v>
      </c>
      <c r="CA7" s="1" t="s">
        <v>299</v>
      </c>
      <c r="CB7" s="1" t="s">
        <v>240</v>
      </c>
      <c r="CC7" s="1" t="s">
        <v>322</v>
      </c>
      <c r="CD7" s="1">
        <v>2000</v>
      </c>
      <c r="CE7" s="1">
        <v>1000</v>
      </c>
      <c r="CF7" s="1" t="s">
        <v>236</v>
      </c>
      <c r="CG7" s="1" t="s">
        <v>323</v>
      </c>
      <c r="CH7" s="1" t="s">
        <v>243</v>
      </c>
      <c r="CI7" s="1" t="s">
        <v>243</v>
      </c>
      <c r="CJ7" s="1" t="s">
        <v>2848</v>
      </c>
      <c r="CL7" s="5" t="s">
        <v>2923</v>
      </c>
      <c r="CM7" s="1">
        <v>59210631699</v>
      </c>
      <c r="CN7" s="1" t="s">
        <v>228</v>
      </c>
      <c r="CQ7" s="42">
        <v>0.25</v>
      </c>
      <c r="CR7" s="42">
        <v>0.33333333333575865</v>
      </c>
      <c r="CT7" s="45" t="str">
        <f t="array" ref="CT7">IFERROR(INDEX(#REF!,MATCH('Respuestas de formulario 1.1'!$B7,#REF!,0),MATCH('Respuestas de formulario 1.1'!CT$1,#REF!,0)),"")</f>
        <v/>
      </c>
      <c r="CU7" s="56" t="str">
        <f t="array" ref="CU7">IFERROR(INDEX(#REF!,MATCH('Respuestas de formulario 1.1'!$B7,#REF!,0),MATCH('Respuestas de formulario 1.1'!CU$1,#REF!,0)),"")</f>
        <v/>
      </c>
      <c r="CV7" s="56" t="str">
        <f t="array" ref="CV7">IFERROR(INDEX(#REF!,MATCH('Respuestas de formulario 1.1'!$B7,#REF!,0),MATCH('Respuestas de formulario 1.1'!CV$1,#REF!,0)),"")</f>
        <v/>
      </c>
      <c r="CW7" s="56" t="str">
        <f t="array" ref="CW7">IFERROR(INDEX(#REF!,MATCH('Respuestas de formulario 1.1'!$B7,#REF!,0),MATCH('Respuestas de formulario 1.1'!CW$1,#REF!,0)),"")</f>
        <v/>
      </c>
      <c r="CX7" s="56" t="str">
        <f t="array" ref="CX7">IFERROR(INDEX(#REF!,MATCH('Respuestas de formulario 1.1'!$B7,#REF!,0),MATCH('Respuestas de formulario 1.1'!CX$1,#REF!,0)),"")</f>
        <v/>
      </c>
      <c r="CY7" s="56" t="str">
        <f t="array" ref="CY7">IFERROR(INDEX(#REF!,MATCH('Respuestas de formulario 1.1'!$B7,#REF!,0),MATCH('Respuestas de formulario 1.1'!CY$1,#REF!,0)),"")</f>
        <v/>
      </c>
      <c r="CZ7" s="57" t="str">
        <f t="array" ref="CZ7">IFERROR(INDEX(#REF!,MATCH('Respuestas de formulario 1.1'!$B7,#REF!,0),MATCH('Respuestas de formulario 1.1'!CZ$1,#REF!,0)),"")</f>
        <v/>
      </c>
      <c r="DA7" s="45" t="e">
        <f t="array" ref="DA7">INDEX(#REF!,MATCH('Respuestas de formulario 1.1'!$B7,#REF!,0),MATCH('Respuestas de formulario 1.1'!DA$1,#REF!,0))</f>
        <v>#REF!</v>
      </c>
      <c r="DB7" s="45" t="e">
        <f t="array" ref="DB7">INDEX(#REF!,MATCH('Respuestas de formulario 1.1'!$B7,#REF!,0),MATCH('Respuestas de formulario 1.1'!DB$1,#REF!,0))</f>
        <v>#REF!</v>
      </c>
      <c r="DC7" s="45" t="e">
        <f t="array" ref="DC7">INDEX(#REF!,MATCH('Respuestas de formulario 1.1'!$B7,#REF!,0),MATCH('Respuestas de formulario 1.1'!DC$1,#REF!,0))</f>
        <v>#REF!</v>
      </c>
      <c r="DD7" s="45" t="e">
        <f t="array" ref="DD7">INDEX(#REF!,MATCH('Respuestas de formulario 1.1'!$B7,#REF!,0),MATCH('Respuestas de formulario 1.1'!DD$1,#REF!,0))</f>
        <v>#REF!</v>
      </c>
      <c r="DE7" s="45" t="e">
        <f t="array" ref="DE7">INDEX(#REF!,MATCH('Respuestas de formulario 1.1'!$B7,#REF!,0),MATCH('Respuestas de formulario 1.1'!DE$1,#REF!,0))</f>
        <v>#REF!</v>
      </c>
      <c r="DF7" s="45" t="e">
        <f t="array" ref="DF7">INDEX(#REF!,MATCH('Respuestas de formulario 1.1'!$B7,#REF!,0),MATCH('Respuestas de formulario 1.1'!DF$1,#REF!,0))</f>
        <v>#REF!</v>
      </c>
      <c r="DG7" s="45" t="e">
        <f t="array" ref="DG7">INDEX(#REF!,MATCH('Respuestas de formulario 1.1'!$B7,#REF!,0),MATCH('Respuestas de formulario 1.1'!DG$1,#REF!,0))</f>
        <v>#REF!</v>
      </c>
      <c r="DH7" s="45" t="e">
        <f t="array" ref="DH7">INDEX(#REF!,MATCH('Respuestas de formulario 1.1'!$B7,#REF!,0),MATCH('Respuestas de formulario 1.1'!DH$1,#REF!,0))</f>
        <v>#REF!</v>
      </c>
      <c r="DI7" s="48" t="e">
        <f>VLOOKUP(CONCATENATE($DF7," TUTO ",$DC7),#REF!,3,0)</f>
        <v>#REF!</v>
      </c>
      <c r="DJ7" s="48" t="e">
        <f t="array" ref="DJ7">IF('Respuestas de formulario 1.1'!A7="","",INDEX(#REF!,MATCH('Respuestas de formulario 1.1'!B7,#REF!,0),MATCH('Respuestas de formulario 1.1'!$DH$1,#REF!,0)))</f>
        <v>#REF!</v>
      </c>
      <c r="DK7" s="52" t="str">
        <f>CONCATENATE("http://doc.google.com/uc?id=",MID('Respuestas de formulario 1.1'!G7,34,33))</f>
        <v>http://doc.google.com/uc?id=1dnpTjQ0un2XsePCSxmnYfFQglSCh9PBb</v>
      </c>
      <c r="DL7" s="49" t="str">
        <f>CONCATENATE("http://doc.google.com/uc?id=",MID('Respuestas de formulario 1.1'!AH7,34,33))</f>
        <v>http://doc.google.com/uc?id=1DzWDYcGmDm-Y6qjj-rt4LsX43bOzak2R</v>
      </c>
      <c r="DM7" s="50" t="str">
        <f>CONCATENATE("http://doc.google.com/uc?id=",MID('Respuestas de formulario 1.1'!AW7,34,33))</f>
        <v>http://doc.google.com/uc?id=1IWIznNmz-zW6Osh7bIbbkrjzJrpFqwUi</v>
      </c>
      <c r="DN7" s="53" t="str">
        <f>CONCATENATE("http://doc.google.com/uc?id=",MID('Respuestas de formulario 1.1'!$BI7,34,33))</f>
        <v>http://doc.google.com/uc?id=10s84M67du01iIu2a_ZuUEMaFg23qJlgj</v>
      </c>
      <c r="DO7" s="45" t="str">
        <f>IFERROR(VLOOKUP(CONCATENATE('Respuestas de formulario 1.1'!$B7,MID('Respuestas de formulario 1.1'!DO$1,2,1)),#REF!,12,0),"")</f>
        <v/>
      </c>
      <c r="DP7" s="45" t="str">
        <f>IFERROR(VLOOKUP(CONCATENATE('Respuestas de formulario 1.1'!$B7,MID('Respuestas de formulario 1.1'!DP$1,2,1)),#REF!,12,0),"")</f>
        <v/>
      </c>
      <c r="DQ7" s="45" t="str">
        <f>IFERROR(VLOOKUP(CONCATENATE('Respuestas de formulario 1.1'!$B7,MID('Respuestas de formulario 1.1'!DQ$1,2,1)),#REF!,12,0),"")</f>
        <v/>
      </c>
      <c r="DR7" s="45" t="str">
        <f>IFERROR(VLOOKUP(CONCATENATE('Respuestas de formulario 1.1'!$B7,MID('Respuestas de formulario 1.1'!DR$1,2,1)),#REF!,12,0),"")</f>
        <v/>
      </c>
      <c r="DS7" s="45" t="str">
        <f>IFERROR(VLOOKUP(CONCATENATE('Respuestas de formulario 1.1'!$B7,MID('Respuestas de formulario 1.1'!DS$1,2,1)),#REF!,12,0),"")</f>
        <v/>
      </c>
      <c r="DT7" s="45" t="str">
        <f>IFERROR(VLOOKUP(CONCATENATE('Respuestas de formulario 1.1'!$B7,MID('Respuestas de formulario 1.1'!DT$1,2,1)),#REF!,12,0),"")</f>
        <v/>
      </c>
      <c r="DU7" s="45" t="str">
        <f>IFERROR(VLOOKUP(CONCATENATE('Respuestas de formulario 1.1'!$B7,MID('Respuestas de formulario 1.1'!DU$1,2,1)),#REF!,12,0),"")</f>
        <v/>
      </c>
      <c r="DV7" s="45" t="str">
        <f>IFERROR(VLOOKUP(CONCATENATE('Respuestas de formulario 1.1'!$B7,MID('Respuestas de formulario 1.1'!DV$1,2,1)),#REF!,12,0),"")</f>
        <v/>
      </c>
      <c r="DW7" s="45" t="str">
        <f>IFERROR(VLOOKUP(CONCATENATE('Respuestas de formulario 1.1'!$B7,MID('Respuestas de formulario 1.1'!DW$1,2,1)),#REF!,12,0),"")</f>
        <v/>
      </c>
      <c r="DX7" s="45" t="str">
        <f>IFERROR(VLOOKUP(CONCATENATE('Respuestas de formulario 1.1'!$B7,MID('Respuestas de formulario 1.1'!DX$1,2,1)),#REF!,12,0),"")</f>
        <v/>
      </c>
      <c r="DY7" s="45" t="str">
        <f>IFERROR(VLOOKUP(CONCATENATE('Respuestas de formulario 1.1'!$B7,MID('Respuestas de formulario 1.1'!DY$1,2,1)),#REF!,12,0),"")</f>
        <v/>
      </c>
      <c r="DZ7" s="45" t="str">
        <f>IFERROR(VLOOKUP(CONCATENATE('Respuestas de formulario 1.1'!$B7,MID('Respuestas de formulario 1.1'!DZ$1,2,1)),#REF!,12,0),"")</f>
        <v/>
      </c>
      <c r="EA7" s="45" t="str">
        <f>IFERROR(VLOOKUP(CONCATENATE('Respuestas de formulario 1.1'!$B7,MID('Respuestas de formulario 1.1'!EA$1,2,1)),#REF!,12,0),"")</f>
        <v/>
      </c>
      <c r="EB7" s="45" t="str">
        <f>IFERROR(VLOOKUP(CONCATENATE('Respuestas de formulario 1.1'!$B7,MID('Respuestas de formulario 1.1'!EB$1,2,1)),#REF!,12,0),"")</f>
        <v/>
      </c>
      <c r="EC7" s="45" t="str">
        <f>IFERROR(VLOOKUP(CONCATENATE('Respuestas de formulario 1.1'!$B7,MID('Respuestas de formulario 1.1'!EC$1,2,1)),#REF!,12,0),"")</f>
        <v/>
      </c>
      <c r="ED7" s="45" t="str">
        <f>IFERROR(VLOOKUP(CONCATENATE('Respuestas de formulario 1.1'!$B7,MID('Respuestas de formulario 1.1'!ED$1,2,1)),#REF!,12,0),"")</f>
        <v/>
      </c>
      <c r="EE7" s="45" t="str">
        <f>IFERROR(VLOOKUP(CONCATENATE('Respuestas de formulario 1.1'!$B7,MID('Respuestas de formulario 1.1'!EE$1,2,1)),#REF!,12,0),"")</f>
        <v/>
      </c>
      <c r="EF7" s="45" t="str">
        <f>IFERROR(VLOOKUP(CONCATENATE('Respuestas de formulario 1.1'!$B7,MID('Respuestas de formulario 1.1'!EF$1,2,1)),#REF!,12,0),"")</f>
        <v/>
      </c>
      <c r="EG7" s="45" t="str">
        <f>IFERROR(VLOOKUP(CONCATENATE('Respuestas de formulario 1.1'!$B7,MID('Respuestas de formulario 1.1'!EG$1,2,1)),#REF!,12,0),"")</f>
        <v/>
      </c>
      <c r="EH7" s="45" t="str">
        <f>IFERROR(VLOOKUP(CONCATENATE('Respuestas de formulario 1.1'!$B7,MID('Respuestas de formulario 1.1'!EH$1,2,1)),#REF!,12,0),"")</f>
        <v/>
      </c>
      <c r="EI7" s="45" t="str">
        <f>IFERROR(VLOOKUP(CONCATENATE('Respuestas de formulario 1.1'!$B7,MID('Respuestas de formulario 1.1'!EI$1,2,1)),#REF!,12,0),"")</f>
        <v/>
      </c>
      <c r="EJ7" s="45" t="str">
        <f t="array" ref="EJ7">IF(DO7="","", INDEX(#REF!,MATCH(CONCATENATE('Respuestas de formulario 1.1'!$B7,DO7),#REF!,0),MATCH('Respuestas de formulario 1.1'!EJ$1,#REF!,0)))</f>
        <v/>
      </c>
      <c r="EK7" s="56" t="str">
        <f t="array" ref="EK7">IF(DP7="","", INDEX(#REF!,MATCH(CONCATENATE('Respuestas de formulario 1.1'!$B7,DP7),#REF!,0),MATCH('Respuestas de formulario 1.1'!EK$1,#REF!,0)))</f>
        <v/>
      </c>
      <c r="EL7" s="56" t="str">
        <f t="array" ref="EL7">IF(DQ7="","", INDEX(#REF!,MATCH(CONCATENATE('Respuestas de formulario 1.1'!$B7,DQ7),#REF!,0),MATCH('Respuestas de formulario 1.1'!EL$1,#REF!,0)))</f>
        <v/>
      </c>
      <c r="EM7" s="56" t="str">
        <f t="array" ref="EM7">IF(DR7="","", INDEX(#REF!,MATCH(CONCATENATE('Respuestas de formulario 1.1'!$B7,DR7),#REF!,0),MATCH('Respuestas de formulario 1.1'!EM$1,#REF!,0)))</f>
        <v/>
      </c>
      <c r="EN7" s="56" t="str">
        <f t="array" ref="EN7">IF(DS7="","", INDEX(#REF!,MATCH(CONCATENATE('Respuestas de formulario 1.1'!$B7,DS7),#REF!,0),MATCH('Respuestas de formulario 1.1'!EN$1,#REF!,0)))</f>
        <v/>
      </c>
      <c r="EO7" s="56" t="str">
        <f t="array" ref="EO7">IF(DT7="","", INDEX(#REF!,MATCH(CONCATENATE('Respuestas de formulario 1.1'!$B7,DT7),#REF!,0),MATCH('Respuestas de formulario 1.1'!EO$1,#REF!,0)))</f>
        <v/>
      </c>
      <c r="EP7" s="45" t="str">
        <f t="array" ref="EP7">IF(DU7="","", INDEX(#REF!,MATCH(CONCATENATE('Respuestas de formulario 1.1'!$B7,DU7),#REF!,0),MATCH('Respuestas de formulario 1.1'!EP$1,#REF!,0)))</f>
        <v/>
      </c>
      <c r="EQ7" s="45" t="str">
        <f t="array" ref="EQ7">IF(DP7="","", INDEX(#REF!,MATCH(CONCATENATE('Respuestas de formulario 1.1'!$B7,DP7),#REF!,0),MATCH('Respuestas de formulario 1.1'!EQ$1,#REF!,0)))</f>
        <v/>
      </c>
      <c r="ER7" s="56" t="str">
        <f t="array" ref="ER7">IF(DQ7="","", INDEX(#REF!,MATCH(CONCATENATE('Respuestas de formulario 1.1'!$B7,DQ7),#REF!,0),MATCH('Respuestas de formulario 1.1'!ER$1,#REF!,0)))</f>
        <v/>
      </c>
      <c r="ES7" s="56" t="str">
        <f t="array" ref="ES7">IF(DR7="","", INDEX(#REF!,MATCH(CONCATENATE('Respuestas de formulario 1.1'!$B7,DR7),#REF!,0),MATCH('Respuestas de formulario 1.1'!ES$1,#REF!,0)))</f>
        <v/>
      </c>
      <c r="ET7" s="56" t="str">
        <f t="array" ref="ET7">IF(DS7="","", INDEX(#REF!,MATCH(CONCATENATE('Respuestas de formulario 1.1'!$B7,DS7),#REF!,0),MATCH('Respuestas de formulario 1.1'!ET$1,#REF!,0)))</f>
        <v/>
      </c>
      <c r="EU7" s="56" t="str">
        <f t="array" ref="EU7">IF(DT7="","", INDEX(#REF!,MATCH(CONCATENATE('Respuestas de formulario 1.1'!$B7,DT7),#REF!,0),MATCH('Respuestas de formulario 1.1'!EU$1,#REF!,0)))</f>
        <v/>
      </c>
      <c r="EV7" s="56" t="str">
        <f t="array" ref="EV7">IF(DU7="","", INDEX(#REF!,MATCH(CONCATENATE('Respuestas de formulario 1.1'!$B7,DU7),#REF!,0),MATCH('Respuestas de formulario 1.1'!EV$1,#REF!,0)))</f>
        <v/>
      </c>
      <c r="EW7" s="45" t="str">
        <f t="array" ref="EW7">IF(DV7="","", INDEX(#REF!,MATCH(CONCATENATE('Respuestas de formulario 1.1'!$B7,DV7),#REF!,0),MATCH('Respuestas de formulario 1.1'!EW$1,#REF!,0)))</f>
        <v/>
      </c>
      <c r="EX7" s="45" t="str">
        <f t="array" ref="EX7">IF($DQ7="","", INDEX(#REF!,MATCH(CONCATENATE('Respuestas de formulario 1.1'!$B7,$DQ7),#REF!,0),MATCH('Respuestas de formulario 1.1'!EX$1,#REF!,0)))</f>
        <v/>
      </c>
      <c r="EY7" s="56" t="str">
        <f t="array" ref="EY7">IF($DQ7="","", INDEX(#REF!,MATCH(CONCATENATE('Respuestas de formulario 1.1'!$B7,$DQ7),#REF!,0),MATCH('Respuestas de formulario 1.1'!EY$1,#REF!,0)))</f>
        <v/>
      </c>
      <c r="EZ7" s="56" t="str">
        <f t="array" ref="EZ7">IF($DQ7="","", INDEX(#REF!,MATCH(CONCATENATE('Respuestas de formulario 1.1'!$B7,$DQ7),#REF!,0),MATCH('Respuestas de formulario 1.1'!EZ$1,#REF!,0)))</f>
        <v/>
      </c>
      <c r="FA7" s="56" t="str">
        <f t="array" ref="FA7">IF($DQ7="","", INDEX(#REF!,MATCH(CONCATENATE('Respuestas de formulario 1.1'!$B7,$DQ7),#REF!,0),MATCH('Respuestas de formulario 1.1'!FA$1,#REF!,0)))</f>
        <v/>
      </c>
      <c r="FB7" s="56" t="str">
        <f t="array" ref="FB7">IF($DQ7="","", INDEX(#REF!,MATCH(CONCATENATE('Respuestas de formulario 1.1'!$B7,$DQ7),#REF!,0),MATCH('Respuestas de formulario 1.1'!FB$1,#REF!,0)))</f>
        <v/>
      </c>
      <c r="FC7" s="56" t="str">
        <f t="array" ref="FC7">IF($DQ7="","", INDEX(#REF!,MATCH(CONCATENATE('Respuestas de formulario 1.1'!$B7,$DQ7),#REF!,0),MATCH('Respuestas de formulario 1.1'!FC$1,#REF!,0)))</f>
        <v/>
      </c>
      <c r="FD7" s="45" t="str">
        <f t="array" ref="FD7">IF($DQ7="","", INDEX(#REF!,MATCH(CONCATENATE('Respuestas de formulario 1.1'!$B7,$DQ7),#REF!,0),MATCH('Respuestas de formulario 1.1'!FD$1,#REF!,0)))</f>
        <v/>
      </c>
      <c r="FE7" s="45" t="str">
        <f t="array" ref="FE7">IF($DR7="","", INDEX(#REF!,MATCH(CONCATENATE(#REF!,$DR7),#REF!,0),MATCH(#REF!,#REF!,0)))</f>
        <v/>
      </c>
      <c r="FF7" s="56" t="str">
        <f t="array" ref="FF7">IF($DR7="","", INDEX(#REF!,MATCH(CONCATENATE(#REF!,$DR7),#REF!,0),MATCH(#REF!,#REF!,0)))</f>
        <v/>
      </c>
      <c r="FG7" s="56" t="str">
        <f t="array" ref="FG7">IF($DR7="","", INDEX(#REF!,MATCH(CONCATENATE(#REF!,$DR7),#REF!,0),MATCH(#REF!,#REF!,0)))</f>
        <v/>
      </c>
      <c r="FH7" s="56" t="str">
        <f t="array" ref="FH7">IF($DR7="","", INDEX(#REF!,MATCH(CONCATENATE(#REF!,$DR7),#REF!,0),MATCH(#REF!,#REF!,0)))</f>
        <v/>
      </c>
      <c r="FI7" s="56" t="str">
        <f t="array" ref="FI7">IF($DR7="","", INDEX(#REF!,MATCH(CONCATENATE(#REF!,$DR7),#REF!,0),MATCH(#REF!,#REF!,0)))</f>
        <v/>
      </c>
      <c r="FJ7" s="56" t="str">
        <f t="array" ref="FJ7">IF($DR7="","", INDEX(#REF!,MATCH(CONCATENATE(#REF!,$DR7),#REF!,0),MATCH(#REF!,#REF!,0)))</f>
        <v/>
      </c>
      <c r="FK7" s="45" t="str">
        <f t="array" ref="FK7">IF($DR7="","", INDEX(#REF!,MATCH(CONCATENATE(#REF!,$DR7),#REF!,0),MATCH(#REF!,#REF!,0)))</f>
        <v/>
      </c>
      <c r="FL7" s="45" t="str">
        <f t="array" ref="FL7">IF($DT7="","", INDEX(#REF!,MATCH(CONCATENATE('Respuestas de formulario 1.1'!$B7,$DS7),#REF!,0),MATCH('Respuestas de formulario 1.1'!FL$1,#REF!,0)))</f>
        <v/>
      </c>
      <c r="FM7" s="56" t="str">
        <f t="array" ref="FM7">IF($DT7="","", INDEX(#REF!,MATCH(CONCATENATE('Respuestas de formulario 1.1'!$B7,$DS7),#REF!,0),MATCH('Respuestas de formulario 1.1'!FM$1,#REF!,0)))</f>
        <v/>
      </c>
      <c r="FN7" s="56" t="str">
        <f t="array" ref="FN7">IF($DT7="","", INDEX(#REF!,MATCH(CONCATENATE('Respuestas de formulario 1.1'!$B7,$DS7),#REF!,0),MATCH('Respuestas de formulario 1.1'!FN$1,#REF!,0)))</f>
        <v/>
      </c>
      <c r="FO7" s="56" t="str">
        <f t="array" ref="FO7">IF($DT7="","", INDEX(#REF!,MATCH(CONCATENATE('Respuestas de formulario 1.1'!$B7,$DS7),#REF!,0),MATCH('Respuestas de formulario 1.1'!FO$1,#REF!,0)))</f>
        <v/>
      </c>
      <c r="FP7" s="56" t="str">
        <f t="array" ref="FP7">IF($DT7="","", INDEX(#REF!,MATCH(CONCATENATE('Respuestas de formulario 1.1'!$B7,$DS7),#REF!,0),MATCH('Respuestas de formulario 1.1'!FP$1,#REF!,0)))</f>
        <v/>
      </c>
      <c r="FQ7" s="56" t="str">
        <f t="array" ref="FQ7">IF($DT7="","", INDEX(#REF!,MATCH(CONCATENATE('Respuestas de formulario 1.1'!$B7,$DS7),#REF!,0),MATCH('Respuestas de formulario 1.1'!FQ$1,#REF!,0)))</f>
        <v/>
      </c>
      <c r="FR7" s="45" t="str">
        <f t="array" ref="FR7">IF($DT7="","", INDEX(#REF!,MATCH(CONCATENATE('Respuestas de formulario 1.1'!$B7,$DS7),#REF!,0),MATCH('Respuestas de formulario 1.1'!FR$1,#REF!,0)))</f>
        <v/>
      </c>
      <c r="FS7" s="45" t="str">
        <f t="array" ref="FS7">IF($DU7="","", INDEX(#REF!,MATCH(CONCATENATE('Respuestas de formulario 1.1'!$B7,$DT7),#REF!,0),MATCH('Respuestas de formulario 1.1'!FS$1,#REF!,0)))</f>
        <v/>
      </c>
      <c r="FT7" s="56" t="str">
        <f t="array" ref="FT7">IF($DU7="","", INDEX(#REF!,MATCH(CONCATENATE('Respuestas de formulario 1.1'!$B7,$DT7),#REF!,0),MATCH('Respuestas de formulario 1.1'!FT$1,#REF!,0)))</f>
        <v/>
      </c>
      <c r="FU7" s="56" t="str">
        <f t="array" ref="FU7">IF($DU7="","", INDEX(#REF!,MATCH(CONCATENATE('Respuestas de formulario 1.1'!$B7,$DT7),#REF!,0),MATCH('Respuestas de formulario 1.1'!FU$1,#REF!,0)))</f>
        <v/>
      </c>
      <c r="FV7" s="56" t="str">
        <f t="array" ref="FV7">IF($DU7="","", INDEX(#REF!,MATCH(CONCATENATE('Respuestas de formulario 1.1'!$B7,$DT7),#REF!,0),MATCH('Respuestas de formulario 1.1'!FV$1,#REF!,0)))</f>
        <v/>
      </c>
      <c r="FW7" s="56" t="str">
        <f t="array" ref="FW7">IF($DU7="","", INDEX(#REF!,MATCH(CONCATENATE('Respuestas de formulario 1.1'!$B7,$DT7),#REF!,0),MATCH('Respuestas de formulario 1.1'!FW$1,#REF!,0)))</f>
        <v/>
      </c>
      <c r="FX7" s="56" t="str">
        <f t="array" ref="FX7">IF($DU7="","", INDEX(#REF!,MATCH(CONCATENATE('Respuestas de formulario 1.1'!$B7,$DT7),#REF!,0),MATCH('Respuestas de formulario 1.1'!FX$1,#REF!,0)))</f>
        <v/>
      </c>
      <c r="FY7" s="45" t="str">
        <f t="array" ref="FY7">IF($DU7="","", INDEX(#REF!,MATCH(CONCATENATE('Respuestas de formulario 1.1'!$B7,$DT7),#REF!,0),MATCH('Respuestas de formulario 1.1'!FY$1,#REF!,0)))</f>
        <v/>
      </c>
      <c r="FZ7" s="3" t="s">
        <v>2860</v>
      </c>
      <c r="GA7" s="1" t="s">
        <v>2924</v>
      </c>
      <c r="GB7" s="5" t="s">
        <v>2925</v>
      </c>
      <c r="GC7" s="4" t="str">
        <f>HYPERLINK("https://drive.google.com/file/d/1cu5bqT8RmVd4c3loZDgP_IbAUqxmwmIK/view?usp=drivesdk","MELO CASTRO MARIALUISA MELANY Formato de reinscripción y pago 2022-2")</f>
        <v>MELO CASTRO MARIALUISA MELANY Formato de reinscripción y pago 2022-2</v>
      </c>
      <c r="GD7" s="1" t="s">
        <v>2926</v>
      </c>
      <c r="GE7" s="1"/>
      <c r="GF7" s="1"/>
      <c r="GG7" s="1"/>
      <c r="GH7" s="1"/>
      <c r="GI7" s="1" t="s">
        <v>2927</v>
      </c>
      <c r="GJ7" s="5" t="s">
        <v>2928</v>
      </c>
      <c r="GK7" s="5" t="str">
        <f>HYPERLINK("https://drive.google.com/file/d/1dIqBmK2vIH9U9g5Yd7fkEYraYSWGChQY/view?usp=drivesdk","MELO CASTRO MARIALUISA MELANY Formato de reinscripción y pago 2022-2")</f>
        <v>MELO CASTRO MARIALUISA MELANY Formato de reinscripción y pago 2022-2</v>
      </c>
      <c r="GL7" s="1" t="s">
        <v>2929</v>
      </c>
    </row>
    <row r="8" spans="1:194" ht="15.75" customHeight="1" x14ac:dyDescent="0.2">
      <c r="A8" s="2">
        <v>45139.708160219903</v>
      </c>
      <c r="B8" s="1" t="s">
        <v>1788</v>
      </c>
      <c r="C8" s="1" t="s">
        <v>1221</v>
      </c>
      <c r="D8" s="1" t="s">
        <v>308</v>
      </c>
      <c r="E8" s="1" t="s">
        <v>2930</v>
      </c>
      <c r="F8" s="1" t="s">
        <v>223</v>
      </c>
      <c r="G8" s="5" t="s">
        <v>2931</v>
      </c>
      <c r="H8" s="41">
        <v>38672</v>
      </c>
      <c r="I8" s="1">
        <v>17</v>
      </c>
      <c r="J8" s="1">
        <v>5610626507</v>
      </c>
      <c r="K8" s="1">
        <v>5610626507</v>
      </c>
      <c r="L8" s="1" t="s">
        <v>1789</v>
      </c>
      <c r="M8" s="1">
        <v>22309060570798</v>
      </c>
      <c r="N8" s="1" t="s">
        <v>562</v>
      </c>
      <c r="O8" s="1" t="s">
        <v>225</v>
      </c>
      <c r="P8" s="1" t="s">
        <v>278</v>
      </c>
      <c r="Q8" s="1" t="s">
        <v>248</v>
      </c>
      <c r="R8" s="1" t="s">
        <v>236</v>
      </c>
      <c r="S8" s="1" t="s">
        <v>228</v>
      </c>
      <c r="T8" s="1" t="s">
        <v>411</v>
      </c>
      <c r="U8" s="1" t="s">
        <v>249</v>
      </c>
      <c r="V8" s="1" t="s">
        <v>228</v>
      </c>
      <c r="W8" s="1" t="s">
        <v>2932</v>
      </c>
      <c r="X8" s="1" t="s">
        <v>249</v>
      </c>
      <c r="Y8" s="1" t="s">
        <v>584</v>
      </c>
      <c r="Z8" s="1" t="s">
        <v>240</v>
      </c>
      <c r="AA8" s="44" t="s">
        <v>548</v>
      </c>
      <c r="AB8" s="1">
        <v>13</v>
      </c>
      <c r="AC8" s="1">
        <v>5</v>
      </c>
      <c r="AD8" s="1" t="s">
        <v>2933</v>
      </c>
      <c r="AE8" s="1" t="s">
        <v>2934</v>
      </c>
      <c r="AF8" s="1" t="s">
        <v>461</v>
      </c>
      <c r="AG8" s="1">
        <v>38</v>
      </c>
      <c r="AH8" s="5" t="s">
        <v>2935</v>
      </c>
      <c r="AI8" s="1">
        <v>5521039271</v>
      </c>
      <c r="AJ8" s="1">
        <v>5521039271</v>
      </c>
      <c r="AK8" s="1" t="s">
        <v>2936</v>
      </c>
      <c r="AL8" s="1" t="s">
        <v>1221</v>
      </c>
      <c r="AM8" s="1" t="s">
        <v>2373</v>
      </c>
      <c r="AN8" s="1" t="s">
        <v>2321</v>
      </c>
      <c r="AO8" s="1" t="s">
        <v>435</v>
      </c>
      <c r="AP8" s="1">
        <v>43</v>
      </c>
      <c r="AQ8" s="1" t="s">
        <v>1650</v>
      </c>
      <c r="AR8" s="42">
        <v>0.33333333333575865</v>
      </c>
      <c r="AS8" s="42">
        <v>0.79166666666424135</v>
      </c>
      <c r="AT8" s="1">
        <v>5635738310</v>
      </c>
      <c r="AU8" s="1">
        <v>5635738310</v>
      </c>
      <c r="AV8" s="1" t="s">
        <v>2937</v>
      </c>
      <c r="AW8" s="5" t="s">
        <v>2938</v>
      </c>
      <c r="AX8" s="1" t="s">
        <v>2939</v>
      </c>
      <c r="AY8" s="1" t="s">
        <v>245</v>
      </c>
      <c r="AZ8" s="1" t="s">
        <v>2940</v>
      </c>
      <c r="BA8" s="1" t="s">
        <v>403</v>
      </c>
      <c r="BB8" s="1">
        <v>22</v>
      </c>
      <c r="BC8" s="1" t="s">
        <v>1650</v>
      </c>
      <c r="BD8" s="43">
        <v>0.29166666666424135</v>
      </c>
      <c r="BE8" s="43">
        <v>0.72916666666424135</v>
      </c>
      <c r="BF8" s="1">
        <v>5611906526</v>
      </c>
      <c r="BG8" s="1">
        <v>5611906526</v>
      </c>
      <c r="BH8" s="1" t="s">
        <v>2941</v>
      </c>
      <c r="BI8" s="5" t="s">
        <v>2942</v>
      </c>
      <c r="BJ8" s="1" t="s">
        <v>236</v>
      </c>
      <c r="BL8" s="1">
        <v>158</v>
      </c>
      <c r="BM8" s="1">
        <v>56</v>
      </c>
      <c r="BN8" s="1" t="s">
        <v>236</v>
      </c>
      <c r="BO8" s="1" t="s">
        <v>228</v>
      </c>
      <c r="BQ8" s="1" t="s">
        <v>228</v>
      </c>
      <c r="BR8" s="1" t="s">
        <v>237</v>
      </c>
      <c r="BS8" s="1" t="s">
        <v>228</v>
      </c>
      <c r="BT8" s="1" t="s">
        <v>237</v>
      </c>
      <c r="BU8" s="1" t="s">
        <v>228</v>
      </c>
      <c r="BW8" s="1" t="s">
        <v>272</v>
      </c>
      <c r="BX8" s="1">
        <v>60</v>
      </c>
      <c r="BY8" s="1">
        <v>70</v>
      </c>
      <c r="BZ8" s="1" t="s">
        <v>253</v>
      </c>
      <c r="CA8" s="1" t="s">
        <v>2943</v>
      </c>
      <c r="CB8" s="1" t="s">
        <v>240</v>
      </c>
      <c r="CC8" s="1" t="s">
        <v>300</v>
      </c>
      <c r="CD8" s="1">
        <v>3000</v>
      </c>
      <c r="CE8" s="1">
        <v>2000</v>
      </c>
      <c r="CF8" s="1" t="s">
        <v>236</v>
      </c>
      <c r="CG8" s="1" t="s">
        <v>242</v>
      </c>
      <c r="CH8" s="1" t="s">
        <v>243</v>
      </c>
      <c r="CI8" s="1" t="s">
        <v>243</v>
      </c>
      <c r="CJ8" s="1" t="s">
        <v>2848</v>
      </c>
      <c r="CL8" s="5" t="s">
        <v>2944</v>
      </c>
      <c r="CM8" s="1">
        <v>11200513510</v>
      </c>
      <c r="CN8" s="1" t="s">
        <v>228</v>
      </c>
      <c r="CQ8" s="42">
        <v>0.33333333333575865</v>
      </c>
      <c r="CR8" s="42">
        <v>0.79166666666424135</v>
      </c>
      <c r="CT8" s="45" t="str">
        <f t="array" ref="CT8">IFERROR(INDEX(#REF!,MATCH('Respuestas de formulario 1.1'!$B8,#REF!,0),MATCH('Respuestas de formulario 1.1'!CT$1,#REF!,0)),"")</f>
        <v/>
      </c>
      <c r="CU8" s="56" t="str">
        <f t="array" ref="CU8">IFERROR(INDEX(#REF!,MATCH('Respuestas de formulario 1.1'!$B8,#REF!,0),MATCH('Respuestas de formulario 1.1'!CU$1,#REF!,0)),"")</f>
        <v/>
      </c>
      <c r="CV8" s="56" t="str">
        <f t="array" ref="CV8">IFERROR(INDEX(#REF!,MATCH('Respuestas de formulario 1.1'!$B8,#REF!,0),MATCH('Respuestas de formulario 1.1'!CV$1,#REF!,0)),"")</f>
        <v/>
      </c>
      <c r="CW8" s="56" t="str">
        <f t="array" ref="CW8">IFERROR(INDEX(#REF!,MATCH('Respuestas de formulario 1.1'!$B8,#REF!,0),MATCH('Respuestas de formulario 1.1'!CW$1,#REF!,0)),"")</f>
        <v/>
      </c>
      <c r="CX8" s="56" t="str">
        <f t="array" ref="CX8">IFERROR(INDEX(#REF!,MATCH('Respuestas de formulario 1.1'!$B8,#REF!,0),MATCH('Respuestas de formulario 1.1'!CX$1,#REF!,0)),"")</f>
        <v/>
      </c>
      <c r="CY8" s="56" t="str">
        <f t="array" ref="CY8">IFERROR(INDEX(#REF!,MATCH('Respuestas de formulario 1.1'!$B8,#REF!,0),MATCH('Respuestas de formulario 1.1'!CY$1,#REF!,0)),"")</f>
        <v/>
      </c>
      <c r="CZ8" s="57" t="str">
        <f t="array" ref="CZ8">IFERROR(INDEX(#REF!,MATCH('Respuestas de formulario 1.1'!$B8,#REF!,0),MATCH('Respuestas de formulario 1.1'!CZ$1,#REF!,0)),"")</f>
        <v/>
      </c>
      <c r="DA8" s="45" t="e">
        <f t="array" ref="DA8">INDEX(#REF!,MATCH('Respuestas de formulario 1.1'!$B8,#REF!,0),MATCH('Respuestas de formulario 1.1'!DA$1,#REF!,0))</f>
        <v>#REF!</v>
      </c>
      <c r="DB8" s="45" t="e">
        <f t="array" ref="DB8">INDEX(#REF!,MATCH('Respuestas de formulario 1.1'!$B8,#REF!,0),MATCH('Respuestas de formulario 1.1'!DB$1,#REF!,0))</f>
        <v>#REF!</v>
      </c>
      <c r="DC8" s="45" t="e">
        <f t="array" ref="DC8">INDEX(#REF!,MATCH('Respuestas de formulario 1.1'!$B8,#REF!,0),MATCH('Respuestas de formulario 1.1'!DC$1,#REF!,0))</f>
        <v>#REF!</v>
      </c>
      <c r="DD8" s="45" t="e">
        <f t="array" ref="DD8">INDEX(#REF!,MATCH('Respuestas de formulario 1.1'!$B8,#REF!,0),MATCH('Respuestas de formulario 1.1'!DD$1,#REF!,0))</f>
        <v>#REF!</v>
      </c>
      <c r="DE8" s="45" t="e">
        <f t="array" ref="DE8">INDEX(#REF!,MATCH('Respuestas de formulario 1.1'!$B8,#REF!,0),MATCH('Respuestas de formulario 1.1'!DE$1,#REF!,0))</f>
        <v>#REF!</v>
      </c>
      <c r="DF8" s="45" t="e">
        <f t="array" ref="DF8">INDEX(#REF!,MATCH('Respuestas de formulario 1.1'!$B8,#REF!,0),MATCH('Respuestas de formulario 1.1'!DF$1,#REF!,0))</f>
        <v>#REF!</v>
      </c>
      <c r="DG8" s="45" t="e">
        <f t="array" ref="DG8">INDEX(#REF!,MATCH('Respuestas de formulario 1.1'!$B8,#REF!,0),MATCH('Respuestas de formulario 1.1'!DG$1,#REF!,0))</f>
        <v>#REF!</v>
      </c>
      <c r="DH8" s="45" t="e">
        <f t="array" ref="DH8">INDEX(#REF!,MATCH('Respuestas de formulario 1.1'!$B8,#REF!,0),MATCH('Respuestas de formulario 1.1'!DH$1,#REF!,0))</f>
        <v>#REF!</v>
      </c>
      <c r="DI8" s="48" t="e">
        <f>VLOOKUP(CONCATENATE($DF8," TUTO ",$DC8),#REF!,3,0)</f>
        <v>#REF!</v>
      </c>
      <c r="DJ8" s="48" t="e">
        <f t="array" ref="DJ8">IF('Respuestas de formulario 1.1'!A8="","",INDEX(#REF!,MATCH('Respuestas de formulario 1.1'!B8,#REF!,0),MATCH('Respuestas de formulario 1.1'!$DH$1,#REF!,0)))</f>
        <v>#REF!</v>
      </c>
      <c r="DK8" s="52" t="str">
        <f>CONCATENATE("http://doc.google.com/uc?id=",MID('Respuestas de formulario 1.1'!G8,34,33))</f>
        <v>http://doc.google.com/uc?id=1v8mCDEvvSESPC4daSvQ6CSuIoxIZNGba</v>
      </c>
      <c r="DL8" s="49" t="str">
        <f>CONCATENATE("http://doc.google.com/uc?id=",MID('Respuestas de formulario 1.1'!AH8,34,33))</f>
        <v>http://doc.google.com/uc?id=1kl3NvOqtd6zFs7B_bM_i8k1CteCI52Oc</v>
      </c>
      <c r="DM8" s="50" t="str">
        <f>CONCATENATE("http://doc.google.com/uc?id=",MID('Respuestas de formulario 1.1'!AW8,34,33))</f>
        <v>http://doc.google.com/uc?id=13BJ7NUda1IlARICEGjQ7wZqpocBcoUaN</v>
      </c>
      <c r="DN8" s="53" t="str">
        <f>CONCATENATE("http://doc.google.com/uc?id=",MID('Respuestas de formulario 1.1'!$BI8,34,33))</f>
        <v>http://doc.google.com/uc?id=1cU1CI8XuMZWEWHsJrFY4sCSd_ofwaRUw</v>
      </c>
      <c r="DO8" s="45" t="str">
        <f>IFERROR(VLOOKUP(CONCATENATE('Respuestas de formulario 1.1'!$B8,MID('Respuestas de formulario 1.1'!DO$1,2,1)),#REF!,12,0),"")</f>
        <v/>
      </c>
      <c r="DP8" s="45" t="str">
        <f>IFERROR(VLOOKUP(CONCATENATE('Respuestas de formulario 1.1'!$B8,MID('Respuestas de formulario 1.1'!DP$1,2,1)),#REF!,12,0),"")</f>
        <v/>
      </c>
      <c r="DQ8" s="45" t="str">
        <f>IFERROR(VLOOKUP(CONCATENATE('Respuestas de formulario 1.1'!$B8,MID('Respuestas de formulario 1.1'!DQ$1,2,1)),#REF!,12,0),"")</f>
        <v/>
      </c>
      <c r="DR8" s="45" t="str">
        <f>IFERROR(VLOOKUP(CONCATENATE('Respuestas de formulario 1.1'!$B8,MID('Respuestas de formulario 1.1'!DR$1,2,1)),#REF!,12,0),"")</f>
        <v/>
      </c>
      <c r="DS8" s="45" t="str">
        <f>IFERROR(VLOOKUP(CONCATENATE('Respuestas de formulario 1.1'!$B8,MID('Respuestas de formulario 1.1'!DS$1,2,1)),#REF!,12,0),"")</f>
        <v/>
      </c>
      <c r="DT8" s="45" t="str">
        <f>IFERROR(VLOOKUP(CONCATENATE('Respuestas de formulario 1.1'!$B8,MID('Respuestas de formulario 1.1'!DT$1,2,1)),#REF!,12,0),"")</f>
        <v/>
      </c>
      <c r="DU8" s="45" t="str">
        <f>IFERROR(VLOOKUP(CONCATENATE('Respuestas de formulario 1.1'!$B8,MID('Respuestas de formulario 1.1'!DU$1,2,1)),#REF!,12,0),"")</f>
        <v/>
      </c>
      <c r="DV8" s="45" t="str">
        <f>IFERROR(VLOOKUP(CONCATENATE('Respuestas de formulario 1.1'!$B8,MID('Respuestas de formulario 1.1'!DV$1,2,1)),#REF!,12,0),"")</f>
        <v/>
      </c>
      <c r="DW8" s="45" t="str">
        <f>IFERROR(VLOOKUP(CONCATENATE('Respuestas de formulario 1.1'!$B8,MID('Respuestas de formulario 1.1'!DW$1,2,1)),#REF!,12,0),"")</f>
        <v/>
      </c>
      <c r="DX8" s="45" t="str">
        <f>IFERROR(VLOOKUP(CONCATENATE('Respuestas de formulario 1.1'!$B8,MID('Respuestas de formulario 1.1'!DX$1,2,1)),#REF!,12,0),"")</f>
        <v/>
      </c>
      <c r="DY8" s="45" t="str">
        <f>IFERROR(VLOOKUP(CONCATENATE('Respuestas de formulario 1.1'!$B8,MID('Respuestas de formulario 1.1'!DY$1,2,1)),#REF!,12,0),"")</f>
        <v/>
      </c>
      <c r="DZ8" s="45" t="str">
        <f>IFERROR(VLOOKUP(CONCATENATE('Respuestas de formulario 1.1'!$B8,MID('Respuestas de formulario 1.1'!DZ$1,2,1)),#REF!,12,0),"")</f>
        <v/>
      </c>
      <c r="EA8" s="45" t="str">
        <f>IFERROR(VLOOKUP(CONCATENATE('Respuestas de formulario 1.1'!$B8,MID('Respuestas de formulario 1.1'!EA$1,2,1)),#REF!,12,0),"")</f>
        <v/>
      </c>
      <c r="EB8" s="45" t="str">
        <f>IFERROR(VLOOKUP(CONCATENATE('Respuestas de formulario 1.1'!$B8,MID('Respuestas de formulario 1.1'!EB$1,2,1)),#REF!,12,0),"")</f>
        <v/>
      </c>
      <c r="EC8" s="45" t="str">
        <f>IFERROR(VLOOKUP(CONCATENATE('Respuestas de formulario 1.1'!$B8,MID('Respuestas de formulario 1.1'!EC$1,2,1)),#REF!,12,0),"")</f>
        <v/>
      </c>
      <c r="ED8" s="45" t="str">
        <f>IFERROR(VLOOKUP(CONCATENATE('Respuestas de formulario 1.1'!$B8,MID('Respuestas de formulario 1.1'!ED$1,2,1)),#REF!,12,0),"")</f>
        <v/>
      </c>
      <c r="EE8" s="45" t="str">
        <f>IFERROR(VLOOKUP(CONCATENATE('Respuestas de formulario 1.1'!$B8,MID('Respuestas de formulario 1.1'!EE$1,2,1)),#REF!,12,0),"")</f>
        <v/>
      </c>
      <c r="EF8" s="45" t="str">
        <f>IFERROR(VLOOKUP(CONCATENATE('Respuestas de formulario 1.1'!$B8,MID('Respuestas de formulario 1.1'!EF$1,2,1)),#REF!,12,0),"")</f>
        <v/>
      </c>
      <c r="EG8" s="45" t="str">
        <f>IFERROR(VLOOKUP(CONCATENATE('Respuestas de formulario 1.1'!$B8,MID('Respuestas de formulario 1.1'!EG$1,2,1)),#REF!,12,0),"")</f>
        <v/>
      </c>
      <c r="EH8" s="45" t="str">
        <f>IFERROR(VLOOKUP(CONCATENATE('Respuestas de formulario 1.1'!$B8,MID('Respuestas de formulario 1.1'!EH$1,2,1)),#REF!,12,0),"")</f>
        <v/>
      </c>
      <c r="EI8" s="45" t="str">
        <f>IFERROR(VLOOKUP(CONCATENATE('Respuestas de formulario 1.1'!$B8,MID('Respuestas de formulario 1.1'!EI$1,2,1)),#REF!,12,0),"")</f>
        <v/>
      </c>
      <c r="EJ8" s="45" t="str">
        <f t="array" ref="EJ8">IF(DO8="","", INDEX(#REF!,MATCH(CONCATENATE('Respuestas de formulario 1.1'!$B8,DO8),#REF!,0),MATCH('Respuestas de formulario 1.1'!EJ$1,#REF!,0)))</f>
        <v/>
      </c>
      <c r="EK8" s="56" t="str">
        <f t="array" ref="EK8">IF(DP8="","", INDEX(#REF!,MATCH(CONCATENATE('Respuestas de formulario 1.1'!$B8,DP8),#REF!,0),MATCH('Respuestas de formulario 1.1'!EK$1,#REF!,0)))</f>
        <v/>
      </c>
      <c r="EL8" s="56" t="str">
        <f t="array" ref="EL8">IF(DQ8="","", INDEX(#REF!,MATCH(CONCATENATE('Respuestas de formulario 1.1'!$B8,DQ8),#REF!,0),MATCH('Respuestas de formulario 1.1'!EL$1,#REF!,0)))</f>
        <v/>
      </c>
      <c r="EM8" s="56" t="str">
        <f t="array" ref="EM8">IF(DR8="","", INDEX(#REF!,MATCH(CONCATENATE('Respuestas de formulario 1.1'!$B8,DR8),#REF!,0),MATCH('Respuestas de formulario 1.1'!EM$1,#REF!,0)))</f>
        <v/>
      </c>
      <c r="EN8" s="56" t="str">
        <f t="array" ref="EN8">IF(DS8="","", INDEX(#REF!,MATCH(CONCATENATE('Respuestas de formulario 1.1'!$B8,DS8),#REF!,0),MATCH('Respuestas de formulario 1.1'!EN$1,#REF!,0)))</f>
        <v/>
      </c>
      <c r="EO8" s="56" t="str">
        <f t="array" ref="EO8">IF(DT8="","", INDEX(#REF!,MATCH(CONCATENATE('Respuestas de formulario 1.1'!$B8,DT8),#REF!,0),MATCH('Respuestas de formulario 1.1'!EO$1,#REF!,0)))</f>
        <v/>
      </c>
      <c r="EP8" s="45" t="str">
        <f t="array" ref="EP8">IF(DU8="","", INDEX(#REF!,MATCH(CONCATENATE('Respuestas de formulario 1.1'!$B8,DU8),#REF!,0),MATCH('Respuestas de formulario 1.1'!EP$1,#REF!,0)))</f>
        <v/>
      </c>
      <c r="EQ8" s="45" t="str">
        <f t="array" ref="EQ8">IF(DP8="","", INDEX(#REF!,MATCH(CONCATENATE('Respuestas de formulario 1.1'!$B8,DP8),#REF!,0),MATCH('Respuestas de formulario 1.1'!EQ$1,#REF!,0)))</f>
        <v/>
      </c>
      <c r="ER8" s="56" t="str">
        <f t="array" ref="ER8">IF(DQ8="","", INDEX(#REF!,MATCH(CONCATENATE('Respuestas de formulario 1.1'!$B8,DQ8),#REF!,0),MATCH('Respuestas de formulario 1.1'!ER$1,#REF!,0)))</f>
        <v/>
      </c>
      <c r="ES8" s="56" t="str">
        <f t="array" ref="ES8">IF(DR8="","", INDEX(#REF!,MATCH(CONCATENATE('Respuestas de formulario 1.1'!$B8,DR8),#REF!,0),MATCH('Respuestas de formulario 1.1'!ES$1,#REF!,0)))</f>
        <v/>
      </c>
      <c r="ET8" s="56" t="str">
        <f t="array" ref="ET8">IF(DS8="","", INDEX(#REF!,MATCH(CONCATENATE('Respuestas de formulario 1.1'!$B8,DS8),#REF!,0),MATCH('Respuestas de formulario 1.1'!ET$1,#REF!,0)))</f>
        <v/>
      </c>
      <c r="EU8" s="56" t="str">
        <f t="array" ref="EU8">IF(DT8="","", INDEX(#REF!,MATCH(CONCATENATE('Respuestas de formulario 1.1'!$B8,DT8),#REF!,0),MATCH('Respuestas de formulario 1.1'!EU$1,#REF!,0)))</f>
        <v/>
      </c>
      <c r="EV8" s="56" t="str">
        <f t="array" ref="EV8">IF(DU8="","", INDEX(#REF!,MATCH(CONCATENATE('Respuestas de formulario 1.1'!$B8,DU8),#REF!,0),MATCH('Respuestas de formulario 1.1'!EV$1,#REF!,0)))</f>
        <v/>
      </c>
      <c r="EW8" s="45" t="str">
        <f t="array" ref="EW8">IF(DV8="","", INDEX(#REF!,MATCH(CONCATENATE('Respuestas de formulario 1.1'!$B8,DV8),#REF!,0),MATCH('Respuestas de formulario 1.1'!EW$1,#REF!,0)))</f>
        <v/>
      </c>
      <c r="EX8" s="45" t="str">
        <f t="array" ref="EX8">IF($DQ8="","", INDEX(#REF!,MATCH(CONCATENATE('Respuestas de formulario 1.1'!$B8,$DQ8),#REF!,0),MATCH('Respuestas de formulario 1.1'!EX$1,#REF!,0)))</f>
        <v/>
      </c>
      <c r="EY8" s="56" t="str">
        <f t="array" ref="EY8">IF($DQ8="","", INDEX(#REF!,MATCH(CONCATENATE('Respuestas de formulario 1.1'!$B8,$DQ8),#REF!,0),MATCH('Respuestas de formulario 1.1'!EY$1,#REF!,0)))</f>
        <v/>
      </c>
      <c r="EZ8" s="56" t="str">
        <f t="array" ref="EZ8">IF($DQ8="","", INDEX(#REF!,MATCH(CONCATENATE('Respuestas de formulario 1.1'!$B8,$DQ8),#REF!,0),MATCH('Respuestas de formulario 1.1'!EZ$1,#REF!,0)))</f>
        <v/>
      </c>
      <c r="FA8" s="56" t="str">
        <f t="array" ref="FA8">IF($DQ8="","", INDEX(#REF!,MATCH(CONCATENATE('Respuestas de formulario 1.1'!$B8,$DQ8),#REF!,0),MATCH('Respuestas de formulario 1.1'!FA$1,#REF!,0)))</f>
        <v/>
      </c>
      <c r="FB8" s="56" t="str">
        <f t="array" ref="FB8">IF($DQ8="","", INDEX(#REF!,MATCH(CONCATENATE('Respuestas de formulario 1.1'!$B8,$DQ8),#REF!,0),MATCH('Respuestas de formulario 1.1'!FB$1,#REF!,0)))</f>
        <v/>
      </c>
      <c r="FC8" s="56" t="str">
        <f t="array" ref="FC8">IF($DQ8="","", INDEX(#REF!,MATCH(CONCATENATE('Respuestas de formulario 1.1'!$B8,$DQ8),#REF!,0),MATCH('Respuestas de formulario 1.1'!FC$1,#REF!,0)))</f>
        <v/>
      </c>
      <c r="FD8" s="45" t="str">
        <f t="array" ref="FD8">IF($DQ8="","", INDEX(#REF!,MATCH(CONCATENATE('Respuestas de formulario 1.1'!$B8,$DQ8),#REF!,0),MATCH('Respuestas de formulario 1.1'!FD$1,#REF!,0)))</f>
        <v/>
      </c>
      <c r="FE8" s="45" t="str">
        <f t="array" ref="FE8">IF($DR8="","", INDEX(#REF!,MATCH(CONCATENATE(#REF!,$DR8),#REF!,0),MATCH(#REF!,#REF!,0)))</f>
        <v/>
      </c>
      <c r="FF8" s="56" t="str">
        <f t="array" ref="FF8">IF($DR8="","", INDEX(#REF!,MATCH(CONCATENATE(#REF!,$DR8),#REF!,0),MATCH(#REF!,#REF!,0)))</f>
        <v/>
      </c>
      <c r="FG8" s="56" t="str">
        <f t="array" ref="FG8">IF($DR8="","", INDEX(#REF!,MATCH(CONCATENATE(#REF!,$DR8),#REF!,0),MATCH(#REF!,#REF!,0)))</f>
        <v/>
      </c>
      <c r="FH8" s="56" t="str">
        <f t="array" ref="FH8">IF($DR8="","", INDEX(#REF!,MATCH(CONCATENATE(#REF!,$DR8),#REF!,0),MATCH(#REF!,#REF!,0)))</f>
        <v/>
      </c>
      <c r="FI8" s="56" t="str">
        <f t="array" ref="FI8">IF($DR8="","", INDEX(#REF!,MATCH(CONCATENATE(#REF!,$DR8),#REF!,0),MATCH(#REF!,#REF!,0)))</f>
        <v/>
      </c>
      <c r="FJ8" s="56" t="str">
        <f t="array" ref="FJ8">IF($DR8="","", INDEX(#REF!,MATCH(CONCATENATE(#REF!,$DR8),#REF!,0),MATCH(#REF!,#REF!,0)))</f>
        <v/>
      </c>
      <c r="FK8" s="45" t="str">
        <f t="array" ref="FK8">IF($DR8="","", INDEX(#REF!,MATCH(CONCATENATE(#REF!,$DR8),#REF!,0),MATCH(#REF!,#REF!,0)))</f>
        <v/>
      </c>
      <c r="FL8" s="45" t="str">
        <f t="array" ref="FL8">IF($DT8="","", INDEX(#REF!,MATCH(CONCATENATE('Respuestas de formulario 1.1'!$B8,$DS8),#REF!,0),MATCH('Respuestas de formulario 1.1'!FL$1,#REF!,0)))</f>
        <v/>
      </c>
      <c r="FM8" s="56" t="str">
        <f t="array" ref="FM8">IF($DT8="","", INDEX(#REF!,MATCH(CONCATENATE('Respuestas de formulario 1.1'!$B8,$DS8),#REF!,0),MATCH('Respuestas de formulario 1.1'!FM$1,#REF!,0)))</f>
        <v/>
      </c>
      <c r="FN8" s="56" t="str">
        <f t="array" ref="FN8">IF($DT8="","", INDEX(#REF!,MATCH(CONCATENATE('Respuestas de formulario 1.1'!$B8,$DS8),#REF!,0),MATCH('Respuestas de formulario 1.1'!FN$1,#REF!,0)))</f>
        <v/>
      </c>
      <c r="FO8" s="56" t="str">
        <f t="array" ref="FO8">IF($DT8="","", INDEX(#REF!,MATCH(CONCATENATE('Respuestas de formulario 1.1'!$B8,$DS8),#REF!,0),MATCH('Respuestas de formulario 1.1'!FO$1,#REF!,0)))</f>
        <v/>
      </c>
      <c r="FP8" s="56" t="str">
        <f t="array" ref="FP8">IF($DT8="","", INDEX(#REF!,MATCH(CONCATENATE('Respuestas de formulario 1.1'!$B8,$DS8),#REF!,0),MATCH('Respuestas de formulario 1.1'!FP$1,#REF!,0)))</f>
        <v/>
      </c>
      <c r="FQ8" s="56" t="str">
        <f t="array" ref="FQ8">IF($DT8="","", INDEX(#REF!,MATCH(CONCATENATE('Respuestas de formulario 1.1'!$B8,$DS8),#REF!,0),MATCH('Respuestas de formulario 1.1'!FQ$1,#REF!,0)))</f>
        <v/>
      </c>
      <c r="FR8" s="45" t="str">
        <f t="array" ref="FR8">IF($DT8="","", INDEX(#REF!,MATCH(CONCATENATE('Respuestas de formulario 1.1'!$B8,$DS8),#REF!,0),MATCH('Respuestas de formulario 1.1'!FR$1,#REF!,0)))</f>
        <v/>
      </c>
      <c r="FS8" s="45" t="str">
        <f t="array" ref="FS8">IF($DU8="","", INDEX(#REF!,MATCH(CONCATENATE('Respuestas de formulario 1.1'!$B8,$DT8),#REF!,0),MATCH('Respuestas de formulario 1.1'!FS$1,#REF!,0)))</f>
        <v/>
      </c>
      <c r="FT8" s="56" t="str">
        <f t="array" ref="FT8">IF($DU8="","", INDEX(#REF!,MATCH(CONCATENATE('Respuestas de formulario 1.1'!$B8,$DT8),#REF!,0),MATCH('Respuestas de formulario 1.1'!FT$1,#REF!,0)))</f>
        <v/>
      </c>
      <c r="FU8" s="56" t="str">
        <f t="array" ref="FU8">IF($DU8="","", INDEX(#REF!,MATCH(CONCATENATE('Respuestas de formulario 1.1'!$B8,$DT8),#REF!,0),MATCH('Respuestas de formulario 1.1'!FU$1,#REF!,0)))</f>
        <v/>
      </c>
      <c r="FV8" s="56" t="str">
        <f t="array" ref="FV8">IF($DU8="","", INDEX(#REF!,MATCH(CONCATENATE('Respuestas de formulario 1.1'!$B8,$DT8),#REF!,0),MATCH('Respuestas de formulario 1.1'!FV$1,#REF!,0)))</f>
        <v/>
      </c>
      <c r="FW8" s="56" t="str">
        <f t="array" ref="FW8">IF($DU8="","", INDEX(#REF!,MATCH(CONCATENATE('Respuestas de formulario 1.1'!$B8,$DT8),#REF!,0),MATCH('Respuestas de formulario 1.1'!FW$1,#REF!,0)))</f>
        <v/>
      </c>
      <c r="FX8" s="56" t="str">
        <f t="array" ref="FX8">IF($DU8="","", INDEX(#REF!,MATCH(CONCATENATE('Respuestas de formulario 1.1'!$B8,$DT8),#REF!,0),MATCH('Respuestas de formulario 1.1'!FX$1,#REF!,0)))</f>
        <v/>
      </c>
      <c r="FY8" s="45" t="str">
        <f t="array" ref="FY8">IF($DU8="","", INDEX(#REF!,MATCH(CONCATENATE('Respuestas de formulario 1.1'!$B8,$DT8),#REF!,0),MATCH('Respuestas de formulario 1.1'!FY$1,#REF!,0)))</f>
        <v/>
      </c>
      <c r="FZ8" s="3" t="s">
        <v>2860</v>
      </c>
      <c r="GA8" s="1" t="s">
        <v>2945</v>
      </c>
      <c r="GB8" s="5" t="s">
        <v>2946</v>
      </c>
      <c r="GC8" s="4" t="str">
        <f>HYPERLINK("https://drive.google.com/file/d/1fOE-k6st4X1sLH9VwULe6CvIlBX11qgQ/view?usp=drivesdk","ZEPEDA LOPEZ  FRIDA VALENTINA  Formato de reinscripción y pago 2022-2")</f>
        <v>ZEPEDA LOPEZ  FRIDA VALENTINA  Formato de reinscripción y pago 2022-2</v>
      </c>
      <c r="GD8" s="1" t="s">
        <v>2947</v>
      </c>
      <c r="GE8" s="1"/>
      <c r="GF8" s="1"/>
      <c r="GG8" s="1"/>
      <c r="GH8" s="1"/>
      <c r="GI8" s="1" t="s">
        <v>2948</v>
      </c>
      <c r="GJ8" s="5" t="s">
        <v>2949</v>
      </c>
      <c r="GK8" s="5" t="str">
        <f>HYPERLINK("https://drive.google.com/file/d/1Y_1cj_uQrSLH2f6bLA_qJi-4uwft_CnO/view?usp=drivesdk","ZEPEDA LOPEZ  FRIDA VALENTINA  Formato de reinscripción y pago 2022-2")</f>
        <v>ZEPEDA LOPEZ  FRIDA VALENTINA  Formato de reinscripción y pago 2022-2</v>
      </c>
      <c r="GL8" s="1" t="s">
        <v>2950</v>
      </c>
    </row>
    <row r="9" spans="1:194" ht="15.75" customHeight="1" x14ac:dyDescent="0.2">
      <c r="A9" s="2">
        <v>45139.859992939819</v>
      </c>
      <c r="B9" s="1" t="s">
        <v>2295</v>
      </c>
      <c r="C9" s="1" t="s">
        <v>1096</v>
      </c>
      <c r="D9" s="1" t="s">
        <v>902</v>
      </c>
      <c r="E9" s="1" t="s">
        <v>2296</v>
      </c>
      <c r="F9" s="1" t="s">
        <v>223</v>
      </c>
      <c r="G9" s="5" t="s">
        <v>2951</v>
      </c>
      <c r="H9" s="41">
        <v>38968</v>
      </c>
      <c r="I9" s="1">
        <v>16</v>
      </c>
      <c r="J9" s="1">
        <v>5582575853</v>
      </c>
      <c r="K9" s="1">
        <v>5551869370</v>
      </c>
      <c r="L9" s="1" t="s">
        <v>2297</v>
      </c>
      <c r="M9" s="1">
        <v>21309061530266</v>
      </c>
      <c r="N9" s="1" t="s">
        <v>1108</v>
      </c>
      <c r="O9" s="1" t="s">
        <v>225</v>
      </c>
      <c r="P9" s="1" t="s">
        <v>226</v>
      </c>
      <c r="Q9" s="1" t="s">
        <v>315</v>
      </c>
      <c r="R9" s="1" t="s">
        <v>236</v>
      </c>
      <c r="S9" s="1" t="s">
        <v>236</v>
      </c>
      <c r="T9" s="1" t="s">
        <v>411</v>
      </c>
      <c r="U9" s="1" t="s">
        <v>249</v>
      </c>
      <c r="V9" s="1" t="s">
        <v>228</v>
      </c>
      <c r="W9" s="1" t="s">
        <v>2952</v>
      </c>
      <c r="X9" s="1" t="s">
        <v>249</v>
      </c>
      <c r="Y9" s="1" t="s">
        <v>2953</v>
      </c>
      <c r="Z9" s="1" t="s">
        <v>240</v>
      </c>
      <c r="AA9" s="44" t="s">
        <v>602</v>
      </c>
      <c r="AB9" s="1" t="s">
        <v>1302</v>
      </c>
      <c r="AC9" s="1" t="s">
        <v>2954</v>
      </c>
      <c r="AD9" s="1" t="s">
        <v>2955</v>
      </c>
      <c r="AE9" s="1" t="s">
        <v>2298</v>
      </c>
      <c r="AF9" s="1" t="s">
        <v>265</v>
      </c>
      <c r="AG9" s="1">
        <v>36</v>
      </c>
      <c r="AH9" s="5" t="s">
        <v>2956</v>
      </c>
      <c r="AI9" s="1">
        <v>5619342238</v>
      </c>
      <c r="AJ9" s="1">
        <v>5551869370</v>
      </c>
      <c r="AK9" s="1" t="s">
        <v>2299</v>
      </c>
      <c r="AL9" s="1" t="s">
        <v>1046</v>
      </c>
      <c r="AM9" s="1" t="s">
        <v>2957</v>
      </c>
      <c r="AN9" s="1" t="s">
        <v>2958</v>
      </c>
      <c r="AO9" s="1" t="s">
        <v>359</v>
      </c>
      <c r="AP9" s="1">
        <v>53</v>
      </c>
      <c r="AQ9" s="1" t="s">
        <v>233</v>
      </c>
      <c r="AR9" s="42">
        <v>0.33333333333575865</v>
      </c>
      <c r="AS9" s="42">
        <v>0.5</v>
      </c>
      <c r="AT9" s="1">
        <v>5537950569</v>
      </c>
      <c r="AU9" s="1">
        <v>5551869370</v>
      </c>
      <c r="AV9" s="1" t="s">
        <v>2299</v>
      </c>
      <c r="AW9" s="5" t="s">
        <v>2959</v>
      </c>
      <c r="AX9" s="1" t="s">
        <v>329</v>
      </c>
      <c r="AY9" s="1" t="s">
        <v>1692</v>
      </c>
      <c r="AZ9" s="1" t="s">
        <v>618</v>
      </c>
      <c r="BA9" s="1" t="s">
        <v>435</v>
      </c>
      <c r="BB9" s="1">
        <v>36</v>
      </c>
      <c r="BC9" s="1" t="s">
        <v>235</v>
      </c>
      <c r="BD9" s="43">
        <v>0.28472222221898846</v>
      </c>
      <c r="BE9" s="43">
        <v>0.41666666666424135</v>
      </c>
      <c r="BF9" s="1">
        <v>5532986963</v>
      </c>
      <c r="BG9" s="1">
        <v>5551869370</v>
      </c>
      <c r="BH9" s="1" t="s">
        <v>2299</v>
      </c>
      <c r="BI9" s="5" t="s">
        <v>2960</v>
      </c>
      <c r="BJ9" s="1" t="s">
        <v>236</v>
      </c>
      <c r="BK9" s="1" t="s">
        <v>855</v>
      </c>
      <c r="BL9" s="1">
        <v>1.57</v>
      </c>
      <c r="BM9" s="1">
        <v>48</v>
      </c>
      <c r="BN9" s="1" t="s">
        <v>228</v>
      </c>
      <c r="BO9" s="1" t="s">
        <v>228</v>
      </c>
      <c r="BP9" s="1" t="s">
        <v>270</v>
      </c>
      <c r="BQ9" s="1" t="s">
        <v>228</v>
      </c>
      <c r="BR9" s="1" t="s">
        <v>237</v>
      </c>
      <c r="BS9" s="1" t="s">
        <v>236</v>
      </c>
      <c r="BT9" s="1" t="s">
        <v>457</v>
      </c>
      <c r="BU9" s="1" t="s">
        <v>228</v>
      </c>
      <c r="BW9" s="1" t="s">
        <v>388</v>
      </c>
      <c r="BX9" s="1">
        <v>20</v>
      </c>
      <c r="BY9" s="1">
        <v>0</v>
      </c>
      <c r="BZ9" s="1" t="s">
        <v>458</v>
      </c>
      <c r="CA9" s="1" t="s">
        <v>625</v>
      </c>
      <c r="CB9" s="1" t="s">
        <v>240</v>
      </c>
      <c r="CC9" s="1" t="s">
        <v>274</v>
      </c>
      <c r="CD9" s="1">
        <v>2000</v>
      </c>
      <c r="CE9" s="1">
        <v>2000</v>
      </c>
      <c r="CF9" s="1" t="s">
        <v>236</v>
      </c>
      <c r="CG9" s="1" t="s">
        <v>323</v>
      </c>
      <c r="CH9" s="1" t="s">
        <v>243</v>
      </c>
      <c r="CI9" s="1" t="s">
        <v>243</v>
      </c>
      <c r="CJ9" s="1" t="s">
        <v>2848</v>
      </c>
      <c r="CL9" s="5" t="s">
        <v>2961</v>
      </c>
      <c r="CM9" s="44" t="s">
        <v>2300</v>
      </c>
      <c r="CN9" s="1" t="s">
        <v>236</v>
      </c>
      <c r="CO9" s="1" t="s">
        <v>2760</v>
      </c>
      <c r="CP9" s="1" t="s">
        <v>237</v>
      </c>
      <c r="CQ9" s="42">
        <v>0.33333333333575865</v>
      </c>
      <c r="CR9" s="42">
        <v>0.16666666666424135</v>
      </c>
      <c r="CT9" s="45" t="str">
        <f t="array" ref="CT9">IFERROR(INDEX(#REF!,MATCH('Respuestas de formulario 1.1'!$B9,#REF!,0),MATCH('Respuestas de formulario 1.1'!CT$1,#REF!,0)),"")</f>
        <v/>
      </c>
      <c r="CU9" s="56" t="str">
        <f t="array" ref="CU9">IFERROR(INDEX(#REF!,MATCH('Respuestas de formulario 1.1'!$B9,#REF!,0),MATCH('Respuestas de formulario 1.1'!CU$1,#REF!,0)),"")</f>
        <v/>
      </c>
      <c r="CV9" s="56" t="str">
        <f t="array" ref="CV9">IFERROR(INDEX(#REF!,MATCH('Respuestas de formulario 1.1'!$B9,#REF!,0),MATCH('Respuestas de formulario 1.1'!CV$1,#REF!,0)),"")</f>
        <v/>
      </c>
      <c r="CW9" s="56" t="str">
        <f t="array" ref="CW9">IFERROR(INDEX(#REF!,MATCH('Respuestas de formulario 1.1'!$B9,#REF!,0),MATCH('Respuestas de formulario 1.1'!CW$1,#REF!,0)),"")</f>
        <v/>
      </c>
      <c r="CX9" s="56" t="str">
        <f t="array" ref="CX9">IFERROR(INDEX(#REF!,MATCH('Respuestas de formulario 1.1'!$B9,#REF!,0),MATCH('Respuestas de formulario 1.1'!CX$1,#REF!,0)),"")</f>
        <v/>
      </c>
      <c r="CY9" s="56" t="str">
        <f t="array" ref="CY9">IFERROR(INDEX(#REF!,MATCH('Respuestas de formulario 1.1'!$B9,#REF!,0),MATCH('Respuestas de formulario 1.1'!CY$1,#REF!,0)),"")</f>
        <v/>
      </c>
      <c r="CZ9" s="57" t="str">
        <f t="array" ref="CZ9">IFERROR(INDEX(#REF!,MATCH('Respuestas de formulario 1.1'!$B9,#REF!,0),MATCH('Respuestas de formulario 1.1'!CZ$1,#REF!,0)),"")</f>
        <v/>
      </c>
      <c r="DA9" s="45" t="e">
        <f t="array" ref="DA9">INDEX(#REF!,MATCH('Respuestas de formulario 1.1'!$B9,#REF!,0),MATCH('Respuestas de formulario 1.1'!DA$1,#REF!,0))</f>
        <v>#REF!</v>
      </c>
      <c r="DB9" s="45" t="e">
        <f t="array" ref="DB9">INDEX(#REF!,MATCH('Respuestas de formulario 1.1'!$B9,#REF!,0),MATCH('Respuestas de formulario 1.1'!DB$1,#REF!,0))</f>
        <v>#REF!</v>
      </c>
      <c r="DC9" s="45" t="e">
        <f t="array" ref="DC9">INDEX(#REF!,MATCH('Respuestas de formulario 1.1'!$B9,#REF!,0),MATCH('Respuestas de formulario 1.1'!DC$1,#REF!,0))</f>
        <v>#REF!</v>
      </c>
      <c r="DD9" s="45" t="e">
        <f t="array" ref="DD9">INDEX(#REF!,MATCH('Respuestas de formulario 1.1'!$B9,#REF!,0),MATCH('Respuestas de formulario 1.1'!DD$1,#REF!,0))</f>
        <v>#REF!</v>
      </c>
      <c r="DE9" s="45" t="e">
        <f t="array" ref="DE9">INDEX(#REF!,MATCH('Respuestas de formulario 1.1'!$B9,#REF!,0),MATCH('Respuestas de formulario 1.1'!DE$1,#REF!,0))</f>
        <v>#REF!</v>
      </c>
      <c r="DF9" s="45" t="e">
        <f t="array" ref="DF9">INDEX(#REF!,MATCH('Respuestas de formulario 1.1'!$B9,#REF!,0),MATCH('Respuestas de formulario 1.1'!DF$1,#REF!,0))</f>
        <v>#REF!</v>
      </c>
      <c r="DG9" s="45" t="e">
        <f t="array" ref="DG9">INDEX(#REF!,MATCH('Respuestas de formulario 1.1'!$B9,#REF!,0),MATCH('Respuestas de formulario 1.1'!DG$1,#REF!,0))</f>
        <v>#REF!</v>
      </c>
      <c r="DH9" s="45" t="e">
        <f t="array" ref="DH9">INDEX(#REF!,MATCH('Respuestas de formulario 1.1'!$B9,#REF!,0),MATCH('Respuestas de formulario 1.1'!DH$1,#REF!,0))</f>
        <v>#REF!</v>
      </c>
      <c r="DI9" s="48" t="e">
        <f>VLOOKUP(CONCATENATE($DF9," TUTO ",$DC9),#REF!,3,0)</f>
        <v>#REF!</v>
      </c>
      <c r="DJ9" s="48" t="e">
        <f t="array" ref="DJ9">IF('Respuestas de formulario 1.1'!A9="","",INDEX(#REF!,MATCH('Respuestas de formulario 1.1'!B9,#REF!,0),MATCH('Respuestas de formulario 1.1'!$DH$1,#REF!,0)))</f>
        <v>#REF!</v>
      </c>
      <c r="DK9" s="52" t="str">
        <f>CONCATENATE("http://doc.google.com/uc?id=",MID('Respuestas de formulario 1.1'!G9,34,33))</f>
        <v>http://doc.google.com/uc?id=1uRHlwna4XUpSqBgXxgQQkdJy7Fn56ZwY</v>
      </c>
      <c r="DL9" s="49" t="str">
        <f>CONCATENATE("http://doc.google.com/uc?id=",MID('Respuestas de formulario 1.1'!AH9,34,33))</f>
        <v>http://doc.google.com/uc?id=1AldeIaj1YfnGtHCSpOUsVY3ZqD6E4EWH</v>
      </c>
      <c r="DM9" s="50" t="str">
        <f>CONCATENATE("http://doc.google.com/uc?id=",MID('Respuestas de formulario 1.1'!AW9,34,33))</f>
        <v>http://doc.google.com/uc?id=1R184c4jpaDbwI3uRBEaCszTMBWPgG85x</v>
      </c>
      <c r="DN9" s="53" t="str">
        <f>CONCATENATE("http://doc.google.com/uc?id=",MID('Respuestas de formulario 1.1'!$BI9,34,33))</f>
        <v>http://doc.google.com/uc?id=1HEL3s8pxb8kOXNnpypNVt6D0Y9BLb6G_</v>
      </c>
      <c r="DO9" s="45" t="str">
        <f>IFERROR(VLOOKUP(CONCATENATE('Respuestas de formulario 1.1'!$B9,MID('Respuestas de formulario 1.1'!DO$1,2,1)),#REF!,12,0),"")</f>
        <v/>
      </c>
      <c r="DP9" s="45" t="str">
        <f>IFERROR(VLOOKUP(CONCATENATE('Respuestas de formulario 1.1'!$B9,MID('Respuestas de formulario 1.1'!DP$1,2,1)),#REF!,12,0),"")</f>
        <v/>
      </c>
      <c r="DQ9" s="45" t="str">
        <f>IFERROR(VLOOKUP(CONCATENATE('Respuestas de formulario 1.1'!$B9,MID('Respuestas de formulario 1.1'!DQ$1,2,1)),#REF!,12,0),"")</f>
        <v/>
      </c>
      <c r="DR9" s="45" t="str">
        <f>IFERROR(VLOOKUP(CONCATENATE('Respuestas de formulario 1.1'!$B9,MID('Respuestas de formulario 1.1'!DR$1,2,1)),#REF!,12,0),"")</f>
        <v/>
      </c>
      <c r="DS9" s="45" t="str">
        <f>IFERROR(VLOOKUP(CONCATENATE('Respuestas de formulario 1.1'!$B9,MID('Respuestas de formulario 1.1'!DS$1,2,1)),#REF!,12,0),"")</f>
        <v/>
      </c>
      <c r="DT9" s="45" t="str">
        <f>IFERROR(VLOOKUP(CONCATENATE('Respuestas de formulario 1.1'!$B9,MID('Respuestas de formulario 1.1'!DT$1,2,1)),#REF!,12,0),"")</f>
        <v/>
      </c>
      <c r="DU9" s="45" t="str">
        <f>IFERROR(VLOOKUP(CONCATENATE('Respuestas de formulario 1.1'!$B9,MID('Respuestas de formulario 1.1'!DU$1,2,1)),#REF!,12,0),"")</f>
        <v/>
      </c>
      <c r="DV9" s="45" t="str">
        <f>IFERROR(VLOOKUP(CONCATENATE('Respuestas de formulario 1.1'!$B9,MID('Respuestas de formulario 1.1'!DV$1,2,1)),#REF!,12,0),"")</f>
        <v/>
      </c>
      <c r="DW9" s="45" t="str">
        <f>IFERROR(VLOOKUP(CONCATENATE('Respuestas de formulario 1.1'!$B9,MID('Respuestas de formulario 1.1'!DW$1,2,1)),#REF!,12,0),"")</f>
        <v/>
      </c>
      <c r="DX9" s="45" t="str">
        <f>IFERROR(VLOOKUP(CONCATENATE('Respuestas de formulario 1.1'!$B9,MID('Respuestas de formulario 1.1'!DX$1,2,1)),#REF!,12,0),"")</f>
        <v/>
      </c>
      <c r="DY9" s="45" t="str">
        <f>IFERROR(VLOOKUP(CONCATENATE('Respuestas de formulario 1.1'!$B9,MID('Respuestas de formulario 1.1'!DY$1,2,1)),#REF!,12,0),"")</f>
        <v/>
      </c>
      <c r="DZ9" s="45" t="str">
        <f>IFERROR(VLOOKUP(CONCATENATE('Respuestas de formulario 1.1'!$B9,MID('Respuestas de formulario 1.1'!DZ$1,2,1)),#REF!,12,0),"")</f>
        <v/>
      </c>
      <c r="EA9" s="45" t="str">
        <f>IFERROR(VLOOKUP(CONCATENATE('Respuestas de formulario 1.1'!$B9,MID('Respuestas de formulario 1.1'!EA$1,2,1)),#REF!,12,0),"")</f>
        <v/>
      </c>
      <c r="EB9" s="45" t="str">
        <f>IFERROR(VLOOKUP(CONCATENATE('Respuestas de formulario 1.1'!$B9,MID('Respuestas de formulario 1.1'!EB$1,2,1)),#REF!,12,0),"")</f>
        <v/>
      </c>
      <c r="EC9" s="45" t="str">
        <f>IFERROR(VLOOKUP(CONCATENATE('Respuestas de formulario 1.1'!$B9,MID('Respuestas de formulario 1.1'!EC$1,2,1)),#REF!,12,0),"")</f>
        <v/>
      </c>
      <c r="ED9" s="45" t="str">
        <f>IFERROR(VLOOKUP(CONCATENATE('Respuestas de formulario 1.1'!$B9,MID('Respuestas de formulario 1.1'!ED$1,2,1)),#REF!,12,0),"")</f>
        <v/>
      </c>
      <c r="EE9" s="45" t="str">
        <f>IFERROR(VLOOKUP(CONCATENATE('Respuestas de formulario 1.1'!$B9,MID('Respuestas de formulario 1.1'!EE$1,2,1)),#REF!,12,0),"")</f>
        <v/>
      </c>
      <c r="EF9" s="45" t="str">
        <f>IFERROR(VLOOKUP(CONCATENATE('Respuestas de formulario 1.1'!$B9,MID('Respuestas de formulario 1.1'!EF$1,2,1)),#REF!,12,0),"")</f>
        <v/>
      </c>
      <c r="EG9" s="45" t="str">
        <f>IFERROR(VLOOKUP(CONCATENATE('Respuestas de formulario 1.1'!$B9,MID('Respuestas de formulario 1.1'!EG$1,2,1)),#REF!,12,0),"")</f>
        <v/>
      </c>
      <c r="EH9" s="45" t="str">
        <f>IFERROR(VLOOKUP(CONCATENATE('Respuestas de formulario 1.1'!$B9,MID('Respuestas de formulario 1.1'!EH$1,2,1)),#REF!,12,0),"")</f>
        <v/>
      </c>
      <c r="EI9" s="45" t="str">
        <f>IFERROR(VLOOKUP(CONCATENATE('Respuestas de formulario 1.1'!$B9,MID('Respuestas de formulario 1.1'!EI$1,2,1)),#REF!,12,0),"")</f>
        <v/>
      </c>
      <c r="EJ9" s="45" t="str">
        <f t="array" ref="EJ9">IF(DO9="","", INDEX(#REF!,MATCH(CONCATENATE('Respuestas de formulario 1.1'!$B9,DO9),#REF!,0),MATCH('Respuestas de formulario 1.1'!EJ$1,#REF!,0)))</f>
        <v/>
      </c>
      <c r="EK9" s="56" t="str">
        <f t="array" ref="EK9">IF(DP9="","", INDEX(#REF!,MATCH(CONCATENATE('Respuestas de formulario 1.1'!$B9,DP9),#REF!,0),MATCH('Respuestas de formulario 1.1'!EK$1,#REF!,0)))</f>
        <v/>
      </c>
      <c r="EL9" s="56" t="str">
        <f t="array" ref="EL9">IF(DQ9="","", INDEX(#REF!,MATCH(CONCATENATE('Respuestas de formulario 1.1'!$B9,DQ9),#REF!,0),MATCH('Respuestas de formulario 1.1'!EL$1,#REF!,0)))</f>
        <v/>
      </c>
      <c r="EM9" s="56" t="str">
        <f t="array" ref="EM9">IF(DR9="","", INDEX(#REF!,MATCH(CONCATENATE('Respuestas de formulario 1.1'!$B9,DR9),#REF!,0),MATCH('Respuestas de formulario 1.1'!EM$1,#REF!,0)))</f>
        <v/>
      </c>
      <c r="EN9" s="56" t="str">
        <f t="array" ref="EN9">IF(DS9="","", INDEX(#REF!,MATCH(CONCATENATE('Respuestas de formulario 1.1'!$B9,DS9),#REF!,0),MATCH('Respuestas de formulario 1.1'!EN$1,#REF!,0)))</f>
        <v/>
      </c>
      <c r="EO9" s="56" t="str">
        <f t="array" ref="EO9">IF(DT9="","", INDEX(#REF!,MATCH(CONCATENATE('Respuestas de formulario 1.1'!$B9,DT9),#REF!,0),MATCH('Respuestas de formulario 1.1'!EO$1,#REF!,0)))</f>
        <v/>
      </c>
      <c r="EP9" s="45" t="str">
        <f t="array" ref="EP9">IF(DU9="","", INDEX(#REF!,MATCH(CONCATENATE('Respuestas de formulario 1.1'!$B9,DU9),#REF!,0),MATCH('Respuestas de formulario 1.1'!EP$1,#REF!,0)))</f>
        <v/>
      </c>
      <c r="EQ9" s="45" t="str">
        <f t="array" ref="EQ9">IF(DP9="","", INDEX(#REF!,MATCH(CONCATENATE('Respuestas de formulario 1.1'!$B9,DP9),#REF!,0),MATCH('Respuestas de formulario 1.1'!EQ$1,#REF!,0)))</f>
        <v/>
      </c>
      <c r="ER9" s="56" t="str">
        <f t="array" ref="ER9">IF(DQ9="","", INDEX(#REF!,MATCH(CONCATENATE('Respuestas de formulario 1.1'!$B9,DQ9),#REF!,0),MATCH('Respuestas de formulario 1.1'!ER$1,#REF!,0)))</f>
        <v/>
      </c>
      <c r="ES9" s="56" t="str">
        <f t="array" ref="ES9">IF(DR9="","", INDEX(#REF!,MATCH(CONCATENATE('Respuestas de formulario 1.1'!$B9,DR9),#REF!,0),MATCH('Respuestas de formulario 1.1'!ES$1,#REF!,0)))</f>
        <v/>
      </c>
      <c r="ET9" s="56" t="str">
        <f t="array" ref="ET9">IF(DS9="","", INDEX(#REF!,MATCH(CONCATENATE('Respuestas de formulario 1.1'!$B9,DS9),#REF!,0),MATCH('Respuestas de formulario 1.1'!ET$1,#REF!,0)))</f>
        <v/>
      </c>
      <c r="EU9" s="56" t="str">
        <f t="array" ref="EU9">IF(DT9="","", INDEX(#REF!,MATCH(CONCATENATE('Respuestas de formulario 1.1'!$B9,DT9),#REF!,0),MATCH('Respuestas de formulario 1.1'!EU$1,#REF!,0)))</f>
        <v/>
      </c>
      <c r="EV9" s="56" t="str">
        <f t="array" ref="EV9">IF(DU9="","", INDEX(#REF!,MATCH(CONCATENATE('Respuestas de formulario 1.1'!$B9,DU9),#REF!,0),MATCH('Respuestas de formulario 1.1'!EV$1,#REF!,0)))</f>
        <v/>
      </c>
      <c r="EW9" s="45" t="str">
        <f t="array" ref="EW9">IF(DV9="","", INDEX(#REF!,MATCH(CONCATENATE('Respuestas de formulario 1.1'!$B9,DV9),#REF!,0),MATCH('Respuestas de formulario 1.1'!EW$1,#REF!,0)))</f>
        <v/>
      </c>
      <c r="EX9" s="45" t="str">
        <f t="array" ref="EX9">IF($DQ9="","", INDEX(#REF!,MATCH(CONCATENATE('Respuestas de formulario 1.1'!$B9,$DQ9),#REF!,0),MATCH('Respuestas de formulario 1.1'!EX$1,#REF!,0)))</f>
        <v/>
      </c>
      <c r="EY9" s="56" t="str">
        <f t="array" ref="EY9">IF($DQ9="","", INDEX(#REF!,MATCH(CONCATENATE('Respuestas de formulario 1.1'!$B9,$DQ9),#REF!,0),MATCH('Respuestas de formulario 1.1'!EY$1,#REF!,0)))</f>
        <v/>
      </c>
      <c r="EZ9" s="56" t="str">
        <f t="array" ref="EZ9">IF($DQ9="","", INDEX(#REF!,MATCH(CONCATENATE('Respuestas de formulario 1.1'!$B9,$DQ9),#REF!,0),MATCH('Respuestas de formulario 1.1'!EZ$1,#REF!,0)))</f>
        <v/>
      </c>
      <c r="FA9" s="56" t="str">
        <f t="array" ref="FA9">IF($DQ9="","", INDEX(#REF!,MATCH(CONCATENATE('Respuestas de formulario 1.1'!$B9,$DQ9),#REF!,0),MATCH('Respuestas de formulario 1.1'!FA$1,#REF!,0)))</f>
        <v/>
      </c>
      <c r="FB9" s="56" t="str">
        <f t="array" ref="FB9">IF($DQ9="","", INDEX(#REF!,MATCH(CONCATENATE('Respuestas de formulario 1.1'!$B9,$DQ9),#REF!,0),MATCH('Respuestas de formulario 1.1'!FB$1,#REF!,0)))</f>
        <v/>
      </c>
      <c r="FC9" s="56" t="str">
        <f t="array" ref="FC9">IF($DQ9="","", INDEX(#REF!,MATCH(CONCATENATE('Respuestas de formulario 1.1'!$B9,$DQ9),#REF!,0),MATCH('Respuestas de formulario 1.1'!FC$1,#REF!,0)))</f>
        <v/>
      </c>
      <c r="FD9" s="45" t="str">
        <f t="array" ref="FD9">IF($DQ9="","", INDEX(#REF!,MATCH(CONCATENATE('Respuestas de formulario 1.1'!$B9,$DQ9),#REF!,0),MATCH('Respuestas de formulario 1.1'!FD$1,#REF!,0)))</f>
        <v/>
      </c>
      <c r="FE9" s="45" t="str">
        <f t="array" ref="FE9">IF($DR9="","", INDEX(#REF!,MATCH(CONCATENATE(#REF!,$DR9),#REF!,0),MATCH(#REF!,#REF!,0)))</f>
        <v/>
      </c>
      <c r="FF9" s="56" t="str">
        <f t="array" ref="FF9">IF($DR9="","", INDEX(#REF!,MATCH(CONCATENATE(#REF!,$DR9),#REF!,0),MATCH(#REF!,#REF!,0)))</f>
        <v/>
      </c>
      <c r="FG9" s="56" t="str">
        <f t="array" ref="FG9">IF($DR9="","", INDEX(#REF!,MATCH(CONCATENATE(#REF!,$DR9),#REF!,0),MATCH(#REF!,#REF!,0)))</f>
        <v/>
      </c>
      <c r="FH9" s="56" t="str">
        <f t="array" ref="FH9">IF($DR9="","", INDEX(#REF!,MATCH(CONCATENATE(#REF!,$DR9),#REF!,0),MATCH(#REF!,#REF!,0)))</f>
        <v/>
      </c>
      <c r="FI9" s="56" t="str">
        <f t="array" ref="FI9">IF($DR9="","", INDEX(#REF!,MATCH(CONCATENATE(#REF!,$DR9),#REF!,0),MATCH(#REF!,#REF!,0)))</f>
        <v/>
      </c>
      <c r="FJ9" s="56" t="str">
        <f t="array" ref="FJ9">IF($DR9="","", INDEX(#REF!,MATCH(CONCATENATE(#REF!,$DR9),#REF!,0),MATCH(#REF!,#REF!,0)))</f>
        <v/>
      </c>
      <c r="FK9" s="45" t="str">
        <f t="array" ref="FK9">IF($DR9="","", INDEX(#REF!,MATCH(CONCATENATE(#REF!,$DR9),#REF!,0),MATCH(#REF!,#REF!,0)))</f>
        <v/>
      </c>
      <c r="FL9" s="45" t="str">
        <f t="array" ref="FL9">IF($DT9="","", INDEX(#REF!,MATCH(CONCATENATE('Respuestas de formulario 1.1'!$B9,$DS9),#REF!,0),MATCH('Respuestas de formulario 1.1'!FL$1,#REF!,0)))</f>
        <v/>
      </c>
      <c r="FM9" s="56" t="str">
        <f t="array" ref="FM9">IF($DT9="","", INDEX(#REF!,MATCH(CONCATENATE('Respuestas de formulario 1.1'!$B9,$DS9),#REF!,0),MATCH('Respuestas de formulario 1.1'!FM$1,#REF!,0)))</f>
        <v/>
      </c>
      <c r="FN9" s="56" t="str">
        <f t="array" ref="FN9">IF($DT9="","", INDEX(#REF!,MATCH(CONCATENATE('Respuestas de formulario 1.1'!$B9,$DS9),#REF!,0),MATCH('Respuestas de formulario 1.1'!FN$1,#REF!,0)))</f>
        <v/>
      </c>
      <c r="FO9" s="56" t="str">
        <f t="array" ref="FO9">IF($DT9="","", INDEX(#REF!,MATCH(CONCATENATE('Respuestas de formulario 1.1'!$B9,$DS9),#REF!,0),MATCH('Respuestas de formulario 1.1'!FO$1,#REF!,0)))</f>
        <v/>
      </c>
      <c r="FP9" s="56" t="str">
        <f t="array" ref="FP9">IF($DT9="","", INDEX(#REF!,MATCH(CONCATENATE('Respuestas de formulario 1.1'!$B9,$DS9),#REF!,0),MATCH('Respuestas de formulario 1.1'!FP$1,#REF!,0)))</f>
        <v/>
      </c>
      <c r="FQ9" s="56" t="str">
        <f t="array" ref="FQ9">IF($DT9="","", INDEX(#REF!,MATCH(CONCATENATE('Respuestas de formulario 1.1'!$B9,$DS9),#REF!,0),MATCH('Respuestas de formulario 1.1'!FQ$1,#REF!,0)))</f>
        <v/>
      </c>
      <c r="FR9" s="45" t="str">
        <f t="array" ref="FR9">IF($DT9="","", INDEX(#REF!,MATCH(CONCATENATE('Respuestas de formulario 1.1'!$B9,$DS9),#REF!,0),MATCH('Respuestas de formulario 1.1'!FR$1,#REF!,0)))</f>
        <v/>
      </c>
      <c r="FS9" s="45" t="str">
        <f t="array" ref="FS9">IF($DU9="","", INDEX(#REF!,MATCH(CONCATENATE('Respuestas de formulario 1.1'!$B9,$DT9),#REF!,0),MATCH('Respuestas de formulario 1.1'!FS$1,#REF!,0)))</f>
        <v/>
      </c>
      <c r="FT9" s="56" t="str">
        <f t="array" ref="FT9">IF($DU9="","", INDEX(#REF!,MATCH(CONCATENATE('Respuestas de formulario 1.1'!$B9,$DT9),#REF!,0),MATCH('Respuestas de formulario 1.1'!FT$1,#REF!,0)))</f>
        <v/>
      </c>
      <c r="FU9" s="56" t="str">
        <f t="array" ref="FU9">IF($DU9="","", INDEX(#REF!,MATCH(CONCATENATE('Respuestas de formulario 1.1'!$B9,$DT9),#REF!,0),MATCH('Respuestas de formulario 1.1'!FU$1,#REF!,0)))</f>
        <v/>
      </c>
      <c r="FV9" s="56" t="str">
        <f t="array" ref="FV9">IF($DU9="","", INDEX(#REF!,MATCH(CONCATENATE('Respuestas de formulario 1.1'!$B9,$DT9),#REF!,0),MATCH('Respuestas de formulario 1.1'!FV$1,#REF!,0)))</f>
        <v/>
      </c>
      <c r="FW9" s="56" t="str">
        <f t="array" ref="FW9">IF($DU9="","", INDEX(#REF!,MATCH(CONCATENATE('Respuestas de formulario 1.1'!$B9,$DT9),#REF!,0),MATCH('Respuestas de formulario 1.1'!FW$1,#REF!,0)))</f>
        <v/>
      </c>
      <c r="FX9" s="56" t="str">
        <f t="array" ref="FX9">IF($DU9="","", INDEX(#REF!,MATCH(CONCATENATE('Respuestas de formulario 1.1'!$B9,$DT9),#REF!,0),MATCH('Respuestas de formulario 1.1'!FX$1,#REF!,0)))</f>
        <v/>
      </c>
      <c r="FY9" s="45" t="str">
        <f t="array" ref="FY9">IF($DU9="","", INDEX(#REF!,MATCH(CONCATENATE('Respuestas de formulario 1.1'!$B9,$DT9),#REF!,0),MATCH('Respuestas de formulario 1.1'!FY$1,#REF!,0)))</f>
        <v/>
      </c>
      <c r="FZ9" s="3" t="s">
        <v>2860</v>
      </c>
      <c r="GA9" s="1" t="s">
        <v>2962</v>
      </c>
      <c r="GB9" s="51" t="s">
        <v>2963</v>
      </c>
      <c r="GC9" s="4" t="str">
        <f>HYPERLINK("https://drive.google.com/file/d/17A-Oju2P-fRX8zWRe13li1ZDjzTd8VB6/view?usp=drivesdk","HERRERA  NIETO  BRITANY MARIAN Formato de reinscripción y pago 2022-2")</f>
        <v>HERRERA  NIETO  BRITANY MARIAN Formato de reinscripción y pago 2022-2</v>
      </c>
      <c r="GD9" s="1" t="s">
        <v>2964</v>
      </c>
      <c r="GE9" s="1"/>
      <c r="GF9" s="1"/>
      <c r="GG9" s="1"/>
      <c r="GH9" s="1"/>
      <c r="GI9" s="1" t="s">
        <v>2965</v>
      </c>
      <c r="GJ9" s="5" t="s">
        <v>2966</v>
      </c>
      <c r="GK9" s="5" t="str">
        <f>HYPERLINK("https://drive.google.com/file/d/13O9zshvGyJVj_Mb_DZnFh4zOa4yt2I8A/view?usp=drivesdk","HERRERA  NIETO  BRITANY MARIAN Formato de reinscripción y pago 2022-2")</f>
        <v>HERRERA  NIETO  BRITANY MARIAN Formato de reinscripción y pago 2022-2</v>
      </c>
      <c r="GL9" s="1" t="s">
        <v>2967</v>
      </c>
    </row>
    <row r="10" spans="1:194" ht="15.75" customHeight="1" x14ac:dyDescent="0.2">
      <c r="A10" s="2">
        <v>45139.677410706019</v>
      </c>
      <c r="B10" s="1" t="s">
        <v>258</v>
      </c>
      <c r="C10" s="1" t="s">
        <v>259</v>
      </c>
      <c r="D10" s="1" t="s">
        <v>2968</v>
      </c>
      <c r="E10" s="1" t="s">
        <v>261</v>
      </c>
      <c r="F10" s="1" t="s">
        <v>262</v>
      </c>
      <c r="G10" s="5" t="s">
        <v>2969</v>
      </c>
      <c r="H10" s="41">
        <v>39015</v>
      </c>
      <c r="I10" s="1">
        <v>16</v>
      </c>
      <c r="J10" s="1">
        <v>5560208607</v>
      </c>
      <c r="K10" s="1">
        <v>5560208607</v>
      </c>
      <c r="L10" s="1" t="s">
        <v>2970</v>
      </c>
      <c r="M10" s="1">
        <v>21309060570494</v>
      </c>
      <c r="N10" s="1" t="s">
        <v>1108</v>
      </c>
      <c r="O10" s="1" t="s">
        <v>247</v>
      </c>
      <c r="P10" s="1" t="s">
        <v>226</v>
      </c>
      <c r="Q10" s="1" t="s">
        <v>263</v>
      </c>
      <c r="R10" s="1" t="s">
        <v>236</v>
      </c>
      <c r="S10" s="1" t="s">
        <v>236</v>
      </c>
      <c r="T10" s="1" t="s">
        <v>229</v>
      </c>
      <c r="U10" s="1" t="s">
        <v>264</v>
      </c>
      <c r="V10" s="1" t="s">
        <v>228</v>
      </c>
      <c r="W10" s="1" t="s">
        <v>2971</v>
      </c>
      <c r="X10" s="1" t="s">
        <v>264</v>
      </c>
      <c r="Y10" s="1" t="s">
        <v>275</v>
      </c>
      <c r="Z10" s="1" t="s">
        <v>240</v>
      </c>
      <c r="AA10" s="1">
        <v>57000</v>
      </c>
      <c r="AB10" s="1">
        <v>427</v>
      </c>
      <c r="AC10" s="1">
        <v>427</v>
      </c>
      <c r="AD10" s="1" t="s">
        <v>2972</v>
      </c>
      <c r="AE10" s="1" t="s">
        <v>2973</v>
      </c>
      <c r="AF10" s="1" t="s">
        <v>265</v>
      </c>
      <c r="AG10" s="1">
        <v>54</v>
      </c>
      <c r="AH10" s="5" t="s">
        <v>2974</v>
      </c>
      <c r="AI10" s="1">
        <v>5530821101</v>
      </c>
      <c r="AJ10" s="1">
        <v>5530821101</v>
      </c>
      <c r="AK10" s="1"/>
      <c r="AL10" s="1" t="s">
        <v>727</v>
      </c>
      <c r="AM10" s="1" t="s">
        <v>260</v>
      </c>
      <c r="AN10" s="1" t="s">
        <v>1818</v>
      </c>
      <c r="AO10" s="1" t="s">
        <v>758</v>
      </c>
      <c r="AP10" s="1">
        <v>28</v>
      </c>
      <c r="AQ10" s="1" t="s">
        <v>2187</v>
      </c>
      <c r="AR10" s="42">
        <v>0.29166666666424135</v>
      </c>
      <c r="AS10" s="42">
        <v>0.33333333333575865</v>
      </c>
      <c r="AT10" s="1">
        <v>5533323233</v>
      </c>
      <c r="AU10" s="1">
        <v>5533323233</v>
      </c>
      <c r="AV10" s="1" t="s">
        <v>269</v>
      </c>
      <c r="AW10" s="5" t="s">
        <v>2975</v>
      </c>
      <c r="AX10" s="1" t="s">
        <v>2968</v>
      </c>
      <c r="AY10" s="1" t="s">
        <v>888</v>
      </c>
      <c r="AZ10" s="1" t="s">
        <v>2056</v>
      </c>
      <c r="BA10" s="1" t="s">
        <v>265</v>
      </c>
      <c r="BB10" s="1">
        <v>54</v>
      </c>
      <c r="BC10" s="1" t="s">
        <v>1016</v>
      </c>
      <c r="BD10" s="43">
        <v>0.29166666666424135</v>
      </c>
      <c r="BE10" s="43">
        <v>0.33333333333575865</v>
      </c>
      <c r="BF10" s="1">
        <v>5530821101</v>
      </c>
      <c r="BG10" s="1">
        <v>5530821101</v>
      </c>
      <c r="BH10" s="1"/>
      <c r="BI10" s="5" t="s">
        <v>2976</v>
      </c>
      <c r="BJ10" s="1" t="s">
        <v>236</v>
      </c>
      <c r="BL10" s="1">
        <v>0.16500000000000001</v>
      </c>
      <c r="BM10" s="1">
        <v>0.7</v>
      </c>
      <c r="BN10" s="1" t="s">
        <v>228</v>
      </c>
      <c r="BO10" s="1" t="s">
        <v>228</v>
      </c>
      <c r="BP10" s="1" t="s">
        <v>297</v>
      </c>
      <c r="BQ10" s="1" t="s">
        <v>228</v>
      </c>
      <c r="BR10" s="1" t="s">
        <v>237</v>
      </c>
      <c r="BS10" s="1" t="s">
        <v>228</v>
      </c>
      <c r="BT10" s="1" t="s">
        <v>237</v>
      </c>
      <c r="BU10" s="1" t="s">
        <v>228</v>
      </c>
      <c r="BW10" s="1" t="s">
        <v>238</v>
      </c>
      <c r="BX10" s="1">
        <v>1</v>
      </c>
      <c r="BY10" s="1">
        <v>400</v>
      </c>
      <c r="BZ10" s="1" t="s">
        <v>253</v>
      </c>
      <c r="CA10" s="1" t="s">
        <v>273</v>
      </c>
      <c r="CB10" s="1" t="s">
        <v>240</v>
      </c>
      <c r="CC10" s="1" t="s">
        <v>274</v>
      </c>
      <c r="CD10" s="1">
        <v>3000</v>
      </c>
      <c r="CE10" s="1">
        <v>2000</v>
      </c>
      <c r="CF10" s="1" t="s">
        <v>236</v>
      </c>
      <c r="CG10" s="1" t="s">
        <v>242</v>
      </c>
      <c r="CH10" s="1" t="s">
        <v>243</v>
      </c>
      <c r="CI10" s="1" t="s">
        <v>243</v>
      </c>
      <c r="CJ10" s="1" t="s">
        <v>2848</v>
      </c>
      <c r="CL10" s="5" t="s">
        <v>2977</v>
      </c>
      <c r="CM10" s="1">
        <v>12210636721</v>
      </c>
      <c r="CN10" s="1" t="s">
        <v>228</v>
      </c>
      <c r="CQ10" s="42">
        <v>0.29166666666424135</v>
      </c>
      <c r="CR10" s="42">
        <v>0.33333333333575865</v>
      </c>
      <c r="CT10" s="45" t="str">
        <f t="array" ref="CT10">IFERROR(INDEX(#REF!,MATCH('Respuestas de formulario 1.1'!$B10,#REF!,0),MATCH('Respuestas de formulario 1.1'!CT$1,#REF!,0)),"")</f>
        <v/>
      </c>
      <c r="CU10" s="56" t="str">
        <f t="array" ref="CU10">IFERROR(INDEX(#REF!,MATCH('Respuestas de formulario 1.1'!$B10,#REF!,0),MATCH('Respuestas de formulario 1.1'!CU$1,#REF!,0)),"")</f>
        <v/>
      </c>
      <c r="CV10" s="56" t="str">
        <f t="array" ref="CV10">IFERROR(INDEX(#REF!,MATCH('Respuestas de formulario 1.1'!$B10,#REF!,0),MATCH('Respuestas de formulario 1.1'!CV$1,#REF!,0)),"")</f>
        <v/>
      </c>
      <c r="CW10" s="56" t="str">
        <f t="array" ref="CW10">IFERROR(INDEX(#REF!,MATCH('Respuestas de formulario 1.1'!$B10,#REF!,0),MATCH('Respuestas de formulario 1.1'!CW$1,#REF!,0)),"")</f>
        <v/>
      </c>
      <c r="CX10" s="56" t="str">
        <f t="array" ref="CX10">IFERROR(INDEX(#REF!,MATCH('Respuestas de formulario 1.1'!$B10,#REF!,0),MATCH('Respuestas de formulario 1.1'!CX$1,#REF!,0)),"")</f>
        <v/>
      </c>
      <c r="CY10" s="56" t="str">
        <f t="array" ref="CY10">IFERROR(INDEX(#REF!,MATCH('Respuestas de formulario 1.1'!$B10,#REF!,0),MATCH('Respuestas de formulario 1.1'!CY$1,#REF!,0)),"")</f>
        <v/>
      </c>
      <c r="CZ10" s="57" t="str">
        <f t="array" ref="CZ10">IFERROR(INDEX(#REF!,MATCH('Respuestas de formulario 1.1'!$B10,#REF!,0),MATCH('Respuestas de formulario 1.1'!CZ$1,#REF!,0)),"")</f>
        <v/>
      </c>
      <c r="DA10" s="45" t="e">
        <f t="array" ref="DA10">INDEX(#REF!,MATCH('Respuestas de formulario 1.1'!$B10,#REF!,0),MATCH('Respuestas de formulario 1.1'!DA$1,#REF!,0))</f>
        <v>#REF!</v>
      </c>
      <c r="DB10" s="45" t="e">
        <f t="array" ref="DB10">INDEX(#REF!,MATCH('Respuestas de formulario 1.1'!$B10,#REF!,0),MATCH('Respuestas de formulario 1.1'!DB$1,#REF!,0))</f>
        <v>#REF!</v>
      </c>
      <c r="DC10" s="45" t="e">
        <f t="array" ref="DC10">INDEX(#REF!,MATCH('Respuestas de formulario 1.1'!$B10,#REF!,0),MATCH('Respuestas de formulario 1.1'!DC$1,#REF!,0))</f>
        <v>#REF!</v>
      </c>
      <c r="DD10" s="45" t="e">
        <f t="array" ref="DD10">INDEX(#REF!,MATCH('Respuestas de formulario 1.1'!$B10,#REF!,0),MATCH('Respuestas de formulario 1.1'!DD$1,#REF!,0))</f>
        <v>#REF!</v>
      </c>
      <c r="DE10" s="45" t="e">
        <f t="array" ref="DE10">INDEX(#REF!,MATCH('Respuestas de formulario 1.1'!$B10,#REF!,0),MATCH('Respuestas de formulario 1.1'!DE$1,#REF!,0))</f>
        <v>#REF!</v>
      </c>
      <c r="DF10" s="45" t="e">
        <f t="array" ref="DF10">INDEX(#REF!,MATCH('Respuestas de formulario 1.1'!$B10,#REF!,0),MATCH('Respuestas de formulario 1.1'!DF$1,#REF!,0))</f>
        <v>#REF!</v>
      </c>
      <c r="DG10" s="45" t="e">
        <f t="array" ref="DG10">INDEX(#REF!,MATCH('Respuestas de formulario 1.1'!$B10,#REF!,0),MATCH('Respuestas de formulario 1.1'!DG$1,#REF!,0))</f>
        <v>#REF!</v>
      </c>
      <c r="DH10" s="45" t="e">
        <f t="array" ref="DH10">INDEX(#REF!,MATCH('Respuestas de formulario 1.1'!$B10,#REF!,0),MATCH('Respuestas de formulario 1.1'!DH$1,#REF!,0))</f>
        <v>#REF!</v>
      </c>
      <c r="DI10" s="48" t="e">
        <f>VLOOKUP(CONCATENATE($DF10," TUTO ",$DC10),#REF!,3,0)</f>
        <v>#REF!</v>
      </c>
      <c r="DJ10" s="48" t="e">
        <f t="array" ref="DJ10">IF('Respuestas de formulario 1.1'!A10="","",INDEX(#REF!,MATCH('Respuestas de formulario 1.1'!B10,#REF!,0),MATCH('Respuestas de formulario 1.1'!$DH$1,#REF!,0)))</f>
        <v>#REF!</v>
      </c>
      <c r="DK10" s="52" t="str">
        <f>CONCATENATE("http://doc.google.com/uc?id=",MID('Respuestas de formulario 1.1'!G10,34,33))</f>
        <v>http://doc.google.com/uc?id=1CtSeAva0H_jWZwMZNR0SrmyM4vZth1eB</v>
      </c>
      <c r="DL10" s="49" t="str">
        <f>CONCATENATE("http://doc.google.com/uc?id=",MID('Respuestas de formulario 1.1'!AH10,34,33))</f>
        <v>http://doc.google.com/uc?id=12BQPDwMLoxeKUpUrsuMg-DdNRne9O-W8</v>
      </c>
      <c r="DM10" s="50" t="str">
        <f>CONCATENATE("http://doc.google.com/uc?id=",MID('Respuestas de formulario 1.1'!AW10,34,33))</f>
        <v>http://doc.google.com/uc?id=1rD32GoSAR6sLceZ7L77an1xyDk2IMnSq</v>
      </c>
      <c r="DN10" s="53" t="str">
        <f>CONCATENATE("http://doc.google.com/uc?id=",MID('Respuestas de formulario 1.1'!$BI10,34,33))</f>
        <v>http://doc.google.com/uc?id=1V1YGh7M5aMVPrBV8h_2GnXk-gy8pGjwG</v>
      </c>
      <c r="DO10" s="45" t="str">
        <f>IFERROR(VLOOKUP(CONCATENATE('Respuestas de formulario 1.1'!$B10,MID('Respuestas de formulario 1.1'!DO$1,2,1)),#REF!,12,0),"")</f>
        <v/>
      </c>
      <c r="DP10" s="45" t="str">
        <f>IFERROR(VLOOKUP(CONCATENATE('Respuestas de formulario 1.1'!$B10,MID('Respuestas de formulario 1.1'!DP$1,2,1)),#REF!,12,0),"")</f>
        <v/>
      </c>
      <c r="DQ10" s="45" t="str">
        <f>IFERROR(VLOOKUP(CONCATENATE('Respuestas de formulario 1.1'!$B10,MID('Respuestas de formulario 1.1'!DQ$1,2,1)),#REF!,12,0),"")</f>
        <v/>
      </c>
      <c r="DR10" s="45" t="str">
        <f>IFERROR(VLOOKUP(CONCATENATE('Respuestas de formulario 1.1'!$B10,MID('Respuestas de formulario 1.1'!DR$1,2,1)),#REF!,12,0),"")</f>
        <v/>
      </c>
      <c r="DS10" s="45" t="str">
        <f>IFERROR(VLOOKUP(CONCATENATE('Respuestas de formulario 1.1'!$B10,MID('Respuestas de formulario 1.1'!DS$1,2,1)),#REF!,12,0),"")</f>
        <v/>
      </c>
      <c r="DT10" s="45" t="str">
        <f>IFERROR(VLOOKUP(CONCATENATE('Respuestas de formulario 1.1'!$B10,MID('Respuestas de formulario 1.1'!DT$1,2,1)),#REF!,12,0),"")</f>
        <v/>
      </c>
      <c r="DU10" s="45" t="str">
        <f>IFERROR(VLOOKUP(CONCATENATE('Respuestas de formulario 1.1'!$B10,MID('Respuestas de formulario 1.1'!DU$1,2,1)),#REF!,12,0),"")</f>
        <v/>
      </c>
      <c r="DV10" s="45" t="str">
        <f>IFERROR(VLOOKUP(CONCATENATE('Respuestas de formulario 1.1'!$B10,MID('Respuestas de formulario 1.1'!DV$1,2,1)),#REF!,12,0),"")</f>
        <v/>
      </c>
      <c r="DW10" s="45" t="str">
        <f>IFERROR(VLOOKUP(CONCATENATE('Respuestas de formulario 1.1'!$B10,MID('Respuestas de formulario 1.1'!DW$1,2,1)),#REF!,12,0),"")</f>
        <v/>
      </c>
      <c r="DX10" s="45" t="str">
        <f>IFERROR(VLOOKUP(CONCATENATE('Respuestas de formulario 1.1'!$B10,MID('Respuestas de formulario 1.1'!DX$1,2,1)),#REF!,12,0),"")</f>
        <v/>
      </c>
      <c r="DY10" s="45" t="str">
        <f>IFERROR(VLOOKUP(CONCATENATE('Respuestas de formulario 1.1'!$B10,MID('Respuestas de formulario 1.1'!DY$1,2,1)),#REF!,12,0),"")</f>
        <v/>
      </c>
      <c r="DZ10" s="45" t="str">
        <f>IFERROR(VLOOKUP(CONCATENATE('Respuestas de formulario 1.1'!$B10,MID('Respuestas de formulario 1.1'!DZ$1,2,1)),#REF!,12,0),"")</f>
        <v/>
      </c>
      <c r="EA10" s="45" t="str">
        <f>IFERROR(VLOOKUP(CONCATENATE('Respuestas de formulario 1.1'!$B10,MID('Respuestas de formulario 1.1'!EA$1,2,1)),#REF!,12,0),"")</f>
        <v/>
      </c>
      <c r="EB10" s="45" t="str">
        <f>IFERROR(VLOOKUP(CONCATENATE('Respuestas de formulario 1.1'!$B10,MID('Respuestas de formulario 1.1'!EB$1,2,1)),#REF!,12,0),"")</f>
        <v/>
      </c>
      <c r="EC10" s="45" t="str">
        <f>IFERROR(VLOOKUP(CONCATENATE('Respuestas de formulario 1.1'!$B10,MID('Respuestas de formulario 1.1'!EC$1,2,1)),#REF!,12,0),"")</f>
        <v/>
      </c>
      <c r="ED10" s="45" t="str">
        <f>IFERROR(VLOOKUP(CONCATENATE('Respuestas de formulario 1.1'!$B10,MID('Respuestas de formulario 1.1'!ED$1,2,1)),#REF!,12,0),"")</f>
        <v/>
      </c>
      <c r="EE10" s="45" t="str">
        <f>IFERROR(VLOOKUP(CONCATENATE('Respuestas de formulario 1.1'!$B10,MID('Respuestas de formulario 1.1'!EE$1,2,1)),#REF!,12,0),"")</f>
        <v/>
      </c>
      <c r="EF10" s="45" t="str">
        <f>IFERROR(VLOOKUP(CONCATENATE('Respuestas de formulario 1.1'!$B10,MID('Respuestas de formulario 1.1'!EF$1,2,1)),#REF!,12,0),"")</f>
        <v/>
      </c>
      <c r="EG10" s="45" t="str">
        <f>IFERROR(VLOOKUP(CONCATENATE('Respuestas de formulario 1.1'!$B10,MID('Respuestas de formulario 1.1'!EG$1,2,1)),#REF!,12,0),"")</f>
        <v/>
      </c>
      <c r="EH10" s="45" t="str">
        <f>IFERROR(VLOOKUP(CONCATENATE('Respuestas de formulario 1.1'!$B10,MID('Respuestas de formulario 1.1'!EH$1,2,1)),#REF!,12,0),"")</f>
        <v/>
      </c>
      <c r="EI10" s="45" t="str">
        <f>IFERROR(VLOOKUP(CONCATENATE('Respuestas de formulario 1.1'!$B10,MID('Respuestas de formulario 1.1'!EI$1,2,1)),#REF!,12,0),"")</f>
        <v/>
      </c>
      <c r="EJ10" s="45" t="str">
        <f t="array" ref="EJ10">IF(DO10="","", INDEX(#REF!,MATCH(CONCATENATE('Respuestas de formulario 1.1'!$B10,DO10),#REF!,0),MATCH('Respuestas de formulario 1.1'!EJ$1,#REF!,0)))</f>
        <v/>
      </c>
      <c r="EK10" s="56" t="str">
        <f t="array" ref="EK10">IF(DP10="","", INDEX(#REF!,MATCH(CONCATENATE('Respuestas de formulario 1.1'!$B10,DP10),#REF!,0),MATCH('Respuestas de formulario 1.1'!EK$1,#REF!,0)))</f>
        <v/>
      </c>
      <c r="EL10" s="56" t="str">
        <f t="array" ref="EL10">IF(DQ10="","", INDEX(#REF!,MATCH(CONCATENATE('Respuestas de formulario 1.1'!$B10,DQ10),#REF!,0),MATCH('Respuestas de formulario 1.1'!EL$1,#REF!,0)))</f>
        <v/>
      </c>
      <c r="EM10" s="56" t="str">
        <f t="array" ref="EM10">IF(DR10="","", INDEX(#REF!,MATCH(CONCATENATE('Respuestas de formulario 1.1'!$B10,DR10),#REF!,0),MATCH('Respuestas de formulario 1.1'!EM$1,#REF!,0)))</f>
        <v/>
      </c>
      <c r="EN10" s="56" t="str">
        <f t="array" ref="EN10">IF(DS10="","", INDEX(#REF!,MATCH(CONCATENATE('Respuestas de formulario 1.1'!$B10,DS10),#REF!,0),MATCH('Respuestas de formulario 1.1'!EN$1,#REF!,0)))</f>
        <v/>
      </c>
      <c r="EO10" s="56" t="str">
        <f t="array" ref="EO10">IF(DT10="","", INDEX(#REF!,MATCH(CONCATENATE('Respuestas de formulario 1.1'!$B10,DT10),#REF!,0),MATCH('Respuestas de formulario 1.1'!EO$1,#REF!,0)))</f>
        <v/>
      </c>
      <c r="EP10" s="45" t="str">
        <f t="array" ref="EP10">IF(DU10="","", INDEX(#REF!,MATCH(CONCATENATE('Respuestas de formulario 1.1'!$B10,DU10),#REF!,0),MATCH('Respuestas de formulario 1.1'!EP$1,#REF!,0)))</f>
        <v/>
      </c>
      <c r="EQ10" s="45" t="str">
        <f t="array" ref="EQ10">IF(DP10="","", INDEX(#REF!,MATCH(CONCATENATE('Respuestas de formulario 1.1'!$B10,DP10),#REF!,0),MATCH('Respuestas de formulario 1.1'!EQ$1,#REF!,0)))</f>
        <v/>
      </c>
      <c r="ER10" s="56" t="str">
        <f t="array" ref="ER10">IF(DQ10="","", INDEX(#REF!,MATCH(CONCATENATE('Respuestas de formulario 1.1'!$B10,DQ10),#REF!,0),MATCH('Respuestas de formulario 1.1'!ER$1,#REF!,0)))</f>
        <v/>
      </c>
      <c r="ES10" s="56" t="str">
        <f t="array" ref="ES10">IF(DR10="","", INDEX(#REF!,MATCH(CONCATENATE('Respuestas de formulario 1.1'!$B10,DR10),#REF!,0),MATCH('Respuestas de formulario 1.1'!ES$1,#REF!,0)))</f>
        <v/>
      </c>
      <c r="ET10" s="56" t="str">
        <f t="array" ref="ET10">IF(DS10="","", INDEX(#REF!,MATCH(CONCATENATE('Respuestas de formulario 1.1'!$B10,DS10),#REF!,0),MATCH('Respuestas de formulario 1.1'!ET$1,#REF!,0)))</f>
        <v/>
      </c>
      <c r="EU10" s="56" t="str">
        <f t="array" ref="EU10">IF(DT10="","", INDEX(#REF!,MATCH(CONCATENATE('Respuestas de formulario 1.1'!$B10,DT10),#REF!,0),MATCH('Respuestas de formulario 1.1'!EU$1,#REF!,0)))</f>
        <v/>
      </c>
      <c r="EV10" s="56" t="str">
        <f t="array" ref="EV10">IF(DU10="","", INDEX(#REF!,MATCH(CONCATENATE('Respuestas de formulario 1.1'!$B10,DU10),#REF!,0),MATCH('Respuestas de formulario 1.1'!EV$1,#REF!,0)))</f>
        <v/>
      </c>
      <c r="EW10" s="45" t="str">
        <f t="array" ref="EW10">IF(DV10="","", INDEX(#REF!,MATCH(CONCATENATE('Respuestas de formulario 1.1'!$B10,DV10),#REF!,0),MATCH('Respuestas de formulario 1.1'!EW$1,#REF!,0)))</f>
        <v/>
      </c>
      <c r="EX10" s="45" t="str">
        <f t="array" ref="EX10">IF($DQ10="","", INDEX(#REF!,MATCH(CONCATENATE('Respuestas de formulario 1.1'!$B10,$DQ10),#REF!,0),MATCH('Respuestas de formulario 1.1'!EX$1,#REF!,0)))</f>
        <v/>
      </c>
      <c r="EY10" s="56" t="str">
        <f t="array" ref="EY10">IF($DQ10="","", INDEX(#REF!,MATCH(CONCATENATE('Respuestas de formulario 1.1'!$B10,$DQ10),#REF!,0),MATCH('Respuestas de formulario 1.1'!EY$1,#REF!,0)))</f>
        <v/>
      </c>
      <c r="EZ10" s="56" t="str">
        <f t="array" ref="EZ10">IF($DQ10="","", INDEX(#REF!,MATCH(CONCATENATE('Respuestas de formulario 1.1'!$B10,$DQ10),#REF!,0),MATCH('Respuestas de formulario 1.1'!EZ$1,#REF!,0)))</f>
        <v/>
      </c>
      <c r="FA10" s="56" t="str">
        <f t="array" ref="FA10">IF($DQ10="","", INDEX(#REF!,MATCH(CONCATENATE('Respuestas de formulario 1.1'!$B10,$DQ10),#REF!,0),MATCH('Respuestas de formulario 1.1'!FA$1,#REF!,0)))</f>
        <v/>
      </c>
      <c r="FB10" s="56" t="str">
        <f t="array" ref="FB10">IF($DQ10="","", INDEX(#REF!,MATCH(CONCATENATE('Respuestas de formulario 1.1'!$B10,$DQ10),#REF!,0),MATCH('Respuestas de formulario 1.1'!FB$1,#REF!,0)))</f>
        <v/>
      </c>
      <c r="FC10" s="56" t="str">
        <f t="array" ref="FC10">IF($DQ10="","", INDEX(#REF!,MATCH(CONCATENATE('Respuestas de formulario 1.1'!$B10,$DQ10),#REF!,0),MATCH('Respuestas de formulario 1.1'!FC$1,#REF!,0)))</f>
        <v/>
      </c>
      <c r="FD10" s="45" t="str">
        <f t="array" ref="FD10">IF($DQ10="","", INDEX(#REF!,MATCH(CONCATENATE('Respuestas de formulario 1.1'!$B10,$DQ10),#REF!,0),MATCH('Respuestas de formulario 1.1'!FD$1,#REF!,0)))</f>
        <v/>
      </c>
      <c r="FE10" s="45" t="str">
        <f t="array" ref="FE10">IF($DR10="","", INDEX(#REF!,MATCH(CONCATENATE(#REF!,$DR10),#REF!,0),MATCH(#REF!,#REF!,0)))</f>
        <v/>
      </c>
      <c r="FF10" s="56" t="str">
        <f t="array" ref="FF10">IF($DR10="","", INDEX(#REF!,MATCH(CONCATENATE(#REF!,$DR10),#REF!,0),MATCH(#REF!,#REF!,0)))</f>
        <v/>
      </c>
      <c r="FG10" s="56" t="str">
        <f t="array" ref="FG10">IF($DR10="","", INDEX(#REF!,MATCH(CONCATENATE(#REF!,$DR10),#REF!,0),MATCH(#REF!,#REF!,0)))</f>
        <v/>
      </c>
      <c r="FH10" s="56" t="str">
        <f t="array" ref="FH10">IF($DR10="","", INDEX(#REF!,MATCH(CONCATENATE(#REF!,$DR10),#REF!,0),MATCH(#REF!,#REF!,0)))</f>
        <v/>
      </c>
      <c r="FI10" s="56" t="str">
        <f t="array" ref="FI10">IF($DR10="","", INDEX(#REF!,MATCH(CONCATENATE(#REF!,$DR10),#REF!,0),MATCH(#REF!,#REF!,0)))</f>
        <v/>
      </c>
      <c r="FJ10" s="56" t="str">
        <f t="array" ref="FJ10">IF($DR10="","", INDEX(#REF!,MATCH(CONCATENATE(#REF!,$DR10),#REF!,0),MATCH(#REF!,#REF!,0)))</f>
        <v/>
      </c>
      <c r="FK10" s="45" t="str">
        <f t="array" ref="FK10">IF($DR10="","", INDEX(#REF!,MATCH(CONCATENATE(#REF!,$DR10),#REF!,0),MATCH(#REF!,#REF!,0)))</f>
        <v/>
      </c>
      <c r="FL10" s="45" t="str">
        <f t="array" ref="FL10">IF($DT10="","", INDEX(#REF!,MATCH(CONCATENATE('Respuestas de formulario 1.1'!$B10,$DS10),#REF!,0),MATCH('Respuestas de formulario 1.1'!FL$1,#REF!,0)))</f>
        <v/>
      </c>
      <c r="FM10" s="56" t="str">
        <f t="array" ref="FM10">IF($DT10="","", INDEX(#REF!,MATCH(CONCATENATE('Respuestas de formulario 1.1'!$B10,$DS10),#REF!,0),MATCH('Respuestas de formulario 1.1'!FM$1,#REF!,0)))</f>
        <v/>
      </c>
      <c r="FN10" s="56" t="str">
        <f t="array" ref="FN10">IF($DT10="","", INDEX(#REF!,MATCH(CONCATENATE('Respuestas de formulario 1.1'!$B10,$DS10),#REF!,0),MATCH('Respuestas de formulario 1.1'!FN$1,#REF!,0)))</f>
        <v/>
      </c>
      <c r="FO10" s="56" t="str">
        <f t="array" ref="FO10">IF($DT10="","", INDEX(#REF!,MATCH(CONCATENATE('Respuestas de formulario 1.1'!$B10,$DS10),#REF!,0),MATCH('Respuestas de formulario 1.1'!FO$1,#REF!,0)))</f>
        <v/>
      </c>
      <c r="FP10" s="56" t="str">
        <f t="array" ref="FP10">IF($DT10="","", INDEX(#REF!,MATCH(CONCATENATE('Respuestas de formulario 1.1'!$B10,$DS10),#REF!,0),MATCH('Respuestas de formulario 1.1'!FP$1,#REF!,0)))</f>
        <v/>
      </c>
      <c r="FQ10" s="56" t="str">
        <f t="array" ref="FQ10">IF($DT10="","", INDEX(#REF!,MATCH(CONCATENATE('Respuestas de formulario 1.1'!$B10,$DS10),#REF!,0),MATCH('Respuestas de formulario 1.1'!FQ$1,#REF!,0)))</f>
        <v/>
      </c>
      <c r="FR10" s="45" t="str">
        <f t="array" ref="FR10">IF($DT10="","", INDEX(#REF!,MATCH(CONCATENATE('Respuestas de formulario 1.1'!$B10,$DS10),#REF!,0),MATCH('Respuestas de formulario 1.1'!FR$1,#REF!,0)))</f>
        <v/>
      </c>
      <c r="FS10" s="45" t="str">
        <f t="array" ref="FS10">IF($DU10="","", INDEX(#REF!,MATCH(CONCATENATE('Respuestas de formulario 1.1'!$B10,$DT10),#REF!,0),MATCH('Respuestas de formulario 1.1'!FS$1,#REF!,0)))</f>
        <v/>
      </c>
      <c r="FT10" s="56" t="str">
        <f t="array" ref="FT10">IF($DU10="","", INDEX(#REF!,MATCH(CONCATENATE('Respuestas de formulario 1.1'!$B10,$DT10),#REF!,0),MATCH('Respuestas de formulario 1.1'!FT$1,#REF!,0)))</f>
        <v/>
      </c>
      <c r="FU10" s="56" t="str">
        <f t="array" ref="FU10">IF($DU10="","", INDEX(#REF!,MATCH(CONCATENATE('Respuestas de formulario 1.1'!$B10,$DT10),#REF!,0),MATCH('Respuestas de formulario 1.1'!FU$1,#REF!,0)))</f>
        <v/>
      </c>
      <c r="FV10" s="56" t="str">
        <f t="array" ref="FV10">IF($DU10="","", INDEX(#REF!,MATCH(CONCATENATE('Respuestas de formulario 1.1'!$B10,$DT10),#REF!,0),MATCH('Respuestas de formulario 1.1'!FV$1,#REF!,0)))</f>
        <v/>
      </c>
      <c r="FW10" s="56" t="str">
        <f t="array" ref="FW10">IF($DU10="","", INDEX(#REF!,MATCH(CONCATENATE('Respuestas de formulario 1.1'!$B10,$DT10),#REF!,0),MATCH('Respuestas de formulario 1.1'!FW$1,#REF!,0)))</f>
        <v/>
      </c>
      <c r="FX10" s="56" t="str">
        <f t="array" ref="FX10">IF($DU10="","", INDEX(#REF!,MATCH(CONCATENATE('Respuestas de formulario 1.1'!$B10,$DT10),#REF!,0),MATCH('Respuestas de formulario 1.1'!FX$1,#REF!,0)))</f>
        <v/>
      </c>
      <c r="FY10" s="45" t="str">
        <f t="array" ref="FY10">IF($DU10="","", INDEX(#REF!,MATCH(CONCATENATE('Respuestas de formulario 1.1'!$B10,$DT10),#REF!,0),MATCH('Respuestas de formulario 1.1'!FY$1,#REF!,0)))</f>
        <v/>
      </c>
      <c r="FZ10" s="3" t="s">
        <v>2860</v>
      </c>
      <c r="GA10" s="1" t="s">
        <v>2978</v>
      </c>
      <c r="GB10" s="5" t="s">
        <v>2979</v>
      </c>
      <c r="GC10" s="4" t="str">
        <f>HYPERLINK("https://drive.google.com/file/d/1rGLF2cMrPdoxFfQGUKnAU2-x5h2Nrj0L/view?usp=drivesdk","MARTINEZ  SERENO  FRANCISCO ESTEBAN  Formato de reinscripción y pago 2022-2")</f>
        <v>MARTINEZ  SERENO  FRANCISCO ESTEBAN  Formato de reinscripción y pago 2022-2</v>
      </c>
      <c r="GD10" s="1" t="s">
        <v>2980</v>
      </c>
      <c r="GE10" s="1"/>
      <c r="GF10" s="1"/>
      <c r="GG10" s="1"/>
      <c r="GH10" s="1"/>
      <c r="GI10" s="1" t="s">
        <v>2981</v>
      </c>
      <c r="GJ10" s="5" t="s">
        <v>2982</v>
      </c>
      <c r="GK10" s="5" t="str">
        <f>HYPERLINK("https://drive.google.com/file/d/1OVzER_TfXNv6-8_D5L3soTOjZnKUMApr/view?usp=drivesdk","MARTINEZ  SERENO  FRANCISCO ESTEBAN  Formato de reinscripción y pago 2022-2")</f>
        <v>MARTINEZ  SERENO  FRANCISCO ESTEBAN  Formato de reinscripción y pago 2022-2</v>
      </c>
      <c r="GL10" s="1" t="s">
        <v>2983</v>
      </c>
    </row>
    <row r="11" spans="1:194" ht="15.75" customHeight="1" x14ac:dyDescent="0.2">
      <c r="A11" s="2">
        <v>45139.028265868052</v>
      </c>
      <c r="B11" s="1" t="s">
        <v>59</v>
      </c>
      <c r="C11" s="1" t="s">
        <v>1056</v>
      </c>
      <c r="D11" s="1" t="s">
        <v>390</v>
      </c>
      <c r="E11" s="1" t="s">
        <v>2575</v>
      </c>
      <c r="F11" s="1" t="s">
        <v>223</v>
      </c>
      <c r="G11" s="5" t="s">
        <v>2984</v>
      </c>
      <c r="H11" s="41">
        <v>38966</v>
      </c>
      <c r="I11" s="1">
        <v>16</v>
      </c>
      <c r="J11" s="1">
        <v>5541894295</v>
      </c>
      <c r="K11" s="1">
        <v>5557730466</v>
      </c>
      <c r="L11" s="1" t="s">
        <v>2576</v>
      </c>
      <c r="M11" s="1">
        <v>213090605704</v>
      </c>
      <c r="N11" s="1" t="s">
        <v>1108</v>
      </c>
      <c r="O11" s="1" t="s">
        <v>247</v>
      </c>
      <c r="P11" s="1" t="s">
        <v>226</v>
      </c>
      <c r="Q11" s="1" t="s">
        <v>227</v>
      </c>
      <c r="R11" s="1" t="s">
        <v>236</v>
      </c>
      <c r="S11" s="1" t="s">
        <v>228</v>
      </c>
      <c r="T11" s="1" t="s">
        <v>229</v>
      </c>
      <c r="U11" s="1" t="s">
        <v>249</v>
      </c>
      <c r="V11" s="1" t="s">
        <v>228</v>
      </c>
      <c r="W11" s="1" t="s">
        <v>2985</v>
      </c>
      <c r="X11" s="1" t="s">
        <v>249</v>
      </c>
      <c r="Y11" s="1" t="s">
        <v>1356</v>
      </c>
      <c r="Z11" s="1" t="s">
        <v>240</v>
      </c>
      <c r="AA11" s="44" t="s">
        <v>602</v>
      </c>
      <c r="AB11" s="1">
        <v>19</v>
      </c>
      <c r="AC11" s="1" t="s">
        <v>2986</v>
      </c>
      <c r="AD11" s="1" t="s">
        <v>2987</v>
      </c>
      <c r="AE11" s="1" t="s">
        <v>2577</v>
      </c>
      <c r="AF11" s="1" t="s">
        <v>580</v>
      </c>
      <c r="AG11" s="1">
        <v>41</v>
      </c>
      <c r="AH11" s="5" t="s">
        <v>2988</v>
      </c>
      <c r="AI11" s="1">
        <v>5565310286</v>
      </c>
      <c r="AJ11" s="1">
        <v>5557730466</v>
      </c>
      <c r="AK11" s="1" t="s">
        <v>2989</v>
      </c>
      <c r="AL11" s="1" t="s">
        <v>1056</v>
      </c>
      <c r="AM11" s="1" t="s">
        <v>304</v>
      </c>
      <c r="AN11" s="1" t="s">
        <v>2990</v>
      </c>
      <c r="AO11" s="1" t="s">
        <v>586</v>
      </c>
      <c r="AP11" s="1">
        <v>19</v>
      </c>
      <c r="AQ11" s="1" t="s">
        <v>303</v>
      </c>
      <c r="AR11" s="42">
        <v>0.29166666666424135</v>
      </c>
      <c r="AS11" s="42">
        <v>0.125</v>
      </c>
      <c r="AT11" s="1">
        <v>5586915160</v>
      </c>
      <c r="AU11" s="1">
        <v>5557730466</v>
      </c>
      <c r="AV11" s="1" t="s">
        <v>2991</v>
      </c>
      <c r="AW11" s="5" t="s">
        <v>2992</v>
      </c>
      <c r="AX11" s="1" t="s">
        <v>2993</v>
      </c>
      <c r="AY11" s="1" t="s">
        <v>305</v>
      </c>
      <c r="AZ11" s="1" t="s">
        <v>496</v>
      </c>
      <c r="BA11" s="1" t="s">
        <v>2778</v>
      </c>
      <c r="BB11" s="1">
        <v>40</v>
      </c>
      <c r="BC11" s="1" t="s">
        <v>546</v>
      </c>
      <c r="BD11" s="43">
        <v>0.20833333333575865</v>
      </c>
      <c r="BE11" s="43">
        <v>0.25</v>
      </c>
      <c r="BF11" s="1">
        <v>7121059535</v>
      </c>
      <c r="BG11" s="1">
        <v>5557730466</v>
      </c>
      <c r="BH11" s="1"/>
      <c r="BI11" s="5" t="s">
        <v>2994</v>
      </c>
      <c r="BJ11" s="1" t="s">
        <v>236</v>
      </c>
      <c r="BL11" s="1">
        <v>1.58</v>
      </c>
      <c r="BM11" s="1">
        <v>58</v>
      </c>
      <c r="BN11" s="1" t="s">
        <v>236</v>
      </c>
      <c r="BO11" s="1" t="s">
        <v>228</v>
      </c>
      <c r="BQ11" s="1" t="s">
        <v>228</v>
      </c>
      <c r="BR11" s="1" t="s">
        <v>237</v>
      </c>
      <c r="BS11" s="1" t="s">
        <v>228</v>
      </c>
      <c r="BT11" s="1" t="s">
        <v>237</v>
      </c>
      <c r="BU11" s="1" t="s">
        <v>228</v>
      </c>
      <c r="BW11" s="1" t="s">
        <v>238</v>
      </c>
      <c r="BX11" s="1">
        <v>40</v>
      </c>
      <c r="BY11" s="1">
        <v>60</v>
      </c>
      <c r="BZ11" s="1" t="s">
        <v>253</v>
      </c>
      <c r="CA11" s="1" t="s">
        <v>343</v>
      </c>
      <c r="CB11" s="1" t="s">
        <v>240</v>
      </c>
      <c r="CC11" s="1" t="s">
        <v>2995</v>
      </c>
      <c r="CD11" s="1">
        <v>5000</v>
      </c>
      <c r="CE11" s="1">
        <v>5000</v>
      </c>
      <c r="CF11" s="1" t="s">
        <v>236</v>
      </c>
      <c r="CG11" s="1" t="s">
        <v>242</v>
      </c>
      <c r="CH11" s="1" t="s">
        <v>243</v>
      </c>
      <c r="CI11" s="1" t="s">
        <v>243</v>
      </c>
      <c r="CJ11" s="1" t="s">
        <v>2848</v>
      </c>
      <c r="CL11" s="5" t="s">
        <v>2996</v>
      </c>
      <c r="CM11" s="1">
        <v>20210614671</v>
      </c>
      <c r="CN11" s="1" t="s">
        <v>228</v>
      </c>
      <c r="CQ11" s="42">
        <v>0.33333333333575865</v>
      </c>
      <c r="CR11" s="42">
        <v>0.66666666666424135</v>
      </c>
      <c r="CT11" s="45" t="str">
        <f t="array" ref="CT11">IFERROR(INDEX(#REF!,MATCH('Respuestas de formulario 1.1'!$B11,#REF!,0),MATCH('Respuestas de formulario 1.1'!CT$1,#REF!,0)),"")</f>
        <v/>
      </c>
      <c r="CU11" s="56" t="str">
        <f t="array" ref="CU11">IFERROR(INDEX(#REF!,MATCH('Respuestas de formulario 1.1'!$B11,#REF!,0),MATCH('Respuestas de formulario 1.1'!CU$1,#REF!,0)),"")</f>
        <v/>
      </c>
      <c r="CV11" s="56" t="str">
        <f t="array" ref="CV11">IFERROR(INDEX(#REF!,MATCH('Respuestas de formulario 1.1'!$B11,#REF!,0),MATCH('Respuestas de formulario 1.1'!CV$1,#REF!,0)),"")</f>
        <v/>
      </c>
      <c r="CW11" s="56" t="str">
        <f t="array" ref="CW11">IFERROR(INDEX(#REF!,MATCH('Respuestas de formulario 1.1'!$B11,#REF!,0),MATCH('Respuestas de formulario 1.1'!CW$1,#REF!,0)),"")</f>
        <v/>
      </c>
      <c r="CX11" s="56" t="str">
        <f t="array" ref="CX11">IFERROR(INDEX(#REF!,MATCH('Respuestas de formulario 1.1'!$B11,#REF!,0),MATCH('Respuestas de formulario 1.1'!CX$1,#REF!,0)),"")</f>
        <v/>
      </c>
      <c r="CY11" s="56" t="str">
        <f t="array" ref="CY11">IFERROR(INDEX(#REF!,MATCH('Respuestas de formulario 1.1'!$B11,#REF!,0),MATCH('Respuestas de formulario 1.1'!CY$1,#REF!,0)),"")</f>
        <v/>
      </c>
      <c r="CZ11" s="57" t="str">
        <f t="array" ref="CZ11">IFERROR(INDEX(#REF!,MATCH('Respuestas de formulario 1.1'!$B11,#REF!,0),MATCH('Respuestas de formulario 1.1'!CZ$1,#REF!,0)),"")</f>
        <v/>
      </c>
      <c r="DA11" s="45" t="e">
        <f t="array" ref="DA11">INDEX(#REF!,MATCH('Respuestas de formulario 1.1'!$B11,#REF!,0),MATCH('Respuestas de formulario 1.1'!DA$1,#REF!,0))</f>
        <v>#REF!</v>
      </c>
      <c r="DB11" s="45" t="e">
        <f t="array" ref="DB11">INDEX(#REF!,MATCH('Respuestas de formulario 1.1'!$B11,#REF!,0),MATCH('Respuestas de formulario 1.1'!DB$1,#REF!,0))</f>
        <v>#REF!</v>
      </c>
      <c r="DC11" s="45" t="e">
        <f t="array" ref="DC11">INDEX(#REF!,MATCH('Respuestas de formulario 1.1'!$B11,#REF!,0),MATCH('Respuestas de formulario 1.1'!DC$1,#REF!,0))</f>
        <v>#REF!</v>
      </c>
      <c r="DD11" s="45" t="e">
        <f t="array" ref="DD11">INDEX(#REF!,MATCH('Respuestas de formulario 1.1'!$B11,#REF!,0),MATCH('Respuestas de formulario 1.1'!DD$1,#REF!,0))</f>
        <v>#REF!</v>
      </c>
      <c r="DE11" s="45" t="e">
        <f t="array" ref="DE11">INDEX(#REF!,MATCH('Respuestas de formulario 1.1'!$B11,#REF!,0),MATCH('Respuestas de formulario 1.1'!DE$1,#REF!,0))</f>
        <v>#REF!</v>
      </c>
      <c r="DF11" s="45" t="e">
        <f t="array" ref="DF11">INDEX(#REF!,MATCH('Respuestas de formulario 1.1'!$B11,#REF!,0),MATCH('Respuestas de formulario 1.1'!DF$1,#REF!,0))</f>
        <v>#REF!</v>
      </c>
      <c r="DG11" s="45" t="e">
        <f t="array" ref="DG11">INDEX(#REF!,MATCH('Respuestas de formulario 1.1'!$B11,#REF!,0),MATCH('Respuestas de formulario 1.1'!DG$1,#REF!,0))</f>
        <v>#REF!</v>
      </c>
      <c r="DH11" s="45" t="e">
        <f t="array" ref="DH11">INDEX(#REF!,MATCH('Respuestas de formulario 1.1'!$B11,#REF!,0),MATCH('Respuestas de formulario 1.1'!DH$1,#REF!,0))</f>
        <v>#REF!</v>
      </c>
      <c r="DI11" s="48" t="e">
        <f>VLOOKUP(CONCATENATE($DF11," TUTO ",$DC11),#REF!,3,0)</f>
        <v>#REF!</v>
      </c>
      <c r="DJ11" s="48" t="e">
        <f t="array" ref="DJ11">IF('Respuestas de formulario 1.1'!A11="","",INDEX(#REF!,MATCH('Respuestas de formulario 1.1'!B11,#REF!,0),MATCH('Respuestas de formulario 1.1'!$DH$1,#REF!,0)))</f>
        <v>#REF!</v>
      </c>
      <c r="DK11" s="52" t="str">
        <f>CONCATENATE("http://doc.google.com/uc?id=",MID('Respuestas de formulario 1.1'!G11,34,33))</f>
        <v>http://doc.google.com/uc?id=1MZhb6o0Nk241Z100xKvSbCpnl1mGK1cb</v>
      </c>
      <c r="DL11" s="49" t="str">
        <f>CONCATENATE("http://doc.google.com/uc?id=",MID('Respuestas de formulario 1.1'!AH11,34,33))</f>
        <v>http://doc.google.com/uc?id=1rPXUsiq8VsDSTOJDM4KLAHFf8yKZ3qeW</v>
      </c>
      <c r="DM11" s="50" t="str">
        <f>CONCATENATE("http://doc.google.com/uc?id=",MID('Respuestas de formulario 1.1'!AW11,34,33))</f>
        <v>http://doc.google.com/uc?id=1vhzq0mQXF7nTLIjy1OZmHEfkIr6-7vv3</v>
      </c>
      <c r="DN11" s="53" t="str">
        <f>CONCATENATE("http://doc.google.com/uc?id=",MID('Respuestas de formulario 1.1'!$BI11,34,33))</f>
        <v>http://doc.google.com/uc?id=1JIFvKxJTbMK4I4EMBOPC3qOH5NedmmhW</v>
      </c>
      <c r="DO11" s="45" t="str">
        <f>IFERROR(VLOOKUP(CONCATENATE('Respuestas de formulario 1.1'!$B11,MID('Respuestas de formulario 1.1'!DO$1,2,1)),#REF!,12,0),"")</f>
        <v/>
      </c>
      <c r="DP11" s="45" t="str">
        <f>IFERROR(VLOOKUP(CONCATENATE('Respuestas de formulario 1.1'!$B11,MID('Respuestas de formulario 1.1'!DP$1,2,1)),#REF!,12,0),"")</f>
        <v/>
      </c>
      <c r="DQ11" s="45" t="str">
        <f>IFERROR(VLOOKUP(CONCATENATE('Respuestas de formulario 1.1'!$B11,MID('Respuestas de formulario 1.1'!DQ$1,2,1)),#REF!,12,0),"")</f>
        <v/>
      </c>
      <c r="DR11" s="45" t="str">
        <f>IFERROR(VLOOKUP(CONCATENATE('Respuestas de formulario 1.1'!$B11,MID('Respuestas de formulario 1.1'!DR$1,2,1)),#REF!,12,0),"")</f>
        <v/>
      </c>
      <c r="DS11" s="45" t="str">
        <f>IFERROR(VLOOKUP(CONCATENATE('Respuestas de formulario 1.1'!$B11,MID('Respuestas de formulario 1.1'!DS$1,2,1)),#REF!,12,0),"")</f>
        <v/>
      </c>
      <c r="DT11" s="45" t="str">
        <f>IFERROR(VLOOKUP(CONCATENATE('Respuestas de formulario 1.1'!$B11,MID('Respuestas de formulario 1.1'!DT$1,2,1)),#REF!,12,0),"")</f>
        <v/>
      </c>
      <c r="DU11" s="45" t="str">
        <f>IFERROR(VLOOKUP(CONCATENATE('Respuestas de formulario 1.1'!$B11,MID('Respuestas de formulario 1.1'!DU$1,2,1)),#REF!,12,0),"")</f>
        <v/>
      </c>
      <c r="DV11" s="45" t="str">
        <f>IFERROR(VLOOKUP(CONCATENATE('Respuestas de formulario 1.1'!$B11,MID('Respuestas de formulario 1.1'!DV$1,2,1)),#REF!,12,0),"")</f>
        <v/>
      </c>
      <c r="DW11" s="45" t="str">
        <f>IFERROR(VLOOKUP(CONCATENATE('Respuestas de formulario 1.1'!$B11,MID('Respuestas de formulario 1.1'!DW$1,2,1)),#REF!,12,0),"")</f>
        <v/>
      </c>
      <c r="DX11" s="45" t="str">
        <f>IFERROR(VLOOKUP(CONCATENATE('Respuestas de formulario 1.1'!$B11,MID('Respuestas de formulario 1.1'!DX$1,2,1)),#REF!,12,0),"")</f>
        <v/>
      </c>
      <c r="DY11" s="45" t="str">
        <f>IFERROR(VLOOKUP(CONCATENATE('Respuestas de formulario 1.1'!$B11,MID('Respuestas de formulario 1.1'!DY$1,2,1)),#REF!,12,0),"")</f>
        <v/>
      </c>
      <c r="DZ11" s="45" t="str">
        <f>IFERROR(VLOOKUP(CONCATENATE('Respuestas de formulario 1.1'!$B11,MID('Respuestas de formulario 1.1'!DZ$1,2,1)),#REF!,12,0),"")</f>
        <v/>
      </c>
      <c r="EA11" s="45" t="str">
        <f>IFERROR(VLOOKUP(CONCATENATE('Respuestas de formulario 1.1'!$B11,MID('Respuestas de formulario 1.1'!EA$1,2,1)),#REF!,12,0),"")</f>
        <v/>
      </c>
      <c r="EB11" s="45" t="str">
        <f>IFERROR(VLOOKUP(CONCATENATE('Respuestas de formulario 1.1'!$B11,MID('Respuestas de formulario 1.1'!EB$1,2,1)),#REF!,12,0),"")</f>
        <v/>
      </c>
      <c r="EC11" s="45" t="str">
        <f>IFERROR(VLOOKUP(CONCATENATE('Respuestas de formulario 1.1'!$B11,MID('Respuestas de formulario 1.1'!EC$1,2,1)),#REF!,12,0),"")</f>
        <v/>
      </c>
      <c r="ED11" s="45" t="str">
        <f>IFERROR(VLOOKUP(CONCATENATE('Respuestas de formulario 1.1'!$B11,MID('Respuestas de formulario 1.1'!ED$1,2,1)),#REF!,12,0),"")</f>
        <v/>
      </c>
      <c r="EE11" s="45" t="str">
        <f>IFERROR(VLOOKUP(CONCATENATE('Respuestas de formulario 1.1'!$B11,MID('Respuestas de formulario 1.1'!EE$1,2,1)),#REF!,12,0),"")</f>
        <v/>
      </c>
      <c r="EF11" s="45" t="str">
        <f>IFERROR(VLOOKUP(CONCATENATE('Respuestas de formulario 1.1'!$B11,MID('Respuestas de formulario 1.1'!EF$1,2,1)),#REF!,12,0),"")</f>
        <v/>
      </c>
      <c r="EG11" s="45" t="str">
        <f>IFERROR(VLOOKUP(CONCATENATE('Respuestas de formulario 1.1'!$B11,MID('Respuestas de formulario 1.1'!EG$1,2,1)),#REF!,12,0),"")</f>
        <v/>
      </c>
      <c r="EH11" s="45" t="str">
        <f>IFERROR(VLOOKUP(CONCATENATE('Respuestas de formulario 1.1'!$B11,MID('Respuestas de formulario 1.1'!EH$1,2,1)),#REF!,12,0),"")</f>
        <v/>
      </c>
      <c r="EI11" s="45" t="str">
        <f>IFERROR(VLOOKUP(CONCATENATE('Respuestas de formulario 1.1'!$B11,MID('Respuestas de formulario 1.1'!EI$1,2,1)),#REF!,12,0),"")</f>
        <v/>
      </c>
      <c r="EJ11" s="45" t="str">
        <f t="array" ref="EJ11">IF(DO11="","", INDEX(#REF!,MATCH(CONCATENATE('Respuestas de formulario 1.1'!$B11,DO11),#REF!,0),MATCH('Respuestas de formulario 1.1'!EJ$1,#REF!,0)))</f>
        <v/>
      </c>
      <c r="EK11" s="56" t="str">
        <f t="array" ref="EK11">IF(DP11="","", INDEX(#REF!,MATCH(CONCATENATE('Respuestas de formulario 1.1'!$B11,DP11),#REF!,0),MATCH('Respuestas de formulario 1.1'!EK$1,#REF!,0)))</f>
        <v/>
      </c>
      <c r="EL11" s="56" t="str">
        <f t="array" ref="EL11">IF(DQ11="","", INDEX(#REF!,MATCH(CONCATENATE('Respuestas de formulario 1.1'!$B11,DQ11),#REF!,0),MATCH('Respuestas de formulario 1.1'!EL$1,#REF!,0)))</f>
        <v/>
      </c>
      <c r="EM11" s="56" t="str">
        <f t="array" ref="EM11">IF(DR11="","", INDEX(#REF!,MATCH(CONCATENATE('Respuestas de formulario 1.1'!$B11,DR11),#REF!,0),MATCH('Respuestas de formulario 1.1'!EM$1,#REF!,0)))</f>
        <v/>
      </c>
      <c r="EN11" s="56" t="str">
        <f t="array" ref="EN11">IF(DS11="","", INDEX(#REF!,MATCH(CONCATENATE('Respuestas de formulario 1.1'!$B11,DS11),#REF!,0),MATCH('Respuestas de formulario 1.1'!EN$1,#REF!,0)))</f>
        <v/>
      </c>
      <c r="EO11" s="56" t="str">
        <f t="array" ref="EO11">IF(DT11="","", INDEX(#REF!,MATCH(CONCATENATE('Respuestas de formulario 1.1'!$B11,DT11),#REF!,0),MATCH('Respuestas de formulario 1.1'!EO$1,#REF!,0)))</f>
        <v/>
      </c>
      <c r="EP11" s="45" t="str">
        <f t="array" ref="EP11">IF(DU11="","", INDEX(#REF!,MATCH(CONCATENATE('Respuestas de formulario 1.1'!$B11,DU11),#REF!,0),MATCH('Respuestas de formulario 1.1'!EP$1,#REF!,0)))</f>
        <v/>
      </c>
      <c r="EQ11" s="45" t="str">
        <f t="array" ref="EQ11">IF(DP11="","", INDEX(#REF!,MATCH(CONCATENATE('Respuestas de formulario 1.1'!$B11,DP11),#REF!,0),MATCH('Respuestas de formulario 1.1'!EQ$1,#REF!,0)))</f>
        <v/>
      </c>
      <c r="ER11" s="56" t="str">
        <f t="array" ref="ER11">IF(DQ11="","", INDEX(#REF!,MATCH(CONCATENATE('Respuestas de formulario 1.1'!$B11,DQ11),#REF!,0),MATCH('Respuestas de formulario 1.1'!ER$1,#REF!,0)))</f>
        <v/>
      </c>
      <c r="ES11" s="56" t="str">
        <f t="array" ref="ES11">IF(DR11="","", INDEX(#REF!,MATCH(CONCATENATE('Respuestas de formulario 1.1'!$B11,DR11),#REF!,0),MATCH('Respuestas de formulario 1.1'!ES$1,#REF!,0)))</f>
        <v/>
      </c>
      <c r="ET11" s="56" t="str">
        <f t="array" ref="ET11">IF(DS11="","", INDEX(#REF!,MATCH(CONCATENATE('Respuestas de formulario 1.1'!$B11,DS11),#REF!,0),MATCH('Respuestas de formulario 1.1'!ET$1,#REF!,0)))</f>
        <v/>
      </c>
      <c r="EU11" s="56" t="str">
        <f t="array" ref="EU11">IF(DT11="","", INDEX(#REF!,MATCH(CONCATENATE('Respuestas de formulario 1.1'!$B11,DT11),#REF!,0),MATCH('Respuestas de formulario 1.1'!EU$1,#REF!,0)))</f>
        <v/>
      </c>
      <c r="EV11" s="56" t="str">
        <f t="array" ref="EV11">IF(DU11="","", INDEX(#REF!,MATCH(CONCATENATE('Respuestas de formulario 1.1'!$B11,DU11),#REF!,0),MATCH('Respuestas de formulario 1.1'!EV$1,#REF!,0)))</f>
        <v/>
      </c>
      <c r="EW11" s="45" t="str">
        <f t="array" ref="EW11">IF(DV11="","", INDEX(#REF!,MATCH(CONCATENATE('Respuestas de formulario 1.1'!$B11,DV11),#REF!,0),MATCH('Respuestas de formulario 1.1'!EW$1,#REF!,0)))</f>
        <v/>
      </c>
      <c r="EX11" s="45" t="str">
        <f t="array" ref="EX11">IF($DQ11="","", INDEX(#REF!,MATCH(CONCATENATE('Respuestas de formulario 1.1'!$B11,$DQ11),#REF!,0),MATCH('Respuestas de formulario 1.1'!EX$1,#REF!,0)))</f>
        <v/>
      </c>
      <c r="EY11" s="56" t="str">
        <f t="array" ref="EY11">IF($DQ11="","", INDEX(#REF!,MATCH(CONCATENATE('Respuestas de formulario 1.1'!$B11,$DQ11),#REF!,0),MATCH('Respuestas de formulario 1.1'!EY$1,#REF!,0)))</f>
        <v/>
      </c>
      <c r="EZ11" s="56" t="str">
        <f t="array" ref="EZ11">IF($DQ11="","", INDEX(#REF!,MATCH(CONCATENATE('Respuestas de formulario 1.1'!$B11,$DQ11),#REF!,0),MATCH('Respuestas de formulario 1.1'!EZ$1,#REF!,0)))</f>
        <v/>
      </c>
      <c r="FA11" s="56" t="str">
        <f t="array" ref="FA11">IF($DQ11="","", INDEX(#REF!,MATCH(CONCATENATE('Respuestas de formulario 1.1'!$B11,$DQ11),#REF!,0),MATCH('Respuestas de formulario 1.1'!FA$1,#REF!,0)))</f>
        <v/>
      </c>
      <c r="FB11" s="56" t="str">
        <f t="array" ref="FB11">IF($DQ11="","", INDEX(#REF!,MATCH(CONCATENATE('Respuestas de formulario 1.1'!$B11,$DQ11),#REF!,0),MATCH('Respuestas de formulario 1.1'!FB$1,#REF!,0)))</f>
        <v/>
      </c>
      <c r="FC11" s="56" t="str">
        <f t="array" ref="FC11">IF($DQ11="","", INDEX(#REF!,MATCH(CONCATENATE('Respuestas de formulario 1.1'!$B11,$DQ11),#REF!,0),MATCH('Respuestas de formulario 1.1'!FC$1,#REF!,0)))</f>
        <v/>
      </c>
      <c r="FD11" s="45" t="str">
        <f t="array" ref="FD11">IF($DQ11="","", INDEX(#REF!,MATCH(CONCATENATE('Respuestas de formulario 1.1'!$B11,$DQ11),#REF!,0),MATCH('Respuestas de formulario 1.1'!FD$1,#REF!,0)))</f>
        <v/>
      </c>
      <c r="FE11" s="45" t="str">
        <f t="array" ref="FE11">IF($DR11="","", INDEX(#REF!,MATCH(CONCATENATE(#REF!,$DR11),#REF!,0),MATCH(#REF!,#REF!,0)))</f>
        <v/>
      </c>
      <c r="FF11" s="56" t="str">
        <f t="array" ref="FF11">IF($DR11="","", INDEX(#REF!,MATCH(CONCATENATE(#REF!,$DR11),#REF!,0),MATCH(#REF!,#REF!,0)))</f>
        <v/>
      </c>
      <c r="FG11" s="56" t="str">
        <f t="array" ref="FG11">IF($DR11="","", INDEX(#REF!,MATCH(CONCATENATE(#REF!,$DR11),#REF!,0),MATCH(#REF!,#REF!,0)))</f>
        <v/>
      </c>
      <c r="FH11" s="56" t="str">
        <f t="array" ref="FH11">IF($DR11="","", INDEX(#REF!,MATCH(CONCATENATE(#REF!,$DR11),#REF!,0),MATCH(#REF!,#REF!,0)))</f>
        <v/>
      </c>
      <c r="FI11" s="56" t="str">
        <f t="array" ref="FI11">IF($DR11="","", INDEX(#REF!,MATCH(CONCATENATE(#REF!,$DR11),#REF!,0),MATCH(#REF!,#REF!,0)))</f>
        <v/>
      </c>
      <c r="FJ11" s="56" t="str">
        <f t="array" ref="FJ11">IF($DR11="","", INDEX(#REF!,MATCH(CONCATENATE(#REF!,$DR11),#REF!,0),MATCH(#REF!,#REF!,0)))</f>
        <v/>
      </c>
      <c r="FK11" s="45" t="str">
        <f t="array" ref="FK11">IF($DR11="","", INDEX(#REF!,MATCH(CONCATENATE(#REF!,$DR11),#REF!,0),MATCH(#REF!,#REF!,0)))</f>
        <v/>
      </c>
      <c r="FL11" s="45" t="str">
        <f t="array" ref="FL11">IF($DT11="","", INDEX(#REF!,MATCH(CONCATENATE('Respuestas de formulario 1.1'!$B11,$DS11),#REF!,0),MATCH('Respuestas de formulario 1.1'!FL$1,#REF!,0)))</f>
        <v/>
      </c>
      <c r="FM11" s="56" t="str">
        <f t="array" ref="FM11">IF($DT11="","", INDEX(#REF!,MATCH(CONCATENATE('Respuestas de formulario 1.1'!$B11,$DS11),#REF!,0),MATCH('Respuestas de formulario 1.1'!FM$1,#REF!,0)))</f>
        <v/>
      </c>
      <c r="FN11" s="56" t="str">
        <f t="array" ref="FN11">IF($DT11="","", INDEX(#REF!,MATCH(CONCATENATE('Respuestas de formulario 1.1'!$B11,$DS11),#REF!,0),MATCH('Respuestas de formulario 1.1'!FN$1,#REF!,0)))</f>
        <v/>
      </c>
      <c r="FO11" s="56" t="str">
        <f t="array" ref="FO11">IF($DT11="","", INDEX(#REF!,MATCH(CONCATENATE('Respuestas de formulario 1.1'!$B11,$DS11),#REF!,0),MATCH('Respuestas de formulario 1.1'!FO$1,#REF!,0)))</f>
        <v/>
      </c>
      <c r="FP11" s="56" t="str">
        <f t="array" ref="FP11">IF($DT11="","", INDEX(#REF!,MATCH(CONCATENATE('Respuestas de formulario 1.1'!$B11,$DS11),#REF!,0),MATCH('Respuestas de formulario 1.1'!FP$1,#REF!,0)))</f>
        <v/>
      </c>
      <c r="FQ11" s="56" t="str">
        <f t="array" ref="FQ11">IF($DT11="","", INDEX(#REF!,MATCH(CONCATENATE('Respuestas de formulario 1.1'!$B11,$DS11),#REF!,0),MATCH('Respuestas de formulario 1.1'!FQ$1,#REF!,0)))</f>
        <v/>
      </c>
      <c r="FR11" s="45" t="str">
        <f t="array" ref="FR11">IF($DT11="","", INDEX(#REF!,MATCH(CONCATENATE('Respuestas de formulario 1.1'!$B11,$DS11),#REF!,0),MATCH('Respuestas de formulario 1.1'!FR$1,#REF!,0)))</f>
        <v/>
      </c>
      <c r="FS11" s="45" t="str">
        <f t="array" ref="FS11">IF($DU11="","", INDEX(#REF!,MATCH(CONCATENATE('Respuestas de formulario 1.1'!$B11,$DT11),#REF!,0),MATCH('Respuestas de formulario 1.1'!FS$1,#REF!,0)))</f>
        <v/>
      </c>
      <c r="FT11" s="56" t="str">
        <f t="array" ref="FT11">IF($DU11="","", INDEX(#REF!,MATCH(CONCATENATE('Respuestas de formulario 1.1'!$B11,$DT11),#REF!,0),MATCH('Respuestas de formulario 1.1'!FT$1,#REF!,0)))</f>
        <v/>
      </c>
      <c r="FU11" s="56" t="str">
        <f t="array" ref="FU11">IF($DU11="","", INDEX(#REF!,MATCH(CONCATENATE('Respuestas de formulario 1.1'!$B11,$DT11),#REF!,0),MATCH('Respuestas de formulario 1.1'!FU$1,#REF!,0)))</f>
        <v/>
      </c>
      <c r="FV11" s="56" t="str">
        <f t="array" ref="FV11">IF($DU11="","", INDEX(#REF!,MATCH(CONCATENATE('Respuestas de formulario 1.1'!$B11,$DT11),#REF!,0),MATCH('Respuestas de formulario 1.1'!FV$1,#REF!,0)))</f>
        <v/>
      </c>
      <c r="FW11" s="56" t="str">
        <f t="array" ref="FW11">IF($DU11="","", INDEX(#REF!,MATCH(CONCATENATE('Respuestas de formulario 1.1'!$B11,$DT11),#REF!,0),MATCH('Respuestas de formulario 1.1'!FW$1,#REF!,0)))</f>
        <v/>
      </c>
      <c r="FX11" s="56" t="str">
        <f t="array" ref="FX11">IF($DU11="","", INDEX(#REF!,MATCH(CONCATENATE('Respuestas de formulario 1.1'!$B11,$DT11),#REF!,0),MATCH('Respuestas de formulario 1.1'!FX$1,#REF!,0)))</f>
        <v/>
      </c>
      <c r="FY11" s="45" t="str">
        <f t="array" ref="FY11">IF($DU11="","", INDEX(#REF!,MATCH(CONCATENATE('Respuestas de formulario 1.1'!$B11,$DT11),#REF!,0),MATCH('Respuestas de formulario 1.1'!FY$1,#REF!,0)))</f>
        <v/>
      </c>
      <c r="FZ11" s="3" t="s">
        <v>2860</v>
      </c>
      <c r="GA11" s="1" t="s">
        <v>2997</v>
      </c>
      <c r="GB11" s="5" t="s">
        <v>2998</v>
      </c>
      <c r="GC11" s="4" t="str">
        <f>HYPERLINK("https://drive.google.com/file/d/1Krbngcg3LevTmh8RK_u5DM-laACF9QbU/view?usp=drivesdk","VILLANUEVA  GARCIA  ALMA CELESTE Formato de reinscripción y pago 2022-2")</f>
        <v>VILLANUEVA  GARCIA  ALMA CELESTE Formato de reinscripción y pago 2022-2</v>
      </c>
      <c r="GD11" s="1" t="s">
        <v>2999</v>
      </c>
      <c r="GE11" s="1"/>
      <c r="GF11" s="1"/>
      <c r="GG11" s="1"/>
      <c r="GH11" s="1"/>
      <c r="GI11" s="1" t="s">
        <v>3000</v>
      </c>
      <c r="GJ11" s="5" t="s">
        <v>3001</v>
      </c>
      <c r="GK11" s="5" t="str">
        <f>HYPERLINK("https://drive.google.com/file/d/1TN-B2qrnvCaHsDesIwvKva2laj6hGrAC/view?usp=drivesdk","VILLANUEVA  GARCIA  ALMA CELESTE Formato de reinscripción y pago 2022-2")</f>
        <v>VILLANUEVA  GARCIA  ALMA CELESTE Formato de reinscripción y pago 2022-2</v>
      </c>
      <c r="GL11" s="1" t="s">
        <v>3002</v>
      </c>
    </row>
    <row r="12" spans="1:194" ht="15.75" customHeight="1" x14ac:dyDescent="0.2">
      <c r="A12" s="2">
        <v>45139.705889432866</v>
      </c>
      <c r="B12" s="1" t="s">
        <v>64</v>
      </c>
      <c r="C12" s="1" t="s">
        <v>1645</v>
      </c>
      <c r="D12" s="1" t="s">
        <v>1646</v>
      </c>
      <c r="E12" s="1" t="s">
        <v>404</v>
      </c>
      <c r="F12" s="1" t="s">
        <v>262</v>
      </c>
      <c r="G12" s="5" t="s">
        <v>3003</v>
      </c>
      <c r="H12" s="41">
        <v>39420</v>
      </c>
      <c r="I12" s="1">
        <v>15</v>
      </c>
      <c r="J12" s="1">
        <v>5536747546</v>
      </c>
      <c r="K12" s="1">
        <v>5511083322</v>
      </c>
      <c r="L12" s="1" t="s">
        <v>1647</v>
      </c>
      <c r="M12" s="1">
        <v>22309060570668</v>
      </c>
      <c r="N12" s="1" t="s">
        <v>562</v>
      </c>
      <c r="O12" s="1" t="s">
        <v>247</v>
      </c>
      <c r="P12" s="1" t="s">
        <v>278</v>
      </c>
      <c r="Q12" s="1" t="s">
        <v>227</v>
      </c>
      <c r="R12" s="1" t="s">
        <v>236</v>
      </c>
      <c r="S12" s="1" t="s">
        <v>228</v>
      </c>
      <c r="T12" s="1" t="s">
        <v>229</v>
      </c>
      <c r="U12" s="1" t="s">
        <v>264</v>
      </c>
      <c r="V12" s="1" t="s">
        <v>228</v>
      </c>
      <c r="W12" s="1" t="s">
        <v>3004</v>
      </c>
      <c r="X12" s="1" t="s">
        <v>264</v>
      </c>
      <c r="Y12" s="1" t="s">
        <v>275</v>
      </c>
      <c r="Z12" s="1" t="s">
        <v>231</v>
      </c>
      <c r="AA12" s="1">
        <v>57000</v>
      </c>
      <c r="AB12" s="1">
        <v>111</v>
      </c>
      <c r="AC12" s="1" t="s">
        <v>1132</v>
      </c>
      <c r="AD12" s="1" t="s">
        <v>3005</v>
      </c>
      <c r="AE12" s="1" t="s">
        <v>3006</v>
      </c>
      <c r="AF12" s="1" t="s">
        <v>265</v>
      </c>
      <c r="AG12" s="1">
        <v>31</v>
      </c>
      <c r="AH12" s="5" t="s">
        <v>3007</v>
      </c>
      <c r="AI12" s="1">
        <v>5584729075</v>
      </c>
      <c r="AJ12" s="1">
        <v>5511083322</v>
      </c>
      <c r="AK12" s="1" t="s">
        <v>1649</v>
      </c>
      <c r="AL12" s="1" t="s">
        <v>1645</v>
      </c>
      <c r="AM12" s="1" t="s">
        <v>806</v>
      </c>
      <c r="AN12" s="1" t="s">
        <v>404</v>
      </c>
      <c r="AO12" s="1" t="s">
        <v>435</v>
      </c>
      <c r="AP12" s="1">
        <v>38</v>
      </c>
      <c r="AQ12" s="1" t="s">
        <v>546</v>
      </c>
      <c r="AR12" s="42">
        <v>0.29166666666424135</v>
      </c>
      <c r="AS12" s="42">
        <v>0.70833333333575865</v>
      </c>
      <c r="AT12" s="1">
        <v>5520848087</v>
      </c>
      <c r="AU12" s="1">
        <v>5511083322</v>
      </c>
      <c r="AV12" s="1" t="s">
        <v>1651</v>
      </c>
      <c r="AW12" s="5" t="s">
        <v>3008</v>
      </c>
      <c r="AX12" s="1" t="s">
        <v>1645</v>
      </c>
      <c r="AY12" s="1" t="s">
        <v>806</v>
      </c>
      <c r="AZ12" s="1" t="s">
        <v>3009</v>
      </c>
      <c r="BA12" s="1" t="s">
        <v>453</v>
      </c>
      <c r="BB12" s="1">
        <v>41</v>
      </c>
      <c r="BC12" s="1" t="s">
        <v>546</v>
      </c>
      <c r="BD12" s="43">
        <v>0.29166666666424135</v>
      </c>
      <c r="BE12" s="43">
        <v>0.70833333333575865</v>
      </c>
      <c r="BF12" s="1">
        <v>5534225168</v>
      </c>
      <c r="BG12" s="1">
        <v>5511083322</v>
      </c>
      <c r="BH12" s="1" t="s">
        <v>1648</v>
      </c>
      <c r="BI12" s="5" t="s">
        <v>3010</v>
      </c>
      <c r="BJ12" s="1" t="s">
        <v>236</v>
      </c>
      <c r="BL12" s="1">
        <v>155</v>
      </c>
      <c r="BM12" s="1">
        <v>50</v>
      </c>
      <c r="BN12" s="1" t="s">
        <v>236</v>
      </c>
      <c r="BO12" s="1" t="s">
        <v>228</v>
      </c>
      <c r="BQ12" s="1" t="s">
        <v>228</v>
      </c>
      <c r="BR12" s="1" t="s">
        <v>237</v>
      </c>
      <c r="BS12" s="1" t="s">
        <v>228</v>
      </c>
      <c r="BT12" s="1" t="s">
        <v>237</v>
      </c>
      <c r="BU12" s="1" t="s">
        <v>228</v>
      </c>
      <c r="BW12" s="1" t="s">
        <v>238</v>
      </c>
      <c r="BX12" s="1">
        <v>60</v>
      </c>
      <c r="BY12" s="1">
        <v>250</v>
      </c>
      <c r="BZ12" s="1" t="s">
        <v>253</v>
      </c>
      <c r="CA12" s="1" t="s">
        <v>343</v>
      </c>
      <c r="CB12" s="1" t="s">
        <v>240</v>
      </c>
      <c r="CC12" s="1" t="s">
        <v>255</v>
      </c>
      <c r="CD12" s="1">
        <v>3500</v>
      </c>
      <c r="CE12" s="1">
        <v>2500</v>
      </c>
      <c r="CF12" s="1" t="s">
        <v>236</v>
      </c>
      <c r="CG12" s="1" t="s">
        <v>323</v>
      </c>
      <c r="CH12" s="1" t="s">
        <v>243</v>
      </c>
      <c r="CI12" s="1" t="s">
        <v>243</v>
      </c>
      <c r="CJ12" s="1" t="s">
        <v>2848</v>
      </c>
      <c r="CL12" s="5" t="s">
        <v>3011</v>
      </c>
      <c r="CM12" s="1">
        <v>13220790425</v>
      </c>
      <c r="CN12" s="1" t="s">
        <v>228</v>
      </c>
      <c r="CQ12" s="42">
        <v>0.29166666666424135</v>
      </c>
      <c r="CR12" s="42">
        <v>0.70833333333575865</v>
      </c>
      <c r="CT12" s="45" t="str">
        <f t="array" ref="CT12">IFERROR(INDEX(#REF!,MATCH('Respuestas de formulario 1.1'!$B12,#REF!,0),MATCH('Respuestas de formulario 1.1'!CT$1,#REF!,0)),"")</f>
        <v/>
      </c>
      <c r="CU12" s="56" t="str">
        <f t="array" ref="CU12">IFERROR(INDEX(#REF!,MATCH('Respuestas de formulario 1.1'!$B12,#REF!,0),MATCH('Respuestas de formulario 1.1'!CU$1,#REF!,0)),"")</f>
        <v/>
      </c>
      <c r="CV12" s="56" t="str">
        <f t="array" ref="CV12">IFERROR(INDEX(#REF!,MATCH('Respuestas de formulario 1.1'!$B12,#REF!,0),MATCH('Respuestas de formulario 1.1'!CV$1,#REF!,0)),"")</f>
        <v/>
      </c>
      <c r="CW12" s="56" t="str">
        <f t="array" ref="CW12">IFERROR(INDEX(#REF!,MATCH('Respuestas de formulario 1.1'!$B12,#REF!,0),MATCH('Respuestas de formulario 1.1'!CW$1,#REF!,0)),"")</f>
        <v/>
      </c>
      <c r="CX12" s="56" t="str">
        <f t="array" ref="CX12">IFERROR(INDEX(#REF!,MATCH('Respuestas de formulario 1.1'!$B12,#REF!,0),MATCH('Respuestas de formulario 1.1'!CX$1,#REF!,0)),"")</f>
        <v/>
      </c>
      <c r="CY12" s="56" t="str">
        <f t="array" ref="CY12">IFERROR(INDEX(#REF!,MATCH('Respuestas de formulario 1.1'!$B12,#REF!,0),MATCH('Respuestas de formulario 1.1'!CY$1,#REF!,0)),"")</f>
        <v/>
      </c>
      <c r="CZ12" s="57" t="str">
        <f t="array" ref="CZ12">IFERROR(INDEX(#REF!,MATCH('Respuestas de formulario 1.1'!$B12,#REF!,0),MATCH('Respuestas de formulario 1.1'!CZ$1,#REF!,0)),"")</f>
        <v/>
      </c>
      <c r="DA12" s="45" t="e">
        <f t="array" ref="DA12">INDEX(#REF!,MATCH('Respuestas de formulario 1.1'!$B12,#REF!,0),MATCH('Respuestas de formulario 1.1'!DA$1,#REF!,0))</f>
        <v>#REF!</v>
      </c>
      <c r="DB12" s="45" t="e">
        <f t="array" ref="DB12">INDEX(#REF!,MATCH('Respuestas de formulario 1.1'!$B12,#REF!,0),MATCH('Respuestas de formulario 1.1'!DB$1,#REF!,0))</f>
        <v>#REF!</v>
      </c>
      <c r="DC12" s="45" t="e">
        <f t="array" ref="DC12">INDEX(#REF!,MATCH('Respuestas de formulario 1.1'!$B12,#REF!,0),MATCH('Respuestas de formulario 1.1'!DC$1,#REF!,0))</f>
        <v>#REF!</v>
      </c>
      <c r="DD12" s="45" t="e">
        <f t="array" ref="DD12">INDEX(#REF!,MATCH('Respuestas de formulario 1.1'!$B12,#REF!,0),MATCH('Respuestas de formulario 1.1'!DD$1,#REF!,0))</f>
        <v>#REF!</v>
      </c>
      <c r="DE12" s="45" t="e">
        <f t="array" ref="DE12">INDEX(#REF!,MATCH('Respuestas de formulario 1.1'!$B12,#REF!,0),MATCH('Respuestas de formulario 1.1'!DE$1,#REF!,0))</f>
        <v>#REF!</v>
      </c>
      <c r="DF12" s="45" t="e">
        <f t="array" ref="DF12">INDEX(#REF!,MATCH('Respuestas de formulario 1.1'!$B12,#REF!,0),MATCH('Respuestas de formulario 1.1'!DF$1,#REF!,0))</f>
        <v>#REF!</v>
      </c>
      <c r="DG12" s="45" t="e">
        <f t="array" ref="DG12">INDEX(#REF!,MATCH('Respuestas de formulario 1.1'!$B12,#REF!,0),MATCH('Respuestas de formulario 1.1'!DG$1,#REF!,0))</f>
        <v>#REF!</v>
      </c>
      <c r="DH12" s="45" t="e">
        <f t="array" ref="DH12">INDEX(#REF!,MATCH('Respuestas de formulario 1.1'!$B12,#REF!,0),MATCH('Respuestas de formulario 1.1'!DH$1,#REF!,0))</f>
        <v>#REF!</v>
      </c>
      <c r="DI12" s="48" t="e">
        <f>VLOOKUP(CONCATENATE($DF12," TUTO ",$DC12),#REF!,3,0)</f>
        <v>#REF!</v>
      </c>
      <c r="DJ12" s="48" t="e">
        <f t="array" ref="DJ12">IF('Respuestas de formulario 1.1'!A12="","",INDEX(#REF!,MATCH('Respuestas de formulario 1.1'!B12,#REF!,0),MATCH('Respuestas de formulario 1.1'!$DH$1,#REF!,0)))</f>
        <v>#REF!</v>
      </c>
      <c r="DK12" s="52" t="str">
        <f>CONCATENATE("http://doc.google.com/uc?id=",MID('Respuestas de formulario 1.1'!G12,34,33))</f>
        <v>http://doc.google.com/uc?id=1gsWtJq1v4Gyd39aPwAmcs-EgF_qiFD9u</v>
      </c>
      <c r="DL12" s="49" t="str">
        <f>CONCATENATE("http://doc.google.com/uc?id=",MID('Respuestas de formulario 1.1'!AH12,34,33))</f>
        <v>http://doc.google.com/uc?id=1deze63Ewo8cUP2aAiF4EBJlcCPNUiDcn</v>
      </c>
      <c r="DM12" s="50" t="str">
        <f>CONCATENATE("http://doc.google.com/uc?id=",MID('Respuestas de formulario 1.1'!AW12,34,33))</f>
        <v>http://doc.google.com/uc?id=10ebVrKBOdbfpspkcMIx-HPjZ903b1NxJ</v>
      </c>
      <c r="DN12" s="53" t="str">
        <f>CONCATENATE("http://doc.google.com/uc?id=",MID('Respuestas de formulario 1.1'!$BI12,34,33))</f>
        <v>http://doc.google.com/uc?id=1nYOcGbXXlwiF4TgfGEGcgV1FcU1uSSrd</v>
      </c>
      <c r="DO12" s="45" t="str">
        <f>IFERROR(VLOOKUP(CONCATENATE('Respuestas de formulario 1.1'!$B12,MID('Respuestas de formulario 1.1'!DO$1,2,1)),#REF!,12,0),"")</f>
        <v/>
      </c>
      <c r="DP12" s="45" t="str">
        <f>IFERROR(VLOOKUP(CONCATENATE('Respuestas de formulario 1.1'!$B12,MID('Respuestas de formulario 1.1'!DP$1,2,1)),#REF!,12,0),"")</f>
        <v/>
      </c>
      <c r="DQ12" s="45" t="str">
        <f>IFERROR(VLOOKUP(CONCATENATE('Respuestas de formulario 1.1'!$B12,MID('Respuestas de formulario 1.1'!DQ$1,2,1)),#REF!,12,0),"")</f>
        <v/>
      </c>
      <c r="DR12" s="45" t="str">
        <f>IFERROR(VLOOKUP(CONCATENATE('Respuestas de formulario 1.1'!$B12,MID('Respuestas de formulario 1.1'!DR$1,2,1)),#REF!,12,0),"")</f>
        <v/>
      </c>
      <c r="DS12" s="45" t="str">
        <f>IFERROR(VLOOKUP(CONCATENATE('Respuestas de formulario 1.1'!$B12,MID('Respuestas de formulario 1.1'!DS$1,2,1)),#REF!,12,0),"")</f>
        <v/>
      </c>
      <c r="DT12" s="45" t="str">
        <f>IFERROR(VLOOKUP(CONCATENATE('Respuestas de formulario 1.1'!$B12,MID('Respuestas de formulario 1.1'!DT$1,2,1)),#REF!,12,0),"")</f>
        <v/>
      </c>
      <c r="DU12" s="45" t="str">
        <f>IFERROR(VLOOKUP(CONCATENATE('Respuestas de formulario 1.1'!$B12,MID('Respuestas de formulario 1.1'!DU$1,2,1)),#REF!,12,0),"")</f>
        <v/>
      </c>
      <c r="DV12" s="45" t="str">
        <f>IFERROR(VLOOKUP(CONCATENATE('Respuestas de formulario 1.1'!$B12,MID('Respuestas de formulario 1.1'!DV$1,2,1)),#REF!,12,0),"")</f>
        <v/>
      </c>
      <c r="DW12" s="45" t="str">
        <f>IFERROR(VLOOKUP(CONCATENATE('Respuestas de formulario 1.1'!$B12,MID('Respuestas de formulario 1.1'!DW$1,2,1)),#REF!,12,0),"")</f>
        <v/>
      </c>
      <c r="DX12" s="45" t="str">
        <f>IFERROR(VLOOKUP(CONCATENATE('Respuestas de formulario 1.1'!$B12,MID('Respuestas de formulario 1.1'!DX$1,2,1)),#REF!,12,0),"")</f>
        <v/>
      </c>
      <c r="DY12" s="45" t="str">
        <f>IFERROR(VLOOKUP(CONCATENATE('Respuestas de formulario 1.1'!$B12,MID('Respuestas de formulario 1.1'!DY$1,2,1)),#REF!,12,0),"")</f>
        <v/>
      </c>
      <c r="DZ12" s="45" t="str">
        <f>IFERROR(VLOOKUP(CONCATENATE('Respuestas de formulario 1.1'!$B12,MID('Respuestas de formulario 1.1'!DZ$1,2,1)),#REF!,12,0),"")</f>
        <v/>
      </c>
      <c r="EA12" s="45" t="str">
        <f>IFERROR(VLOOKUP(CONCATENATE('Respuestas de formulario 1.1'!$B12,MID('Respuestas de formulario 1.1'!EA$1,2,1)),#REF!,12,0),"")</f>
        <v/>
      </c>
      <c r="EB12" s="45" t="str">
        <f>IFERROR(VLOOKUP(CONCATENATE('Respuestas de formulario 1.1'!$B12,MID('Respuestas de formulario 1.1'!EB$1,2,1)),#REF!,12,0),"")</f>
        <v/>
      </c>
      <c r="EC12" s="45" t="str">
        <f>IFERROR(VLOOKUP(CONCATENATE('Respuestas de formulario 1.1'!$B12,MID('Respuestas de formulario 1.1'!EC$1,2,1)),#REF!,12,0),"")</f>
        <v/>
      </c>
      <c r="ED12" s="45" t="str">
        <f>IFERROR(VLOOKUP(CONCATENATE('Respuestas de formulario 1.1'!$B12,MID('Respuestas de formulario 1.1'!ED$1,2,1)),#REF!,12,0),"")</f>
        <v/>
      </c>
      <c r="EE12" s="45" t="str">
        <f>IFERROR(VLOOKUP(CONCATENATE('Respuestas de formulario 1.1'!$B12,MID('Respuestas de formulario 1.1'!EE$1,2,1)),#REF!,12,0),"")</f>
        <v/>
      </c>
      <c r="EF12" s="45" t="str">
        <f>IFERROR(VLOOKUP(CONCATENATE('Respuestas de formulario 1.1'!$B12,MID('Respuestas de formulario 1.1'!EF$1,2,1)),#REF!,12,0),"")</f>
        <v/>
      </c>
      <c r="EG12" s="45" t="str">
        <f>IFERROR(VLOOKUP(CONCATENATE('Respuestas de formulario 1.1'!$B12,MID('Respuestas de formulario 1.1'!EG$1,2,1)),#REF!,12,0),"")</f>
        <v/>
      </c>
      <c r="EH12" s="45" t="str">
        <f>IFERROR(VLOOKUP(CONCATENATE('Respuestas de formulario 1.1'!$B12,MID('Respuestas de formulario 1.1'!EH$1,2,1)),#REF!,12,0),"")</f>
        <v/>
      </c>
      <c r="EI12" s="45" t="str">
        <f>IFERROR(VLOOKUP(CONCATENATE('Respuestas de formulario 1.1'!$B12,MID('Respuestas de formulario 1.1'!EI$1,2,1)),#REF!,12,0),"")</f>
        <v/>
      </c>
      <c r="EJ12" s="45" t="str">
        <f t="array" ref="EJ12">IF(DO12="","", INDEX(#REF!,MATCH(CONCATENATE('Respuestas de formulario 1.1'!$B12,DO12),#REF!,0),MATCH('Respuestas de formulario 1.1'!EJ$1,#REF!,0)))</f>
        <v/>
      </c>
      <c r="EK12" s="56" t="str">
        <f t="array" ref="EK12">IF(DP12="","", INDEX(#REF!,MATCH(CONCATENATE('Respuestas de formulario 1.1'!$B12,DP12),#REF!,0),MATCH('Respuestas de formulario 1.1'!EK$1,#REF!,0)))</f>
        <v/>
      </c>
      <c r="EL12" s="56" t="str">
        <f t="array" ref="EL12">IF(DQ12="","", INDEX(#REF!,MATCH(CONCATENATE('Respuestas de formulario 1.1'!$B12,DQ12),#REF!,0),MATCH('Respuestas de formulario 1.1'!EL$1,#REF!,0)))</f>
        <v/>
      </c>
      <c r="EM12" s="56" t="str">
        <f t="array" ref="EM12">IF(DR12="","", INDEX(#REF!,MATCH(CONCATENATE('Respuestas de formulario 1.1'!$B12,DR12),#REF!,0),MATCH('Respuestas de formulario 1.1'!EM$1,#REF!,0)))</f>
        <v/>
      </c>
      <c r="EN12" s="56" t="str">
        <f t="array" ref="EN12">IF(DS12="","", INDEX(#REF!,MATCH(CONCATENATE('Respuestas de formulario 1.1'!$B12,DS12),#REF!,0),MATCH('Respuestas de formulario 1.1'!EN$1,#REF!,0)))</f>
        <v/>
      </c>
      <c r="EO12" s="56" t="str">
        <f t="array" ref="EO12">IF(DT12="","", INDEX(#REF!,MATCH(CONCATENATE('Respuestas de formulario 1.1'!$B12,DT12),#REF!,0),MATCH('Respuestas de formulario 1.1'!EO$1,#REF!,0)))</f>
        <v/>
      </c>
      <c r="EP12" s="45" t="str">
        <f t="array" ref="EP12">IF(DU12="","", INDEX(#REF!,MATCH(CONCATENATE('Respuestas de formulario 1.1'!$B12,DU12),#REF!,0),MATCH('Respuestas de formulario 1.1'!EP$1,#REF!,0)))</f>
        <v/>
      </c>
      <c r="EQ12" s="45" t="str">
        <f t="array" ref="EQ12">IF(DP12="","", INDEX(#REF!,MATCH(CONCATENATE('Respuestas de formulario 1.1'!$B12,DP12),#REF!,0),MATCH('Respuestas de formulario 1.1'!EQ$1,#REF!,0)))</f>
        <v/>
      </c>
      <c r="ER12" s="56" t="str">
        <f t="array" ref="ER12">IF(DQ12="","", INDEX(#REF!,MATCH(CONCATENATE('Respuestas de formulario 1.1'!$B12,DQ12),#REF!,0),MATCH('Respuestas de formulario 1.1'!ER$1,#REF!,0)))</f>
        <v/>
      </c>
      <c r="ES12" s="56" t="str">
        <f t="array" ref="ES12">IF(DR12="","", INDEX(#REF!,MATCH(CONCATENATE('Respuestas de formulario 1.1'!$B12,DR12),#REF!,0),MATCH('Respuestas de formulario 1.1'!ES$1,#REF!,0)))</f>
        <v/>
      </c>
      <c r="ET12" s="56" t="str">
        <f t="array" ref="ET12">IF(DS12="","", INDEX(#REF!,MATCH(CONCATENATE('Respuestas de formulario 1.1'!$B12,DS12),#REF!,0),MATCH('Respuestas de formulario 1.1'!ET$1,#REF!,0)))</f>
        <v/>
      </c>
      <c r="EU12" s="56" t="str">
        <f t="array" ref="EU12">IF(DT12="","", INDEX(#REF!,MATCH(CONCATENATE('Respuestas de formulario 1.1'!$B12,DT12),#REF!,0),MATCH('Respuestas de formulario 1.1'!EU$1,#REF!,0)))</f>
        <v/>
      </c>
      <c r="EV12" s="56" t="str">
        <f t="array" ref="EV12">IF(DU12="","", INDEX(#REF!,MATCH(CONCATENATE('Respuestas de formulario 1.1'!$B12,DU12),#REF!,0),MATCH('Respuestas de formulario 1.1'!EV$1,#REF!,0)))</f>
        <v/>
      </c>
      <c r="EW12" s="45" t="str">
        <f t="array" ref="EW12">IF(DV12="","", INDEX(#REF!,MATCH(CONCATENATE('Respuestas de formulario 1.1'!$B12,DV12),#REF!,0),MATCH('Respuestas de formulario 1.1'!EW$1,#REF!,0)))</f>
        <v/>
      </c>
      <c r="EX12" s="45" t="str">
        <f t="array" ref="EX12">IF($DQ12="","", INDEX(#REF!,MATCH(CONCATENATE('Respuestas de formulario 1.1'!$B12,$DQ12),#REF!,0),MATCH('Respuestas de formulario 1.1'!EX$1,#REF!,0)))</f>
        <v/>
      </c>
      <c r="EY12" s="56" t="str">
        <f t="array" ref="EY12">IF($DQ12="","", INDEX(#REF!,MATCH(CONCATENATE('Respuestas de formulario 1.1'!$B12,$DQ12),#REF!,0),MATCH('Respuestas de formulario 1.1'!EY$1,#REF!,0)))</f>
        <v/>
      </c>
      <c r="EZ12" s="56" t="str">
        <f t="array" ref="EZ12">IF($DQ12="","", INDEX(#REF!,MATCH(CONCATENATE('Respuestas de formulario 1.1'!$B12,$DQ12),#REF!,0),MATCH('Respuestas de formulario 1.1'!EZ$1,#REF!,0)))</f>
        <v/>
      </c>
      <c r="FA12" s="56" t="str">
        <f t="array" ref="FA12">IF($DQ12="","", INDEX(#REF!,MATCH(CONCATENATE('Respuestas de formulario 1.1'!$B12,$DQ12),#REF!,0),MATCH('Respuestas de formulario 1.1'!FA$1,#REF!,0)))</f>
        <v/>
      </c>
      <c r="FB12" s="56" t="str">
        <f t="array" ref="FB12">IF($DQ12="","", INDEX(#REF!,MATCH(CONCATENATE('Respuestas de formulario 1.1'!$B12,$DQ12),#REF!,0),MATCH('Respuestas de formulario 1.1'!FB$1,#REF!,0)))</f>
        <v/>
      </c>
      <c r="FC12" s="56" t="str">
        <f t="array" ref="FC12">IF($DQ12="","", INDEX(#REF!,MATCH(CONCATENATE('Respuestas de formulario 1.1'!$B12,$DQ12),#REF!,0),MATCH('Respuestas de formulario 1.1'!FC$1,#REF!,0)))</f>
        <v/>
      </c>
      <c r="FD12" s="45" t="str">
        <f t="array" ref="FD12">IF($DQ12="","", INDEX(#REF!,MATCH(CONCATENATE('Respuestas de formulario 1.1'!$B12,$DQ12),#REF!,0),MATCH('Respuestas de formulario 1.1'!FD$1,#REF!,0)))</f>
        <v/>
      </c>
      <c r="FE12" s="45" t="str">
        <f t="array" ref="FE12">IF($DR12="","", INDEX(#REF!,MATCH(CONCATENATE(#REF!,$DR12),#REF!,0),MATCH(#REF!,#REF!,0)))</f>
        <v/>
      </c>
      <c r="FF12" s="56" t="str">
        <f t="array" ref="FF12">IF($DR12="","", INDEX(#REF!,MATCH(CONCATENATE(#REF!,$DR12),#REF!,0),MATCH(#REF!,#REF!,0)))</f>
        <v/>
      </c>
      <c r="FG12" s="56" t="str">
        <f t="array" ref="FG12">IF($DR12="","", INDEX(#REF!,MATCH(CONCATENATE(#REF!,$DR12),#REF!,0),MATCH(#REF!,#REF!,0)))</f>
        <v/>
      </c>
      <c r="FH12" s="56" t="str">
        <f t="array" ref="FH12">IF($DR12="","", INDEX(#REF!,MATCH(CONCATENATE(#REF!,$DR12),#REF!,0),MATCH(#REF!,#REF!,0)))</f>
        <v/>
      </c>
      <c r="FI12" s="56" t="str">
        <f t="array" ref="FI12">IF($DR12="","", INDEX(#REF!,MATCH(CONCATENATE(#REF!,$DR12),#REF!,0),MATCH(#REF!,#REF!,0)))</f>
        <v/>
      </c>
      <c r="FJ12" s="56" t="str">
        <f t="array" ref="FJ12">IF($DR12="","", INDEX(#REF!,MATCH(CONCATENATE(#REF!,$DR12),#REF!,0),MATCH(#REF!,#REF!,0)))</f>
        <v/>
      </c>
      <c r="FK12" s="45" t="str">
        <f t="array" ref="FK12">IF($DR12="","", INDEX(#REF!,MATCH(CONCATENATE(#REF!,$DR12),#REF!,0),MATCH(#REF!,#REF!,0)))</f>
        <v/>
      </c>
      <c r="FL12" s="45" t="str">
        <f t="array" ref="FL12">IF($DT12="","", INDEX(#REF!,MATCH(CONCATENATE('Respuestas de formulario 1.1'!$B12,$DS12),#REF!,0),MATCH('Respuestas de formulario 1.1'!FL$1,#REF!,0)))</f>
        <v/>
      </c>
      <c r="FM12" s="56" t="str">
        <f t="array" ref="FM12">IF($DT12="","", INDEX(#REF!,MATCH(CONCATENATE('Respuestas de formulario 1.1'!$B12,$DS12),#REF!,0),MATCH('Respuestas de formulario 1.1'!FM$1,#REF!,0)))</f>
        <v/>
      </c>
      <c r="FN12" s="56" t="str">
        <f t="array" ref="FN12">IF($DT12="","", INDEX(#REF!,MATCH(CONCATENATE('Respuestas de formulario 1.1'!$B12,$DS12),#REF!,0),MATCH('Respuestas de formulario 1.1'!FN$1,#REF!,0)))</f>
        <v/>
      </c>
      <c r="FO12" s="56" t="str">
        <f t="array" ref="FO12">IF($DT12="","", INDEX(#REF!,MATCH(CONCATENATE('Respuestas de formulario 1.1'!$B12,$DS12),#REF!,0),MATCH('Respuestas de formulario 1.1'!FO$1,#REF!,0)))</f>
        <v/>
      </c>
      <c r="FP12" s="56" t="str">
        <f t="array" ref="FP12">IF($DT12="","", INDEX(#REF!,MATCH(CONCATENATE('Respuestas de formulario 1.1'!$B12,$DS12),#REF!,0),MATCH('Respuestas de formulario 1.1'!FP$1,#REF!,0)))</f>
        <v/>
      </c>
      <c r="FQ12" s="56" t="str">
        <f t="array" ref="FQ12">IF($DT12="","", INDEX(#REF!,MATCH(CONCATENATE('Respuestas de formulario 1.1'!$B12,$DS12),#REF!,0),MATCH('Respuestas de formulario 1.1'!FQ$1,#REF!,0)))</f>
        <v/>
      </c>
      <c r="FR12" s="45" t="str">
        <f t="array" ref="FR12">IF($DT12="","", INDEX(#REF!,MATCH(CONCATENATE('Respuestas de formulario 1.1'!$B12,$DS12),#REF!,0),MATCH('Respuestas de formulario 1.1'!FR$1,#REF!,0)))</f>
        <v/>
      </c>
      <c r="FS12" s="45" t="str">
        <f t="array" ref="FS12">IF($DU12="","", INDEX(#REF!,MATCH(CONCATENATE('Respuestas de formulario 1.1'!$B12,$DT12),#REF!,0),MATCH('Respuestas de formulario 1.1'!FS$1,#REF!,0)))</f>
        <v/>
      </c>
      <c r="FT12" s="56" t="str">
        <f t="array" ref="FT12">IF($DU12="","", INDEX(#REF!,MATCH(CONCATENATE('Respuestas de formulario 1.1'!$B12,$DT12),#REF!,0),MATCH('Respuestas de formulario 1.1'!FT$1,#REF!,0)))</f>
        <v/>
      </c>
      <c r="FU12" s="56" t="str">
        <f t="array" ref="FU12">IF($DU12="","", INDEX(#REF!,MATCH(CONCATENATE('Respuestas de formulario 1.1'!$B12,$DT12),#REF!,0),MATCH('Respuestas de formulario 1.1'!FU$1,#REF!,0)))</f>
        <v/>
      </c>
      <c r="FV12" s="56" t="str">
        <f t="array" ref="FV12">IF($DU12="","", INDEX(#REF!,MATCH(CONCATENATE('Respuestas de formulario 1.1'!$B12,$DT12),#REF!,0),MATCH('Respuestas de formulario 1.1'!FV$1,#REF!,0)))</f>
        <v/>
      </c>
      <c r="FW12" s="56" t="str">
        <f t="array" ref="FW12">IF($DU12="","", INDEX(#REF!,MATCH(CONCATENATE('Respuestas de formulario 1.1'!$B12,$DT12),#REF!,0),MATCH('Respuestas de formulario 1.1'!FW$1,#REF!,0)))</f>
        <v/>
      </c>
      <c r="FX12" s="56" t="str">
        <f t="array" ref="FX12">IF($DU12="","", INDEX(#REF!,MATCH(CONCATENATE('Respuestas de formulario 1.1'!$B12,$DT12),#REF!,0),MATCH('Respuestas de formulario 1.1'!FX$1,#REF!,0)))</f>
        <v/>
      </c>
      <c r="FY12" s="45" t="str">
        <f t="array" ref="FY12">IF($DU12="","", INDEX(#REF!,MATCH(CONCATENATE('Respuestas de formulario 1.1'!$B12,$DT12),#REF!,0),MATCH('Respuestas de formulario 1.1'!FY$1,#REF!,0)))</f>
        <v/>
      </c>
      <c r="FZ12" s="3" t="s">
        <v>2860</v>
      </c>
      <c r="GA12" s="1" t="s">
        <v>3012</v>
      </c>
      <c r="GB12" s="5" t="s">
        <v>3013</v>
      </c>
      <c r="GC12" s="4" t="str">
        <f>HYPERLINK("https://drive.google.com/file/d/113-RtzaYLkNHuvxYKqZ0LM-rtTFjeR4K/view?usp=drivesdk","NICIA LOYOLA DAVID Formato de reinscripción y pago 2022-2")</f>
        <v>NICIA LOYOLA DAVID Formato de reinscripción y pago 2022-2</v>
      </c>
      <c r="GD12" s="1" t="s">
        <v>3014</v>
      </c>
      <c r="GE12" s="1"/>
      <c r="GF12" s="1"/>
      <c r="GG12" s="1"/>
      <c r="GH12" s="1"/>
      <c r="GI12" s="1" t="s">
        <v>3015</v>
      </c>
      <c r="GJ12" s="5" t="s">
        <v>3016</v>
      </c>
      <c r="GK12" s="5" t="str">
        <f>HYPERLINK("https://drive.google.com/file/d/1e6LHeynaNpJEdpLfvXbvE4yIAp1x0PcE/view?usp=drivesdk","NICIA LOYOLA DAVID Formato de reinscripción y pago 2022-2")</f>
        <v>NICIA LOYOLA DAVID Formato de reinscripción y pago 2022-2</v>
      </c>
      <c r="GL12" s="1" t="s">
        <v>3017</v>
      </c>
    </row>
    <row r="13" spans="1:194" ht="15.75" customHeight="1" x14ac:dyDescent="0.2">
      <c r="A13" s="2">
        <v>45139.028680451389</v>
      </c>
      <c r="B13" s="1" t="s">
        <v>2042</v>
      </c>
      <c r="C13" s="1" t="s">
        <v>308</v>
      </c>
      <c r="D13" s="1" t="s">
        <v>507</v>
      </c>
      <c r="E13" s="1" t="s">
        <v>3018</v>
      </c>
      <c r="F13" s="1" t="s">
        <v>223</v>
      </c>
      <c r="G13" s="5" t="s">
        <v>3019</v>
      </c>
      <c r="H13" s="41">
        <v>39125</v>
      </c>
      <c r="I13" s="1">
        <v>16</v>
      </c>
      <c r="J13" s="1">
        <v>5577897769</v>
      </c>
      <c r="K13" s="1">
        <v>5576909556</v>
      </c>
      <c r="L13" s="1" t="s">
        <v>2043</v>
      </c>
      <c r="M13" s="1">
        <v>223060570828</v>
      </c>
      <c r="N13" s="1" t="s">
        <v>562</v>
      </c>
      <c r="O13" s="1" t="s">
        <v>225</v>
      </c>
      <c r="P13" s="1" t="s">
        <v>278</v>
      </c>
      <c r="Q13" s="1" t="s">
        <v>227</v>
      </c>
      <c r="R13" s="1" t="s">
        <v>236</v>
      </c>
      <c r="S13" s="1" t="s">
        <v>228</v>
      </c>
      <c r="T13" s="1" t="s">
        <v>229</v>
      </c>
      <c r="U13" s="1" t="s">
        <v>264</v>
      </c>
      <c r="V13" s="1" t="s">
        <v>228</v>
      </c>
      <c r="W13" s="1" t="s">
        <v>274</v>
      </c>
      <c r="X13" s="1" t="s">
        <v>264</v>
      </c>
      <c r="Y13" s="1" t="s">
        <v>1706</v>
      </c>
      <c r="Z13" s="1" t="s">
        <v>240</v>
      </c>
      <c r="AA13" s="1">
        <v>57750</v>
      </c>
      <c r="AB13" s="1">
        <v>219</v>
      </c>
      <c r="AC13" s="1">
        <v>219</v>
      </c>
      <c r="AD13" s="1" t="s">
        <v>3020</v>
      </c>
      <c r="AE13" s="1" t="s">
        <v>3021</v>
      </c>
      <c r="AF13" s="1" t="s">
        <v>461</v>
      </c>
      <c r="AG13" s="1">
        <v>37</v>
      </c>
      <c r="AH13" s="5" t="s">
        <v>3022</v>
      </c>
      <c r="AI13" s="1">
        <v>5530808355</v>
      </c>
      <c r="AJ13" s="1">
        <v>5557979514</v>
      </c>
      <c r="AK13" s="1" t="s">
        <v>3023</v>
      </c>
      <c r="AL13" s="1" t="s">
        <v>245</v>
      </c>
      <c r="AM13" s="1" t="s">
        <v>1880</v>
      </c>
      <c r="AN13" s="1" t="s">
        <v>2044</v>
      </c>
      <c r="AO13" s="1" t="s">
        <v>420</v>
      </c>
      <c r="AP13" s="1">
        <v>41</v>
      </c>
      <c r="AQ13" s="1" t="s">
        <v>517</v>
      </c>
      <c r="AR13" s="42">
        <v>0.375</v>
      </c>
      <c r="AS13" s="42">
        <v>0.25</v>
      </c>
      <c r="AT13" s="1">
        <v>5631045933</v>
      </c>
      <c r="AU13" s="1">
        <v>5557979514</v>
      </c>
      <c r="AV13" s="1" t="s">
        <v>3024</v>
      </c>
      <c r="AW13" s="5" t="s">
        <v>3025</v>
      </c>
      <c r="AX13" s="1" t="s">
        <v>3026</v>
      </c>
      <c r="AY13" s="1" t="s">
        <v>1935</v>
      </c>
      <c r="AZ13" s="1" t="s">
        <v>2248</v>
      </c>
      <c r="BA13" s="1" t="s">
        <v>493</v>
      </c>
      <c r="BB13" s="1">
        <v>35</v>
      </c>
      <c r="BC13" s="1" t="s">
        <v>328</v>
      </c>
      <c r="BD13" s="43">
        <v>0.29166666666424135</v>
      </c>
      <c r="BE13" s="43">
        <v>0.45833333333575865</v>
      </c>
      <c r="BF13" s="1">
        <v>5529951079</v>
      </c>
      <c r="BG13" s="1">
        <v>5557979514</v>
      </c>
      <c r="BH13" s="1" t="s">
        <v>3027</v>
      </c>
      <c r="BI13" s="5" t="s">
        <v>3028</v>
      </c>
      <c r="BJ13" s="1" t="s">
        <v>236</v>
      </c>
      <c r="BK13" s="1" t="s">
        <v>1592</v>
      </c>
      <c r="BL13" s="1">
        <v>1.66</v>
      </c>
      <c r="BM13" s="1">
        <v>78</v>
      </c>
      <c r="BN13" s="1" t="s">
        <v>236</v>
      </c>
      <c r="BO13" s="1" t="s">
        <v>228</v>
      </c>
      <c r="BP13" s="1" t="s">
        <v>270</v>
      </c>
      <c r="BQ13" s="1" t="s">
        <v>228</v>
      </c>
      <c r="BR13" s="1" t="s">
        <v>237</v>
      </c>
      <c r="BS13" s="1" t="s">
        <v>228</v>
      </c>
      <c r="BT13" s="1" t="s">
        <v>237</v>
      </c>
      <c r="BU13" s="1" t="s">
        <v>228</v>
      </c>
      <c r="BW13" s="1" t="s">
        <v>238</v>
      </c>
      <c r="BX13" s="1">
        <v>1</v>
      </c>
      <c r="BY13" s="1">
        <v>350</v>
      </c>
      <c r="BZ13" s="1" t="s">
        <v>3029</v>
      </c>
      <c r="CA13" s="1" t="s">
        <v>3030</v>
      </c>
      <c r="CB13" s="1" t="s">
        <v>240</v>
      </c>
      <c r="CC13" s="1" t="s">
        <v>3031</v>
      </c>
      <c r="CD13" s="1">
        <v>1000</v>
      </c>
      <c r="CE13" s="1">
        <v>1000</v>
      </c>
      <c r="CF13" s="1" t="s">
        <v>236</v>
      </c>
      <c r="CG13" s="1" t="s">
        <v>242</v>
      </c>
      <c r="CH13" s="1" t="s">
        <v>243</v>
      </c>
      <c r="CI13" s="1" t="s">
        <v>243</v>
      </c>
      <c r="CJ13" s="1" t="s">
        <v>2848</v>
      </c>
      <c r="CL13" s="5" t="s">
        <v>3032</v>
      </c>
      <c r="CM13" s="1">
        <v>12220700079</v>
      </c>
      <c r="CN13" s="1" t="s">
        <v>228</v>
      </c>
      <c r="CQ13" s="42">
        <v>0.41666666666424135</v>
      </c>
      <c r="CR13" s="42">
        <v>0.16666666666424135</v>
      </c>
      <c r="CT13" s="45" t="str">
        <f t="array" ref="CT13">IFERROR(INDEX(#REF!,MATCH('Respuestas de formulario 1.1'!$B13,#REF!,0),MATCH('Respuestas de formulario 1.1'!CT$1,#REF!,0)),"")</f>
        <v/>
      </c>
      <c r="CU13" s="56" t="str">
        <f t="array" ref="CU13">IFERROR(INDEX(#REF!,MATCH('Respuestas de formulario 1.1'!$B13,#REF!,0),MATCH('Respuestas de formulario 1.1'!CU$1,#REF!,0)),"")</f>
        <v/>
      </c>
      <c r="CV13" s="56" t="str">
        <f t="array" ref="CV13">IFERROR(INDEX(#REF!,MATCH('Respuestas de formulario 1.1'!$B13,#REF!,0),MATCH('Respuestas de formulario 1.1'!CV$1,#REF!,0)),"")</f>
        <v/>
      </c>
      <c r="CW13" s="56" t="str">
        <f t="array" ref="CW13">IFERROR(INDEX(#REF!,MATCH('Respuestas de formulario 1.1'!$B13,#REF!,0),MATCH('Respuestas de formulario 1.1'!CW$1,#REF!,0)),"")</f>
        <v/>
      </c>
      <c r="CX13" s="56" t="str">
        <f t="array" ref="CX13">IFERROR(INDEX(#REF!,MATCH('Respuestas de formulario 1.1'!$B13,#REF!,0),MATCH('Respuestas de formulario 1.1'!CX$1,#REF!,0)),"")</f>
        <v/>
      </c>
      <c r="CY13" s="56" t="str">
        <f t="array" ref="CY13">IFERROR(INDEX(#REF!,MATCH('Respuestas de formulario 1.1'!$B13,#REF!,0),MATCH('Respuestas de formulario 1.1'!CY$1,#REF!,0)),"")</f>
        <v/>
      </c>
      <c r="CZ13" s="57" t="str">
        <f t="array" ref="CZ13">IFERROR(INDEX(#REF!,MATCH('Respuestas de formulario 1.1'!$B13,#REF!,0),MATCH('Respuestas de formulario 1.1'!CZ$1,#REF!,0)),"")</f>
        <v/>
      </c>
      <c r="DA13" s="45" t="e">
        <f t="array" ref="DA13">INDEX(#REF!,MATCH('Respuestas de formulario 1.1'!$B13,#REF!,0),MATCH('Respuestas de formulario 1.1'!DA$1,#REF!,0))</f>
        <v>#REF!</v>
      </c>
      <c r="DB13" s="45" t="e">
        <f t="array" ref="DB13">INDEX(#REF!,MATCH('Respuestas de formulario 1.1'!$B13,#REF!,0),MATCH('Respuestas de formulario 1.1'!DB$1,#REF!,0))</f>
        <v>#REF!</v>
      </c>
      <c r="DC13" s="45" t="e">
        <f t="array" ref="DC13">INDEX(#REF!,MATCH('Respuestas de formulario 1.1'!$B13,#REF!,0),MATCH('Respuestas de formulario 1.1'!DC$1,#REF!,0))</f>
        <v>#REF!</v>
      </c>
      <c r="DD13" s="45" t="e">
        <f t="array" ref="DD13">INDEX(#REF!,MATCH('Respuestas de formulario 1.1'!$B13,#REF!,0),MATCH('Respuestas de formulario 1.1'!DD$1,#REF!,0))</f>
        <v>#REF!</v>
      </c>
      <c r="DE13" s="45" t="e">
        <f t="array" ref="DE13">INDEX(#REF!,MATCH('Respuestas de formulario 1.1'!$B13,#REF!,0),MATCH('Respuestas de formulario 1.1'!DE$1,#REF!,0))</f>
        <v>#REF!</v>
      </c>
      <c r="DF13" s="45" t="e">
        <f t="array" ref="DF13">INDEX(#REF!,MATCH('Respuestas de formulario 1.1'!$B13,#REF!,0),MATCH('Respuestas de formulario 1.1'!DF$1,#REF!,0))</f>
        <v>#REF!</v>
      </c>
      <c r="DG13" s="45" t="e">
        <f t="array" ref="DG13">INDEX(#REF!,MATCH('Respuestas de formulario 1.1'!$B13,#REF!,0),MATCH('Respuestas de formulario 1.1'!DG$1,#REF!,0))</f>
        <v>#REF!</v>
      </c>
      <c r="DH13" s="45" t="e">
        <f t="array" ref="DH13">INDEX(#REF!,MATCH('Respuestas de formulario 1.1'!$B13,#REF!,0),MATCH('Respuestas de formulario 1.1'!DH$1,#REF!,0))</f>
        <v>#REF!</v>
      </c>
      <c r="DI13" s="48" t="e">
        <f>VLOOKUP(CONCATENATE($DF13," TUTO ",$DC13),#REF!,3,0)</f>
        <v>#REF!</v>
      </c>
      <c r="DJ13" s="48" t="e">
        <f t="array" ref="DJ13">IF('Respuestas de formulario 1.1'!A13="","",INDEX(#REF!,MATCH('Respuestas de formulario 1.1'!B13,#REF!,0),MATCH('Respuestas de formulario 1.1'!$DH$1,#REF!,0)))</f>
        <v>#REF!</v>
      </c>
      <c r="DK13" s="52" t="str">
        <f>CONCATENATE("http://doc.google.com/uc?id=",MID('Respuestas de formulario 1.1'!G13,34,33))</f>
        <v>http://doc.google.com/uc?id=1Ln4XykPO_0SmSYEaDTbvoAVfsL81cKs8</v>
      </c>
      <c r="DL13" s="49" t="str">
        <f>CONCATENATE("http://doc.google.com/uc?id=",MID('Respuestas de formulario 1.1'!AH13,34,33))</f>
        <v>http://doc.google.com/uc?id=1excuI6rgNqRlIc2TF9jDmOMivbT2VJva</v>
      </c>
      <c r="DM13" s="50" t="str">
        <f>CONCATENATE("http://doc.google.com/uc?id=",MID('Respuestas de formulario 1.1'!AW13,34,33))</f>
        <v>http://doc.google.com/uc?id=1z22yxiABArZ5CRW_Wd1O0D9ESaspGDWw</v>
      </c>
      <c r="DN13" s="53" t="str">
        <f>CONCATENATE("http://doc.google.com/uc?id=",MID('Respuestas de formulario 1.1'!$BI13,34,33))</f>
        <v>http://doc.google.com/uc?id=14xAkhd4skYzkgdZdfuNhv0c1bBhDV0se</v>
      </c>
      <c r="DO13" s="45" t="str">
        <f>IFERROR(VLOOKUP(CONCATENATE('Respuestas de formulario 1.1'!$B13,MID('Respuestas de formulario 1.1'!DO$1,2,1)),#REF!,12,0),"")</f>
        <v/>
      </c>
      <c r="DP13" s="45" t="str">
        <f>IFERROR(VLOOKUP(CONCATENATE('Respuestas de formulario 1.1'!$B13,MID('Respuestas de formulario 1.1'!DP$1,2,1)),#REF!,12,0),"")</f>
        <v/>
      </c>
      <c r="DQ13" s="45" t="str">
        <f>IFERROR(VLOOKUP(CONCATENATE('Respuestas de formulario 1.1'!$B13,MID('Respuestas de formulario 1.1'!DQ$1,2,1)),#REF!,12,0),"")</f>
        <v/>
      </c>
      <c r="DR13" s="45" t="str">
        <f>IFERROR(VLOOKUP(CONCATENATE('Respuestas de formulario 1.1'!$B13,MID('Respuestas de formulario 1.1'!DR$1,2,1)),#REF!,12,0),"")</f>
        <v/>
      </c>
      <c r="DS13" s="45" t="str">
        <f>IFERROR(VLOOKUP(CONCATENATE('Respuestas de formulario 1.1'!$B13,MID('Respuestas de formulario 1.1'!DS$1,2,1)),#REF!,12,0),"")</f>
        <v/>
      </c>
      <c r="DT13" s="45" t="str">
        <f>IFERROR(VLOOKUP(CONCATENATE('Respuestas de formulario 1.1'!$B13,MID('Respuestas de formulario 1.1'!DT$1,2,1)),#REF!,12,0),"")</f>
        <v/>
      </c>
      <c r="DU13" s="45" t="str">
        <f>IFERROR(VLOOKUP(CONCATENATE('Respuestas de formulario 1.1'!$B13,MID('Respuestas de formulario 1.1'!DU$1,2,1)),#REF!,12,0),"")</f>
        <v/>
      </c>
      <c r="DV13" s="45" t="str">
        <f>IFERROR(VLOOKUP(CONCATENATE('Respuestas de formulario 1.1'!$B13,MID('Respuestas de formulario 1.1'!DV$1,2,1)),#REF!,12,0),"")</f>
        <v/>
      </c>
      <c r="DW13" s="45" t="str">
        <f>IFERROR(VLOOKUP(CONCATENATE('Respuestas de formulario 1.1'!$B13,MID('Respuestas de formulario 1.1'!DW$1,2,1)),#REF!,12,0),"")</f>
        <v/>
      </c>
      <c r="DX13" s="45" t="str">
        <f>IFERROR(VLOOKUP(CONCATENATE('Respuestas de formulario 1.1'!$B13,MID('Respuestas de formulario 1.1'!DX$1,2,1)),#REF!,12,0),"")</f>
        <v/>
      </c>
      <c r="DY13" s="45" t="str">
        <f>IFERROR(VLOOKUP(CONCATENATE('Respuestas de formulario 1.1'!$B13,MID('Respuestas de formulario 1.1'!DY$1,2,1)),#REF!,12,0),"")</f>
        <v/>
      </c>
      <c r="DZ13" s="45" t="str">
        <f>IFERROR(VLOOKUP(CONCATENATE('Respuestas de formulario 1.1'!$B13,MID('Respuestas de formulario 1.1'!DZ$1,2,1)),#REF!,12,0),"")</f>
        <v/>
      </c>
      <c r="EA13" s="45" t="str">
        <f>IFERROR(VLOOKUP(CONCATENATE('Respuestas de formulario 1.1'!$B13,MID('Respuestas de formulario 1.1'!EA$1,2,1)),#REF!,12,0),"")</f>
        <v/>
      </c>
      <c r="EB13" s="45" t="str">
        <f>IFERROR(VLOOKUP(CONCATENATE('Respuestas de formulario 1.1'!$B13,MID('Respuestas de formulario 1.1'!EB$1,2,1)),#REF!,12,0),"")</f>
        <v/>
      </c>
      <c r="EC13" s="45" t="str">
        <f>IFERROR(VLOOKUP(CONCATENATE('Respuestas de formulario 1.1'!$B13,MID('Respuestas de formulario 1.1'!EC$1,2,1)),#REF!,12,0),"")</f>
        <v/>
      </c>
      <c r="ED13" s="45" t="str">
        <f>IFERROR(VLOOKUP(CONCATENATE('Respuestas de formulario 1.1'!$B13,MID('Respuestas de formulario 1.1'!ED$1,2,1)),#REF!,12,0),"")</f>
        <v/>
      </c>
      <c r="EE13" s="45" t="str">
        <f>IFERROR(VLOOKUP(CONCATENATE('Respuestas de formulario 1.1'!$B13,MID('Respuestas de formulario 1.1'!EE$1,2,1)),#REF!,12,0),"")</f>
        <v/>
      </c>
      <c r="EF13" s="45" t="str">
        <f>IFERROR(VLOOKUP(CONCATENATE('Respuestas de formulario 1.1'!$B13,MID('Respuestas de formulario 1.1'!EF$1,2,1)),#REF!,12,0),"")</f>
        <v/>
      </c>
      <c r="EG13" s="45" t="str">
        <f>IFERROR(VLOOKUP(CONCATENATE('Respuestas de formulario 1.1'!$B13,MID('Respuestas de formulario 1.1'!EG$1,2,1)),#REF!,12,0),"")</f>
        <v/>
      </c>
      <c r="EH13" s="45" t="str">
        <f>IFERROR(VLOOKUP(CONCATENATE('Respuestas de formulario 1.1'!$B13,MID('Respuestas de formulario 1.1'!EH$1,2,1)),#REF!,12,0),"")</f>
        <v/>
      </c>
      <c r="EI13" s="45" t="str">
        <f>IFERROR(VLOOKUP(CONCATENATE('Respuestas de formulario 1.1'!$B13,MID('Respuestas de formulario 1.1'!EI$1,2,1)),#REF!,12,0),"")</f>
        <v/>
      </c>
      <c r="EJ13" s="45" t="str">
        <f t="array" ref="EJ13">IF(DO13="","", INDEX(#REF!,MATCH(CONCATENATE('Respuestas de formulario 1.1'!$B13,DO13),#REF!,0),MATCH('Respuestas de formulario 1.1'!EJ$1,#REF!,0)))</f>
        <v/>
      </c>
      <c r="EK13" s="56" t="str">
        <f t="array" ref="EK13">IF(DP13="","", INDEX(#REF!,MATCH(CONCATENATE('Respuestas de formulario 1.1'!$B13,DP13),#REF!,0),MATCH('Respuestas de formulario 1.1'!EK$1,#REF!,0)))</f>
        <v/>
      </c>
      <c r="EL13" s="56" t="str">
        <f t="array" ref="EL13">IF(DQ13="","", INDEX(#REF!,MATCH(CONCATENATE('Respuestas de formulario 1.1'!$B13,DQ13),#REF!,0),MATCH('Respuestas de formulario 1.1'!EL$1,#REF!,0)))</f>
        <v/>
      </c>
      <c r="EM13" s="56" t="str">
        <f t="array" ref="EM13">IF(DR13="","", INDEX(#REF!,MATCH(CONCATENATE('Respuestas de formulario 1.1'!$B13,DR13),#REF!,0),MATCH('Respuestas de formulario 1.1'!EM$1,#REF!,0)))</f>
        <v/>
      </c>
      <c r="EN13" s="56" t="str">
        <f t="array" ref="EN13">IF(DS13="","", INDEX(#REF!,MATCH(CONCATENATE('Respuestas de formulario 1.1'!$B13,DS13),#REF!,0),MATCH('Respuestas de formulario 1.1'!EN$1,#REF!,0)))</f>
        <v/>
      </c>
      <c r="EO13" s="56" t="str">
        <f t="array" ref="EO13">IF(DT13="","", INDEX(#REF!,MATCH(CONCATENATE('Respuestas de formulario 1.1'!$B13,DT13),#REF!,0),MATCH('Respuestas de formulario 1.1'!EO$1,#REF!,0)))</f>
        <v/>
      </c>
      <c r="EP13" s="45" t="str">
        <f t="array" ref="EP13">IF(DU13="","", INDEX(#REF!,MATCH(CONCATENATE('Respuestas de formulario 1.1'!$B13,DU13),#REF!,0),MATCH('Respuestas de formulario 1.1'!EP$1,#REF!,0)))</f>
        <v/>
      </c>
      <c r="EQ13" s="45" t="str">
        <f t="array" ref="EQ13">IF(DP13="","", INDEX(#REF!,MATCH(CONCATENATE('Respuestas de formulario 1.1'!$B13,DP13),#REF!,0),MATCH('Respuestas de formulario 1.1'!EQ$1,#REF!,0)))</f>
        <v/>
      </c>
      <c r="ER13" s="56" t="str">
        <f t="array" ref="ER13">IF(DQ13="","", INDEX(#REF!,MATCH(CONCATENATE('Respuestas de formulario 1.1'!$B13,DQ13),#REF!,0),MATCH('Respuestas de formulario 1.1'!ER$1,#REF!,0)))</f>
        <v/>
      </c>
      <c r="ES13" s="56" t="str">
        <f t="array" ref="ES13">IF(DR13="","", INDEX(#REF!,MATCH(CONCATENATE('Respuestas de formulario 1.1'!$B13,DR13),#REF!,0),MATCH('Respuestas de formulario 1.1'!ES$1,#REF!,0)))</f>
        <v/>
      </c>
      <c r="ET13" s="56" t="str">
        <f t="array" ref="ET13">IF(DS13="","", INDEX(#REF!,MATCH(CONCATENATE('Respuestas de formulario 1.1'!$B13,DS13),#REF!,0),MATCH('Respuestas de formulario 1.1'!ET$1,#REF!,0)))</f>
        <v/>
      </c>
      <c r="EU13" s="56" t="str">
        <f t="array" ref="EU13">IF(DT13="","", INDEX(#REF!,MATCH(CONCATENATE('Respuestas de formulario 1.1'!$B13,DT13),#REF!,0),MATCH('Respuestas de formulario 1.1'!EU$1,#REF!,0)))</f>
        <v/>
      </c>
      <c r="EV13" s="56" t="str">
        <f t="array" ref="EV13">IF(DU13="","", INDEX(#REF!,MATCH(CONCATENATE('Respuestas de formulario 1.1'!$B13,DU13),#REF!,0),MATCH('Respuestas de formulario 1.1'!EV$1,#REF!,0)))</f>
        <v/>
      </c>
      <c r="EW13" s="45" t="str">
        <f t="array" ref="EW13">IF(DV13="","", INDEX(#REF!,MATCH(CONCATENATE('Respuestas de formulario 1.1'!$B13,DV13),#REF!,0),MATCH('Respuestas de formulario 1.1'!EW$1,#REF!,0)))</f>
        <v/>
      </c>
      <c r="EX13" s="45" t="str">
        <f t="array" ref="EX13">IF($DQ13="","", INDEX(#REF!,MATCH(CONCATENATE('Respuestas de formulario 1.1'!$B13,$DQ13),#REF!,0),MATCH('Respuestas de formulario 1.1'!EX$1,#REF!,0)))</f>
        <v/>
      </c>
      <c r="EY13" s="56" t="str">
        <f t="array" ref="EY13">IF($DQ13="","", INDEX(#REF!,MATCH(CONCATENATE('Respuestas de formulario 1.1'!$B13,$DQ13),#REF!,0),MATCH('Respuestas de formulario 1.1'!EY$1,#REF!,0)))</f>
        <v/>
      </c>
      <c r="EZ13" s="56" t="str">
        <f t="array" ref="EZ13">IF($DQ13="","", INDEX(#REF!,MATCH(CONCATENATE('Respuestas de formulario 1.1'!$B13,$DQ13),#REF!,0),MATCH('Respuestas de formulario 1.1'!EZ$1,#REF!,0)))</f>
        <v/>
      </c>
      <c r="FA13" s="56" t="str">
        <f t="array" ref="FA13">IF($DQ13="","", INDEX(#REF!,MATCH(CONCATENATE('Respuestas de formulario 1.1'!$B13,$DQ13),#REF!,0),MATCH('Respuestas de formulario 1.1'!FA$1,#REF!,0)))</f>
        <v/>
      </c>
      <c r="FB13" s="56" t="str">
        <f t="array" ref="FB13">IF($DQ13="","", INDEX(#REF!,MATCH(CONCATENATE('Respuestas de formulario 1.1'!$B13,$DQ13),#REF!,0),MATCH('Respuestas de formulario 1.1'!FB$1,#REF!,0)))</f>
        <v/>
      </c>
      <c r="FC13" s="56" t="str">
        <f t="array" ref="FC13">IF($DQ13="","", INDEX(#REF!,MATCH(CONCATENATE('Respuestas de formulario 1.1'!$B13,$DQ13),#REF!,0),MATCH('Respuestas de formulario 1.1'!FC$1,#REF!,0)))</f>
        <v/>
      </c>
      <c r="FD13" s="45" t="str">
        <f t="array" ref="FD13">IF($DQ13="","", INDEX(#REF!,MATCH(CONCATENATE('Respuestas de formulario 1.1'!$B13,$DQ13),#REF!,0),MATCH('Respuestas de formulario 1.1'!FD$1,#REF!,0)))</f>
        <v/>
      </c>
      <c r="FE13" s="45" t="str">
        <f t="array" ref="FE13">IF($DR13="","", INDEX(#REF!,MATCH(CONCATENATE(#REF!,$DR13),#REF!,0),MATCH(#REF!,#REF!,0)))</f>
        <v/>
      </c>
      <c r="FF13" s="56" t="str">
        <f t="array" ref="FF13">IF($DR13="","", INDEX(#REF!,MATCH(CONCATENATE(#REF!,$DR13),#REF!,0),MATCH(#REF!,#REF!,0)))</f>
        <v/>
      </c>
      <c r="FG13" s="56" t="str">
        <f t="array" ref="FG13">IF($DR13="","", INDEX(#REF!,MATCH(CONCATENATE(#REF!,$DR13),#REF!,0),MATCH(#REF!,#REF!,0)))</f>
        <v/>
      </c>
      <c r="FH13" s="56" t="str">
        <f t="array" ref="FH13">IF($DR13="","", INDEX(#REF!,MATCH(CONCATENATE(#REF!,$DR13),#REF!,0),MATCH(#REF!,#REF!,0)))</f>
        <v/>
      </c>
      <c r="FI13" s="56" t="str">
        <f t="array" ref="FI13">IF($DR13="","", INDEX(#REF!,MATCH(CONCATENATE(#REF!,$DR13),#REF!,0),MATCH(#REF!,#REF!,0)))</f>
        <v/>
      </c>
      <c r="FJ13" s="56" t="str">
        <f t="array" ref="FJ13">IF($DR13="","", INDEX(#REF!,MATCH(CONCATENATE(#REF!,$DR13),#REF!,0),MATCH(#REF!,#REF!,0)))</f>
        <v/>
      </c>
      <c r="FK13" s="45" t="str">
        <f t="array" ref="FK13">IF($DR13="","", INDEX(#REF!,MATCH(CONCATENATE(#REF!,$DR13),#REF!,0),MATCH(#REF!,#REF!,0)))</f>
        <v/>
      </c>
      <c r="FL13" s="45" t="str">
        <f t="array" ref="FL13">IF($DT13="","", INDEX(#REF!,MATCH(CONCATENATE('Respuestas de formulario 1.1'!$B13,$DS13),#REF!,0),MATCH('Respuestas de formulario 1.1'!FL$1,#REF!,0)))</f>
        <v/>
      </c>
      <c r="FM13" s="56" t="str">
        <f t="array" ref="FM13">IF($DT13="","", INDEX(#REF!,MATCH(CONCATENATE('Respuestas de formulario 1.1'!$B13,$DS13),#REF!,0),MATCH('Respuestas de formulario 1.1'!FM$1,#REF!,0)))</f>
        <v/>
      </c>
      <c r="FN13" s="56" t="str">
        <f t="array" ref="FN13">IF($DT13="","", INDEX(#REF!,MATCH(CONCATENATE('Respuestas de formulario 1.1'!$B13,$DS13),#REF!,0),MATCH('Respuestas de formulario 1.1'!FN$1,#REF!,0)))</f>
        <v/>
      </c>
      <c r="FO13" s="56" t="str">
        <f t="array" ref="FO13">IF($DT13="","", INDEX(#REF!,MATCH(CONCATENATE('Respuestas de formulario 1.1'!$B13,$DS13),#REF!,0),MATCH('Respuestas de formulario 1.1'!FO$1,#REF!,0)))</f>
        <v/>
      </c>
      <c r="FP13" s="56" t="str">
        <f t="array" ref="FP13">IF($DT13="","", INDEX(#REF!,MATCH(CONCATENATE('Respuestas de formulario 1.1'!$B13,$DS13),#REF!,0),MATCH('Respuestas de formulario 1.1'!FP$1,#REF!,0)))</f>
        <v/>
      </c>
      <c r="FQ13" s="56" t="str">
        <f t="array" ref="FQ13">IF($DT13="","", INDEX(#REF!,MATCH(CONCATENATE('Respuestas de formulario 1.1'!$B13,$DS13),#REF!,0),MATCH('Respuestas de formulario 1.1'!FQ$1,#REF!,0)))</f>
        <v/>
      </c>
      <c r="FR13" s="45" t="str">
        <f t="array" ref="FR13">IF($DT13="","", INDEX(#REF!,MATCH(CONCATENATE('Respuestas de formulario 1.1'!$B13,$DS13),#REF!,0),MATCH('Respuestas de formulario 1.1'!FR$1,#REF!,0)))</f>
        <v/>
      </c>
      <c r="FS13" s="45" t="str">
        <f t="array" ref="FS13">IF($DU13="","", INDEX(#REF!,MATCH(CONCATENATE('Respuestas de formulario 1.1'!$B13,$DT13),#REF!,0),MATCH('Respuestas de formulario 1.1'!FS$1,#REF!,0)))</f>
        <v/>
      </c>
      <c r="FT13" s="56" t="str">
        <f t="array" ref="FT13">IF($DU13="","", INDEX(#REF!,MATCH(CONCATENATE('Respuestas de formulario 1.1'!$B13,$DT13),#REF!,0),MATCH('Respuestas de formulario 1.1'!FT$1,#REF!,0)))</f>
        <v/>
      </c>
      <c r="FU13" s="56" t="str">
        <f t="array" ref="FU13">IF($DU13="","", INDEX(#REF!,MATCH(CONCATENATE('Respuestas de formulario 1.1'!$B13,$DT13),#REF!,0),MATCH('Respuestas de formulario 1.1'!FU$1,#REF!,0)))</f>
        <v/>
      </c>
      <c r="FV13" s="56" t="str">
        <f t="array" ref="FV13">IF($DU13="","", INDEX(#REF!,MATCH(CONCATENATE('Respuestas de formulario 1.1'!$B13,$DT13),#REF!,0),MATCH('Respuestas de formulario 1.1'!FV$1,#REF!,0)))</f>
        <v/>
      </c>
      <c r="FW13" s="56" t="str">
        <f t="array" ref="FW13">IF($DU13="","", INDEX(#REF!,MATCH(CONCATENATE('Respuestas de formulario 1.1'!$B13,$DT13),#REF!,0),MATCH('Respuestas de formulario 1.1'!FW$1,#REF!,0)))</f>
        <v/>
      </c>
      <c r="FX13" s="56" t="str">
        <f t="array" ref="FX13">IF($DU13="","", INDEX(#REF!,MATCH(CONCATENATE('Respuestas de formulario 1.1'!$B13,$DT13),#REF!,0),MATCH('Respuestas de formulario 1.1'!FX$1,#REF!,0)))</f>
        <v/>
      </c>
      <c r="FY13" s="45" t="str">
        <f t="array" ref="FY13">IF($DU13="","", INDEX(#REF!,MATCH(CONCATENATE('Respuestas de formulario 1.1'!$B13,$DT13),#REF!,0),MATCH('Respuestas de formulario 1.1'!FY$1,#REF!,0)))</f>
        <v/>
      </c>
      <c r="FZ13" s="3" t="s">
        <v>2860</v>
      </c>
      <c r="GA13" s="1" t="s">
        <v>3033</v>
      </c>
      <c r="GB13" s="5" t="s">
        <v>3034</v>
      </c>
      <c r="GC13" s="4" t="str">
        <f>HYPERLINK("https://drive.google.com/file/d/1lzlg0ns5WElJpQ4UcQ_AISEnLRafplV5/view?usp=drivesdk","LOPEZ  JIMENEZ ARIANA GERALDINE  Formato de reinscripción y pago 2022-2")</f>
        <v>LOPEZ  JIMENEZ ARIANA GERALDINE  Formato de reinscripción y pago 2022-2</v>
      </c>
      <c r="GD13" s="1" t="s">
        <v>3035</v>
      </c>
      <c r="GE13" s="1"/>
      <c r="GF13" s="1"/>
      <c r="GG13" s="1"/>
      <c r="GH13" s="1"/>
      <c r="GI13" s="1" t="s">
        <v>3036</v>
      </c>
      <c r="GJ13" s="5" t="s">
        <v>3037</v>
      </c>
      <c r="GK13" s="5" t="str">
        <f>HYPERLINK("https://drive.google.com/file/d/1kkTAd0htglpPvAOydIePCpVg65sY3l59/view?usp=drivesdk","LOPEZ  JIMENEZ ARIANA GERALDINE  Formato de reinscripción y pago 2022-2")</f>
        <v>LOPEZ  JIMENEZ ARIANA GERALDINE  Formato de reinscripción y pago 2022-2</v>
      </c>
      <c r="GL13" s="1" t="s">
        <v>3038</v>
      </c>
    </row>
    <row r="14" spans="1:194" ht="15.75" customHeight="1" x14ac:dyDescent="0.2">
      <c r="A14" s="2">
        <v>45139.03130072917</v>
      </c>
      <c r="B14" s="1" t="s">
        <v>18</v>
      </c>
      <c r="C14" s="1" t="s">
        <v>1588</v>
      </c>
      <c r="D14" s="1" t="s">
        <v>2127</v>
      </c>
      <c r="E14" s="1" t="s">
        <v>2128</v>
      </c>
      <c r="F14" s="1" t="s">
        <v>223</v>
      </c>
      <c r="G14" s="5" t="s">
        <v>3039</v>
      </c>
      <c r="H14" s="41">
        <v>39192</v>
      </c>
      <c r="I14" s="1">
        <v>16</v>
      </c>
      <c r="J14" s="1">
        <v>5635330328</v>
      </c>
      <c r="K14" s="1">
        <v>5567285917</v>
      </c>
      <c r="L14" s="1" t="s">
        <v>2129</v>
      </c>
      <c r="M14" s="1">
        <v>223060900947</v>
      </c>
      <c r="N14" s="1" t="s">
        <v>562</v>
      </c>
      <c r="O14" s="1" t="s">
        <v>225</v>
      </c>
      <c r="P14" s="1" t="s">
        <v>278</v>
      </c>
      <c r="Q14" s="1" t="s">
        <v>315</v>
      </c>
      <c r="R14" s="1" t="s">
        <v>236</v>
      </c>
      <c r="S14" s="1" t="s">
        <v>228</v>
      </c>
      <c r="T14" s="1" t="s">
        <v>411</v>
      </c>
      <c r="U14" s="1" t="s">
        <v>249</v>
      </c>
      <c r="V14" s="1" t="s">
        <v>228</v>
      </c>
      <c r="W14" s="1" t="s">
        <v>3040</v>
      </c>
      <c r="X14" s="1" t="s">
        <v>249</v>
      </c>
      <c r="Y14" s="1" t="s">
        <v>1381</v>
      </c>
      <c r="Z14" s="1" t="s">
        <v>240</v>
      </c>
      <c r="AA14" s="44" t="s">
        <v>967</v>
      </c>
      <c r="AB14" s="1">
        <v>8</v>
      </c>
      <c r="AC14" s="1">
        <v>20</v>
      </c>
      <c r="AD14" s="1" t="s">
        <v>3041</v>
      </c>
      <c r="AE14" s="1" t="s">
        <v>3042</v>
      </c>
      <c r="AF14" s="1" t="s">
        <v>580</v>
      </c>
      <c r="AG14" s="1">
        <v>47</v>
      </c>
      <c r="AH14" s="5" t="s">
        <v>3043</v>
      </c>
      <c r="AI14" s="1">
        <v>5533644952</v>
      </c>
      <c r="AJ14" s="1">
        <v>5567285917</v>
      </c>
      <c r="AK14" s="1" t="s">
        <v>2133</v>
      </c>
      <c r="AL14" s="1" t="s">
        <v>1588</v>
      </c>
      <c r="AM14" s="1" t="s">
        <v>722</v>
      </c>
      <c r="AN14" s="1" t="s">
        <v>282</v>
      </c>
      <c r="AO14" s="1" t="s">
        <v>291</v>
      </c>
      <c r="AP14" s="1">
        <v>41</v>
      </c>
      <c r="AQ14" s="1" t="s">
        <v>842</v>
      </c>
      <c r="AR14" s="42">
        <v>0.29166666666424135</v>
      </c>
      <c r="AS14" s="42">
        <v>0.29166666666424135</v>
      </c>
      <c r="AT14" s="1">
        <v>5548382877</v>
      </c>
      <c r="AU14" s="1">
        <v>5567285917</v>
      </c>
      <c r="AV14" s="1" t="s">
        <v>2130</v>
      </c>
      <c r="AW14" s="5" t="s">
        <v>3044</v>
      </c>
      <c r="AX14" s="1" t="s">
        <v>2127</v>
      </c>
      <c r="AY14" s="1" t="s">
        <v>2131</v>
      </c>
      <c r="AZ14" s="1" t="s">
        <v>2132</v>
      </c>
      <c r="BA14" s="1" t="s">
        <v>580</v>
      </c>
      <c r="BB14" s="1">
        <v>47</v>
      </c>
      <c r="BC14" s="1" t="s">
        <v>842</v>
      </c>
      <c r="BD14" s="43">
        <v>0.29166666666424135</v>
      </c>
      <c r="BE14" s="43">
        <v>0.29166666666424135</v>
      </c>
      <c r="BF14" s="1">
        <v>5533644952</v>
      </c>
      <c r="BG14" s="1">
        <v>5567285917</v>
      </c>
      <c r="BH14" s="1" t="s">
        <v>2133</v>
      </c>
      <c r="BI14" s="5" t="s">
        <v>3045</v>
      </c>
      <c r="BJ14" s="1" t="s">
        <v>236</v>
      </c>
      <c r="BK14" s="1" t="s">
        <v>450</v>
      </c>
      <c r="BL14" s="1">
        <v>1.75</v>
      </c>
      <c r="BM14" s="1">
        <v>78</v>
      </c>
      <c r="BN14" s="1" t="s">
        <v>236</v>
      </c>
      <c r="BO14" s="1" t="s">
        <v>228</v>
      </c>
      <c r="BP14" s="1" t="s">
        <v>297</v>
      </c>
      <c r="BQ14" s="1" t="s">
        <v>228</v>
      </c>
      <c r="BR14" s="1" t="s">
        <v>237</v>
      </c>
      <c r="BS14" s="1" t="s">
        <v>228</v>
      </c>
      <c r="BT14" s="1" t="s">
        <v>237</v>
      </c>
      <c r="BU14" s="1" t="s">
        <v>228</v>
      </c>
      <c r="BW14" s="1" t="s">
        <v>349</v>
      </c>
      <c r="BX14" s="1">
        <v>95</v>
      </c>
      <c r="BY14" s="1">
        <v>150</v>
      </c>
      <c r="BZ14" s="1" t="s">
        <v>298</v>
      </c>
      <c r="CA14" s="1" t="s">
        <v>777</v>
      </c>
      <c r="CB14" s="1" t="s">
        <v>240</v>
      </c>
      <c r="CC14" s="1" t="s">
        <v>745</v>
      </c>
      <c r="CD14" s="1">
        <v>4000</v>
      </c>
      <c r="CE14" s="1">
        <v>3000</v>
      </c>
      <c r="CF14" s="1" t="s">
        <v>236</v>
      </c>
      <c r="CG14" s="1" t="s">
        <v>242</v>
      </c>
      <c r="CH14" s="1" t="s">
        <v>243</v>
      </c>
      <c r="CI14" s="1" t="s">
        <v>243</v>
      </c>
      <c r="CJ14" s="1" t="s">
        <v>2848</v>
      </c>
      <c r="CL14" s="5" t="s">
        <v>3046</v>
      </c>
      <c r="CM14" s="1">
        <v>14220724075</v>
      </c>
      <c r="CN14" s="1" t="s">
        <v>236</v>
      </c>
      <c r="CO14" s="1" t="s">
        <v>3047</v>
      </c>
      <c r="CP14" s="1" t="s">
        <v>237</v>
      </c>
      <c r="CQ14" s="42">
        <v>0.29166666666424135</v>
      </c>
      <c r="CR14" s="42">
        <v>0.29166666666424135</v>
      </c>
      <c r="CT14" s="45" t="str">
        <f t="array" ref="CT14">IFERROR(INDEX(#REF!,MATCH('Respuestas de formulario 1.1'!$B14,#REF!,0),MATCH('Respuestas de formulario 1.1'!CT$1,#REF!,0)),"")</f>
        <v/>
      </c>
      <c r="CU14" s="56" t="str">
        <f t="array" ref="CU14">IFERROR(INDEX(#REF!,MATCH('Respuestas de formulario 1.1'!$B14,#REF!,0),MATCH('Respuestas de formulario 1.1'!CU$1,#REF!,0)),"")</f>
        <v/>
      </c>
      <c r="CV14" s="56" t="str">
        <f t="array" ref="CV14">IFERROR(INDEX(#REF!,MATCH('Respuestas de formulario 1.1'!$B14,#REF!,0),MATCH('Respuestas de formulario 1.1'!CV$1,#REF!,0)),"")</f>
        <v/>
      </c>
      <c r="CW14" s="56" t="str">
        <f t="array" ref="CW14">IFERROR(INDEX(#REF!,MATCH('Respuestas de formulario 1.1'!$B14,#REF!,0),MATCH('Respuestas de formulario 1.1'!CW$1,#REF!,0)),"")</f>
        <v/>
      </c>
      <c r="CX14" s="56" t="str">
        <f t="array" ref="CX14">IFERROR(INDEX(#REF!,MATCH('Respuestas de formulario 1.1'!$B14,#REF!,0),MATCH('Respuestas de formulario 1.1'!CX$1,#REF!,0)),"")</f>
        <v/>
      </c>
      <c r="CY14" s="56" t="str">
        <f t="array" ref="CY14">IFERROR(INDEX(#REF!,MATCH('Respuestas de formulario 1.1'!$B14,#REF!,0),MATCH('Respuestas de formulario 1.1'!CY$1,#REF!,0)),"")</f>
        <v/>
      </c>
      <c r="CZ14" s="57" t="str">
        <f t="array" ref="CZ14">IFERROR(INDEX(#REF!,MATCH('Respuestas de formulario 1.1'!$B14,#REF!,0),MATCH('Respuestas de formulario 1.1'!CZ$1,#REF!,0)),"")</f>
        <v/>
      </c>
      <c r="DA14" s="45" t="e">
        <f t="array" ref="DA14">INDEX(#REF!,MATCH('Respuestas de formulario 1.1'!$B14,#REF!,0),MATCH('Respuestas de formulario 1.1'!DA$1,#REF!,0))</f>
        <v>#REF!</v>
      </c>
      <c r="DB14" s="45" t="e">
        <f t="array" ref="DB14">INDEX(#REF!,MATCH('Respuestas de formulario 1.1'!$B14,#REF!,0),MATCH('Respuestas de formulario 1.1'!DB$1,#REF!,0))</f>
        <v>#REF!</v>
      </c>
      <c r="DC14" s="45" t="e">
        <f t="array" ref="DC14">INDEX(#REF!,MATCH('Respuestas de formulario 1.1'!$B14,#REF!,0),MATCH('Respuestas de formulario 1.1'!DC$1,#REF!,0))</f>
        <v>#REF!</v>
      </c>
      <c r="DD14" s="45" t="e">
        <f t="array" ref="DD14">INDEX(#REF!,MATCH('Respuestas de formulario 1.1'!$B14,#REF!,0),MATCH('Respuestas de formulario 1.1'!DD$1,#REF!,0))</f>
        <v>#REF!</v>
      </c>
      <c r="DE14" s="45" t="e">
        <f t="array" ref="DE14">INDEX(#REF!,MATCH('Respuestas de formulario 1.1'!$B14,#REF!,0),MATCH('Respuestas de formulario 1.1'!DE$1,#REF!,0))</f>
        <v>#REF!</v>
      </c>
      <c r="DF14" s="45" t="e">
        <f t="array" ref="DF14">INDEX(#REF!,MATCH('Respuestas de formulario 1.1'!$B14,#REF!,0),MATCH('Respuestas de formulario 1.1'!DF$1,#REF!,0))</f>
        <v>#REF!</v>
      </c>
      <c r="DG14" s="45" t="e">
        <f t="array" ref="DG14">INDEX(#REF!,MATCH('Respuestas de formulario 1.1'!$B14,#REF!,0),MATCH('Respuestas de formulario 1.1'!DG$1,#REF!,0))</f>
        <v>#REF!</v>
      </c>
      <c r="DH14" s="45" t="e">
        <f t="array" ref="DH14">INDEX(#REF!,MATCH('Respuestas de formulario 1.1'!$B14,#REF!,0),MATCH('Respuestas de formulario 1.1'!DH$1,#REF!,0))</f>
        <v>#REF!</v>
      </c>
      <c r="DI14" s="48" t="e">
        <f>VLOOKUP(CONCATENATE($DF14," TUTO ",$DC14),#REF!,3,0)</f>
        <v>#REF!</v>
      </c>
      <c r="DJ14" s="48" t="e">
        <f t="array" ref="DJ14">IF('Respuestas de formulario 1.1'!A14="","",INDEX(#REF!,MATCH('Respuestas de formulario 1.1'!B14,#REF!,0),MATCH('Respuestas de formulario 1.1'!$DH$1,#REF!,0)))</f>
        <v>#REF!</v>
      </c>
      <c r="DK14" s="52" t="str">
        <f>CONCATENATE("http://doc.google.com/uc?id=",MID('Respuestas de formulario 1.1'!G14,34,33))</f>
        <v>http://doc.google.com/uc?id=1R_RcchBe5M4Czh0YyrUR2pPZLPzSywkl</v>
      </c>
      <c r="DL14" s="49" t="str">
        <f>CONCATENATE("http://doc.google.com/uc?id=",MID('Respuestas de formulario 1.1'!AH14,34,33))</f>
        <v>http://doc.google.com/uc?id=1_zTaRIcrsSW-h6JGOSlEacp3QvZKOWEJ</v>
      </c>
      <c r="DM14" s="50" t="str">
        <f>CONCATENATE("http://doc.google.com/uc?id=",MID('Respuestas de formulario 1.1'!AW14,34,33))</f>
        <v>http://doc.google.com/uc?id=1PXoLUL6L0OJRSq3zSgINm5IGeGT5ccgE</v>
      </c>
      <c r="DN14" s="53" t="str">
        <f>CONCATENATE("http://doc.google.com/uc?id=",MID('Respuestas de formulario 1.1'!$BI14,34,33))</f>
        <v>http://doc.google.com/uc?id=18bB1r2dn6BJV8fXNeX0U-LoZlMjExrw_</v>
      </c>
      <c r="DO14" s="45" t="str">
        <f>IFERROR(VLOOKUP(CONCATENATE('Respuestas de formulario 1.1'!$B14,MID('Respuestas de formulario 1.1'!DO$1,2,1)),#REF!,12,0),"")</f>
        <v/>
      </c>
      <c r="DP14" s="45" t="str">
        <f>IFERROR(VLOOKUP(CONCATENATE('Respuestas de formulario 1.1'!$B14,MID('Respuestas de formulario 1.1'!DP$1,2,1)),#REF!,12,0),"")</f>
        <v/>
      </c>
      <c r="DQ14" s="45" t="str">
        <f>IFERROR(VLOOKUP(CONCATENATE('Respuestas de formulario 1.1'!$B14,MID('Respuestas de formulario 1.1'!DQ$1,2,1)),#REF!,12,0),"")</f>
        <v/>
      </c>
      <c r="DR14" s="45" t="str">
        <f>IFERROR(VLOOKUP(CONCATENATE('Respuestas de formulario 1.1'!$B14,MID('Respuestas de formulario 1.1'!DR$1,2,1)),#REF!,12,0),"")</f>
        <v/>
      </c>
      <c r="DS14" s="45" t="str">
        <f>IFERROR(VLOOKUP(CONCATENATE('Respuestas de formulario 1.1'!$B14,MID('Respuestas de formulario 1.1'!DS$1,2,1)),#REF!,12,0),"")</f>
        <v/>
      </c>
      <c r="DT14" s="45" t="str">
        <f>IFERROR(VLOOKUP(CONCATENATE('Respuestas de formulario 1.1'!$B14,MID('Respuestas de formulario 1.1'!DT$1,2,1)),#REF!,12,0),"")</f>
        <v/>
      </c>
      <c r="DU14" s="45" t="str">
        <f>IFERROR(VLOOKUP(CONCATENATE('Respuestas de formulario 1.1'!$B14,MID('Respuestas de formulario 1.1'!DU$1,2,1)),#REF!,12,0),"")</f>
        <v/>
      </c>
      <c r="DV14" s="45" t="str">
        <f>IFERROR(VLOOKUP(CONCATENATE('Respuestas de formulario 1.1'!$B14,MID('Respuestas de formulario 1.1'!DV$1,2,1)),#REF!,12,0),"")</f>
        <v/>
      </c>
      <c r="DW14" s="45" t="str">
        <f>IFERROR(VLOOKUP(CONCATENATE('Respuestas de formulario 1.1'!$B14,MID('Respuestas de formulario 1.1'!DW$1,2,1)),#REF!,12,0),"")</f>
        <v/>
      </c>
      <c r="DX14" s="45" t="str">
        <f>IFERROR(VLOOKUP(CONCATENATE('Respuestas de formulario 1.1'!$B14,MID('Respuestas de formulario 1.1'!DX$1,2,1)),#REF!,12,0),"")</f>
        <v/>
      </c>
      <c r="DY14" s="45" t="str">
        <f>IFERROR(VLOOKUP(CONCATENATE('Respuestas de formulario 1.1'!$B14,MID('Respuestas de formulario 1.1'!DY$1,2,1)),#REF!,12,0),"")</f>
        <v/>
      </c>
      <c r="DZ14" s="45" t="str">
        <f>IFERROR(VLOOKUP(CONCATENATE('Respuestas de formulario 1.1'!$B14,MID('Respuestas de formulario 1.1'!DZ$1,2,1)),#REF!,12,0),"")</f>
        <v/>
      </c>
      <c r="EA14" s="45" t="str">
        <f>IFERROR(VLOOKUP(CONCATENATE('Respuestas de formulario 1.1'!$B14,MID('Respuestas de formulario 1.1'!EA$1,2,1)),#REF!,12,0),"")</f>
        <v/>
      </c>
      <c r="EB14" s="45" t="str">
        <f>IFERROR(VLOOKUP(CONCATENATE('Respuestas de formulario 1.1'!$B14,MID('Respuestas de formulario 1.1'!EB$1,2,1)),#REF!,12,0),"")</f>
        <v/>
      </c>
      <c r="EC14" s="45" t="str">
        <f>IFERROR(VLOOKUP(CONCATENATE('Respuestas de formulario 1.1'!$B14,MID('Respuestas de formulario 1.1'!EC$1,2,1)),#REF!,12,0),"")</f>
        <v/>
      </c>
      <c r="ED14" s="45" t="str">
        <f>IFERROR(VLOOKUP(CONCATENATE('Respuestas de formulario 1.1'!$B14,MID('Respuestas de formulario 1.1'!ED$1,2,1)),#REF!,12,0),"")</f>
        <v/>
      </c>
      <c r="EE14" s="45" t="str">
        <f>IFERROR(VLOOKUP(CONCATENATE('Respuestas de formulario 1.1'!$B14,MID('Respuestas de formulario 1.1'!EE$1,2,1)),#REF!,12,0),"")</f>
        <v/>
      </c>
      <c r="EF14" s="45" t="str">
        <f>IFERROR(VLOOKUP(CONCATENATE('Respuestas de formulario 1.1'!$B14,MID('Respuestas de formulario 1.1'!EF$1,2,1)),#REF!,12,0),"")</f>
        <v/>
      </c>
      <c r="EG14" s="45" t="str">
        <f>IFERROR(VLOOKUP(CONCATENATE('Respuestas de formulario 1.1'!$B14,MID('Respuestas de formulario 1.1'!EG$1,2,1)),#REF!,12,0),"")</f>
        <v/>
      </c>
      <c r="EH14" s="45" t="str">
        <f>IFERROR(VLOOKUP(CONCATENATE('Respuestas de formulario 1.1'!$B14,MID('Respuestas de formulario 1.1'!EH$1,2,1)),#REF!,12,0),"")</f>
        <v/>
      </c>
      <c r="EI14" s="45" t="str">
        <f>IFERROR(VLOOKUP(CONCATENATE('Respuestas de formulario 1.1'!$B14,MID('Respuestas de formulario 1.1'!EI$1,2,1)),#REF!,12,0),"")</f>
        <v/>
      </c>
      <c r="EJ14" s="45" t="str">
        <f t="array" ref="EJ14">IF(DO14="","", INDEX(#REF!,MATCH(CONCATENATE('Respuestas de formulario 1.1'!$B14,DO14),#REF!,0),MATCH('Respuestas de formulario 1.1'!EJ$1,#REF!,0)))</f>
        <v/>
      </c>
      <c r="EK14" s="56" t="str">
        <f t="array" ref="EK14">IF(DP14="","", INDEX(#REF!,MATCH(CONCATENATE('Respuestas de formulario 1.1'!$B14,DP14),#REF!,0),MATCH('Respuestas de formulario 1.1'!EK$1,#REF!,0)))</f>
        <v/>
      </c>
      <c r="EL14" s="56" t="str">
        <f t="array" ref="EL14">IF(DQ14="","", INDEX(#REF!,MATCH(CONCATENATE('Respuestas de formulario 1.1'!$B14,DQ14),#REF!,0),MATCH('Respuestas de formulario 1.1'!EL$1,#REF!,0)))</f>
        <v/>
      </c>
      <c r="EM14" s="56" t="str">
        <f t="array" ref="EM14">IF(DR14="","", INDEX(#REF!,MATCH(CONCATENATE('Respuestas de formulario 1.1'!$B14,DR14),#REF!,0),MATCH('Respuestas de formulario 1.1'!EM$1,#REF!,0)))</f>
        <v/>
      </c>
      <c r="EN14" s="56" t="str">
        <f t="array" ref="EN14">IF(DS14="","", INDEX(#REF!,MATCH(CONCATENATE('Respuestas de formulario 1.1'!$B14,DS14),#REF!,0),MATCH('Respuestas de formulario 1.1'!EN$1,#REF!,0)))</f>
        <v/>
      </c>
      <c r="EO14" s="56" t="str">
        <f t="array" ref="EO14">IF(DT14="","", INDEX(#REF!,MATCH(CONCATENATE('Respuestas de formulario 1.1'!$B14,DT14),#REF!,0),MATCH('Respuestas de formulario 1.1'!EO$1,#REF!,0)))</f>
        <v/>
      </c>
      <c r="EP14" s="45" t="str">
        <f t="array" ref="EP14">IF(DU14="","", INDEX(#REF!,MATCH(CONCATENATE('Respuestas de formulario 1.1'!$B14,DU14),#REF!,0),MATCH('Respuestas de formulario 1.1'!EP$1,#REF!,0)))</f>
        <v/>
      </c>
      <c r="EQ14" s="45" t="str">
        <f t="array" ref="EQ14">IF(DP14="","", INDEX(#REF!,MATCH(CONCATENATE('Respuestas de formulario 1.1'!$B14,DP14),#REF!,0),MATCH('Respuestas de formulario 1.1'!EQ$1,#REF!,0)))</f>
        <v/>
      </c>
      <c r="ER14" s="56" t="str">
        <f t="array" ref="ER14">IF(DQ14="","", INDEX(#REF!,MATCH(CONCATENATE('Respuestas de formulario 1.1'!$B14,DQ14),#REF!,0),MATCH('Respuestas de formulario 1.1'!ER$1,#REF!,0)))</f>
        <v/>
      </c>
      <c r="ES14" s="56" t="str">
        <f t="array" ref="ES14">IF(DR14="","", INDEX(#REF!,MATCH(CONCATENATE('Respuestas de formulario 1.1'!$B14,DR14),#REF!,0),MATCH('Respuestas de formulario 1.1'!ES$1,#REF!,0)))</f>
        <v/>
      </c>
      <c r="ET14" s="56" t="str">
        <f t="array" ref="ET14">IF(DS14="","", INDEX(#REF!,MATCH(CONCATENATE('Respuestas de formulario 1.1'!$B14,DS14),#REF!,0),MATCH('Respuestas de formulario 1.1'!ET$1,#REF!,0)))</f>
        <v/>
      </c>
      <c r="EU14" s="56" t="str">
        <f t="array" ref="EU14">IF(DT14="","", INDEX(#REF!,MATCH(CONCATENATE('Respuestas de formulario 1.1'!$B14,DT14),#REF!,0),MATCH('Respuestas de formulario 1.1'!EU$1,#REF!,0)))</f>
        <v/>
      </c>
      <c r="EV14" s="56" t="str">
        <f t="array" ref="EV14">IF(DU14="","", INDEX(#REF!,MATCH(CONCATENATE('Respuestas de formulario 1.1'!$B14,DU14),#REF!,0),MATCH('Respuestas de formulario 1.1'!EV$1,#REF!,0)))</f>
        <v/>
      </c>
      <c r="EW14" s="45" t="str">
        <f t="array" ref="EW14">IF(DV14="","", INDEX(#REF!,MATCH(CONCATENATE('Respuestas de formulario 1.1'!$B14,DV14),#REF!,0),MATCH('Respuestas de formulario 1.1'!EW$1,#REF!,0)))</f>
        <v/>
      </c>
      <c r="EX14" s="45" t="str">
        <f t="array" ref="EX14">IF($DQ14="","", INDEX(#REF!,MATCH(CONCATENATE('Respuestas de formulario 1.1'!$B14,$DQ14),#REF!,0),MATCH('Respuestas de formulario 1.1'!EX$1,#REF!,0)))</f>
        <v/>
      </c>
      <c r="EY14" s="56" t="str">
        <f t="array" ref="EY14">IF($DQ14="","", INDEX(#REF!,MATCH(CONCATENATE('Respuestas de formulario 1.1'!$B14,$DQ14),#REF!,0),MATCH('Respuestas de formulario 1.1'!EY$1,#REF!,0)))</f>
        <v/>
      </c>
      <c r="EZ14" s="56" t="str">
        <f t="array" ref="EZ14">IF($DQ14="","", INDEX(#REF!,MATCH(CONCATENATE('Respuestas de formulario 1.1'!$B14,$DQ14),#REF!,0),MATCH('Respuestas de formulario 1.1'!EZ$1,#REF!,0)))</f>
        <v/>
      </c>
      <c r="FA14" s="56" t="str">
        <f t="array" ref="FA14">IF($DQ14="","", INDEX(#REF!,MATCH(CONCATENATE('Respuestas de formulario 1.1'!$B14,$DQ14),#REF!,0),MATCH('Respuestas de formulario 1.1'!FA$1,#REF!,0)))</f>
        <v/>
      </c>
      <c r="FB14" s="56" t="str">
        <f t="array" ref="FB14">IF($DQ14="","", INDEX(#REF!,MATCH(CONCATENATE('Respuestas de formulario 1.1'!$B14,$DQ14),#REF!,0),MATCH('Respuestas de formulario 1.1'!FB$1,#REF!,0)))</f>
        <v/>
      </c>
      <c r="FC14" s="56" t="str">
        <f t="array" ref="FC14">IF($DQ14="","", INDEX(#REF!,MATCH(CONCATENATE('Respuestas de formulario 1.1'!$B14,$DQ14),#REF!,0),MATCH('Respuestas de formulario 1.1'!FC$1,#REF!,0)))</f>
        <v/>
      </c>
      <c r="FD14" s="45" t="str">
        <f t="array" ref="FD14">IF($DQ14="","", INDEX(#REF!,MATCH(CONCATENATE('Respuestas de formulario 1.1'!$B14,$DQ14),#REF!,0),MATCH('Respuestas de formulario 1.1'!FD$1,#REF!,0)))</f>
        <v/>
      </c>
      <c r="FE14" s="45" t="str">
        <f t="array" ref="FE14">IF($DR14="","", INDEX(#REF!,MATCH(CONCATENATE(#REF!,$DR14),#REF!,0),MATCH(#REF!,#REF!,0)))</f>
        <v/>
      </c>
      <c r="FF14" s="56" t="str">
        <f t="array" ref="FF14">IF($DR14="","", INDEX(#REF!,MATCH(CONCATENATE(#REF!,$DR14),#REF!,0),MATCH(#REF!,#REF!,0)))</f>
        <v/>
      </c>
      <c r="FG14" s="56" t="str">
        <f t="array" ref="FG14">IF($DR14="","", INDEX(#REF!,MATCH(CONCATENATE(#REF!,$DR14),#REF!,0),MATCH(#REF!,#REF!,0)))</f>
        <v/>
      </c>
      <c r="FH14" s="56" t="str">
        <f t="array" ref="FH14">IF($DR14="","", INDEX(#REF!,MATCH(CONCATENATE(#REF!,$DR14),#REF!,0),MATCH(#REF!,#REF!,0)))</f>
        <v/>
      </c>
      <c r="FI14" s="56" t="str">
        <f t="array" ref="FI14">IF($DR14="","", INDEX(#REF!,MATCH(CONCATENATE(#REF!,$DR14),#REF!,0),MATCH(#REF!,#REF!,0)))</f>
        <v/>
      </c>
      <c r="FJ14" s="56" t="str">
        <f t="array" ref="FJ14">IF($DR14="","", INDEX(#REF!,MATCH(CONCATENATE(#REF!,$DR14),#REF!,0),MATCH(#REF!,#REF!,0)))</f>
        <v/>
      </c>
      <c r="FK14" s="45" t="str">
        <f t="array" ref="FK14">IF($DR14="","", INDEX(#REF!,MATCH(CONCATENATE(#REF!,$DR14),#REF!,0),MATCH(#REF!,#REF!,0)))</f>
        <v/>
      </c>
      <c r="FL14" s="45" t="str">
        <f t="array" ref="FL14">IF($DT14="","", INDEX(#REF!,MATCH(CONCATENATE('Respuestas de formulario 1.1'!$B14,$DS14),#REF!,0),MATCH('Respuestas de formulario 1.1'!FL$1,#REF!,0)))</f>
        <v/>
      </c>
      <c r="FM14" s="56" t="str">
        <f t="array" ref="FM14">IF($DT14="","", INDEX(#REF!,MATCH(CONCATENATE('Respuestas de formulario 1.1'!$B14,$DS14),#REF!,0),MATCH('Respuestas de formulario 1.1'!FM$1,#REF!,0)))</f>
        <v/>
      </c>
      <c r="FN14" s="56" t="str">
        <f t="array" ref="FN14">IF($DT14="","", INDEX(#REF!,MATCH(CONCATENATE('Respuestas de formulario 1.1'!$B14,$DS14),#REF!,0),MATCH('Respuestas de formulario 1.1'!FN$1,#REF!,0)))</f>
        <v/>
      </c>
      <c r="FO14" s="56" t="str">
        <f t="array" ref="FO14">IF($DT14="","", INDEX(#REF!,MATCH(CONCATENATE('Respuestas de formulario 1.1'!$B14,$DS14),#REF!,0),MATCH('Respuestas de formulario 1.1'!FO$1,#REF!,0)))</f>
        <v/>
      </c>
      <c r="FP14" s="56" t="str">
        <f t="array" ref="FP14">IF($DT14="","", INDEX(#REF!,MATCH(CONCATENATE('Respuestas de formulario 1.1'!$B14,$DS14),#REF!,0),MATCH('Respuestas de formulario 1.1'!FP$1,#REF!,0)))</f>
        <v/>
      </c>
      <c r="FQ14" s="56" t="str">
        <f t="array" ref="FQ14">IF($DT14="","", INDEX(#REF!,MATCH(CONCATENATE('Respuestas de formulario 1.1'!$B14,$DS14),#REF!,0),MATCH('Respuestas de formulario 1.1'!FQ$1,#REF!,0)))</f>
        <v/>
      </c>
      <c r="FR14" s="45" t="str">
        <f t="array" ref="FR14">IF($DT14="","", INDEX(#REF!,MATCH(CONCATENATE('Respuestas de formulario 1.1'!$B14,$DS14),#REF!,0),MATCH('Respuestas de formulario 1.1'!FR$1,#REF!,0)))</f>
        <v/>
      </c>
      <c r="FS14" s="45" t="str">
        <f t="array" ref="FS14">IF($DU14="","", INDEX(#REF!,MATCH(CONCATENATE('Respuestas de formulario 1.1'!$B14,$DT14),#REF!,0),MATCH('Respuestas de formulario 1.1'!FS$1,#REF!,0)))</f>
        <v/>
      </c>
      <c r="FT14" s="56" t="str">
        <f t="array" ref="FT14">IF($DU14="","", INDEX(#REF!,MATCH(CONCATENATE('Respuestas de formulario 1.1'!$B14,$DT14),#REF!,0),MATCH('Respuestas de formulario 1.1'!FT$1,#REF!,0)))</f>
        <v/>
      </c>
      <c r="FU14" s="56" t="str">
        <f t="array" ref="FU14">IF($DU14="","", INDEX(#REF!,MATCH(CONCATENATE('Respuestas de formulario 1.1'!$B14,$DT14),#REF!,0),MATCH('Respuestas de formulario 1.1'!FU$1,#REF!,0)))</f>
        <v/>
      </c>
      <c r="FV14" s="56" t="str">
        <f t="array" ref="FV14">IF($DU14="","", INDEX(#REF!,MATCH(CONCATENATE('Respuestas de formulario 1.1'!$B14,$DT14),#REF!,0),MATCH('Respuestas de formulario 1.1'!FV$1,#REF!,0)))</f>
        <v/>
      </c>
      <c r="FW14" s="56" t="str">
        <f t="array" ref="FW14">IF($DU14="","", INDEX(#REF!,MATCH(CONCATENATE('Respuestas de formulario 1.1'!$B14,$DT14),#REF!,0),MATCH('Respuestas de formulario 1.1'!FW$1,#REF!,0)))</f>
        <v/>
      </c>
      <c r="FX14" s="56" t="str">
        <f t="array" ref="FX14">IF($DU14="","", INDEX(#REF!,MATCH(CONCATENATE('Respuestas de formulario 1.1'!$B14,$DT14),#REF!,0),MATCH('Respuestas de formulario 1.1'!FX$1,#REF!,0)))</f>
        <v/>
      </c>
      <c r="FY14" s="45" t="str">
        <f t="array" ref="FY14">IF($DU14="","", INDEX(#REF!,MATCH(CONCATENATE('Respuestas de formulario 1.1'!$B14,$DT14),#REF!,0),MATCH('Respuestas de formulario 1.1'!FY$1,#REF!,0)))</f>
        <v/>
      </c>
      <c r="FZ14" s="3" t="s">
        <v>2860</v>
      </c>
      <c r="GA14" s="1" t="s">
        <v>3048</v>
      </c>
      <c r="GB14" s="5" t="s">
        <v>3049</v>
      </c>
      <c r="GC14" s="4" t="str">
        <f>HYPERLINK("https://drive.google.com/file/d/1SQN_5upJjY75Hdl59BWIcdniN4h4JZQ5/view?usp=drivesdk","OLMOS  FORTIZ  AMERICA PAOLA  Formato de reinscripción y pago 2022-2")</f>
        <v>OLMOS  FORTIZ  AMERICA PAOLA  Formato de reinscripción y pago 2022-2</v>
      </c>
      <c r="GD14" s="1" t="s">
        <v>3050</v>
      </c>
      <c r="GE14" s="1"/>
      <c r="GF14" s="1"/>
      <c r="GG14" s="1"/>
      <c r="GH14" s="1"/>
      <c r="GI14" s="1" t="s">
        <v>3051</v>
      </c>
      <c r="GJ14" s="5" t="s">
        <v>3052</v>
      </c>
      <c r="GK14" s="5" t="str">
        <f>HYPERLINK("https://drive.google.com/file/d/15IB0dc7Kn0mmjT7UiJqhbV_jdOkQr_fT/view?usp=drivesdk","OLMOS  FORTIZ  AMERICA PAOLA  Formato de reinscripción y pago 2022-2")</f>
        <v>OLMOS  FORTIZ  AMERICA PAOLA  Formato de reinscripción y pago 2022-2</v>
      </c>
      <c r="GL14" s="1" t="s">
        <v>3053</v>
      </c>
    </row>
    <row r="15" spans="1:194" ht="15.75" customHeight="1" x14ac:dyDescent="0.2">
      <c r="A15" s="2">
        <v>45139.032046319444</v>
      </c>
      <c r="B15" s="1" t="s">
        <v>47</v>
      </c>
      <c r="C15" s="1" t="s">
        <v>486</v>
      </c>
      <c r="D15" s="1" t="s">
        <v>398</v>
      </c>
      <c r="E15" s="1" t="s">
        <v>1963</v>
      </c>
      <c r="F15" s="1" t="s">
        <v>223</v>
      </c>
      <c r="G15" s="5" t="s">
        <v>3054</v>
      </c>
      <c r="H15" s="41">
        <v>39223</v>
      </c>
      <c r="I15" s="1">
        <v>16</v>
      </c>
      <c r="J15" s="1">
        <v>5568569127</v>
      </c>
      <c r="K15" s="1">
        <v>55588650789</v>
      </c>
      <c r="L15" s="1" t="s">
        <v>1964</v>
      </c>
      <c r="M15" s="1">
        <v>223090605706</v>
      </c>
      <c r="N15" s="1" t="s">
        <v>562</v>
      </c>
      <c r="O15" s="1" t="s">
        <v>247</v>
      </c>
      <c r="P15" s="1" t="s">
        <v>278</v>
      </c>
      <c r="Q15" s="1" t="s">
        <v>263</v>
      </c>
      <c r="R15" s="1" t="s">
        <v>236</v>
      </c>
      <c r="S15" s="1" t="s">
        <v>228</v>
      </c>
      <c r="T15" s="1" t="s">
        <v>411</v>
      </c>
      <c r="U15" s="1" t="s">
        <v>289</v>
      </c>
      <c r="V15" s="1" t="s">
        <v>228</v>
      </c>
      <c r="W15" s="1" t="s">
        <v>3055</v>
      </c>
      <c r="X15" s="1" t="s">
        <v>249</v>
      </c>
      <c r="Y15" s="1" t="s">
        <v>1965</v>
      </c>
      <c r="Z15" s="1" t="s">
        <v>231</v>
      </c>
      <c r="AA15" s="44" t="s">
        <v>668</v>
      </c>
      <c r="AB15" s="1" t="s">
        <v>2604</v>
      </c>
      <c r="AC15" s="1" t="s">
        <v>523</v>
      </c>
      <c r="AD15" s="1" t="s">
        <v>3056</v>
      </c>
      <c r="AE15" s="1" t="s">
        <v>3057</v>
      </c>
      <c r="AF15" s="1" t="s">
        <v>265</v>
      </c>
      <c r="AG15" s="1">
        <v>42</v>
      </c>
      <c r="AH15" s="5" t="s">
        <v>3058</v>
      </c>
      <c r="AI15" s="1">
        <v>5529337546</v>
      </c>
      <c r="AJ15" s="1">
        <v>5588650789</v>
      </c>
      <c r="AK15" s="1" t="s">
        <v>1966</v>
      </c>
      <c r="AL15" s="1" t="s">
        <v>486</v>
      </c>
      <c r="AM15" s="1" t="s">
        <v>489</v>
      </c>
      <c r="AN15" s="1" t="s">
        <v>3059</v>
      </c>
      <c r="AO15" s="1" t="s">
        <v>435</v>
      </c>
      <c r="AP15" s="1">
        <v>34</v>
      </c>
      <c r="AQ15" s="1" t="s">
        <v>1345</v>
      </c>
      <c r="AR15" s="42">
        <v>0.33333333333575865</v>
      </c>
      <c r="AS15" s="42">
        <v>0.41666666666424135</v>
      </c>
      <c r="AT15" s="1">
        <v>5584389638</v>
      </c>
      <c r="AU15" s="1">
        <v>5588650789</v>
      </c>
      <c r="AV15" s="1"/>
      <c r="AW15" s="5" t="s">
        <v>3060</v>
      </c>
      <c r="AX15" s="1" t="s">
        <v>3061</v>
      </c>
      <c r="AY15" s="1" t="s">
        <v>244</v>
      </c>
      <c r="AZ15" s="1" t="s">
        <v>1967</v>
      </c>
      <c r="BA15" s="1" t="s">
        <v>265</v>
      </c>
      <c r="BB15" s="1">
        <v>42</v>
      </c>
      <c r="BC15" s="1" t="s">
        <v>3062</v>
      </c>
      <c r="BD15" s="43">
        <v>0.375</v>
      </c>
      <c r="BE15" s="43">
        <v>0.29166666666424135</v>
      </c>
      <c r="BF15" s="1">
        <v>5529337546</v>
      </c>
      <c r="BG15" s="1">
        <v>5588650789</v>
      </c>
      <c r="BH15" s="1" t="s">
        <v>1966</v>
      </c>
      <c r="BI15" s="5" t="s">
        <v>3063</v>
      </c>
      <c r="BJ15" s="1" t="s">
        <v>236</v>
      </c>
      <c r="BL15" s="1">
        <v>1.5</v>
      </c>
      <c r="BM15" s="1">
        <v>55</v>
      </c>
      <c r="BN15" s="1" t="s">
        <v>236</v>
      </c>
      <c r="BO15" s="1" t="s">
        <v>228</v>
      </c>
      <c r="BQ15" s="1" t="s">
        <v>236</v>
      </c>
      <c r="BR15" s="1" t="s">
        <v>348</v>
      </c>
      <c r="BS15" s="1" t="s">
        <v>236</v>
      </c>
      <c r="BT15" s="1" t="s">
        <v>462</v>
      </c>
      <c r="BU15" s="1" t="s">
        <v>228</v>
      </c>
      <c r="BW15" s="1" t="s">
        <v>307</v>
      </c>
      <c r="BX15" s="1">
        <v>60</v>
      </c>
      <c r="BY15" s="1">
        <v>50</v>
      </c>
      <c r="BZ15" s="1" t="s">
        <v>253</v>
      </c>
      <c r="CA15" s="1" t="s">
        <v>468</v>
      </c>
      <c r="CB15" s="1" t="s">
        <v>240</v>
      </c>
      <c r="CC15" s="1" t="s">
        <v>3064</v>
      </c>
      <c r="CD15" s="1">
        <v>2500</v>
      </c>
      <c r="CE15" s="1">
        <v>2000</v>
      </c>
      <c r="CF15" s="1" t="s">
        <v>236</v>
      </c>
      <c r="CG15" s="1" t="s">
        <v>323</v>
      </c>
      <c r="CH15" s="1" t="s">
        <v>243</v>
      </c>
      <c r="CI15" s="1" t="s">
        <v>243</v>
      </c>
      <c r="CJ15" s="1" t="s">
        <v>2848</v>
      </c>
      <c r="CL15" s="5" t="s">
        <v>3065</v>
      </c>
      <c r="CM15" s="1">
        <v>15220799405</v>
      </c>
      <c r="CN15" s="1" t="s">
        <v>228</v>
      </c>
      <c r="CQ15" s="42">
        <v>0.375</v>
      </c>
      <c r="CR15" s="42">
        <v>0.29166666666424135</v>
      </c>
      <c r="CT15" s="45" t="str">
        <f t="array" ref="CT15">IFERROR(INDEX(#REF!,MATCH('Respuestas de formulario 1.1'!$B15,#REF!,0),MATCH('Respuestas de formulario 1.1'!CT$1,#REF!,0)),"")</f>
        <v/>
      </c>
      <c r="CU15" s="56" t="str">
        <f t="array" ref="CU15">IFERROR(INDEX(#REF!,MATCH('Respuestas de formulario 1.1'!$B15,#REF!,0),MATCH('Respuestas de formulario 1.1'!CU$1,#REF!,0)),"")</f>
        <v/>
      </c>
      <c r="CV15" s="56" t="str">
        <f t="array" ref="CV15">IFERROR(INDEX(#REF!,MATCH('Respuestas de formulario 1.1'!$B15,#REF!,0),MATCH('Respuestas de formulario 1.1'!CV$1,#REF!,0)),"")</f>
        <v/>
      </c>
      <c r="CW15" s="56" t="str">
        <f t="array" ref="CW15">IFERROR(INDEX(#REF!,MATCH('Respuestas de formulario 1.1'!$B15,#REF!,0),MATCH('Respuestas de formulario 1.1'!CW$1,#REF!,0)),"")</f>
        <v/>
      </c>
      <c r="CX15" s="56" t="str">
        <f t="array" ref="CX15">IFERROR(INDEX(#REF!,MATCH('Respuestas de formulario 1.1'!$B15,#REF!,0),MATCH('Respuestas de formulario 1.1'!CX$1,#REF!,0)),"")</f>
        <v/>
      </c>
      <c r="CY15" s="56" t="str">
        <f t="array" ref="CY15">IFERROR(INDEX(#REF!,MATCH('Respuestas de formulario 1.1'!$B15,#REF!,0),MATCH('Respuestas de formulario 1.1'!CY$1,#REF!,0)),"")</f>
        <v/>
      </c>
      <c r="CZ15" s="57" t="str">
        <f t="array" ref="CZ15">IFERROR(INDEX(#REF!,MATCH('Respuestas de formulario 1.1'!$B15,#REF!,0),MATCH('Respuestas de formulario 1.1'!CZ$1,#REF!,0)),"")</f>
        <v/>
      </c>
      <c r="DA15" s="45" t="e">
        <f t="array" ref="DA15">INDEX(#REF!,MATCH('Respuestas de formulario 1.1'!$B15,#REF!,0),MATCH('Respuestas de formulario 1.1'!DA$1,#REF!,0))</f>
        <v>#REF!</v>
      </c>
      <c r="DB15" s="45" t="e">
        <f t="array" ref="DB15">INDEX(#REF!,MATCH('Respuestas de formulario 1.1'!$B15,#REF!,0),MATCH('Respuestas de formulario 1.1'!DB$1,#REF!,0))</f>
        <v>#REF!</v>
      </c>
      <c r="DC15" s="45" t="e">
        <f t="array" ref="DC15">INDEX(#REF!,MATCH('Respuestas de formulario 1.1'!$B15,#REF!,0),MATCH('Respuestas de formulario 1.1'!DC$1,#REF!,0))</f>
        <v>#REF!</v>
      </c>
      <c r="DD15" s="45" t="e">
        <f t="array" ref="DD15">INDEX(#REF!,MATCH('Respuestas de formulario 1.1'!$B15,#REF!,0),MATCH('Respuestas de formulario 1.1'!DD$1,#REF!,0))</f>
        <v>#REF!</v>
      </c>
      <c r="DE15" s="45" t="e">
        <f t="array" ref="DE15">INDEX(#REF!,MATCH('Respuestas de formulario 1.1'!$B15,#REF!,0),MATCH('Respuestas de formulario 1.1'!DE$1,#REF!,0))</f>
        <v>#REF!</v>
      </c>
      <c r="DF15" s="45" t="e">
        <f t="array" ref="DF15">INDEX(#REF!,MATCH('Respuestas de formulario 1.1'!$B15,#REF!,0),MATCH('Respuestas de formulario 1.1'!DF$1,#REF!,0))</f>
        <v>#REF!</v>
      </c>
      <c r="DG15" s="45" t="e">
        <f t="array" ref="DG15">INDEX(#REF!,MATCH('Respuestas de formulario 1.1'!$B15,#REF!,0),MATCH('Respuestas de formulario 1.1'!DG$1,#REF!,0))</f>
        <v>#REF!</v>
      </c>
      <c r="DH15" s="45" t="e">
        <f t="array" ref="DH15">INDEX(#REF!,MATCH('Respuestas de formulario 1.1'!$B15,#REF!,0),MATCH('Respuestas de formulario 1.1'!DH$1,#REF!,0))</f>
        <v>#REF!</v>
      </c>
      <c r="DI15" s="48" t="e">
        <f>VLOOKUP(CONCATENATE($DF15," TUTO ",$DC15),#REF!,3,0)</f>
        <v>#REF!</v>
      </c>
      <c r="DJ15" s="48" t="e">
        <f t="array" ref="DJ15">IF('Respuestas de formulario 1.1'!A15="","",INDEX(#REF!,MATCH('Respuestas de formulario 1.1'!B15,#REF!,0),MATCH('Respuestas de formulario 1.1'!$DH$1,#REF!,0)))</f>
        <v>#REF!</v>
      </c>
      <c r="DK15" s="52" t="str">
        <f>CONCATENATE("http://doc.google.com/uc?id=",MID('Respuestas de formulario 1.1'!G15,34,33))</f>
        <v>http://doc.google.com/uc?id=1viI3N8olt5gtIUxDYRbzV4Ix6kqbjWac</v>
      </c>
      <c r="DL15" s="49" t="str">
        <f>CONCATENATE("http://doc.google.com/uc?id=",MID('Respuestas de formulario 1.1'!AH15,34,33))</f>
        <v>http://doc.google.com/uc?id=1fkpSyKnBMX5czfDlIFa5WheNr2lkmxHE</v>
      </c>
      <c r="DM15" s="50" t="str">
        <f>CONCATENATE("http://doc.google.com/uc?id=",MID('Respuestas de formulario 1.1'!AW15,34,33))</f>
        <v>http://doc.google.com/uc?id=1Pl8Mix8B1doTUyNduFnISntDt7m9NHh4</v>
      </c>
      <c r="DN15" s="53" t="str">
        <f>CONCATENATE("http://doc.google.com/uc?id=",MID('Respuestas de formulario 1.1'!$BI15,34,33))</f>
        <v>http://doc.google.com/uc?id=1oJYQjLFGR4BzzSbePkc8H-yArOTQC9Y1</v>
      </c>
      <c r="DO15" s="45" t="str">
        <f>IFERROR(VLOOKUP(CONCATENATE('Respuestas de formulario 1.1'!$B15,MID('Respuestas de formulario 1.1'!DO$1,2,1)),#REF!,12,0),"")</f>
        <v/>
      </c>
      <c r="DP15" s="45" t="str">
        <f>IFERROR(VLOOKUP(CONCATENATE('Respuestas de formulario 1.1'!$B15,MID('Respuestas de formulario 1.1'!DP$1,2,1)),#REF!,12,0),"")</f>
        <v/>
      </c>
      <c r="DQ15" s="45" t="str">
        <f>IFERROR(VLOOKUP(CONCATENATE('Respuestas de formulario 1.1'!$B15,MID('Respuestas de formulario 1.1'!DQ$1,2,1)),#REF!,12,0),"")</f>
        <v/>
      </c>
      <c r="DR15" s="45" t="str">
        <f>IFERROR(VLOOKUP(CONCATENATE('Respuestas de formulario 1.1'!$B15,MID('Respuestas de formulario 1.1'!DR$1,2,1)),#REF!,12,0),"")</f>
        <v/>
      </c>
      <c r="DS15" s="45" t="str">
        <f>IFERROR(VLOOKUP(CONCATENATE('Respuestas de formulario 1.1'!$B15,MID('Respuestas de formulario 1.1'!DS$1,2,1)),#REF!,12,0),"")</f>
        <v/>
      </c>
      <c r="DT15" s="45" t="str">
        <f>IFERROR(VLOOKUP(CONCATENATE('Respuestas de formulario 1.1'!$B15,MID('Respuestas de formulario 1.1'!DT$1,2,1)),#REF!,12,0),"")</f>
        <v/>
      </c>
      <c r="DU15" s="45" t="str">
        <f>IFERROR(VLOOKUP(CONCATENATE('Respuestas de formulario 1.1'!$B15,MID('Respuestas de formulario 1.1'!DU$1,2,1)),#REF!,12,0),"")</f>
        <v/>
      </c>
      <c r="DV15" s="45" t="str">
        <f>IFERROR(VLOOKUP(CONCATENATE('Respuestas de formulario 1.1'!$B15,MID('Respuestas de formulario 1.1'!DV$1,2,1)),#REF!,12,0),"")</f>
        <v/>
      </c>
      <c r="DW15" s="45" t="str">
        <f>IFERROR(VLOOKUP(CONCATENATE('Respuestas de formulario 1.1'!$B15,MID('Respuestas de formulario 1.1'!DW$1,2,1)),#REF!,12,0),"")</f>
        <v/>
      </c>
      <c r="DX15" s="45" t="str">
        <f>IFERROR(VLOOKUP(CONCATENATE('Respuestas de formulario 1.1'!$B15,MID('Respuestas de formulario 1.1'!DX$1,2,1)),#REF!,12,0),"")</f>
        <v/>
      </c>
      <c r="DY15" s="45" t="str">
        <f>IFERROR(VLOOKUP(CONCATENATE('Respuestas de formulario 1.1'!$B15,MID('Respuestas de formulario 1.1'!DY$1,2,1)),#REF!,12,0),"")</f>
        <v/>
      </c>
      <c r="DZ15" s="45" t="str">
        <f>IFERROR(VLOOKUP(CONCATENATE('Respuestas de formulario 1.1'!$B15,MID('Respuestas de formulario 1.1'!DZ$1,2,1)),#REF!,12,0),"")</f>
        <v/>
      </c>
      <c r="EA15" s="45" t="str">
        <f>IFERROR(VLOOKUP(CONCATENATE('Respuestas de formulario 1.1'!$B15,MID('Respuestas de formulario 1.1'!EA$1,2,1)),#REF!,12,0),"")</f>
        <v/>
      </c>
      <c r="EB15" s="45" t="str">
        <f>IFERROR(VLOOKUP(CONCATENATE('Respuestas de formulario 1.1'!$B15,MID('Respuestas de formulario 1.1'!EB$1,2,1)),#REF!,12,0),"")</f>
        <v/>
      </c>
      <c r="EC15" s="45" t="str">
        <f>IFERROR(VLOOKUP(CONCATENATE('Respuestas de formulario 1.1'!$B15,MID('Respuestas de formulario 1.1'!EC$1,2,1)),#REF!,12,0),"")</f>
        <v/>
      </c>
      <c r="ED15" s="45" t="str">
        <f>IFERROR(VLOOKUP(CONCATENATE('Respuestas de formulario 1.1'!$B15,MID('Respuestas de formulario 1.1'!ED$1,2,1)),#REF!,12,0),"")</f>
        <v/>
      </c>
      <c r="EE15" s="45" t="str">
        <f>IFERROR(VLOOKUP(CONCATENATE('Respuestas de formulario 1.1'!$B15,MID('Respuestas de formulario 1.1'!EE$1,2,1)),#REF!,12,0),"")</f>
        <v/>
      </c>
      <c r="EF15" s="45" t="str">
        <f>IFERROR(VLOOKUP(CONCATENATE('Respuestas de formulario 1.1'!$B15,MID('Respuestas de formulario 1.1'!EF$1,2,1)),#REF!,12,0),"")</f>
        <v/>
      </c>
      <c r="EG15" s="45" t="str">
        <f>IFERROR(VLOOKUP(CONCATENATE('Respuestas de formulario 1.1'!$B15,MID('Respuestas de formulario 1.1'!EG$1,2,1)),#REF!,12,0),"")</f>
        <v/>
      </c>
      <c r="EH15" s="45" t="str">
        <f>IFERROR(VLOOKUP(CONCATENATE('Respuestas de formulario 1.1'!$B15,MID('Respuestas de formulario 1.1'!EH$1,2,1)),#REF!,12,0),"")</f>
        <v/>
      </c>
      <c r="EI15" s="45" t="str">
        <f>IFERROR(VLOOKUP(CONCATENATE('Respuestas de formulario 1.1'!$B15,MID('Respuestas de formulario 1.1'!EI$1,2,1)),#REF!,12,0),"")</f>
        <v/>
      </c>
      <c r="EJ15" s="45" t="str">
        <f t="array" ref="EJ15">IF(DO15="","", INDEX(#REF!,MATCH(CONCATENATE('Respuestas de formulario 1.1'!$B15,DO15),#REF!,0),MATCH('Respuestas de formulario 1.1'!EJ$1,#REF!,0)))</f>
        <v/>
      </c>
      <c r="EK15" s="56" t="str">
        <f t="array" ref="EK15">IF(DP15="","", INDEX(#REF!,MATCH(CONCATENATE('Respuestas de formulario 1.1'!$B15,DP15),#REF!,0),MATCH('Respuestas de formulario 1.1'!EK$1,#REF!,0)))</f>
        <v/>
      </c>
      <c r="EL15" s="56" t="str">
        <f t="array" ref="EL15">IF(DQ15="","", INDEX(#REF!,MATCH(CONCATENATE('Respuestas de formulario 1.1'!$B15,DQ15),#REF!,0),MATCH('Respuestas de formulario 1.1'!EL$1,#REF!,0)))</f>
        <v/>
      </c>
      <c r="EM15" s="56" t="str">
        <f t="array" ref="EM15">IF(DR15="","", INDEX(#REF!,MATCH(CONCATENATE('Respuestas de formulario 1.1'!$B15,DR15),#REF!,0),MATCH('Respuestas de formulario 1.1'!EM$1,#REF!,0)))</f>
        <v/>
      </c>
      <c r="EN15" s="56" t="str">
        <f t="array" ref="EN15">IF(DS15="","", INDEX(#REF!,MATCH(CONCATENATE('Respuestas de formulario 1.1'!$B15,DS15),#REF!,0),MATCH('Respuestas de formulario 1.1'!EN$1,#REF!,0)))</f>
        <v/>
      </c>
      <c r="EO15" s="56" t="str">
        <f t="array" ref="EO15">IF(DT15="","", INDEX(#REF!,MATCH(CONCATENATE('Respuestas de formulario 1.1'!$B15,DT15),#REF!,0),MATCH('Respuestas de formulario 1.1'!EO$1,#REF!,0)))</f>
        <v/>
      </c>
      <c r="EP15" s="45" t="str">
        <f t="array" ref="EP15">IF(DU15="","", INDEX(#REF!,MATCH(CONCATENATE('Respuestas de formulario 1.1'!$B15,DU15),#REF!,0),MATCH('Respuestas de formulario 1.1'!EP$1,#REF!,0)))</f>
        <v/>
      </c>
      <c r="EQ15" s="45" t="str">
        <f t="array" ref="EQ15">IF(DP15="","", INDEX(#REF!,MATCH(CONCATENATE('Respuestas de formulario 1.1'!$B15,DP15),#REF!,0),MATCH('Respuestas de formulario 1.1'!EQ$1,#REF!,0)))</f>
        <v/>
      </c>
      <c r="ER15" s="56" t="str">
        <f t="array" ref="ER15">IF(DQ15="","", INDEX(#REF!,MATCH(CONCATENATE('Respuestas de formulario 1.1'!$B15,DQ15),#REF!,0),MATCH('Respuestas de formulario 1.1'!ER$1,#REF!,0)))</f>
        <v/>
      </c>
      <c r="ES15" s="56" t="str">
        <f t="array" ref="ES15">IF(DR15="","", INDEX(#REF!,MATCH(CONCATENATE('Respuestas de formulario 1.1'!$B15,DR15),#REF!,0),MATCH('Respuestas de formulario 1.1'!ES$1,#REF!,0)))</f>
        <v/>
      </c>
      <c r="ET15" s="56" t="str">
        <f t="array" ref="ET15">IF(DS15="","", INDEX(#REF!,MATCH(CONCATENATE('Respuestas de formulario 1.1'!$B15,DS15),#REF!,0),MATCH('Respuestas de formulario 1.1'!ET$1,#REF!,0)))</f>
        <v/>
      </c>
      <c r="EU15" s="56" t="str">
        <f t="array" ref="EU15">IF(DT15="","", INDEX(#REF!,MATCH(CONCATENATE('Respuestas de formulario 1.1'!$B15,DT15),#REF!,0),MATCH('Respuestas de formulario 1.1'!EU$1,#REF!,0)))</f>
        <v/>
      </c>
      <c r="EV15" s="56" t="str">
        <f t="array" ref="EV15">IF(DU15="","", INDEX(#REF!,MATCH(CONCATENATE('Respuestas de formulario 1.1'!$B15,DU15),#REF!,0),MATCH('Respuestas de formulario 1.1'!EV$1,#REF!,0)))</f>
        <v/>
      </c>
      <c r="EW15" s="45" t="str">
        <f t="array" ref="EW15">IF(DV15="","", INDEX(#REF!,MATCH(CONCATENATE('Respuestas de formulario 1.1'!$B15,DV15),#REF!,0),MATCH('Respuestas de formulario 1.1'!EW$1,#REF!,0)))</f>
        <v/>
      </c>
      <c r="EX15" s="45" t="str">
        <f t="array" ref="EX15">IF($DQ15="","", INDEX(#REF!,MATCH(CONCATENATE('Respuestas de formulario 1.1'!$B15,$DQ15),#REF!,0),MATCH('Respuestas de formulario 1.1'!EX$1,#REF!,0)))</f>
        <v/>
      </c>
      <c r="EY15" s="56" t="str">
        <f t="array" ref="EY15">IF($DQ15="","", INDEX(#REF!,MATCH(CONCATENATE('Respuestas de formulario 1.1'!$B15,$DQ15),#REF!,0),MATCH('Respuestas de formulario 1.1'!EY$1,#REF!,0)))</f>
        <v/>
      </c>
      <c r="EZ15" s="56" t="str">
        <f t="array" ref="EZ15">IF($DQ15="","", INDEX(#REF!,MATCH(CONCATENATE('Respuestas de formulario 1.1'!$B15,$DQ15),#REF!,0),MATCH('Respuestas de formulario 1.1'!EZ$1,#REF!,0)))</f>
        <v/>
      </c>
      <c r="FA15" s="56" t="str">
        <f t="array" ref="FA15">IF($DQ15="","", INDEX(#REF!,MATCH(CONCATENATE('Respuestas de formulario 1.1'!$B15,$DQ15),#REF!,0),MATCH('Respuestas de formulario 1.1'!FA$1,#REF!,0)))</f>
        <v/>
      </c>
      <c r="FB15" s="56" t="str">
        <f t="array" ref="FB15">IF($DQ15="","", INDEX(#REF!,MATCH(CONCATENATE('Respuestas de formulario 1.1'!$B15,$DQ15),#REF!,0),MATCH('Respuestas de formulario 1.1'!FB$1,#REF!,0)))</f>
        <v/>
      </c>
      <c r="FC15" s="56" t="str">
        <f t="array" ref="FC15">IF($DQ15="","", INDEX(#REF!,MATCH(CONCATENATE('Respuestas de formulario 1.1'!$B15,$DQ15),#REF!,0),MATCH('Respuestas de formulario 1.1'!FC$1,#REF!,0)))</f>
        <v/>
      </c>
      <c r="FD15" s="45" t="str">
        <f t="array" ref="FD15">IF($DQ15="","", INDEX(#REF!,MATCH(CONCATENATE('Respuestas de formulario 1.1'!$B15,$DQ15),#REF!,0),MATCH('Respuestas de formulario 1.1'!FD$1,#REF!,0)))</f>
        <v/>
      </c>
      <c r="FE15" s="45" t="str">
        <f t="array" ref="FE15">IF($DR15="","", INDEX(#REF!,MATCH(CONCATENATE(#REF!,$DR15),#REF!,0),MATCH(#REF!,#REF!,0)))</f>
        <v/>
      </c>
      <c r="FF15" s="56" t="str">
        <f t="array" ref="FF15">IF($DR15="","", INDEX(#REF!,MATCH(CONCATENATE(#REF!,$DR15),#REF!,0),MATCH(#REF!,#REF!,0)))</f>
        <v/>
      </c>
      <c r="FG15" s="56" t="str">
        <f t="array" ref="FG15">IF($DR15="","", INDEX(#REF!,MATCH(CONCATENATE(#REF!,$DR15),#REF!,0),MATCH(#REF!,#REF!,0)))</f>
        <v/>
      </c>
      <c r="FH15" s="56" t="str">
        <f t="array" ref="FH15">IF($DR15="","", INDEX(#REF!,MATCH(CONCATENATE(#REF!,$DR15),#REF!,0),MATCH(#REF!,#REF!,0)))</f>
        <v/>
      </c>
      <c r="FI15" s="56" t="str">
        <f t="array" ref="FI15">IF($DR15="","", INDEX(#REF!,MATCH(CONCATENATE(#REF!,$DR15),#REF!,0),MATCH(#REF!,#REF!,0)))</f>
        <v/>
      </c>
      <c r="FJ15" s="56" t="str">
        <f t="array" ref="FJ15">IF($DR15="","", INDEX(#REF!,MATCH(CONCATENATE(#REF!,$DR15),#REF!,0),MATCH(#REF!,#REF!,0)))</f>
        <v/>
      </c>
      <c r="FK15" s="45" t="str">
        <f t="array" ref="FK15">IF($DR15="","", INDEX(#REF!,MATCH(CONCATENATE(#REF!,$DR15),#REF!,0),MATCH(#REF!,#REF!,0)))</f>
        <v/>
      </c>
      <c r="FL15" s="45" t="str">
        <f t="array" ref="FL15">IF($DT15="","", INDEX(#REF!,MATCH(CONCATENATE('Respuestas de formulario 1.1'!$B15,$DS15),#REF!,0),MATCH('Respuestas de formulario 1.1'!FL$1,#REF!,0)))</f>
        <v/>
      </c>
      <c r="FM15" s="56" t="str">
        <f t="array" ref="FM15">IF($DT15="","", INDEX(#REF!,MATCH(CONCATENATE('Respuestas de formulario 1.1'!$B15,$DS15),#REF!,0),MATCH('Respuestas de formulario 1.1'!FM$1,#REF!,0)))</f>
        <v/>
      </c>
      <c r="FN15" s="56" t="str">
        <f t="array" ref="FN15">IF($DT15="","", INDEX(#REF!,MATCH(CONCATENATE('Respuestas de formulario 1.1'!$B15,$DS15),#REF!,0),MATCH('Respuestas de formulario 1.1'!FN$1,#REF!,0)))</f>
        <v/>
      </c>
      <c r="FO15" s="56" t="str">
        <f t="array" ref="FO15">IF($DT15="","", INDEX(#REF!,MATCH(CONCATENATE('Respuestas de formulario 1.1'!$B15,$DS15),#REF!,0),MATCH('Respuestas de formulario 1.1'!FO$1,#REF!,0)))</f>
        <v/>
      </c>
      <c r="FP15" s="56" t="str">
        <f t="array" ref="FP15">IF($DT15="","", INDEX(#REF!,MATCH(CONCATENATE('Respuestas de formulario 1.1'!$B15,$DS15),#REF!,0),MATCH('Respuestas de formulario 1.1'!FP$1,#REF!,0)))</f>
        <v/>
      </c>
      <c r="FQ15" s="56" t="str">
        <f t="array" ref="FQ15">IF($DT15="","", INDEX(#REF!,MATCH(CONCATENATE('Respuestas de formulario 1.1'!$B15,$DS15),#REF!,0),MATCH('Respuestas de formulario 1.1'!FQ$1,#REF!,0)))</f>
        <v/>
      </c>
      <c r="FR15" s="45" t="str">
        <f t="array" ref="FR15">IF($DT15="","", INDEX(#REF!,MATCH(CONCATENATE('Respuestas de formulario 1.1'!$B15,$DS15),#REF!,0),MATCH('Respuestas de formulario 1.1'!FR$1,#REF!,0)))</f>
        <v/>
      </c>
      <c r="FS15" s="45" t="str">
        <f t="array" ref="FS15">IF($DU15="","", INDEX(#REF!,MATCH(CONCATENATE('Respuestas de formulario 1.1'!$B15,$DT15),#REF!,0),MATCH('Respuestas de formulario 1.1'!FS$1,#REF!,0)))</f>
        <v/>
      </c>
      <c r="FT15" s="56" t="str">
        <f t="array" ref="FT15">IF($DU15="","", INDEX(#REF!,MATCH(CONCATENATE('Respuestas de formulario 1.1'!$B15,$DT15),#REF!,0),MATCH('Respuestas de formulario 1.1'!FT$1,#REF!,0)))</f>
        <v/>
      </c>
      <c r="FU15" s="56" t="str">
        <f t="array" ref="FU15">IF($DU15="","", INDEX(#REF!,MATCH(CONCATENATE('Respuestas de formulario 1.1'!$B15,$DT15),#REF!,0),MATCH('Respuestas de formulario 1.1'!FU$1,#REF!,0)))</f>
        <v/>
      </c>
      <c r="FV15" s="56" t="str">
        <f t="array" ref="FV15">IF($DU15="","", INDEX(#REF!,MATCH(CONCATENATE('Respuestas de formulario 1.1'!$B15,$DT15),#REF!,0),MATCH('Respuestas de formulario 1.1'!FV$1,#REF!,0)))</f>
        <v/>
      </c>
      <c r="FW15" s="56" t="str">
        <f t="array" ref="FW15">IF($DU15="","", INDEX(#REF!,MATCH(CONCATENATE('Respuestas de formulario 1.1'!$B15,$DT15),#REF!,0),MATCH('Respuestas de formulario 1.1'!FW$1,#REF!,0)))</f>
        <v/>
      </c>
      <c r="FX15" s="56" t="str">
        <f t="array" ref="FX15">IF($DU15="","", INDEX(#REF!,MATCH(CONCATENATE('Respuestas de formulario 1.1'!$B15,$DT15),#REF!,0),MATCH('Respuestas de formulario 1.1'!FX$1,#REF!,0)))</f>
        <v/>
      </c>
      <c r="FY15" s="45" t="str">
        <f t="array" ref="FY15">IF($DU15="","", INDEX(#REF!,MATCH(CONCATENATE('Respuestas de formulario 1.1'!$B15,$DT15),#REF!,0),MATCH('Respuestas de formulario 1.1'!FY$1,#REF!,0)))</f>
        <v/>
      </c>
      <c r="FZ15" s="3" t="s">
        <v>2860</v>
      </c>
      <c r="GA15" s="1" t="s">
        <v>3066</v>
      </c>
      <c r="GB15" s="5" t="s">
        <v>3067</v>
      </c>
      <c r="GC15" s="4" t="str">
        <f>HYPERLINK("https://drive.google.com/file/d/1-JrfomEFZz9hJEfy-0p42aeM2PJv5aJe/view?usp=drivesdk","RODRIGUEZ  PEÑA JENNIFER NAOMI Formato de reinscripción y pago 2022-2")</f>
        <v>RODRIGUEZ  PEÑA JENNIFER NAOMI Formato de reinscripción y pago 2022-2</v>
      </c>
      <c r="GD15" s="1" t="s">
        <v>3068</v>
      </c>
      <c r="GE15" s="1"/>
      <c r="GF15" s="1"/>
      <c r="GG15" s="1"/>
      <c r="GH15" s="1"/>
      <c r="GI15" s="1" t="s">
        <v>3069</v>
      </c>
      <c r="GJ15" s="5" t="s">
        <v>3070</v>
      </c>
      <c r="GK15" s="5" t="str">
        <f>HYPERLINK("https://drive.google.com/file/d/165iTFmz24Q4N94OoU8EKD8B0DWVDesAf/view?usp=drivesdk","RODRIGUEZ  PEÑA JENNIFER NAOMI Formato de reinscripción y pago 2022-2")</f>
        <v>RODRIGUEZ  PEÑA JENNIFER NAOMI Formato de reinscripción y pago 2022-2</v>
      </c>
      <c r="GL15" s="1" t="s">
        <v>3071</v>
      </c>
    </row>
    <row r="16" spans="1:194" ht="15.75" customHeight="1" x14ac:dyDescent="0.2">
      <c r="A16" s="2">
        <v>45139.032092106485</v>
      </c>
      <c r="B16" s="1" t="s">
        <v>1906</v>
      </c>
      <c r="C16" s="1" t="s">
        <v>390</v>
      </c>
      <c r="D16" s="1" t="s">
        <v>340</v>
      </c>
      <c r="E16" s="1" t="s">
        <v>1907</v>
      </c>
      <c r="F16" s="1" t="s">
        <v>262</v>
      </c>
      <c r="G16" s="5" t="s">
        <v>3072</v>
      </c>
      <c r="H16" s="41">
        <v>39072</v>
      </c>
      <c r="I16" s="1">
        <v>16</v>
      </c>
      <c r="J16" s="1">
        <v>5548241715</v>
      </c>
      <c r="K16" s="1" t="s">
        <v>3073</v>
      </c>
      <c r="L16" s="1" t="s">
        <v>1908</v>
      </c>
      <c r="M16" s="1">
        <v>213090605703</v>
      </c>
      <c r="N16" s="1" t="s">
        <v>1108</v>
      </c>
      <c r="O16" s="1" t="s">
        <v>247</v>
      </c>
      <c r="P16" s="1" t="s">
        <v>278</v>
      </c>
      <c r="Q16" s="1" t="s">
        <v>248</v>
      </c>
      <c r="R16" s="1" t="s">
        <v>236</v>
      </c>
      <c r="S16" s="1" t="s">
        <v>236</v>
      </c>
      <c r="T16" s="1" t="s">
        <v>411</v>
      </c>
      <c r="U16" s="1" t="s">
        <v>249</v>
      </c>
      <c r="V16" s="1" t="s">
        <v>228</v>
      </c>
      <c r="W16" s="1" t="s">
        <v>3074</v>
      </c>
      <c r="X16" s="1" t="s">
        <v>249</v>
      </c>
      <c r="Y16" s="1" t="s">
        <v>2473</v>
      </c>
      <c r="Z16" s="1" t="s">
        <v>240</v>
      </c>
      <c r="AA16" s="44" t="s">
        <v>1007</v>
      </c>
      <c r="AB16" s="1">
        <v>46</v>
      </c>
      <c r="AC16" s="1">
        <v>10</v>
      </c>
      <c r="AD16" s="1" t="s">
        <v>3075</v>
      </c>
      <c r="AE16" s="1" t="s">
        <v>1909</v>
      </c>
      <c r="AF16" s="1" t="s">
        <v>265</v>
      </c>
      <c r="AG16" s="1">
        <v>44</v>
      </c>
      <c r="AH16" s="5" t="s">
        <v>3076</v>
      </c>
      <c r="AI16" s="1">
        <v>5514204777</v>
      </c>
      <c r="AJ16" s="1">
        <v>5563816580</v>
      </c>
      <c r="AK16" s="1" t="s">
        <v>1910</v>
      </c>
      <c r="AL16" s="1" t="s">
        <v>390</v>
      </c>
      <c r="AM16" s="1" t="s">
        <v>340</v>
      </c>
      <c r="AN16" s="1" t="s">
        <v>436</v>
      </c>
      <c r="AO16" s="1" t="s">
        <v>488</v>
      </c>
      <c r="AP16" s="1">
        <v>27</v>
      </c>
      <c r="AQ16" s="1" t="s">
        <v>1044</v>
      </c>
      <c r="AR16" s="42">
        <v>0.41666666666424135</v>
      </c>
      <c r="AS16" s="42">
        <v>0.25</v>
      </c>
      <c r="AT16" s="1">
        <v>5624159715</v>
      </c>
      <c r="AU16" s="1">
        <v>5563816580</v>
      </c>
      <c r="AV16" s="1" t="s">
        <v>3077</v>
      </c>
      <c r="AW16" s="5" t="s">
        <v>3078</v>
      </c>
      <c r="AX16" s="1" t="s">
        <v>304</v>
      </c>
      <c r="AY16" s="1" t="s">
        <v>340</v>
      </c>
      <c r="AZ16" s="1" t="s">
        <v>3079</v>
      </c>
      <c r="BA16" s="1" t="s">
        <v>488</v>
      </c>
      <c r="BB16" s="1">
        <v>22</v>
      </c>
      <c r="BC16" s="1" t="s">
        <v>303</v>
      </c>
      <c r="BD16" s="43">
        <v>0</v>
      </c>
      <c r="BE16" s="43">
        <v>0</v>
      </c>
      <c r="BF16" s="1">
        <v>5621997892</v>
      </c>
      <c r="BG16" s="1">
        <v>5563816580</v>
      </c>
      <c r="BH16" s="1"/>
      <c r="BI16" s="5" t="s">
        <v>3080</v>
      </c>
      <c r="BJ16" s="1" t="s">
        <v>236</v>
      </c>
      <c r="BK16" s="1" t="s">
        <v>310</v>
      </c>
      <c r="BL16" s="1">
        <v>1.72</v>
      </c>
      <c r="BM16" s="1">
        <v>70</v>
      </c>
      <c r="BN16" s="1" t="s">
        <v>228</v>
      </c>
      <c r="BO16" s="1" t="s">
        <v>228</v>
      </c>
      <c r="BP16" s="1" t="s">
        <v>310</v>
      </c>
      <c r="BQ16" s="1" t="s">
        <v>228</v>
      </c>
      <c r="BR16" s="1" t="s">
        <v>237</v>
      </c>
      <c r="BS16" s="1" t="s">
        <v>236</v>
      </c>
      <c r="BT16" s="1" t="s">
        <v>331</v>
      </c>
      <c r="BU16" s="1" t="s">
        <v>228</v>
      </c>
      <c r="BW16" s="1" t="s">
        <v>238</v>
      </c>
      <c r="BX16" s="1">
        <v>130</v>
      </c>
      <c r="BY16" s="1">
        <v>200</v>
      </c>
      <c r="BZ16" s="1" t="s">
        <v>298</v>
      </c>
      <c r="CA16" s="1" t="s">
        <v>509</v>
      </c>
      <c r="CB16" s="1" t="s">
        <v>231</v>
      </c>
      <c r="CC16" s="1" t="s">
        <v>416</v>
      </c>
      <c r="CD16" s="1">
        <v>1000</v>
      </c>
      <c r="CE16" s="1">
        <v>1000</v>
      </c>
      <c r="CF16" s="1" t="s">
        <v>228</v>
      </c>
      <c r="CG16" s="1" t="s">
        <v>242</v>
      </c>
      <c r="CH16" s="1" t="s">
        <v>243</v>
      </c>
      <c r="CI16" s="1" t="s">
        <v>243</v>
      </c>
      <c r="CJ16" s="1" t="s">
        <v>2848</v>
      </c>
      <c r="CL16" s="5" t="s">
        <v>3081</v>
      </c>
      <c r="CM16" s="44" t="s">
        <v>1911</v>
      </c>
      <c r="CN16" s="1" t="s">
        <v>228</v>
      </c>
      <c r="CQ16" s="42">
        <v>0.83333333333575865</v>
      </c>
      <c r="CR16" s="42">
        <v>0.33333333333575865</v>
      </c>
      <c r="CT16" s="45" t="str">
        <f t="array" ref="CT16">IFERROR(INDEX(#REF!,MATCH('Respuestas de formulario 1.1'!$B16,#REF!,0),MATCH('Respuestas de formulario 1.1'!CT$1,#REF!,0)),"")</f>
        <v/>
      </c>
      <c r="CU16" s="56" t="str">
        <f t="array" ref="CU16">IFERROR(INDEX(#REF!,MATCH('Respuestas de formulario 1.1'!$B16,#REF!,0),MATCH('Respuestas de formulario 1.1'!CU$1,#REF!,0)),"")</f>
        <v/>
      </c>
      <c r="CV16" s="56" t="str">
        <f t="array" ref="CV16">IFERROR(INDEX(#REF!,MATCH('Respuestas de formulario 1.1'!$B16,#REF!,0),MATCH('Respuestas de formulario 1.1'!CV$1,#REF!,0)),"")</f>
        <v/>
      </c>
      <c r="CW16" s="56" t="str">
        <f t="array" ref="CW16">IFERROR(INDEX(#REF!,MATCH('Respuestas de formulario 1.1'!$B16,#REF!,0),MATCH('Respuestas de formulario 1.1'!CW$1,#REF!,0)),"")</f>
        <v/>
      </c>
      <c r="CX16" s="56" t="str">
        <f t="array" ref="CX16">IFERROR(INDEX(#REF!,MATCH('Respuestas de formulario 1.1'!$B16,#REF!,0),MATCH('Respuestas de formulario 1.1'!CX$1,#REF!,0)),"")</f>
        <v/>
      </c>
      <c r="CY16" s="56" t="str">
        <f t="array" ref="CY16">IFERROR(INDEX(#REF!,MATCH('Respuestas de formulario 1.1'!$B16,#REF!,0),MATCH('Respuestas de formulario 1.1'!CY$1,#REF!,0)),"")</f>
        <v/>
      </c>
      <c r="CZ16" s="57" t="str">
        <f t="array" ref="CZ16">IFERROR(INDEX(#REF!,MATCH('Respuestas de formulario 1.1'!$B16,#REF!,0),MATCH('Respuestas de formulario 1.1'!CZ$1,#REF!,0)),"")</f>
        <v/>
      </c>
      <c r="DA16" s="45" t="e">
        <f t="array" ref="DA16">INDEX(#REF!,MATCH('Respuestas de formulario 1.1'!$B16,#REF!,0),MATCH('Respuestas de formulario 1.1'!DA$1,#REF!,0))</f>
        <v>#REF!</v>
      </c>
      <c r="DB16" s="45" t="e">
        <f t="array" ref="DB16">INDEX(#REF!,MATCH('Respuestas de formulario 1.1'!$B16,#REF!,0),MATCH('Respuestas de formulario 1.1'!DB$1,#REF!,0))</f>
        <v>#REF!</v>
      </c>
      <c r="DC16" s="45" t="e">
        <f t="array" ref="DC16">INDEX(#REF!,MATCH('Respuestas de formulario 1.1'!$B16,#REF!,0),MATCH('Respuestas de formulario 1.1'!DC$1,#REF!,0))</f>
        <v>#REF!</v>
      </c>
      <c r="DD16" s="45" t="e">
        <f t="array" ref="DD16">INDEX(#REF!,MATCH('Respuestas de formulario 1.1'!$B16,#REF!,0),MATCH('Respuestas de formulario 1.1'!DD$1,#REF!,0))</f>
        <v>#REF!</v>
      </c>
      <c r="DE16" s="45" t="e">
        <f t="array" ref="DE16">INDEX(#REF!,MATCH('Respuestas de formulario 1.1'!$B16,#REF!,0),MATCH('Respuestas de formulario 1.1'!DE$1,#REF!,0))</f>
        <v>#REF!</v>
      </c>
      <c r="DF16" s="45" t="e">
        <f t="array" ref="DF16">INDEX(#REF!,MATCH('Respuestas de formulario 1.1'!$B16,#REF!,0),MATCH('Respuestas de formulario 1.1'!DF$1,#REF!,0))</f>
        <v>#REF!</v>
      </c>
      <c r="DG16" s="45" t="e">
        <f t="array" ref="DG16">INDEX(#REF!,MATCH('Respuestas de formulario 1.1'!$B16,#REF!,0),MATCH('Respuestas de formulario 1.1'!DG$1,#REF!,0))</f>
        <v>#REF!</v>
      </c>
      <c r="DH16" s="45" t="e">
        <f t="array" ref="DH16">INDEX(#REF!,MATCH('Respuestas de formulario 1.1'!$B16,#REF!,0),MATCH('Respuestas de formulario 1.1'!DH$1,#REF!,0))</f>
        <v>#REF!</v>
      </c>
      <c r="DI16" s="48" t="e">
        <f>VLOOKUP(CONCATENATE($DF16," TUTO ",$DC16),#REF!,3,0)</f>
        <v>#REF!</v>
      </c>
      <c r="DJ16" s="48" t="e">
        <f t="array" ref="DJ16">IF('Respuestas de formulario 1.1'!A16="","",INDEX(#REF!,MATCH('Respuestas de formulario 1.1'!B16,#REF!,0),MATCH('Respuestas de formulario 1.1'!$DH$1,#REF!,0)))</f>
        <v>#REF!</v>
      </c>
      <c r="DK16" s="52" t="str">
        <f>CONCATENATE("http://doc.google.com/uc?id=",MID('Respuestas de formulario 1.1'!G16,34,33))</f>
        <v>http://doc.google.com/uc?id=1J1cxAjCOAsMPLMNV5Gmz8f81eKTH3C5h</v>
      </c>
      <c r="DL16" s="49" t="str">
        <f>CONCATENATE("http://doc.google.com/uc?id=",MID('Respuestas de formulario 1.1'!AH16,34,33))</f>
        <v>http://doc.google.com/uc?id=1CqfHoFtorNhIASxrtPdiu7Kg288kv2s9</v>
      </c>
      <c r="DM16" s="50" t="str">
        <f>CONCATENATE("http://doc.google.com/uc?id=",MID('Respuestas de formulario 1.1'!AW16,34,33))</f>
        <v>http://doc.google.com/uc?id=1oTN7LyqV91xHobk_UFLlPA8oP-cjIUdO</v>
      </c>
      <c r="DN16" s="53" t="str">
        <f>CONCATENATE("http://doc.google.com/uc?id=",MID('Respuestas de formulario 1.1'!$BI16,34,33))</f>
        <v>http://doc.google.com/uc?id=1orMZUZ3NPLAcytkWwIm0KRVskwhD3BMF</v>
      </c>
      <c r="DO16" s="45" t="str">
        <f>IFERROR(VLOOKUP(CONCATENATE('Respuestas de formulario 1.1'!$B16,MID('Respuestas de formulario 1.1'!DO$1,2,1)),#REF!,12,0),"")</f>
        <v/>
      </c>
      <c r="DP16" s="45" t="str">
        <f>IFERROR(VLOOKUP(CONCATENATE('Respuestas de formulario 1.1'!$B16,MID('Respuestas de formulario 1.1'!DP$1,2,1)),#REF!,12,0),"")</f>
        <v/>
      </c>
      <c r="DQ16" s="45" t="str">
        <f>IFERROR(VLOOKUP(CONCATENATE('Respuestas de formulario 1.1'!$B16,MID('Respuestas de formulario 1.1'!DQ$1,2,1)),#REF!,12,0),"")</f>
        <v/>
      </c>
      <c r="DR16" s="45" t="str">
        <f>IFERROR(VLOOKUP(CONCATENATE('Respuestas de formulario 1.1'!$B16,MID('Respuestas de formulario 1.1'!DR$1,2,1)),#REF!,12,0),"")</f>
        <v/>
      </c>
      <c r="DS16" s="45" t="str">
        <f>IFERROR(VLOOKUP(CONCATENATE('Respuestas de formulario 1.1'!$B16,MID('Respuestas de formulario 1.1'!DS$1,2,1)),#REF!,12,0),"")</f>
        <v/>
      </c>
      <c r="DT16" s="45" t="str">
        <f>IFERROR(VLOOKUP(CONCATENATE('Respuestas de formulario 1.1'!$B16,MID('Respuestas de formulario 1.1'!DT$1,2,1)),#REF!,12,0),"")</f>
        <v/>
      </c>
      <c r="DU16" s="45" t="str">
        <f>IFERROR(VLOOKUP(CONCATENATE('Respuestas de formulario 1.1'!$B16,MID('Respuestas de formulario 1.1'!DU$1,2,1)),#REF!,12,0),"")</f>
        <v/>
      </c>
      <c r="DV16" s="45" t="str">
        <f>IFERROR(VLOOKUP(CONCATENATE('Respuestas de formulario 1.1'!$B16,MID('Respuestas de formulario 1.1'!DV$1,2,1)),#REF!,12,0),"")</f>
        <v/>
      </c>
      <c r="DW16" s="45" t="str">
        <f>IFERROR(VLOOKUP(CONCATENATE('Respuestas de formulario 1.1'!$B16,MID('Respuestas de formulario 1.1'!DW$1,2,1)),#REF!,12,0),"")</f>
        <v/>
      </c>
      <c r="DX16" s="45" t="str">
        <f>IFERROR(VLOOKUP(CONCATENATE('Respuestas de formulario 1.1'!$B16,MID('Respuestas de formulario 1.1'!DX$1,2,1)),#REF!,12,0),"")</f>
        <v/>
      </c>
      <c r="DY16" s="45" t="str">
        <f>IFERROR(VLOOKUP(CONCATENATE('Respuestas de formulario 1.1'!$B16,MID('Respuestas de formulario 1.1'!DY$1,2,1)),#REF!,12,0),"")</f>
        <v/>
      </c>
      <c r="DZ16" s="45" t="str">
        <f>IFERROR(VLOOKUP(CONCATENATE('Respuestas de formulario 1.1'!$B16,MID('Respuestas de formulario 1.1'!DZ$1,2,1)),#REF!,12,0),"")</f>
        <v/>
      </c>
      <c r="EA16" s="45" t="str">
        <f>IFERROR(VLOOKUP(CONCATENATE('Respuestas de formulario 1.1'!$B16,MID('Respuestas de formulario 1.1'!EA$1,2,1)),#REF!,12,0),"")</f>
        <v/>
      </c>
      <c r="EB16" s="45" t="str">
        <f>IFERROR(VLOOKUP(CONCATENATE('Respuestas de formulario 1.1'!$B16,MID('Respuestas de formulario 1.1'!EB$1,2,1)),#REF!,12,0),"")</f>
        <v/>
      </c>
      <c r="EC16" s="45" t="str">
        <f>IFERROR(VLOOKUP(CONCATENATE('Respuestas de formulario 1.1'!$B16,MID('Respuestas de formulario 1.1'!EC$1,2,1)),#REF!,12,0),"")</f>
        <v/>
      </c>
      <c r="ED16" s="45" t="str">
        <f>IFERROR(VLOOKUP(CONCATENATE('Respuestas de formulario 1.1'!$B16,MID('Respuestas de formulario 1.1'!ED$1,2,1)),#REF!,12,0),"")</f>
        <v/>
      </c>
      <c r="EE16" s="45" t="str">
        <f>IFERROR(VLOOKUP(CONCATENATE('Respuestas de formulario 1.1'!$B16,MID('Respuestas de formulario 1.1'!EE$1,2,1)),#REF!,12,0),"")</f>
        <v/>
      </c>
      <c r="EF16" s="45" t="str">
        <f>IFERROR(VLOOKUP(CONCATENATE('Respuestas de formulario 1.1'!$B16,MID('Respuestas de formulario 1.1'!EF$1,2,1)),#REF!,12,0),"")</f>
        <v/>
      </c>
      <c r="EG16" s="45" t="str">
        <f>IFERROR(VLOOKUP(CONCATENATE('Respuestas de formulario 1.1'!$B16,MID('Respuestas de formulario 1.1'!EG$1,2,1)),#REF!,12,0),"")</f>
        <v/>
      </c>
      <c r="EH16" s="45" t="str">
        <f>IFERROR(VLOOKUP(CONCATENATE('Respuestas de formulario 1.1'!$B16,MID('Respuestas de formulario 1.1'!EH$1,2,1)),#REF!,12,0),"")</f>
        <v/>
      </c>
      <c r="EI16" s="45" t="str">
        <f>IFERROR(VLOOKUP(CONCATENATE('Respuestas de formulario 1.1'!$B16,MID('Respuestas de formulario 1.1'!EI$1,2,1)),#REF!,12,0),"")</f>
        <v/>
      </c>
      <c r="EJ16" s="45" t="str">
        <f t="array" ref="EJ16">IF(DO16="","", INDEX(#REF!,MATCH(CONCATENATE('Respuestas de formulario 1.1'!$B16,DO16),#REF!,0),MATCH('Respuestas de formulario 1.1'!EJ$1,#REF!,0)))</f>
        <v/>
      </c>
      <c r="EK16" s="56" t="str">
        <f t="array" ref="EK16">IF(DP16="","", INDEX(#REF!,MATCH(CONCATENATE('Respuestas de formulario 1.1'!$B16,DP16),#REF!,0),MATCH('Respuestas de formulario 1.1'!EK$1,#REF!,0)))</f>
        <v/>
      </c>
      <c r="EL16" s="56" t="str">
        <f t="array" ref="EL16">IF(DQ16="","", INDEX(#REF!,MATCH(CONCATENATE('Respuestas de formulario 1.1'!$B16,DQ16),#REF!,0),MATCH('Respuestas de formulario 1.1'!EL$1,#REF!,0)))</f>
        <v/>
      </c>
      <c r="EM16" s="56" t="str">
        <f t="array" ref="EM16">IF(DR16="","", INDEX(#REF!,MATCH(CONCATENATE('Respuestas de formulario 1.1'!$B16,DR16),#REF!,0),MATCH('Respuestas de formulario 1.1'!EM$1,#REF!,0)))</f>
        <v/>
      </c>
      <c r="EN16" s="56" t="str">
        <f t="array" ref="EN16">IF(DS16="","", INDEX(#REF!,MATCH(CONCATENATE('Respuestas de formulario 1.1'!$B16,DS16),#REF!,0),MATCH('Respuestas de formulario 1.1'!EN$1,#REF!,0)))</f>
        <v/>
      </c>
      <c r="EO16" s="56" t="str">
        <f t="array" ref="EO16">IF(DT16="","", INDEX(#REF!,MATCH(CONCATENATE('Respuestas de formulario 1.1'!$B16,DT16),#REF!,0),MATCH('Respuestas de formulario 1.1'!EO$1,#REF!,0)))</f>
        <v/>
      </c>
      <c r="EP16" s="45" t="str">
        <f t="array" ref="EP16">IF(DU16="","", INDEX(#REF!,MATCH(CONCATENATE('Respuestas de formulario 1.1'!$B16,DU16),#REF!,0),MATCH('Respuestas de formulario 1.1'!EP$1,#REF!,0)))</f>
        <v/>
      </c>
      <c r="EQ16" s="45" t="str">
        <f t="array" ref="EQ16">IF(DP16="","", INDEX(#REF!,MATCH(CONCATENATE('Respuestas de formulario 1.1'!$B16,DP16),#REF!,0),MATCH('Respuestas de formulario 1.1'!EQ$1,#REF!,0)))</f>
        <v/>
      </c>
      <c r="ER16" s="56" t="str">
        <f t="array" ref="ER16">IF(DQ16="","", INDEX(#REF!,MATCH(CONCATENATE('Respuestas de formulario 1.1'!$B16,DQ16),#REF!,0),MATCH('Respuestas de formulario 1.1'!ER$1,#REF!,0)))</f>
        <v/>
      </c>
      <c r="ES16" s="56" t="str">
        <f t="array" ref="ES16">IF(DR16="","", INDEX(#REF!,MATCH(CONCATENATE('Respuestas de formulario 1.1'!$B16,DR16),#REF!,0),MATCH('Respuestas de formulario 1.1'!ES$1,#REF!,0)))</f>
        <v/>
      </c>
      <c r="ET16" s="56" t="str">
        <f t="array" ref="ET16">IF(DS16="","", INDEX(#REF!,MATCH(CONCATENATE('Respuestas de formulario 1.1'!$B16,DS16),#REF!,0),MATCH('Respuestas de formulario 1.1'!ET$1,#REF!,0)))</f>
        <v/>
      </c>
      <c r="EU16" s="56" t="str">
        <f t="array" ref="EU16">IF(DT16="","", INDEX(#REF!,MATCH(CONCATENATE('Respuestas de formulario 1.1'!$B16,DT16),#REF!,0),MATCH('Respuestas de formulario 1.1'!EU$1,#REF!,0)))</f>
        <v/>
      </c>
      <c r="EV16" s="56" t="str">
        <f t="array" ref="EV16">IF(DU16="","", INDEX(#REF!,MATCH(CONCATENATE('Respuestas de formulario 1.1'!$B16,DU16),#REF!,0),MATCH('Respuestas de formulario 1.1'!EV$1,#REF!,0)))</f>
        <v/>
      </c>
      <c r="EW16" s="45" t="str">
        <f t="array" ref="EW16">IF(DV16="","", INDEX(#REF!,MATCH(CONCATENATE('Respuestas de formulario 1.1'!$B16,DV16),#REF!,0),MATCH('Respuestas de formulario 1.1'!EW$1,#REF!,0)))</f>
        <v/>
      </c>
      <c r="EX16" s="45" t="str">
        <f t="array" ref="EX16">IF($DQ16="","", INDEX(#REF!,MATCH(CONCATENATE('Respuestas de formulario 1.1'!$B16,$DQ16),#REF!,0),MATCH('Respuestas de formulario 1.1'!EX$1,#REF!,0)))</f>
        <v/>
      </c>
      <c r="EY16" s="56" t="str">
        <f t="array" ref="EY16">IF($DQ16="","", INDEX(#REF!,MATCH(CONCATENATE('Respuestas de formulario 1.1'!$B16,$DQ16),#REF!,0),MATCH('Respuestas de formulario 1.1'!EY$1,#REF!,0)))</f>
        <v/>
      </c>
      <c r="EZ16" s="56" t="str">
        <f t="array" ref="EZ16">IF($DQ16="","", INDEX(#REF!,MATCH(CONCATENATE('Respuestas de formulario 1.1'!$B16,$DQ16),#REF!,0),MATCH('Respuestas de formulario 1.1'!EZ$1,#REF!,0)))</f>
        <v/>
      </c>
      <c r="FA16" s="56" t="str">
        <f t="array" ref="FA16">IF($DQ16="","", INDEX(#REF!,MATCH(CONCATENATE('Respuestas de formulario 1.1'!$B16,$DQ16),#REF!,0),MATCH('Respuestas de formulario 1.1'!FA$1,#REF!,0)))</f>
        <v/>
      </c>
      <c r="FB16" s="56" t="str">
        <f t="array" ref="FB16">IF($DQ16="","", INDEX(#REF!,MATCH(CONCATENATE('Respuestas de formulario 1.1'!$B16,$DQ16),#REF!,0),MATCH('Respuestas de formulario 1.1'!FB$1,#REF!,0)))</f>
        <v/>
      </c>
      <c r="FC16" s="56" t="str">
        <f t="array" ref="FC16">IF($DQ16="","", INDEX(#REF!,MATCH(CONCATENATE('Respuestas de formulario 1.1'!$B16,$DQ16),#REF!,0),MATCH('Respuestas de formulario 1.1'!FC$1,#REF!,0)))</f>
        <v/>
      </c>
      <c r="FD16" s="45" t="str">
        <f t="array" ref="FD16">IF($DQ16="","", INDEX(#REF!,MATCH(CONCATENATE('Respuestas de formulario 1.1'!$B16,$DQ16),#REF!,0),MATCH('Respuestas de formulario 1.1'!FD$1,#REF!,0)))</f>
        <v/>
      </c>
      <c r="FE16" s="45" t="str">
        <f t="array" ref="FE16">IF($DR16="","", INDEX(#REF!,MATCH(CONCATENATE(#REF!,$DR16),#REF!,0),MATCH(#REF!,#REF!,0)))</f>
        <v/>
      </c>
      <c r="FF16" s="56" t="str">
        <f t="array" ref="FF16">IF($DR16="","", INDEX(#REF!,MATCH(CONCATENATE(#REF!,$DR16),#REF!,0),MATCH(#REF!,#REF!,0)))</f>
        <v/>
      </c>
      <c r="FG16" s="56" t="str">
        <f t="array" ref="FG16">IF($DR16="","", INDEX(#REF!,MATCH(CONCATENATE(#REF!,$DR16),#REF!,0),MATCH(#REF!,#REF!,0)))</f>
        <v/>
      </c>
      <c r="FH16" s="56" t="str">
        <f t="array" ref="FH16">IF($DR16="","", INDEX(#REF!,MATCH(CONCATENATE(#REF!,$DR16),#REF!,0),MATCH(#REF!,#REF!,0)))</f>
        <v/>
      </c>
      <c r="FI16" s="56" t="str">
        <f t="array" ref="FI16">IF($DR16="","", INDEX(#REF!,MATCH(CONCATENATE(#REF!,$DR16),#REF!,0),MATCH(#REF!,#REF!,0)))</f>
        <v/>
      </c>
      <c r="FJ16" s="56" t="str">
        <f t="array" ref="FJ16">IF($DR16="","", INDEX(#REF!,MATCH(CONCATENATE(#REF!,$DR16),#REF!,0),MATCH(#REF!,#REF!,0)))</f>
        <v/>
      </c>
      <c r="FK16" s="45" t="str">
        <f t="array" ref="FK16">IF($DR16="","", INDEX(#REF!,MATCH(CONCATENATE(#REF!,$DR16),#REF!,0),MATCH(#REF!,#REF!,0)))</f>
        <v/>
      </c>
      <c r="FL16" s="45" t="str">
        <f t="array" ref="FL16">IF($DT16="","", INDEX(#REF!,MATCH(CONCATENATE('Respuestas de formulario 1.1'!$B16,$DS16),#REF!,0),MATCH('Respuestas de formulario 1.1'!FL$1,#REF!,0)))</f>
        <v/>
      </c>
      <c r="FM16" s="56" t="str">
        <f t="array" ref="FM16">IF($DT16="","", INDEX(#REF!,MATCH(CONCATENATE('Respuestas de formulario 1.1'!$B16,$DS16),#REF!,0),MATCH('Respuestas de formulario 1.1'!FM$1,#REF!,0)))</f>
        <v/>
      </c>
      <c r="FN16" s="56" t="str">
        <f t="array" ref="FN16">IF($DT16="","", INDEX(#REF!,MATCH(CONCATENATE('Respuestas de formulario 1.1'!$B16,$DS16),#REF!,0),MATCH('Respuestas de formulario 1.1'!FN$1,#REF!,0)))</f>
        <v/>
      </c>
      <c r="FO16" s="56" t="str">
        <f t="array" ref="FO16">IF($DT16="","", INDEX(#REF!,MATCH(CONCATENATE('Respuestas de formulario 1.1'!$B16,$DS16),#REF!,0),MATCH('Respuestas de formulario 1.1'!FO$1,#REF!,0)))</f>
        <v/>
      </c>
      <c r="FP16" s="56" t="str">
        <f t="array" ref="FP16">IF($DT16="","", INDEX(#REF!,MATCH(CONCATENATE('Respuestas de formulario 1.1'!$B16,$DS16),#REF!,0),MATCH('Respuestas de formulario 1.1'!FP$1,#REF!,0)))</f>
        <v/>
      </c>
      <c r="FQ16" s="56" t="str">
        <f t="array" ref="FQ16">IF($DT16="","", INDEX(#REF!,MATCH(CONCATENATE('Respuestas de formulario 1.1'!$B16,$DS16),#REF!,0),MATCH('Respuestas de formulario 1.1'!FQ$1,#REF!,0)))</f>
        <v/>
      </c>
      <c r="FR16" s="45" t="str">
        <f t="array" ref="FR16">IF($DT16="","", INDEX(#REF!,MATCH(CONCATENATE('Respuestas de formulario 1.1'!$B16,$DS16),#REF!,0),MATCH('Respuestas de formulario 1.1'!FR$1,#REF!,0)))</f>
        <v/>
      </c>
      <c r="FS16" s="45" t="str">
        <f t="array" ref="FS16">IF($DU16="","", INDEX(#REF!,MATCH(CONCATENATE('Respuestas de formulario 1.1'!$B16,$DT16),#REF!,0),MATCH('Respuestas de formulario 1.1'!FS$1,#REF!,0)))</f>
        <v/>
      </c>
      <c r="FT16" s="56" t="str">
        <f t="array" ref="FT16">IF($DU16="","", INDEX(#REF!,MATCH(CONCATENATE('Respuestas de formulario 1.1'!$B16,$DT16),#REF!,0),MATCH('Respuestas de formulario 1.1'!FT$1,#REF!,0)))</f>
        <v/>
      </c>
      <c r="FU16" s="56" t="str">
        <f t="array" ref="FU16">IF($DU16="","", INDEX(#REF!,MATCH(CONCATENATE('Respuestas de formulario 1.1'!$B16,$DT16),#REF!,0),MATCH('Respuestas de formulario 1.1'!FU$1,#REF!,0)))</f>
        <v/>
      </c>
      <c r="FV16" s="56" t="str">
        <f t="array" ref="FV16">IF($DU16="","", INDEX(#REF!,MATCH(CONCATENATE('Respuestas de formulario 1.1'!$B16,$DT16),#REF!,0),MATCH('Respuestas de formulario 1.1'!FV$1,#REF!,0)))</f>
        <v/>
      </c>
      <c r="FW16" s="56" t="str">
        <f t="array" ref="FW16">IF($DU16="","", INDEX(#REF!,MATCH(CONCATENATE('Respuestas de formulario 1.1'!$B16,$DT16),#REF!,0),MATCH('Respuestas de formulario 1.1'!FW$1,#REF!,0)))</f>
        <v/>
      </c>
      <c r="FX16" s="56" t="str">
        <f t="array" ref="FX16">IF($DU16="","", INDEX(#REF!,MATCH(CONCATENATE('Respuestas de formulario 1.1'!$B16,$DT16),#REF!,0),MATCH('Respuestas de formulario 1.1'!FX$1,#REF!,0)))</f>
        <v/>
      </c>
      <c r="FY16" s="45" t="str">
        <f t="array" ref="FY16">IF($DU16="","", INDEX(#REF!,MATCH(CONCATENATE('Respuestas de formulario 1.1'!$B16,$DT16),#REF!,0),MATCH('Respuestas de formulario 1.1'!FY$1,#REF!,0)))</f>
        <v/>
      </c>
      <c r="FZ16" s="3" t="s">
        <v>2860</v>
      </c>
      <c r="GA16" s="1" t="s">
        <v>3082</v>
      </c>
      <c r="GB16" s="5" t="s">
        <v>3083</v>
      </c>
      <c r="GC16" s="4" t="str">
        <f>HYPERLINK("https://drive.google.com/file/d/16GI4a1J4mozdBgQt-gDmwFYmjN_ImM7U/view?usp=drivesdk","GARCIA  TORRES VICTOR EDUARDO  Formato de reinscripción y pago 2022-2")</f>
        <v>GARCIA  TORRES VICTOR EDUARDO  Formato de reinscripción y pago 2022-2</v>
      </c>
      <c r="GD16" s="1" t="s">
        <v>3084</v>
      </c>
      <c r="GE16" s="1"/>
      <c r="GF16" s="1"/>
      <c r="GG16" s="1"/>
      <c r="GH16" s="1"/>
      <c r="GI16" s="1" t="s">
        <v>3085</v>
      </c>
      <c r="GJ16" s="5" t="s">
        <v>3086</v>
      </c>
      <c r="GK16" s="5" t="str">
        <f>HYPERLINK("https://drive.google.com/file/d/1uC23-iugZbxRudD1qNFkzP-offoZVnDn/view?usp=drivesdk","GARCIA  TORRES VICTOR EDUARDO  Formato de reinscripción y pago 2022-2")</f>
        <v>GARCIA  TORRES VICTOR EDUARDO  Formato de reinscripción y pago 2022-2</v>
      </c>
      <c r="GL16" s="1" t="s">
        <v>3087</v>
      </c>
    </row>
    <row r="17" spans="1:194" ht="15.75" customHeight="1" x14ac:dyDescent="0.2">
      <c r="A17" s="2">
        <v>45139.634308310182</v>
      </c>
      <c r="B17" s="1" t="s">
        <v>54</v>
      </c>
      <c r="C17" s="1" t="s">
        <v>259</v>
      </c>
      <c r="D17" s="1" t="s">
        <v>627</v>
      </c>
      <c r="E17" s="1" t="s">
        <v>3088</v>
      </c>
      <c r="F17" s="1" t="s">
        <v>262</v>
      </c>
      <c r="G17" s="5" t="s">
        <v>3089</v>
      </c>
      <c r="H17" s="41">
        <v>39009</v>
      </c>
      <c r="I17" s="1">
        <v>16</v>
      </c>
      <c r="J17" s="1">
        <v>5611323113</v>
      </c>
      <c r="K17" s="1">
        <v>5618664080</v>
      </c>
      <c r="L17" s="1" t="s">
        <v>1848</v>
      </c>
      <c r="M17" s="1">
        <v>21309060570646</v>
      </c>
      <c r="N17" s="1" t="s">
        <v>1108</v>
      </c>
      <c r="O17" s="1" t="s">
        <v>225</v>
      </c>
      <c r="P17" s="1" t="s">
        <v>226</v>
      </c>
      <c r="Q17" s="1" t="s">
        <v>315</v>
      </c>
      <c r="R17" s="1" t="s">
        <v>236</v>
      </c>
      <c r="S17" s="1" t="s">
        <v>228</v>
      </c>
      <c r="T17" s="1" t="s">
        <v>229</v>
      </c>
      <c r="U17" s="1" t="s">
        <v>393</v>
      </c>
      <c r="V17" s="1" t="s">
        <v>228</v>
      </c>
      <c r="W17" s="1" t="s">
        <v>3090</v>
      </c>
      <c r="X17" s="1" t="s">
        <v>393</v>
      </c>
      <c r="Y17" s="1" t="s">
        <v>599</v>
      </c>
      <c r="Z17" s="1" t="s">
        <v>240</v>
      </c>
      <c r="AA17" s="44" t="s">
        <v>412</v>
      </c>
      <c r="AB17" s="1">
        <v>1</v>
      </c>
      <c r="AC17" s="1">
        <v>1</v>
      </c>
      <c r="AD17" s="1" t="s">
        <v>3091</v>
      </c>
      <c r="AE17" s="1" t="s">
        <v>3092</v>
      </c>
      <c r="AF17" s="1" t="s">
        <v>265</v>
      </c>
      <c r="AG17" s="1">
        <v>41</v>
      </c>
      <c r="AH17" s="5" t="s">
        <v>3093</v>
      </c>
      <c r="AI17" s="1">
        <v>5618664080</v>
      </c>
      <c r="AJ17" s="1">
        <v>5618664080</v>
      </c>
      <c r="AK17" s="1" t="s">
        <v>3094</v>
      </c>
      <c r="AL17" s="1" t="s">
        <v>259</v>
      </c>
      <c r="AM17" s="1" t="s">
        <v>390</v>
      </c>
      <c r="AN17" s="1" t="s">
        <v>1224</v>
      </c>
      <c r="AO17" s="1" t="s">
        <v>435</v>
      </c>
      <c r="AP17" s="1">
        <v>52</v>
      </c>
      <c r="AQ17" s="1" t="s">
        <v>3095</v>
      </c>
      <c r="AR17" s="42">
        <v>0.29166666666424135</v>
      </c>
      <c r="AS17" s="42">
        <v>0.75</v>
      </c>
      <c r="AT17" s="1">
        <v>5632631293</v>
      </c>
      <c r="AU17" s="1">
        <v>5632631293</v>
      </c>
      <c r="AV17" s="1" t="s">
        <v>1850</v>
      </c>
      <c r="AW17" s="5" t="s">
        <v>3096</v>
      </c>
      <c r="AX17" s="1" t="s">
        <v>259</v>
      </c>
      <c r="AY17" s="1" t="s">
        <v>627</v>
      </c>
      <c r="AZ17" s="1" t="s">
        <v>3097</v>
      </c>
      <c r="BA17" s="1" t="s">
        <v>488</v>
      </c>
      <c r="BB17" s="1">
        <v>20</v>
      </c>
      <c r="BC17" s="1" t="s">
        <v>1044</v>
      </c>
      <c r="BD17" s="43">
        <v>0.29166666666424135</v>
      </c>
      <c r="BE17" s="43">
        <v>0.625</v>
      </c>
      <c r="BF17" s="1">
        <v>5565600562</v>
      </c>
      <c r="BG17" s="1">
        <v>5565600562</v>
      </c>
      <c r="BH17" s="1" t="s">
        <v>1849</v>
      </c>
      <c r="BI17" s="5" t="s">
        <v>3098</v>
      </c>
      <c r="BJ17" s="1" t="s">
        <v>236</v>
      </c>
      <c r="BL17" s="1">
        <v>1.7</v>
      </c>
      <c r="BM17" s="1">
        <v>60</v>
      </c>
      <c r="BN17" s="1" t="s">
        <v>236</v>
      </c>
      <c r="BO17" s="1" t="s">
        <v>236</v>
      </c>
      <c r="BP17" s="1" t="s">
        <v>1851</v>
      </c>
      <c r="BQ17" s="1" t="s">
        <v>228</v>
      </c>
      <c r="BR17" s="1" t="s">
        <v>237</v>
      </c>
      <c r="BS17" s="1" t="s">
        <v>228</v>
      </c>
      <c r="BT17" s="1" t="s">
        <v>237</v>
      </c>
      <c r="BU17" s="1" t="s">
        <v>228</v>
      </c>
      <c r="BW17" s="1" t="s">
        <v>272</v>
      </c>
      <c r="BX17" s="1">
        <v>70</v>
      </c>
      <c r="BY17" s="1">
        <v>120</v>
      </c>
      <c r="BZ17" s="1" t="s">
        <v>577</v>
      </c>
      <c r="CA17" s="1" t="s">
        <v>652</v>
      </c>
      <c r="CB17" s="1" t="s">
        <v>240</v>
      </c>
      <c r="CC17" s="1" t="s">
        <v>274</v>
      </c>
      <c r="CD17" s="1">
        <v>1000</v>
      </c>
      <c r="CE17" s="1">
        <v>1000</v>
      </c>
      <c r="CF17" s="1" t="s">
        <v>236</v>
      </c>
      <c r="CG17" s="1" t="s">
        <v>242</v>
      </c>
      <c r="CH17" s="1" t="s">
        <v>243</v>
      </c>
      <c r="CI17" s="1" t="s">
        <v>243</v>
      </c>
      <c r="CJ17" s="1" t="s">
        <v>2848</v>
      </c>
      <c r="CL17" s="5" t="s">
        <v>3099</v>
      </c>
      <c r="CM17" s="1">
        <v>30210672918</v>
      </c>
      <c r="CN17" s="1" t="s">
        <v>228</v>
      </c>
      <c r="CQ17" s="42">
        <v>0</v>
      </c>
      <c r="CR17" s="42">
        <v>0</v>
      </c>
      <c r="CT17" s="45" t="str">
        <f t="array" ref="CT17">IFERROR(INDEX(#REF!,MATCH('Respuestas de formulario 1.1'!$B17,#REF!,0),MATCH('Respuestas de formulario 1.1'!CT$1,#REF!,0)),"")</f>
        <v/>
      </c>
      <c r="CU17" s="56" t="str">
        <f t="array" ref="CU17">IFERROR(INDEX(#REF!,MATCH('Respuestas de formulario 1.1'!$B17,#REF!,0),MATCH('Respuestas de formulario 1.1'!CU$1,#REF!,0)),"")</f>
        <v/>
      </c>
      <c r="CV17" s="56" t="str">
        <f t="array" ref="CV17">IFERROR(INDEX(#REF!,MATCH('Respuestas de formulario 1.1'!$B17,#REF!,0),MATCH('Respuestas de formulario 1.1'!CV$1,#REF!,0)),"")</f>
        <v/>
      </c>
      <c r="CW17" s="56" t="str">
        <f t="array" ref="CW17">IFERROR(INDEX(#REF!,MATCH('Respuestas de formulario 1.1'!$B17,#REF!,0),MATCH('Respuestas de formulario 1.1'!CW$1,#REF!,0)),"")</f>
        <v/>
      </c>
      <c r="CX17" s="56" t="str">
        <f t="array" ref="CX17">IFERROR(INDEX(#REF!,MATCH('Respuestas de formulario 1.1'!$B17,#REF!,0),MATCH('Respuestas de formulario 1.1'!CX$1,#REF!,0)),"")</f>
        <v/>
      </c>
      <c r="CY17" s="56" t="str">
        <f t="array" ref="CY17">IFERROR(INDEX(#REF!,MATCH('Respuestas de formulario 1.1'!$B17,#REF!,0),MATCH('Respuestas de formulario 1.1'!CY$1,#REF!,0)),"")</f>
        <v/>
      </c>
      <c r="CZ17" s="57" t="str">
        <f t="array" ref="CZ17">IFERROR(INDEX(#REF!,MATCH('Respuestas de formulario 1.1'!$B17,#REF!,0),MATCH('Respuestas de formulario 1.1'!CZ$1,#REF!,0)),"")</f>
        <v/>
      </c>
      <c r="DA17" s="45" t="e">
        <f t="array" ref="DA17">INDEX(#REF!,MATCH('Respuestas de formulario 1.1'!$B17,#REF!,0),MATCH('Respuestas de formulario 1.1'!DA$1,#REF!,0))</f>
        <v>#REF!</v>
      </c>
      <c r="DB17" s="45" t="e">
        <f t="array" ref="DB17">INDEX(#REF!,MATCH('Respuestas de formulario 1.1'!$B17,#REF!,0),MATCH('Respuestas de formulario 1.1'!DB$1,#REF!,0))</f>
        <v>#REF!</v>
      </c>
      <c r="DC17" s="45" t="e">
        <f t="array" ref="DC17">INDEX(#REF!,MATCH('Respuestas de formulario 1.1'!$B17,#REF!,0),MATCH('Respuestas de formulario 1.1'!DC$1,#REF!,0))</f>
        <v>#REF!</v>
      </c>
      <c r="DD17" s="45" t="e">
        <f t="array" ref="DD17">INDEX(#REF!,MATCH('Respuestas de formulario 1.1'!$B17,#REF!,0),MATCH('Respuestas de formulario 1.1'!DD$1,#REF!,0))</f>
        <v>#REF!</v>
      </c>
      <c r="DE17" s="45" t="e">
        <f t="array" ref="DE17">INDEX(#REF!,MATCH('Respuestas de formulario 1.1'!$B17,#REF!,0),MATCH('Respuestas de formulario 1.1'!DE$1,#REF!,0))</f>
        <v>#REF!</v>
      </c>
      <c r="DF17" s="45" t="e">
        <f t="array" ref="DF17">INDEX(#REF!,MATCH('Respuestas de formulario 1.1'!$B17,#REF!,0),MATCH('Respuestas de formulario 1.1'!DF$1,#REF!,0))</f>
        <v>#REF!</v>
      </c>
      <c r="DG17" s="45" t="e">
        <f t="array" ref="DG17">INDEX(#REF!,MATCH('Respuestas de formulario 1.1'!$B17,#REF!,0),MATCH('Respuestas de formulario 1.1'!DG$1,#REF!,0))</f>
        <v>#REF!</v>
      </c>
      <c r="DH17" s="45" t="e">
        <f t="array" ref="DH17">INDEX(#REF!,MATCH('Respuestas de formulario 1.1'!$B17,#REF!,0),MATCH('Respuestas de formulario 1.1'!DH$1,#REF!,0))</f>
        <v>#REF!</v>
      </c>
      <c r="DI17" s="48" t="e">
        <f>VLOOKUP(CONCATENATE($DF17," TUTO ",$DC17),#REF!,3,0)</f>
        <v>#REF!</v>
      </c>
      <c r="DJ17" s="48" t="e">
        <f t="array" ref="DJ17">IF('Respuestas de formulario 1.1'!A17="","",INDEX(#REF!,MATCH('Respuestas de formulario 1.1'!B17,#REF!,0),MATCH('Respuestas de formulario 1.1'!$DH$1,#REF!,0)))</f>
        <v>#REF!</v>
      </c>
      <c r="DK17" s="52" t="str">
        <f>CONCATENATE("http://doc.google.com/uc?id=",MID('Respuestas de formulario 1.1'!G17,34,33))</f>
        <v>http://doc.google.com/uc?id=1nhMYi4crW7GV854qKHGSdAAIpl3TpboK</v>
      </c>
      <c r="DL17" s="49" t="str">
        <f>CONCATENATE("http://doc.google.com/uc?id=",MID('Respuestas de formulario 1.1'!AH17,34,33))</f>
        <v>http://doc.google.com/uc?id=1Ic7OoTexi69pyYEpjLjaM-dNzFjiYrnE</v>
      </c>
      <c r="DM17" s="50" t="str">
        <f>CONCATENATE("http://doc.google.com/uc?id=",MID('Respuestas de formulario 1.1'!AW17,34,33))</f>
        <v>http://doc.google.com/uc?id=1CGHJoUEWs4QWSm16JdtPd5yrhWPzfo1I</v>
      </c>
      <c r="DN17" s="53" t="str">
        <f>CONCATENATE("http://doc.google.com/uc?id=",MID('Respuestas de formulario 1.1'!$BI17,34,33))</f>
        <v>http://doc.google.com/uc?id=1SE-XQDLHMTog7jU4uOkGq4AmSA-BKRqw</v>
      </c>
      <c r="DO17" s="45" t="str">
        <f>IFERROR(VLOOKUP(CONCATENATE('Respuestas de formulario 1.1'!$B17,MID('Respuestas de formulario 1.1'!DO$1,2,1)),#REF!,12,0),"")</f>
        <v/>
      </c>
      <c r="DP17" s="45" t="str">
        <f>IFERROR(VLOOKUP(CONCATENATE('Respuestas de formulario 1.1'!$B17,MID('Respuestas de formulario 1.1'!DP$1,2,1)),#REF!,12,0),"")</f>
        <v/>
      </c>
      <c r="DQ17" s="45" t="str">
        <f>IFERROR(VLOOKUP(CONCATENATE('Respuestas de formulario 1.1'!$B17,MID('Respuestas de formulario 1.1'!DQ$1,2,1)),#REF!,12,0),"")</f>
        <v/>
      </c>
      <c r="DR17" s="45" t="str">
        <f>IFERROR(VLOOKUP(CONCATENATE('Respuestas de formulario 1.1'!$B17,MID('Respuestas de formulario 1.1'!DR$1,2,1)),#REF!,12,0),"")</f>
        <v/>
      </c>
      <c r="DS17" s="45" t="str">
        <f>IFERROR(VLOOKUP(CONCATENATE('Respuestas de formulario 1.1'!$B17,MID('Respuestas de formulario 1.1'!DS$1,2,1)),#REF!,12,0),"")</f>
        <v/>
      </c>
      <c r="DT17" s="45" t="str">
        <f>IFERROR(VLOOKUP(CONCATENATE('Respuestas de formulario 1.1'!$B17,MID('Respuestas de formulario 1.1'!DT$1,2,1)),#REF!,12,0),"")</f>
        <v/>
      </c>
      <c r="DU17" s="45" t="str">
        <f>IFERROR(VLOOKUP(CONCATENATE('Respuestas de formulario 1.1'!$B17,MID('Respuestas de formulario 1.1'!DU$1,2,1)),#REF!,12,0),"")</f>
        <v/>
      </c>
      <c r="DV17" s="45" t="str">
        <f>IFERROR(VLOOKUP(CONCATENATE('Respuestas de formulario 1.1'!$B17,MID('Respuestas de formulario 1.1'!DV$1,2,1)),#REF!,12,0),"")</f>
        <v/>
      </c>
      <c r="DW17" s="45" t="str">
        <f>IFERROR(VLOOKUP(CONCATENATE('Respuestas de formulario 1.1'!$B17,MID('Respuestas de formulario 1.1'!DW$1,2,1)),#REF!,12,0),"")</f>
        <v/>
      </c>
      <c r="DX17" s="45" t="str">
        <f>IFERROR(VLOOKUP(CONCATENATE('Respuestas de formulario 1.1'!$B17,MID('Respuestas de formulario 1.1'!DX$1,2,1)),#REF!,12,0),"")</f>
        <v/>
      </c>
      <c r="DY17" s="45" t="str">
        <f>IFERROR(VLOOKUP(CONCATENATE('Respuestas de formulario 1.1'!$B17,MID('Respuestas de formulario 1.1'!DY$1,2,1)),#REF!,12,0),"")</f>
        <v/>
      </c>
      <c r="DZ17" s="45" t="str">
        <f>IFERROR(VLOOKUP(CONCATENATE('Respuestas de formulario 1.1'!$B17,MID('Respuestas de formulario 1.1'!DZ$1,2,1)),#REF!,12,0),"")</f>
        <v/>
      </c>
      <c r="EA17" s="45" t="str">
        <f>IFERROR(VLOOKUP(CONCATENATE('Respuestas de formulario 1.1'!$B17,MID('Respuestas de formulario 1.1'!EA$1,2,1)),#REF!,12,0),"")</f>
        <v/>
      </c>
      <c r="EB17" s="45" t="str">
        <f>IFERROR(VLOOKUP(CONCATENATE('Respuestas de formulario 1.1'!$B17,MID('Respuestas de formulario 1.1'!EB$1,2,1)),#REF!,12,0),"")</f>
        <v/>
      </c>
      <c r="EC17" s="45" t="str">
        <f>IFERROR(VLOOKUP(CONCATENATE('Respuestas de formulario 1.1'!$B17,MID('Respuestas de formulario 1.1'!EC$1,2,1)),#REF!,12,0),"")</f>
        <v/>
      </c>
      <c r="ED17" s="45" t="str">
        <f>IFERROR(VLOOKUP(CONCATENATE('Respuestas de formulario 1.1'!$B17,MID('Respuestas de formulario 1.1'!ED$1,2,1)),#REF!,12,0),"")</f>
        <v/>
      </c>
      <c r="EE17" s="45" t="str">
        <f>IFERROR(VLOOKUP(CONCATENATE('Respuestas de formulario 1.1'!$B17,MID('Respuestas de formulario 1.1'!EE$1,2,1)),#REF!,12,0),"")</f>
        <v/>
      </c>
      <c r="EF17" s="45" t="str">
        <f>IFERROR(VLOOKUP(CONCATENATE('Respuestas de formulario 1.1'!$B17,MID('Respuestas de formulario 1.1'!EF$1,2,1)),#REF!,12,0),"")</f>
        <v/>
      </c>
      <c r="EG17" s="45" t="str">
        <f>IFERROR(VLOOKUP(CONCATENATE('Respuestas de formulario 1.1'!$B17,MID('Respuestas de formulario 1.1'!EG$1,2,1)),#REF!,12,0),"")</f>
        <v/>
      </c>
      <c r="EH17" s="45" t="str">
        <f>IFERROR(VLOOKUP(CONCATENATE('Respuestas de formulario 1.1'!$B17,MID('Respuestas de formulario 1.1'!EH$1,2,1)),#REF!,12,0),"")</f>
        <v/>
      </c>
      <c r="EI17" s="45" t="str">
        <f>IFERROR(VLOOKUP(CONCATENATE('Respuestas de formulario 1.1'!$B17,MID('Respuestas de formulario 1.1'!EI$1,2,1)),#REF!,12,0),"")</f>
        <v/>
      </c>
      <c r="EJ17" s="45" t="str">
        <f t="array" ref="EJ17">IF(DO17="","", INDEX(#REF!,MATCH(CONCATENATE('Respuestas de formulario 1.1'!$B17,DO17),#REF!,0),MATCH('Respuestas de formulario 1.1'!EJ$1,#REF!,0)))</f>
        <v/>
      </c>
      <c r="EK17" s="56" t="str">
        <f t="array" ref="EK17">IF(DP17="","", INDEX(#REF!,MATCH(CONCATENATE('Respuestas de formulario 1.1'!$B17,DP17),#REF!,0),MATCH('Respuestas de formulario 1.1'!EK$1,#REF!,0)))</f>
        <v/>
      </c>
      <c r="EL17" s="56" t="str">
        <f t="array" ref="EL17">IF(DQ17="","", INDEX(#REF!,MATCH(CONCATENATE('Respuestas de formulario 1.1'!$B17,DQ17),#REF!,0),MATCH('Respuestas de formulario 1.1'!EL$1,#REF!,0)))</f>
        <v/>
      </c>
      <c r="EM17" s="56" t="str">
        <f t="array" ref="EM17">IF(DR17="","", INDEX(#REF!,MATCH(CONCATENATE('Respuestas de formulario 1.1'!$B17,DR17),#REF!,0),MATCH('Respuestas de formulario 1.1'!EM$1,#REF!,0)))</f>
        <v/>
      </c>
      <c r="EN17" s="56" t="str">
        <f t="array" ref="EN17">IF(DS17="","", INDEX(#REF!,MATCH(CONCATENATE('Respuestas de formulario 1.1'!$B17,DS17),#REF!,0),MATCH('Respuestas de formulario 1.1'!EN$1,#REF!,0)))</f>
        <v/>
      </c>
      <c r="EO17" s="56" t="str">
        <f t="array" ref="EO17">IF(DT17="","", INDEX(#REF!,MATCH(CONCATENATE('Respuestas de formulario 1.1'!$B17,DT17),#REF!,0),MATCH('Respuestas de formulario 1.1'!EO$1,#REF!,0)))</f>
        <v/>
      </c>
      <c r="EP17" s="45" t="str">
        <f t="array" ref="EP17">IF(DU17="","", INDEX(#REF!,MATCH(CONCATENATE('Respuestas de formulario 1.1'!$B17,DU17),#REF!,0),MATCH('Respuestas de formulario 1.1'!EP$1,#REF!,0)))</f>
        <v/>
      </c>
      <c r="EQ17" s="45" t="str">
        <f t="array" ref="EQ17">IF(DP17="","", INDEX(#REF!,MATCH(CONCATENATE('Respuestas de formulario 1.1'!$B17,DP17),#REF!,0),MATCH('Respuestas de formulario 1.1'!EQ$1,#REF!,0)))</f>
        <v/>
      </c>
      <c r="ER17" s="56" t="str">
        <f t="array" ref="ER17">IF(DQ17="","", INDEX(#REF!,MATCH(CONCATENATE('Respuestas de formulario 1.1'!$B17,DQ17),#REF!,0),MATCH('Respuestas de formulario 1.1'!ER$1,#REF!,0)))</f>
        <v/>
      </c>
      <c r="ES17" s="56" t="str">
        <f t="array" ref="ES17">IF(DR17="","", INDEX(#REF!,MATCH(CONCATENATE('Respuestas de formulario 1.1'!$B17,DR17),#REF!,0),MATCH('Respuestas de formulario 1.1'!ES$1,#REF!,0)))</f>
        <v/>
      </c>
      <c r="ET17" s="56" t="str">
        <f t="array" ref="ET17">IF(DS17="","", INDEX(#REF!,MATCH(CONCATENATE('Respuestas de formulario 1.1'!$B17,DS17),#REF!,0),MATCH('Respuestas de formulario 1.1'!ET$1,#REF!,0)))</f>
        <v/>
      </c>
      <c r="EU17" s="56" t="str">
        <f t="array" ref="EU17">IF(DT17="","", INDEX(#REF!,MATCH(CONCATENATE('Respuestas de formulario 1.1'!$B17,DT17),#REF!,0),MATCH('Respuestas de formulario 1.1'!EU$1,#REF!,0)))</f>
        <v/>
      </c>
      <c r="EV17" s="56" t="str">
        <f t="array" ref="EV17">IF(DU17="","", INDEX(#REF!,MATCH(CONCATENATE('Respuestas de formulario 1.1'!$B17,DU17),#REF!,0),MATCH('Respuestas de formulario 1.1'!EV$1,#REF!,0)))</f>
        <v/>
      </c>
      <c r="EW17" s="45" t="str">
        <f t="array" ref="EW17">IF(DV17="","", INDEX(#REF!,MATCH(CONCATENATE('Respuestas de formulario 1.1'!$B17,DV17),#REF!,0),MATCH('Respuestas de formulario 1.1'!EW$1,#REF!,0)))</f>
        <v/>
      </c>
      <c r="EX17" s="45" t="str">
        <f t="array" ref="EX17">IF($DQ17="","", INDEX(#REF!,MATCH(CONCATENATE('Respuestas de formulario 1.1'!$B17,$DQ17),#REF!,0),MATCH('Respuestas de formulario 1.1'!EX$1,#REF!,0)))</f>
        <v/>
      </c>
      <c r="EY17" s="56" t="str">
        <f t="array" ref="EY17">IF($DQ17="","", INDEX(#REF!,MATCH(CONCATENATE('Respuestas de formulario 1.1'!$B17,$DQ17),#REF!,0),MATCH('Respuestas de formulario 1.1'!EY$1,#REF!,0)))</f>
        <v/>
      </c>
      <c r="EZ17" s="56" t="str">
        <f t="array" ref="EZ17">IF($DQ17="","", INDEX(#REF!,MATCH(CONCATENATE('Respuestas de formulario 1.1'!$B17,$DQ17),#REF!,0),MATCH('Respuestas de formulario 1.1'!EZ$1,#REF!,0)))</f>
        <v/>
      </c>
      <c r="FA17" s="56" t="str">
        <f t="array" ref="FA17">IF($DQ17="","", INDEX(#REF!,MATCH(CONCATENATE('Respuestas de formulario 1.1'!$B17,$DQ17),#REF!,0),MATCH('Respuestas de formulario 1.1'!FA$1,#REF!,0)))</f>
        <v/>
      </c>
      <c r="FB17" s="56" t="str">
        <f t="array" ref="FB17">IF($DQ17="","", INDEX(#REF!,MATCH(CONCATENATE('Respuestas de formulario 1.1'!$B17,$DQ17),#REF!,0),MATCH('Respuestas de formulario 1.1'!FB$1,#REF!,0)))</f>
        <v/>
      </c>
      <c r="FC17" s="56" t="str">
        <f t="array" ref="FC17">IF($DQ17="","", INDEX(#REF!,MATCH(CONCATENATE('Respuestas de formulario 1.1'!$B17,$DQ17),#REF!,0),MATCH('Respuestas de formulario 1.1'!FC$1,#REF!,0)))</f>
        <v/>
      </c>
      <c r="FD17" s="45" t="str">
        <f t="array" ref="FD17">IF($DQ17="","", INDEX(#REF!,MATCH(CONCATENATE('Respuestas de formulario 1.1'!$B17,$DQ17),#REF!,0),MATCH('Respuestas de formulario 1.1'!FD$1,#REF!,0)))</f>
        <v/>
      </c>
      <c r="FE17" s="45" t="str">
        <f t="array" ref="FE17">IF($DR17="","", INDEX(#REF!,MATCH(CONCATENATE(#REF!,$DR17),#REF!,0),MATCH(#REF!,#REF!,0)))</f>
        <v/>
      </c>
      <c r="FF17" s="56" t="str">
        <f t="array" ref="FF17">IF($DR17="","", INDEX(#REF!,MATCH(CONCATENATE(#REF!,$DR17),#REF!,0),MATCH(#REF!,#REF!,0)))</f>
        <v/>
      </c>
      <c r="FG17" s="56" t="str">
        <f t="array" ref="FG17">IF($DR17="","", INDEX(#REF!,MATCH(CONCATENATE(#REF!,$DR17),#REF!,0),MATCH(#REF!,#REF!,0)))</f>
        <v/>
      </c>
      <c r="FH17" s="56" t="str">
        <f t="array" ref="FH17">IF($DR17="","", INDEX(#REF!,MATCH(CONCATENATE(#REF!,$DR17),#REF!,0),MATCH(#REF!,#REF!,0)))</f>
        <v/>
      </c>
      <c r="FI17" s="56" t="str">
        <f t="array" ref="FI17">IF($DR17="","", INDEX(#REF!,MATCH(CONCATENATE(#REF!,$DR17),#REF!,0),MATCH(#REF!,#REF!,0)))</f>
        <v/>
      </c>
      <c r="FJ17" s="56" t="str">
        <f t="array" ref="FJ17">IF($DR17="","", INDEX(#REF!,MATCH(CONCATENATE(#REF!,$DR17),#REF!,0),MATCH(#REF!,#REF!,0)))</f>
        <v/>
      </c>
      <c r="FK17" s="45" t="str">
        <f t="array" ref="FK17">IF($DR17="","", INDEX(#REF!,MATCH(CONCATENATE(#REF!,$DR17),#REF!,0),MATCH(#REF!,#REF!,0)))</f>
        <v/>
      </c>
      <c r="FL17" s="45" t="str">
        <f t="array" ref="FL17">IF($DT17="","", INDEX(#REF!,MATCH(CONCATENATE('Respuestas de formulario 1.1'!$B17,$DS17),#REF!,0),MATCH('Respuestas de formulario 1.1'!FL$1,#REF!,0)))</f>
        <v/>
      </c>
      <c r="FM17" s="56" t="str">
        <f t="array" ref="FM17">IF($DT17="","", INDEX(#REF!,MATCH(CONCATENATE('Respuestas de formulario 1.1'!$B17,$DS17),#REF!,0),MATCH('Respuestas de formulario 1.1'!FM$1,#REF!,0)))</f>
        <v/>
      </c>
      <c r="FN17" s="56" t="str">
        <f t="array" ref="FN17">IF($DT17="","", INDEX(#REF!,MATCH(CONCATENATE('Respuestas de formulario 1.1'!$B17,$DS17),#REF!,0),MATCH('Respuestas de formulario 1.1'!FN$1,#REF!,0)))</f>
        <v/>
      </c>
      <c r="FO17" s="56" t="str">
        <f t="array" ref="FO17">IF($DT17="","", INDEX(#REF!,MATCH(CONCATENATE('Respuestas de formulario 1.1'!$B17,$DS17),#REF!,0),MATCH('Respuestas de formulario 1.1'!FO$1,#REF!,0)))</f>
        <v/>
      </c>
      <c r="FP17" s="56" t="str">
        <f t="array" ref="FP17">IF($DT17="","", INDEX(#REF!,MATCH(CONCATENATE('Respuestas de formulario 1.1'!$B17,$DS17),#REF!,0),MATCH('Respuestas de formulario 1.1'!FP$1,#REF!,0)))</f>
        <v/>
      </c>
      <c r="FQ17" s="56" t="str">
        <f t="array" ref="FQ17">IF($DT17="","", INDEX(#REF!,MATCH(CONCATENATE('Respuestas de formulario 1.1'!$B17,$DS17),#REF!,0),MATCH('Respuestas de formulario 1.1'!FQ$1,#REF!,0)))</f>
        <v/>
      </c>
      <c r="FR17" s="45" t="str">
        <f t="array" ref="FR17">IF($DT17="","", INDEX(#REF!,MATCH(CONCATENATE('Respuestas de formulario 1.1'!$B17,$DS17),#REF!,0),MATCH('Respuestas de formulario 1.1'!FR$1,#REF!,0)))</f>
        <v/>
      </c>
      <c r="FS17" s="45" t="str">
        <f t="array" ref="FS17">IF($DU17="","", INDEX(#REF!,MATCH(CONCATENATE('Respuestas de formulario 1.1'!$B17,$DT17),#REF!,0),MATCH('Respuestas de formulario 1.1'!FS$1,#REF!,0)))</f>
        <v/>
      </c>
      <c r="FT17" s="56" t="str">
        <f t="array" ref="FT17">IF($DU17="","", INDEX(#REF!,MATCH(CONCATENATE('Respuestas de formulario 1.1'!$B17,$DT17),#REF!,0),MATCH('Respuestas de formulario 1.1'!FT$1,#REF!,0)))</f>
        <v/>
      </c>
      <c r="FU17" s="56" t="str">
        <f t="array" ref="FU17">IF($DU17="","", INDEX(#REF!,MATCH(CONCATENATE('Respuestas de formulario 1.1'!$B17,$DT17),#REF!,0),MATCH('Respuestas de formulario 1.1'!FU$1,#REF!,0)))</f>
        <v/>
      </c>
      <c r="FV17" s="56" t="str">
        <f t="array" ref="FV17">IF($DU17="","", INDEX(#REF!,MATCH(CONCATENATE('Respuestas de formulario 1.1'!$B17,$DT17),#REF!,0),MATCH('Respuestas de formulario 1.1'!FV$1,#REF!,0)))</f>
        <v/>
      </c>
      <c r="FW17" s="56" t="str">
        <f t="array" ref="FW17">IF($DU17="","", INDEX(#REF!,MATCH(CONCATENATE('Respuestas de formulario 1.1'!$B17,$DT17),#REF!,0),MATCH('Respuestas de formulario 1.1'!FW$1,#REF!,0)))</f>
        <v/>
      </c>
      <c r="FX17" s="56" t="str">
        <f t="array" ref="FX17">IF($DU17="","", INDEX(#REF!,MATCH(CONCATENATE('Respuestas de formulario 1.1'!$B17,$DT17),#REF!,0),MATCH('Respuestas de formulario 1.1'!FX$1,#REF!,0)))</f>
        <v/>
      </c>
      <c r="FY17" s="45" t="str">
        <f t="array" ref="FY17">IF($DU17="","", INDEX(#REF!,MATCH(CONCATENATE('Respuestas de formulario 1.1'!$B17,$DT17),#REF!,0),MATCH('Respuestas de formulario 1.1'!FY$1,#REF!,0)))</f>
        <v/>
      </c>
      <c r="FZ17" s="3" t="s">
        <v>2860</v>
      </c>
      <c r="GA17" s="1" t="s">
        <v>3100</v>
      </c>
      <c r="GB17" s="5" t="s">
        <v>3101</v>
      </c>
      <c r="GC17" s="4" t="str">
        <f>HYPERLINK("https://drive.google.com/file/d/11dPT2egFVkf9O6bZc6f4MIrZlQrkwGNl/view?usp=drivesdk","MARTINEZ  MEDINA  AXEL AARON  Formato de reinscripción y pago 2022-2")</f>
        <v>MARTINEZ  MEDINA  AXEL AARON  Formato de reinscripción y pago 2022-2</v>
      </c>
      <c r="GD17" s="1" t="s">
        <v>3102</v>
      </c>
      <c r="GE17" s="1"/>
      <c r="GF17" s="1"/>
      <c r="GG17" s="1"/>
      <c r="GH17" s="1"/>
      <c r="GI17" s="1" t="s">
        <v>3103</v>
      </c>
      <c r="GJ17" s="5" t="s">
        <v>3104</v>
      </c>
      <c r="GK17" s="5" t="str">
        <f>HYPERLINK("https://drive.google.com/file/d/1vpI-PLPnph_UpG7KhZuaJet599F6a7Rj/view?usp=drivesdk","MARTINEZ  MEDINA  AXEL AARON  Formato de reinscripción y pago 2022-2")</f>
        <v>MARTINEZ  MEDINA  AXEL AARON  Formato de reinscripción y pago 2022-2</v>
      </c>
      <c r="GL17" s="1" t="s">
        <v>3105</v>
      </c>
    </row>
    <row r="18" spans="1:194" ht="15.75" customHeight="1" x14ac:dyDescent="0.2">
      <c r="A18" s="2">
        <v>45139.5948866088</v>
      </c>
      <c r="B18" s="1" t="s">
        <v>1878</v>
      </c>
      <c r="C18" s="1" t="s">
        <v>587</v>
      </c>
      <c r="D18" s="1" t="s">
        <v>276</v>
      </c>
      <c r="E18" s="1" t="s">
        <v>3106</v>
      </c>
      <c r="F18" s="1" t="s">
        <v>223</v>
      </c>
      <c r="G18" s="5" t="s">
        <v>3107</v>
      </c>
      <c r="H18" s="41">
        <v>39054</v>
      </c>
      <c r="I18" s="1">
        <v>16</v>
      </c>
      <c r="J18" s="1">
        <v>5567450772</v>
      </c>
      <c r="K18" s="1">
        <v>5567450772</v>
      </c>
      <c r="L18" s="1" t="s">
        <v>1879</v>
      </c>
      <c r="M18" s="1">
        <v>21309060570343</v>
      </c>
      <c r="N18" s="1" t="s">
        <v>1108</v>
      </c>
      <c r="O18" s="1" t="s">
        <v>247</v>
      </c>
      <c r="P18" s="1" t="s">
        <v>226</v>
      </c>
      <c r="Q18" s="1" t="s">
        <v>248</v>
      </c>
      <c r="R18" s="1" t="s">
        <v>236</v>
      </c>
      <c r="S18" s="1" t="s">
        <v>228</v>
      </c>
      <c r="T18" s="1" t="s">
        <v>229</v>
      </c>
      <c r="U18" s="1" t="s">
        <v>249</v>
      </c>
      <c r="V18" s="1" t="s">
        <v>228</v>
      </c>
      <c r="W18" s="1" t="s">
        <v>3108</v>
      </c>
      <c r="X18" s="1" t="s">
        <v>249</v>
      </c>
      <c r="Y18" s="1" t="s">
        <v>825</v>
      </c>
      <c r="Z18" s="1" t="s">
        <v>240</v>
      </c>
      <c r="AA18" s="44" t="s">
        <v>654</v>
      </c>
      <c r="AB18" s="1">
        <v>45</v>
      </c>
      <c r="AC18" s="1" t="s">
        <v>3109</v>
      </c>
      <c r="AD18" s="1" t="s">
        <v>3110</v>
      </c>
      <c r="AE18" s="1" t="s">
        <v>3111</v>
      </c>
      <c r="AF18" s="1" t="s">
        <v>420</v>
      </c>
      <c r="AG18" s="1">
        <v>44</v>
      </c>
      <c r="AH18" s="5" t="s">
        <v>3112</v>
      </c>
      <c r="AI18" s="1">
        <v>5638929519</v>
      </c>
      <c r="AJ18" s="1">
        <v>5567450772</v>
      </c>
      <c r="AK18" s="1" t="s">
        <v>3113</v>
      </c>
      <c r="AL18" s="1" t="s">
        <v>276</v>
      </c>
      <c r="AM18" s="1" t="s">
        <v>587</v>
      </c>
      <c r="AN18" s="1" t="s">
        <v>1251</v>
      </c>
      <c r="AO18" s="1" t="s">
        <v>461</v>
      </c>
      <c r="AP18" s="1">
        <v>44</v>
      </c>
      <c r="AQ18" s="1" t="s">
        <v>233</v>
      </c>
      <c r="AR18" s="42">
        <v>0.5</v>
      </c>
      <c r="AS18" s="42">
        <v>0.5</v>
      </c>
      <c r="AT18" s="1">
        <v>5567450772</v>
      </c>
      <c r="AU18" s="1">
        <v>5567450772</v>
      </c>
      <c r="AV18" s="1" t="s">
        <v>3114</v>
      </c>
      <c r="AW18" s="5" t="s">
        <v>3115</v>
      </c>
      <c r="AX18" s="1" t="s">
        <v>1022</v>
      </c>
      <c r="AY18" s="1" t="s">
        <v>587</v>
      </c>
      <c r="AZ18" s="1" t="s">
        <v>1251</v>
      </c>
      <c r="BA18" s="1" t="s">
        <v>461</v>
      </c>
      <c r="BB18" s="1">
        <v>44</v>
      </c>
      <c r="BC18" s="1" t="s">
        <v>233</v>
      </c>
      <c r="BD18" s="43">
        <v>0.5</v>
      </c>
      <c r="BE18" s="43">
        <v>0.5</v>
      </c>
      <c r="BF18" s="1">
        <v>5567450772</v>
      </c>
      <c r="BG18" s="1">
        <v>5567450772</v>
      </c>
      <c r="BH18" s="1" t="s">
        <v>3114</v>
      </c>
      <c r="BI18" s="5" t="s">
        <v>3116</v>
      </c>
      <c r="BJ18" s="1" t="s">
        <v>236</v>
      </c>
      <c r="BK18" s="1" t="s">
        <v>2344</v>
      </c>
      <c r="BL18" s="1">
        <v>1.6</v>
      </c>
      <c r="BM18" s="1">
        <v>48</v>
      </c>
      <c r="BN18" s="1" t="s">
        <v>228</v>
      </c>
      <c r="BO18" s="1" t="s">
        <v>228</v>
      </c>
      <c r="BP18" s="1" t="s">
        <v>450</v>
      </c>
      <c r="BQ18" s="1" t="s">
        <v>228</v>
      </c>
      <c r="BR18" s="1" t="s">
        <v>237</v>
      </c>
      <c r="BS18" s="1" t="s">
        <v>228</v>
      </c>
      <c r="BT18" s="1" t="s">
        <v>237</v>
      </c>
      <c r="BU18" s="1" t="s">
        <v>228</v>
      </c>
      <c r="BW18" s="1" t="s">
        <v>272</v>
      </c>
      <c r="BX18" s="1">
        <v>40</v>
      </c>
      <c r="BY18" s="1">
        <v>100</v>
      </c>
      <c r="BZ18" s="1" t="s">
        <v>1628</v>
      </c>
      <c r="CA18" s="1" t="s">
        <v>237</v>
      </c>
      <c r="CB18" s="1" t="s">
        <v>240</v>
      </c>
      <c r="CC18" s="1" t="s">
        <v>274</v>
      </c>
      <c r="CD18" s="1">
        <v>900</v>
      </c>
      <c r="CE18" s="1">
        <v>1000</v>
      </c>
      <c r="CF18" s="1" t="s">
        <v>228</v>
      </c>
      <c r="CG18" s="1" t="s">
        <v>242</v>
      </c>
      <c r="CH18" s="1" t="s">
        <v>243</v>
      </c>
      <c r="CI18" s="1" t="s">
        <v>243</v>
      </c>
      <c r="CJ18" s="1" t="s">
        <v>2848</v>
      </c>
      <c r="CL18" s="5" t="s">
        <v>3117</v>
      </c>
      <c r="CM18" s="1">
        <v>16210606907</v>
      </c>
      <c r="CN18" s="1" t="s">
        <v>228</v>
      </c>
      <c r="CQ18" s="42">
        <v>0.5</v>
      </c>
      <c r="CR18" s="42">
        <v>0.5</v>
      </c>
      <c r="CT18" s="45" t="str">
        <f t="array" ref="CT18">IFERROR(INDEX(#REF!,MATCH('Respuestas de formulario 1.1'!$B18,#REF!,0),MATCH('Respuestas de formulario 1.1'!CT$1,#REF!,0)),"")</f>
        <v/>
      </c>
      <c r="CU18" s="56" t="str">
        <f t="array" ref="CU18">IFERROR(INDEX(#REF!,MATCH('Respuestas de formulario 1.1'!$B18,#REF!,0),MATCH('Respuestas de formulario 1.1'!CU$1,#REF!,0)),"")</f>
        <v/>
      </c>
      <c r="CV18" s="56" t="str">
        <f t="array" ref="CV18">IFERROR(INDEX(#REF!,MATCH('Respuestas de formulario 1.1'!$B18,#REF!,0),MATCH('Respuestas de formulario 1.1'!CV$1,#REF!,0)),"")</f>
        <v/>
      </c>
      <c r="CW18" s="56" t="str">
        <f t="array" ref="CW18">IFERROR(INDEX(#REF!,MATCH('Respuestas de formulario 1.1'!$B18,#REF!,0),MATCH('Respuestas de formulario 1.1'!CW$1,#REF!,0)),"")</f>
        <v/>
      </c>
      <c r="CX18" s="56" t="str">
        <f t="array" ref="CX18">IFERROR(INDEX(#REF!,MATCH('Respuestas de formulario 1.1'!$B18,#REF!,0),MATCH('Respuestas de formulario 1.1'!CX$1,#REF!,0)),"")</f>
        <v/>
      </c>
      <c r="CY18" s="56" t="str">
        <f t="array" ref="CY18">IFERROR(INDEX(#REF!,MATCH('Respuestas de formulario 1.1'!$B18,#REF!,0),MATCH('Respuestas de formulario 1.1'!CY$1,#REF!,0)),"")</f>
        <v/>
      </c>
      <c r="CZ18" s="57" t="str">
        <f t="array" ref="CZ18">IFERROR(INDEX(#REF!,MATCH('Respuestas de formulario 1.1'!$B18,#REF!,0),MATCH('Respuestas de formulario 1.1'!CZ$1,#REF!,0)),"")</f>
        <v/>
      </c>
      <c r="DA18" s="45" t="e">
        <f t="array" ref="DA18">INDEX(#REF!,MATCH('Respuestas de formulario 1.1'!$B18,#REF!,0),MATCH('Respuestas de formulario 1.1'!DA$1,#REF!,0))</f>
        <v>#REF!</v>
      </c>
      <c r="DB18" s="45" t="e">
        <f t="array" ref="DB18">INDEX(#REF!,MATCH('Respuestas de formulario 1.1'!$B18,#REF!,0),MATCH('Respuestas de formulario 1.1'!DB$1,#REF!,0))</f>
        <v>#REF!</v>
      </c>
      <c r="DC18" s="45" t="e">
        <f t="array" ref="DC18">INDEX(#REF!,MATCH('Respuestas de formulario 1.1'!$B18,#REF!,0),MATCH('Respuestas de formulario 1.1'!DC$1,#REF!,0))</f>
        <v>#REF!</v>
      </c>
      <c r="DD18" s="45" t="e">
        <f t="array" ref="DD18">INDEX(#REF!,MATCH('Respuestas de formulario 1.1'!$B18,#REF!,0),MATCH('Respuestas de formulario 1.1'!DD$1,#REF!,0))</f>
        <v>#REF!</v>
      </c>
      <c r="DE18" s="45" t="e">
        <f t="array" ref="DE18">INDEX(#REF!,MATCH('Respuestas de formulario 1.1'!$B18,#REF!,0),MATCH('Respuestas de formulario 1.1'!DE$1,#REF!,0))</f>
        <v>#REF!</v>
      </c>
      <c r="DF18" s="45" t="e">
        <f t="array" ref="DF18">INDEX(#REF!,MATCH('Respuestas de formulario 1.1'!$B18,#REF!,0),MATCH('Respuestas de formulario 1.1'!DF$1,#REF!,0))</f>
        <v>#REF!</v>
      </c>
      <c r="DG18" s="45" t="e">
        <f t="array" ref="DG18">INDEX(#REF!,MATCH('Respuestas de formulario 1.1'!$B18,#REF!,0),MATCH('Respuestas de formulario 1.1'!DG$1,#REF!,0))</f>
        <v>#REF!</v>
      </c>
      <c r="DH18" s="45" t="e">
        <f t="array" ref="DH18">INDEX(#REF!,MATCH('Respuestas de formulario 1.1'!$B18,#REF!,0),MATCH('Respuestas de formulario 1.1'!DH$1,#REF!,0))</f>
        <v>#REF!</v>
      </c>
      <c r="DI18" s="48" t="e">
        <f>VLOOKUP(CONCATENATE($DF18," TUTO ",$DC18),#REF!,3,0)</f>
        <v>#REF!</v>
      </c>
      <c r="DJ18" s="48" t="e">
        <f t="array" ref="DJ18">IF('Respuestas de formulario 1.1'!A18="","",INDEX(#REF!,MATCH('Respuestas de formulario 1.1'!B18,#REF!,0),MATCH('Respuestas de formulario 1.1'!$DH$1,#REF!,0)))</f>
        <v>#REF!</v>
      </c>
      <c r="DK18" s="52" t="str">
        <f>CONCATENATE("http://doc.google.com/uc?id=",MID('Respuestas de formulario 1.1'!G18,34,33))</f>
        <v>http://doc.google.com/uc?id=1fYsRLyL264rhf2rZyMiE6iQyM7_7Gp5S</v>
      </c>
      <c r="DL18" s="49" t="str">
        <f>CONCATENATE("http://doc.google.com/uc?id=",MID('Respuestas de formulario 1.1'!AH18,34,33))</f>
        <v>http://doc.google.com/uc?id=1ysw_1oFEzOb2j46VMVp3sfwdDnaFX2SR</v>
      </c>
      <c r="DM18" s="50" t="str">
        <f>CONCATENATE("http://doc.google.com/uc?id=",MID('Respuestas de formulario 1.1'!AW18,34,33))</f>
        <v>http://doc.google.com/uc?id=1typA1sUaNS_4tiP6RM4EDEHhO56DadYF</v>
      </c>
      <c r="DN18" s="53" t="str">
        <f>CONCATENATE("http://doc.google.com/uc?id=",MID('Respuestas de formulario 1.1'!$BI18,34,33))</f>
        <v>http://doc.google.com/uc?id=13vjNv5sZhT6GFsul_qd-C0dlEBy8o95-</v>
      </c>
      <c r="DO18" s="45" t="str">
        <f>IFERROR(VLOOKUP(CONCATENATE('Respuestas de formulario 1.1'!$B18,MID('Respuestas de formulario 1.1'!DO$1,2,1)),#REF!,12,0),"")</f>
        <v/>
      </c>
      <c r="DP18" s="45" t="str">
        <f>IFERROR(VLOOKUP(CONCATENATE('Respuestas de formulario 1.1'!$B18,MID('Respuestas de formulario 1.1'!DP$1,2,1)),#REF!,12,0),"")</f>
        <v/>
      </c>
      <c r="DQ18" s="45" t="str">
        <f>IFERROR(VLOOKUP(CONCATENATE('Respuestas de formulario 1.1'!$B18,MID('Respuestas de formulario 1.1'!DQ$1,2,1)),#REF!,12,0),"")</f>
        <v/>
      </c>
      <c r="DR18" s="45" t="str">
        <f>IFERROR(VLOOKUP(CONCATENATE('Respuestas de formulario 1.1'!$B18,MID('Respuestas de formulario 1.1'!DR$1,2,1)),#REF!,12,0),"")</f>
        <v/>
      </c>
      <c r="DS18" s="45" t="str">
        <f>IFERROR(VLOOKUP(CONCATENATE('Respuestas de formulario 1.1'!$B18,MID('Respuestas de formulario 1.1'!DS$1,2,1)),#REF!,12,0),"")</f>
        <v/>
      </c>
      <c r="DT18" s="45" t="str">
        <f>IFERROR(VLOOKUP(CONCATENATE('Respuestas de formulario 1.1'!$B18,MID('Respuestas de formulario 1.1'!DT$1,2,1)),#REF!,12,0),"")</f>
        <v/>
      </c>
      <c r="DU18" s="45" t="str">
        <f>IFERROR(VLOOKUP(CONCATENATE('Respuestas de formulario 1.1'!$B18,MID('Respuestas de formulario 1.1'!DU$1,2,1)),#REF!,12,0),"")</f>
        <v/>
      </c>
      <c r="DV18" s="45" t="str">
        <f>IFERROR(VLOOKUP(CONCATENATE('Respuestas de formulario 1.1'!$B18,MID('Respuestas de formulario 1.1'!DV$1,2,1)),#REF!,12,0),"")</f>
        <v/>
      </c>
      <c r="DW18" s="45" t="str">
        <f>IFERROR(VLOOKUP(CONCATENATE('Respuestas de formulario 1.1'!$B18,MID('Respuestas de formulario 1.1'!DW$1,2,1)),#REF!,12,0),"")</f>
        <v/>
      </c>
      <c r="DX18" s="45" t="str">
        <f>IFERROR(VLOOKUP(CONCATENATE('Respuestas de formulario 1.1'!$B18,MID('Respuestas de formulario 1.1'!DX$1,2,1)),#REF!,12,0),"")</f>
        <v/>
      </c>
      <c r="DY18" s="45" t="str">
        <f>IFERROR(VLOOKUP(CONCATENATE('Respuestas de formulario 1.1'!$B18,MID('Respuestas de formulario 1.1'!DY$1,2,1)),#REF!,12,0),"")</f>
        <v/>
      </c>
      <c r="DZ18" s="45" t="str">
        <f>IFERROR(VLOOKUP(CONCATENATE('Respuestas de formulario 1.1'!$B18,MID('Respuestas de formulario 1.1'!DZ$1,2,1)),#REF!,12,0),"")</f>
        <v/>
      </c>
      <c r="EA18" s="45" t="str">
        <f>IFERROR(VLOOKUP(CONCATENATE('Respuestas de formulario 1.1'!$B18,MID('Respuestas de formulario 1.1'!EA$1,2,1)),#REF!,12,0),"")</f>
        <v/>
      </c>
      <c r="EB18" s="45" t="str">
        <f>IFERROR(VLOOKUP(CONCATENATE('Respuestas de formulario 1.1'!$B18,MID('Respuestas de formulario 1.1'!EB$1,2,1)),#REF!,12,0),"")</f>
        <v/>
      </c>
      <c r="EC18" s="45" t="str">
        <f>IFERROR(VLOOKUP(CONCATENATE('Respuestas de formulario 1.1'!$B18,MID('Respuestas de formulario 1.1'!EC$1,2,1)),#REF!,12,0),"")</f>
        <v/>
      </c>
      <c r="ED18" s="45" t="str">
        <f>IFERROR(VLOOKUP(CONCATENATE('Respuestas de formulario 1.1'!$B18,MID('Respuestas de formulario 1.1'!ED$1,2,1)),#REF!,12,0),"")</f>
        <v/>
      </c>
      <c r="EE18" s="45" t="str">
        <f>IFERROR(VLOOKUP(CONCATENATE('Respuestas de formulario 1.1'!$B18,MID('Respuestas de formulario 1.1'!EE$1,2,1)),#REF!,12,0),"")</f>
        <v/>
      </c>
      <c r="EF18" s="45" t="str">
        <f>IFERROR(VLOOKUP(CONCATENATE('Respuestas de formulario 1.1'!$B18,MID('Respuestas de formulario 1.1'!EF$1,2,1)),#REF!,12,0),"")</f>
        <v/>
      </c>
      <c r="EG18" s="45" t="str">
        <f>IFERROR(VLOOKUP(CONCATENATE('Respuestas de formulario 1.1'!$B18,MID('Respuestas de formulario 1.1'!EG$1,2,1)),#REF!,12,0),"")</f>
        <v/>
      </c>
      <c r="EH18" s="45" t="str">
        <f>IFERROR(VLOOKUP(CONCATENATE('Respuestas de formulario 1.1'!$B18,MID('Respuestas de formulario 1.1'!EH$1,2,1)),#REF!,12,0),"")</f>
        <v/>
      </c>
      <c r="EI18" s="45" t="str">
        <f>IFERROR(VLOOKUP(CONCATENATE('Respuestas de formulario 1.1'!$B18,MID('Respuestas de formulario 1.1'!EI$1,2,1)),#REF!,12,0),"")</f>
        <v/>
      </c>
      <c r="EJ18" s="45" t="str">
        <f t="array" ref="EJ18">IF(DO18="","", INDEX(#REF!,MATCH(CONCATENATE('Respuestas de formulario 1.1'!$B18,DO18),#REF!,0),MATCH('Respuestas de formulario 1.1'!EJ$1,#REF!,0)))</f>
        <v/>
      </c>
      <c r="EK18" s="56" t="str">
        <f t="array" ref="EK18">IF(DP18="","", INDEX(#REF!,MATCH(CONCATENATE('Respuestas de formulario 1.1'!$B18,DP18),#REF!,0),MATCH('Respuestas de formulario 1.1'!EK$1,#REF!,0)))</f>
        <v/>
      </c>
      <c r="EL18" s="56" t="str">
        <f t="array" ref="EL18">IF(DQ18="","", INDEX(#REF!,MATCH(CONCATENATE('Respuestas de formulario 1.1'!$B18,DQ18),#REF!,0),MATCH('Respuestas de formulario 1.1'!EL$1,#REF!,0)))</f>
        <v/>
      </c>
      <c r="EM18" s="56" t="str">
        <f t="array" ref="EM18">IF(DR18="","", INDEX(#REF!,MATCH(CONCATENATE('Respuestas de formulario 1.1'!$B18,DR18),#REF!,0),MATCH('Respuestas de formulario 1.1'!EM$1,#REF!,0)))</f>
        <v/>
      </c>
      <c r="EN18" s="56" t="str">
        <f t="array" ref="EN18">IF(DS18="","", INDEX(#REF!,MATCH(CONCATENATE('Respuestas de formulario 1.1'!$B18,DS18),#REF!,0),MATCH('Respuestas de formulario 1.1'!EN$1,#REF!,0)))</f>
        <v/>
      </c>
      <c r="EO18" s="56" t="str">
        <f t="array" ref="EO18">IF(DT18="","", INDEX(#REF!,MATCH(CONCATENATE('Respuestas de formulario 1.1'!$B18,DT18),#REF!,0),MATCH('Respuestas de formulario 1.1'!EO$1,#REF!,0)))</f>
        <v/>
      </c>
      <c r="EP18" s="45" t="str">
        <f t="array" ref="EP18">IF(DU18="","", INDEX(#REF!,MATCH(CONCATENATE('Respuestas de formulario 1.1'!$B18,DU18),#REF!,0),MATCH('Respuestas de formulario 1.1'!EP$1,#REF!,0)))</f>
        <v/>
      </c>
      <c r="EQ18" s="45" t="str">
        <f t="array" ref="EQ18">IF(DP18="","", INDEX(#REF!,MATCH(CONCATENATE('Respuestas de formulario 1.1'!$B18,DP18),#REF!,0),MATCH('Respuestas de formulario 1.1'!EQ$1,#REF!,0)))</f>
        <v/>
      </c>
      <c r="ER18" s="56" t="str">
        <f t="array" ref="ER18">IF(DQ18="","", INDEX(#REF!,MATCH(CONCATENATE('Respuestas de formulario 1.1'!$B18,DQ18),#REF!,0),MATCH('Respuestas de formulario 1.1'!ER$1,#REF!,0)))</f>
        <v/>
      </c>
      <c r="ES18" s="56" t="str">
        <f t="array" ref="ES18">IF(DR18="","", INDEX(#REF!,MATCH(CONCATENATE('Respuestas de formulario 1.1'!$B18,DR18),#REF!,0),MATCH('Respuestas de formulario 1.1'!ES$1,#REF!,0)))</f>
        <v/>
      </c>
      <c r="ET18" s="56" t="str">
        <f t="array" ref="ET18">IF(DS18="","", INDEX(#REF!,MATCH(CONCATENATE('Respuestas de formulario 1.1'!$B18,DS18),#REF!,0),MATCH('Respuestas de formulario 1.1'!ET$1,#REF!,0)))</f>
        <v/>
      </c>
      <c r="EU18" s="56" t="str">
        <f t="array" ref="EU18">IF(DT18="","", INDEX(#REF!,MATCH(CONCATENATE('Respuestas de formulario 1.1'!$B18,DT18),#REF!,0),MATCH('Respuestas de formulario 1.1'!EU$1,#REF!,0)))</f>
        <v/>
      </c>
      <c r="EV18" s="56" t="str">
        <f t="array" ref="EV18">IF(DU18="","", INDEX(#REF!,MATCH(CONCATENATE('Respuestas de formulario 1.1'!$B18,DU18),#REF!,0),MATCH('Respuestas de formulario 1.1'!EV$1,#REF!,0)))</f>
        <v/>
      </c>
      <c r="EW18" s="45" t="str">
        <f t="array" ref="EW18">IF(DV18="","", INDEX(#REF!,MATCH(CONCATENATE('Respuestas de formulario 1.1'!$B18,DV18),#REF!,0),MATCH('Respuestas de formulario 1.1'!EW$1,#REF!,0)))</f>
        <v/>
      </c>
      <c r="EX18" s="45" t="str">
        <f t="array" ref="EX18">IF($DQ18="","", INDEX(#REF!,MATCH(CONCATENATE('Respuestas de formulario 1.1'!$B18,$DQ18),#REF!,0),MATCH('Respuestas de formulario 1.1'!EX$1,#REF!,0)))</f>
        <v/>
      </c>
      <c r="EY18" s="56" t="str">
        <f t="array" ref="EY18">IF($DQ18="","", INDEX(#REF!,MATCH(CONCATENATE('Respuestas de formulario 1.1'!$B18,$DQ18),#REF!,0),MATCH('Respuestas de formulario 1.1'!EY$1,#REF!,0)))</f>
        <v/>
      </c>
      <c r="EZ18" s="56" t="str">
        <f t="array" ref="EZ18">IF($DQ18="","", INDEX(#REF!,MATCH(CONCATENATE('Respuestas de formulario 1.1'!$B18,$DQ18),#REF!,0),MATCH('Respuestas de formulario 1.1'!EZ$1,#REF!,0)))</f>
        <v/>
      </c>
      <c r="FA18" s="56" t="str">
        <f t="array" ref="FA18">IF($DQ18="","", INDEX(#REF!,MATCH(CONCATENATE('Respuestas de formulario 1.1'!$B18,$DQ18),#REF!,0),MATCH('Respuestas de formulario 1.1'!FA$1,#REF!,0)))</f>
        <v/>
      </c>
      <c r="FB18" s="56" t="str">
        <f t="array" ref="FB18">IF($DQ18="","", INDEX(#REF!,MATCH(CONCATENATE('Respuestas de formulario 1.1'!$B18,$DQ18),#REF!,0),MATCH('Respuestas de formulario 1.1'!FB$1,#REF!,0)))</f>
        <v/>
      </c>
      <c r="FC18" s="56" t="str">
        <f t="array" ref="FC18">IF($DQ18="","", INDEX(#REF!,MATCH(CONCATENATE('Respuestas de formulario 1.1'!$B18,$DQ18),#REF!,0),MATCH('Respuestas de formulario 1.1'!FC$1,#REF!,0)))</f>
        <v/>
      </c>
      <c r="FD18" s="45" t="str">
        <f t="array" ref="FD18">IF($DQ18="","", INDEX(#REF!,MATCH(CONCATENATE('Respuestas de formulario 1.1'!$B18,$DQ18),#REF!,0),MATCH('Respuestas de formulario 1.1'!FD$1,#REF!,0)))</f>
        <v/>
      </c>
      <c r="FE18" s="45" t="str">
        <f t="array" ref="FE18">IF($DR18="","", INDEX(#REF!,MATCH(CONCATENATE(#REF!,$DR18),#REF!,0),MATCH(#REF!,#REF!,0)))</f>
        <v/>
      </c>
      <c r="FF18" s="56" t="str">
        <f t="array" ref="FF18">IF($DR18="","", INDEX(#REF!,MATCH(CONCATENATE(#REF!,$DR18),#REF!,0),MATCH(#REF!,#REF!,0)))</f>
        <v/>
      </c>
      <c r="FG18" s="56" t="str">
        <f t="array" ref="FG18">IF($DR18="","", INDEX(#REF!,MATCH(CONCATENATE(#REF!,$DR18),#REF!,0),MATCH(#REF!,#REF!,0)))</f>
        <v/>
      </c>
      <c r="FH18" s="56" t="str">
        <f t="array" ref="FH18">IF($DR18="","", INDEX(#REF!,MATCH(CONCATENATE(#REF!,$DR18),#REF!,0),MATCH(#REF!,#REF!,0)))</f>
        <v/>
      </c>
      <c r="FI18" s="56" t="str">
        <f t="array" ref="FI18">IF($DR18="","", INDEX(#REF!,MATCH(CONCATENATE(#REF!,$DR18),#REF!,0),MATCH(#REF!,#REF!,0)))</f>
        <v/>
      </c>
      <c r="FJ18" s="56" t="str">
        <f t="array" ref="FJ18">IF($DR18="","", INDEX(#REF!,MATCH(CONCATENATE(#REF!,$DR18),#REF!,0),MATCH(#REF!,#REF!,0)))</f>
        <v/>
      </c>
      <c r="FK18" s="45" t="str">
        <f t="array" ref="FK18">IF($DR18="","", INDEX(#REF!,MATCH(CONCATENATE(#REF!,$DR18),#REF!,0),MATCH(#REF!,#REF!,0)))</f>
        <v/>
      </c>
      <c r="FL18" s="45" t="str">
        <f t="array" ref="FL18">IF($DT18="","", INDEX(#REF!,MATCH(CONCATENATE('Respuestas de formulario 1.1'!$B18,$DS18),#REF!,0),MATCH('Respuestas de formulario 1.1'!FL$1,#REF!,0)))</f>
        <v/>
      </c>
      <c r="FM18" s="56" t="str">
        <f t="array" ref="FM18">IF($DT18="","", INDEX(#REF!,MATCH(CONCATENATE('Respuestas de formulario 1.1'!$B18,$DS18),#REF!,0),MATCH('Respuestas de formulario 1.1'!FM$1,#REF!,0)))</f>
        <v/>
      </c>
      <c r="FN18" s="56" t="str">
        <f t="array" ref="FN18">IF($DT18="","", INDEX(#REF!,MATCH(CONCATENATE('Respuestas de formulario 1.1'!$B18,$DS18),#REF!,0),MATCH('Respuestas de formulario 1.1'!FN$1,#REF!,0)))</f>
        <v/>
      </c>
      <c r="FO18" s="56" t="str">
        <f t="array" ref="FO18">IF($DT18="","", INDEX(#REF!,MATCH(CONCATENATE('Respuestas de formulario 1.1'!$B18,$DS18),#REF!,0),MATCH('Respuestas de formulario 1.1'!FO$1,#REF!,0)))</f>
        <v/>
      </c>
      <c r="FP18" s="56" t="str">
        <f t="array" ref="FP18">IF($DT18="","", INDEX(#REF!,MATCH(CONCATENATE('Respuestas de formulario 1.1'!$B18,$DS18),#REF!,0),MATCH('Respuestas de formulario 1.1'!FP$1,#REF!,0)))</f>
        <v/>
      </c>
      <c r="FQ18" s="56" t="str">
        <f t="array" ref="FQ18">IF($DT18="","", INDEX(#REF!,MATCH(CONCATENATE('Respuestas de formulario 1.1'!$B18,$DS18),#REF!,0),MATCH('Respuestas de formulario 1.1'!FQ$1,#REF!,0)))</f>
        <v/>
      </c>
      <c r="FR18" s="45" t="str">
        <f t="array" ref="FR18">IF($DT18="","", INDEX(#REF!,MATCH(CONCATENATE('Respuestas de formulario 1.1'!$B18,$DS18),#REF!,0),MATCH('Respuestas de formulario 1.1'!FR$1,#REF!,0)))</f>
        <v/>
      </c>
      <c r="FS18" s="45" t="str">
        <f t="array" ref="FS18">IF($DU18="","", INDEX(#REF!,MATCH(CONCATENATE('Respuestas de formulario 1.1'!$B18,$DT18),#REF!,0),MATCH('Respuestas de formulario 1.1'!FS$1,#REF!,0)))</f>
        <v/>
      </c>
      <c r="FT18" s="56" t="str">
        <f t="array" ref="FT18">IF($DU18="","", INDEX(#REF!,MATCH(CONCATENATE('Respuestas de formulario 1.1'!$B18,$DT18),#REF!,0),MATCH('Respuestas de formulario 1.1'!FT$1,#REF!,0)))</f>
        <v/>
      </c>
      <c r="FU18" s="56" t="str">
        <f t="array" ref="FU18">IF($DU18="","", INDEX(#REF!,MATCH(CONCATENATE('Respuestas de formulario 1.1'!$B18,$DT18),#REF!,0),MATCH('Respuestas de formulario 1.1'!FU$1,#REF!,0)))</f>
        <v/>
      </c>
      <c r="FV18" s="56" t="str">
        <f t="array" ref="FV18">IF($DU18="","", INDEX(#REF!,MATCH(CONCATENATE('Respuestas de formulario 1.1'!$B18,$DT18),#REF!,0),MATCH('Respuestas de formulario 1.1'!FV$1,#REF!,0)))</f>
        <v/>
      </c>
      <c r="FW18" s="56" t="str">
        <f t="array" ref="FW18">IF($DU18="","", INDEX(#REF!,MATCH(CONCATENATE('Respuestas de formulario 1.1'!$B18,$DT18),#REF!,0),MATCH('Respuestas de formulario 1.1'!FW$1,#REF!,0)))</f>
        <v/>
      </c>
      <c r="FX18" s="56" t="str">
        <f t="array" ref="FX18">IF($DU18="","", INDEX(#REF!,MATCH(CONCATENATE('Respuestas de formulario 1.1'!$B18,$DT18),#REF!,0),MATCH('Respuestas de formulario 1.1'!FX$1,#REF!,0)))</f>
        <v/>
      </c>
      <c r="FY18" s="45" t="str">
        <f t="array" ref="FY18">IF($DU18="","", INDEX(#REF!,MATCH(CONCATENATE('Respuestas de formulario 1.1'!$B18,$DT18),#REF!,0),MATCH('Respuestas de formulario 1.1'!FY$1,#REF!,0)))</f>
        <v/>
      </c>
      <c r="FZ18" s="3" t="s">
        <v>2860</v>
      </c>
      <c r="GA18" s="1" t="s">
        <v>3118</v>
      </c>
      <c r="GB18" s="5" t="s">
        <v>3119</v>
      </c>
      <c r="GC18" s="4" t="str">
        <f>HYPERLINK("https://drive.google.com/file/d/1L8OcV0M4DP2h41tgxrWX9LrFORZ-zAln/view?usp=drivesdk","SANCHEZ  TREJO  YARELI  Formato de reinscripción y pago 2022-2")</f>
        <v>SANCHEZ  TREJO  YARELI  Formato de reinscripción y pago 2022-2</v>
      </c>
      <c r="GD18" s="1" t="s">
        <v>3120</v>
      </c>
      <c r="GE18" s="1"/>
      <c r="GF18" s="1"/>
      <c r="GG18" s="1"/>
      <c r="GH18" s="1"/>
      <c r="GI18" s="1" t="s">
        <v>3121</v>
      </c>
      <c r="GJ18" s="5" t="s">
        <v>3122</v>
      </c>
      <c r="GK18" s="5" t="str">
        <f>HYPERLINK("https://drive.google.com/file/d/1O0MaPgXXzVTtRW9VstMUOTH-azqkzpOO/view?usp=drivesdk","SANCHEZ  TREJO  YARELI  Formato de reinscripción y pago 2022-2")</f>
        <v>SANCHEZ  TREJO  YARELI  Formato de reinscripción y pago 2022-2</v>
      </c>
      <c r="GL18" s="1" t="s">
        <v>3123</v>
      </c>
    </row>
    <row r="19" spans="1:194" ht="15.75" customHeight="1" x14ac:dyDescent="0.2">
      <c r="A19" s="2">
        <v>45139.033047037039</v>
      </c>
      <c r="B19" s="1" t="s">
        <v>26</v>
      </c>
      <c r="C19" s="1" t="s">
        <v>531</v>
      </c>
      <c r="D19" s="1" t="s">
        <v>1518</v>
      </c>
      <c r="E19" s="1" t="s">
        <v>3124</v>
      </c>
      <c r="F19" s="1" t="s">
        <v>223</v>
      </c>
      <c r="G19" s="5" t="s">
        <v>3125</v>
      </c>
      <c r="H19" s="41">
        <v>39028</v>
      </c>
      <c r="I19" s="1">
        <v>16</v>
      </c>
      <c r="J19" s="1">
        <v>5536553162</v>
      </c>
      <c r="K19" s="1">
        <v>5563153010</v>
      </c>
      <c r="L19" s="1" t="s">
        <v>1519</v>
      </c>
      <c r="M19" s="1">
        <v>213090605704</v>
      </c>
      <c r="N19" s="1" t="s">
        <v>1108</v>
      </c>
      <c r="O19" s="1" t="s">
        <v>247</v>
      </c>
      <c r="P19" s="1" t="s">
        <v>226</v>
      </c>
      <c r="Q19" s="1" t="s">
        <v>227</v>
      </c>
      <c r="R19" s="1" t="s">
        <v>236</v>
      </c>
      <c r="S19" s="1" t="s">
        <v>228</v>
      </c>
      <c r="T19" s="1" t="s">
        <v>345</v>
      </c>
      <c r="U19" s="1" t="s">
        <v>309</v>
      </c>
      <c r="V19" s="1" t="s">
        <v>228</v>
      </c>
      <c r="W19" s="1" t="s">
        <v>3126</v>
      </c>
      <c r="X19" s="1" t="s">
        <v>309</v>
      </c>
      <c r="Y19" s="1" t="s">
        <v>1521</v>
      </c>
      <c r="Z19" s="1" t="s">
        <v>231</v>
      </c>
      <c r="AA19" s="1">
        <v>56370</v>
      </c>
      <c r="AB19" s="1">
        <v>31</v>
      </c>
      <c r="AC19" s="1">
        <v>11</v>
      </c>
      <c r="AD19" s="1" t="s">
        <v>3127</v>
      </c>
      <c r="AE19" s="1" t="s">
        <v>3128</v>
      </c>
      <c r="AF19" s="1" t="s">
        <v>445</v>
      </c>
      <c r="AG19" s="1">
        <v>50</v>
      </c>
      <c r="AH19" s="5" t="s">
        <v>3129</v>
      </c>
      <c r="AI19" s="1">
        <v>5587605470</v>
      </c>
      <c r="AJ19" s="1">
        <v>5563153010</v>
      </c>
      <c r="AK19" s="1" t="s">
        <v>3130</v>
      </c>
      <c r="AL19" s="1" t="s">
        <v>627</v>
      </c>
      <c r="AM19" s="1" t="s">
        <v>504</v>
      </c>
      <c r="AN19" s="1" t="s">
        <v>3131</v>
      </c>
      <c r="AO19" s="1" t="s">
        <v>435</v>
      </c>
      <c r="AP19" s="1">
        <v>56</v>
      </c>
      <c r="AQ19" s="1" t="s">
        <v>512</v>
      </c>
      <c r="AR19" s="42">
        <v>0.29166666666424135</v>
      </c>
      <c r="AS19" s="42">
        <v>0.29166666666424135</v>
      </c>
      <c r="AT19" s="1">
        <v>5532509717</v>
      </c>
      <c r="AU19" s="1">
        <v>5563153010</v>
      </c>
      <c r="AV19" s="1" t="s">
        <v>3132</v>
      </c>
      <c r="AW19" s="5" t="s">
        <v>3133</v>
      </c>
      <c r="AX19" s="1" t="s">
        <v>1518</v>
      </c>
      <c r="AY19" s="1" t="s">
        <v>1326</v>
      </c>
      <c r="AZ19" s="1" t="s">
        <v>1520</v>
      </c>
      <c r="BA19" s="1" t="s">
        <v>265</v>
      </c>
      <c r="BB19" s="1">
        <v>50</v>
      </c>
      <c r="BC19" s="1" t="s">
        <v>233</v>
      </c>
      <c r="BD19" s="43">
        <v>0.16666666666424135</v>
      </c>
      <c r="BE19" s="43">
        <v>0.375</v>
      </c>
      <c r="BF19" s="1">
        <v>5587605470</v>
      </c>
      <c r="BG19" s="1">
        <v>5563153010</v>
      </c>
      <c r="BH19" s="1" t="s">
        <v>3130</v>
      </c>
      <c r="BI19" s="5" t="s">
        <v>3134</v>
      </c>
      <c r="BJ19" s="1" t="s">
        <v>236</v>
      </c>
      <c r="BK19" s="1" t="s">
        <v>297</v>
      </c>
      <c r="BL19" s="1">
        <v>150</v>
      </c>
      <c r="BM19" s="1">
        <v>45</v>
      </c>
      <c r="BN19" s="1" t="s">
        <v>228</v>
      </c>
      <c r="BO19" s="1" t="s">
        <v>228</v>
      </c>
      <c r="BQ19" s="1" t="s">
        <v>228</v>
      </c>
      <c r="BR19" s="1" t="s">
        <v>237</v>
      </c>
      <c r="BS19" s="1" t="s">
        <v>228</v>
      </c>
      <c r="BT19" s="1" t="s">
        <v>237</v>
      </c>
      <c r="BU19" s="1" t="s">
        <v>228</v>
      </c>
      <c r="BW19" s="1" t="s">
        <v>238</v>
      </c>
      <c r="BX19" s="1">
        <v>1</v>
      </c>
      <c r="BY19" s="1">
        <v>235</v>
      </c>
      <c r="BZ19" s="1" t="s">
        <v>3135</v>
      </c>
      <c r="CA19" s="1" t="s">
        <v>237</v>
      </c>
      <c r="CB19" s="1" t="s">
        <v>297</v>
      </c>
      <c r="CC19" s="1" t="s">
        <v>297</v>
      </c>
      <c r="CD19" s="1">
        <v>0</v>
      </c>
      <c r="CE19" s="1">
        <v>0</v>
      </c>
      <c r="CF19" s="1" t="s">
        <v>236</v>
      </c>
      <c r="CG19" s="1" t="s">
        <v>242</v>
      </c>
      <c r="CH19" s="1" t="s">
        <v>243</v>
      </c>
      <c r="CI19" s="1" t="s">
        <v>243</v>
      </c>
      <c r="CJ19" s="1" t="s">
        <v>2848</v>
      </c>
      <c r="CL19" s="5" t="s">
        <v>3136</v>
      </c>
      <c r="CM19" s="1">
        <v>12210647637</v>
      </c>
      <c r="CN19" s="1" t="s">
        <v>228</v>
      </c>
      <c r="CQ19" s="42">
        <v>0.16666666666424135</v>
      </c>
      <c r="CR19" s="42">
        <v>0.375</v>
      </c>
      <c r="CT19" s="45" t="str">
        <f t="array" ref="CT19">IFERROR(INDEX(#REF!,MATCH('Respuestas de formulario 1.1'!$B19,#REF!,0),MATCH('Respuestas de formulario 1.1'!CT$1,#REF!,0)),"")</f>
        <v/>
      </c>
      <c r="CU19" s="56" t="str">
        <f t="array" ref="CU19">IFERROR(INDEX(#REF!,MATCH('Respuestas de formulario 1.1'!$B19,#REF!,0),MATCH('Respuestas de formulario 1.1'!CU$1,#REF!,0)),"")</f>
        <v/>
      </c>
      <c r="CV19" s="56" t="str">
        <f t="array" ref="CV19">IFERROR(INDEX(#REF!,MATCH('Respuestas de formulario 1.1'!$B19,#REF!,0),MATCH('Respuestas de formulario 1.1'!CV$1,#REF!,0)),"")</f>
        <v/>
      </c>
      <c r="CW19" s="56" t="str">
        <f t="array" ref="CW19">IFERROR(INDEX(#REF!,MATCH('Respuestas de formulario 1.1'!$B19,#REF!,0),MATCH('Respuestas de formulario 1.1'!CW$1,#REF!,0)),"")</f>
        <v/>
      </c>
      <c r="CX19" s="56" t="str">
        <f t="array" ref="CX19">IFERROR(INDEX(#REF!,MATCH('Respuestas de formulario 1.1'!$B19,#REF!,0),MATCH('Respuestas de formulario 1.1'!CX$1,#REF!,0)),"")</f>
        <v/>
      </c>
      <c r="CY19" s="56" t="str">
        <f t="array" ref="CY19">IFERROR(INDEX(#REF!,MATCH('Respuestas de formulario 1.1'!$B19,#REF!,0),MATCH('Respuestas de formulario 1.1'!CY$1,#REF!,0)),"")</f>
        <v/>
      </c>
      <c r="CZ19" s="57" t="str">
        <f t="array" ref="CZ19">IFERROR(INDEX(#REF!,MATCH('Respuestas de formulario 1.1'!$B19,#REF!,0),MATCH('Respuestas de formulario 1.1'!CZ$1,#REF!,0)),"")</f>
        <v/>
      </c>
      <c r="DA19" s="45" t="e">
        <f t="array" ref="DA19">INDEX(#REF!,MATCH('Respuestas de formulario 1.1'!$B19,#REF!,0),MATCH('Respuestas de formulario 1.1'!DA$1,#REF!,0))</f>
        <v>#REF!</v>
      </c>
      <c r="DB19" s="45" t="e">
        <f t="array" ref="DB19">INDEX(#REF!,MATCH('Respuestas de formulario 1.1'!$B19,#REF!,0),MATCH('Respuestas de formulario 1.1'!DB$1,#REF!,0))</f>
        <v>#REF!</v>
      </c>
      <c r="DC19" s="45" t="e">
        <f t="array" ref="DC19">INDEX(#REF!,MATCH('Respuestas de formulario 1.1'!$B19,#REF!,0),MATCH('Respuestas de formulario 1.1'!DC$1,#REF!,0))</f>
        <v>#REF!</v>
      </c>
      <c r="DD19" s="45" t="e">
        <f t="array" ref="DD19">INDEX(#REF!,MATCH('Respuestas de formulario 1.1'!$B19,#REF!,0),MATCH('Respuestas de formulario 1.1'!DD$1,#REF!,0))</f>
        <v>#REF!</v>
      </c>
      <c r="DE19" s="45" t="e">
        <f t="array" ref="DE19">INDEX(#REF!,MATCH('Respuestas de formulario 1.1'!$B19,#REF!,0),MATCH('Respuestas de formulario 1.1'!DE$1,#REF!,0))</f>
        <v>#REF!</v>
      </c>
      <c r="DF19" s="45" t="e">
        <f t="array" ref="DF19">INDEX(#REF!,MATCH('Respuestas de formulario 1.1'!$B19,#REF!,0),MATCH('Respuestas de formulario 1.1'!DF$1,#REF!,0))</f>
        <v>#REF!</v>
      </c>
      <c r="DG19" s="45" t="e">
        <f t="array" ref="DG19">INDEX(#REF!,MATCH('Respuestas de formulario 1.1'!$B19,#REF!,0),MATCH('Respuestas de formulario 1.1'!DG$1,#REF!,0))</f>
        <v>#REF!</v>
      </c>
      <c r="DH19" s="45" t="e">
        <f t="array" ref="DH19">INDEX(#REF!,MATCH('Respuestas de formulario 1.1'!$B19,#REF!,0),MATCH('Respuestas de formulario 1.1'!DH$1,#REF!,0))</f>
        <v>#REF!</v>
      </c>
      <c r="DI19" s="48" t="e">
        <f>VLOOKUP(CONCATENATE($DF19," TUTO ",$DC19),#REF!,3,0)</f>
        <v>#REF!</v>
      </c>
      <c r="DJ19" s="48" t="e">
        <f t="array" ref="DJ19">IF('Respuestas de formulario 1.1'!A19="","",INDEX(#REF!,MATCH('Respuestas de formulario 1.1'!B19,#REF!,0),MATCH('Respuestas de formulario 1.1'!$DH$1,#REF!,0)))</f>
        <v>#REF!</v>
      </c>
      <c r="DK19" s="52" t="str">
        <f>CONCATENATE("http://doc.google.com/uc?id=",MID('Respuestas de formulario 1.1'!G19,34,33))</f>
        <v>http://doc.google.com/uc?id=1vTJY08BHo6pGnofgTCNPB_neKZqJuB0u</v>
      </c>
      <c r="DL19" s="49" t="str">
        <f>CONCATENATE("http://doc.google.com/uc?id=",MID('Respuestas de formulario 1.1'!AH19,34,33))</f>
        <v>http://doc.google.com/uc?id=1s8kfj-UdxL3k40dDihKwivW4Kw0Yg1kN</v>
      </c>
      <c r="DM19" s="50" t="str">
        <f>CONCATENATE("http://doc.google.com/uc?id=",MID('Respuestas de formulario 1.1'!AW19,34,33))</f>
        <v>http://doc.google.com/uc?id=15G2IWyljjlXpGLIus6DInzcwGia-znTc</v>
      </c>
      <c r="DN19" s="53" t="str">
        <f>CONCATENATE("http://doc.google.com/uc?id=",MID('Respuestas de formulario 1.1'!$BI19,34,33))</f>
        <v>http://doc.google.com/uc?id=11lvkls76eLidtqR--C_3wCzi5Rs_R1JO</v>
      </c>
      <c r="DO19" s="45" t="str">
        <f>IFERROR(VLOOKUP(CONCATENATE('Respuestas de formulario 1.1'!$B19,MID('Respuestas de formulario 1.1'!DO$1,2,1)),#REF!,12,0),"")</f>
        <v/>
      </c>
      <c r="DP19" s="45" t="str">
        <f>IFERROR(VLOOKUP(CONCATENATE('Respuestas de formulario 1.1'!$B19,MID('Respuestas de formulario 1.1'!DP$1,2,1)),#REF!,12,0),"")</f>
        <v/>
      </c>
      <c r="DQ19" s="45" t="str">
        <f>IFERROR(VLOOKUP(CONCATENATE('Respuestas de formulario 1.1'!$B19,MID('Respuestas de formulario 1.1'!DQ$1,2,1)),#REF!,12,0),"")</f>
        <v/>
      </c>
      <c r="DR19" s="45" t="str">
        <f>IFERROR(VLOOKUP(CONCATENATE('Respuestas de formulario 1.1'!$B19,MID('Respuestas de formulario 1.1'!DR$1,2,1)),#REF!,12,0),"")</f>
        <v/>
      </c>
      <c r="DS19" s="45" t="str">
        <f>IFERROR(VLOOKUP(CONCATENATE('Respuestas de formulario 1.1'!$B19,MID('Respuestas de formulario 1.1'!DS$1,2,1)),#REF!,12,0),"")</f>
        <v/>
      </c>
      <c r="DT19" s="45" t="str">
        <f>IFERROR(VLOOKUP(CONCATENATE('Respuestas de formulario 1.1'!$B19,MID('Respuestas de formulario 1.1'!DT$1,2,1)),#REF!,12,0),"")</f>
        <v/>
      </c>
      <c r="DU19" s="45" t="str">
        <f>IFERROR(VLOOKUP(CONCATENATE('Respuestas de formulario 1.1'!$B19,MID('Respuestas de formulario 1.1'!DU$1,2,1)),#REF!,12,0),"")</f>
        <v/>
      </c>
      <c r="DV19" s="45" t="str">
        <f>IFERROR(VLOOKUP(CONCATENATE('Respuestas de formulario 1.1'!$B19,MID('Respuestas de formulario 1.1'!DV$1,2,1)),#REF!,12,0),"")</f>
        <v/>
      </c>
      <c r="DW19" s="45" t="str">
        <f>IFERROR(VLOOKUP(CONCATENATE('Respuestas de formulario 1.1'!$B19,MID('Respuestas de formulario 1.1'!DW$1,2,1)),#REF!,12,0),"")</f>
        <v/>
      </c>
      <c r="DX19" s="45" t="str">
        <f>IFERROR(VLOOKUP(CONCATENATE('Respuestas de formulario 1.1'!$B19,MID('Respuestas de formulario 1.1'!DX$1,2,1)),#REF!,12,0),"")</f>
        <v/>
      </c>
      <c r="DY19" s="45" t="str">
        <f>IFERROR(VLOOKUP(CONCATENATE('Respuestas de formulario 1.1'!$B19,MID('Respuestas de formulario 1.1'!DY$1,2,1)),#REF!,12,0),"")</f>
        <v/>
      </c>
      <c r="DZ19" s="45" t="str">
        <f>IFERROR(VLOOKUP(CONCATENATE('Respuestas de formulario 1.1'!$B19,MID('Respuestas de formulario 1.1'!DZ$1,2,1)),#REF!,12,0),"")</f>
        <v/>
      </c>
      <c r="EA19" s="45" t="str">
        <f>IFERROR(VLOOKUP(CONCATENATE('Respuestas de formulario 1.1'!$B19,MID('Respuestas de formulario 1.1'!EA$1,2,1)),#REF!,12,0),"")</f>
        <v/>
      </c>
      <c r="EB19" s="45" t="str">
        <f>IFERROR(VLOOKUP(CONCATENATE('Respuestas de formulario 1.1'!$B19,MID('Respuestas de formulario 1.1'!EB$1,2,1)),#REF!,12,0),"")</f>
        <v/>
      </c>
      <c r="EC19" s="45" t="str">
        <f>IFERROR(VLOOKUP(CONCATENATE('Respuestas de formulario 1.1'!$B19,MID('Respuestas de formulario 1.1'!EC$1,2,1)),#REF!,12,0),"")</f>
        <v/>
      </c>
      <c r="ED19" s="45" t="str">
        <f>IFERROR(VLOOKUP(CONCATENATE('Respuestas de formulario 1.1'!$B19,MID('Respuestas de formulario 1.1'!ED$1,2,1)),#REF!,12,0),"")</f>
        <v/>
      </c>
      <c r="EE19" s="45" t="str">
        <f>IFERROR(VLOOKUP(CONCATENATE('Respuestas de formulario 1.1'!$B19,MID('Respuestas de formulario 1.1'!EE$1,2,1)),#REF!,12,0),"")</f>
        <v/>
      </c>
      <c r="EF19" s="45" t="str">
        <f>IFERROR(VLOOKUP(CONCATENATE('Respuestas de formulario 1.1'!$B19,MID('Respuestas de formulario 1.1'!EF$1,2,1)),#REF!,12,0),"")</f>
        <v/>
      </c>
      <c r="EG19" s="45" t="str">
        <f>IFERROR(VLOOKUP(CONCATENATE('Respuestas de formulario 1.1'!$B19,MID('Respuestas de formulario 1.1'!EG$1,2,1)),#REF!,12,0),"")</f>
        <v/>
      </c>
      <c r="EH19" s="45" t="str">
        <f>IFERROR(VLOOKUP(CONCATENATE('Respuestas de formulario 1.1'!$B19,MID('Respuestas de formulario 1.1'!EH$1,2,1)),#REF!,12,0),"")</f>
        <v/>
      </c>
      <c r="EI19" s="45" t="str">
        <f>IFERROR(VLOOKUP(CONCATENATE('Respuestas de formulario 1.1'!$B19,MID('Respuestas de formulario 1.1'!EI$1,2,1)),#REF!,12,0),"")</f>
        <v/>
      </c>
      <c r="EJ19" s="45" t="str">
        <f t="array" ref="EJ19">IF(DO19="","", INDEX(#REF!,MATCH(CONCATENATE('Respuestas de formulario 1.1'!$B19,DO19),#REF!,0),MATCH('Respuestas de formulario 1.1'!EJ$1,#REF!,0)))</f>
        <v/>
      </c>
      <c r="EK19" s="56" t="str">
        <f t="array" ref="EK19">IF(DP19="","", INDEX(#REF!,MATCH(CONCATENATE('Respuestas de formulario 1.1'!$B19,DP19),#REF!,0),MATCH('Respuestas de formulario 1.1'!EK$1,#REF!,0)))</f>
        <v/>
      </c>
      <c r="EL19" s="56" t="str">
        <f t="array" ref="EL19">IF(DQ19="","", INDEX(#REF!,MATCH(CONCATENATE('Respuestas de formulario 1.1'!$B19,DQ19),#REF!,0),MATCH('Respuestas de formulario 1.1'!EL$1,#REF!,0)))</f>
        <v/>
      </c>
      <c r="EM19" s="56" t="str">
        <f t="array" ref="EM19">IF(DR19="","", INDEX(#REF!,MATCH(CONCATENATE('Respuestas de formulario 1.1'!$B19,DR19),#REF!,0),MATCH('Respuestas de formulario 1.1'!EM$1,#REF!,0)))</f>
        <v/>
      </c>
      <c r="EN19" s="56" t="str">
        <f t="array" ref="EN19">IF(DS19="","", INDEX(#REF!,MATCH(CONCATENATE('Respuestas de formulario 1.1'!$B19,DS19),#REF!,0),MATCH('Respuestas de formulario 1.1'!EN$1,#REF!,0)))</f>
        <v/>
      </c>
      <c r="EO19" s="56" t="str">
        <f t="array" ref="EO19">IF(DT19="","", INDEX(#REF!,MATCH(CONCATENATE('Respuestas de formulario 1.1'!$B19,DT19),#REF!,0),MATCH('Respuestas de formulario 1.1'!EO$1,#REF!,0)))</f>
        <v/>
      </c>
      <c r="EP19" s="45" t="str">
        <f t="array" ref="EP19">IF(DU19="","", INDEX(#REF!,MATCH(CONCATENATE('Respuestas de formulario 1.1'!$B19,DU19),#REF!,0),MATCH('Respuestas de formulario 1.1'!EP$1,#REF!,0)))</f>
        <v/>
      </c>
      <c r="EQ19" s="45" t="str">
        <f t="array" ref="EQ19">IF(DP19="","", INDEX(#REF!,MATCH(CONCATENATE('Respuestas de formulario 1.1'!$B19,DP19),#REF!,0),MATCH('Respuestas de formulario 1.1'!EQ$1,#REF!,0)))</f>
        <v/>
      </c>
      <c r="ER19" s="56" t="str">
        <f t="array" ref="ER19">IF(DQ19="","", INDEX(#REF!,MATCH(CONCATENATE('Respuestas de formulario 1.1'!$B19,DQ19),#REF!,0),MATCH('Respuestas de formulario 1.1'!ER$1,#REF!,0)))</f>
        <v/>
      </c>
      <c r="ES19" s="56" t="str">
        <f t="array" ref="ES19">IF(DR19="","", INDEX(#REF!,MATCH(CONCATENATE('Respuestas de formulario 1.1'!$B19,DR19),#REF!,0),MATCH('Respuestas de formulario 1.1'!ES$1,#REF!,0)))</f>
        <v/>
      </c>
      <c r="ET19" s="56" t="str">
        <f t="array" ref="ET19">IF(DS19="","", INDEX(#REF!,MATCH(CONCATENATE('Respuestas de formulario 1.1'!$B19,DS19),#REF!,0),MATCH('Respuestas de formulario 1.1'!ET$1,#REF!,0)))</f>
        <v/>
      </c>
      <c r="EU19" s="56" t="str">
        <f t="array" ref="EU19">IF(DT19="","", INDEX(#REF!,MATCH(CONCATENATE('Respuestas de formulario 1.1'!$B19,DT19),#REF!,0),MATCH('Respuestas de formulario 1.1'!EU$1,#REF!,0)))</f>
        <v/>
      </c>
      <c r="EV19" s="56" t="str">
        <f t="array" ref="EV19">IF(DU19="","", INDEX(#REF!,MATCH(CONCATENATE('Respuestas de formulario 1.1'!$B19,DU19),#REF!,0),MATCH('Respuestas de formulario 1.1'!EV$1,#REF!,0)))</f>
        <v/>
      </c>
      <c r="EW19" s="45" t="str">
        <f t="array" ref="EW19">IF(DV19="","", INDEX(#REF!,MATCH(CONCATENATE('Respuestas de formulario 1.1'!$B19,DV19),#REF!,0),MATCH('Respuestas de formulario 1.1'!EW$1,#REF!,0)))</f>
        <v/>
      </c>
      <c r="EX19" s="45" t="str">
        <f t="array" ref="EX19">IF($DQ19="","", INDEX(#REF!,MATCH(CONCATENATE('Respuestas de formulario 1.1'!$B19,$DQ19),#REF!,0),MATCH('Respuestas de formulario 1.1'!EX$1,#REF!,0)))</f>
        <v/>
      </c>
      <c r="EY19" s="56" t="str">
        <f t="array" ref="EY19">IF($DQ19="","", INDEX(#REF!,MATCH(CONCATENATE('Respuestas de formulario 1.1'!$B19,$DQ19),#REF!,0),MATCH('Respuestas de formulario 1.1'!EY$1,#REF!,0)))</f>
        <v/>
      </c>
      <c r="EZ19" s="56" t="str">
        <f t="array" ref="EZ19">IF($DQ19="","", INDEX(#REF!,MATCH(CONCATENATE('Respuestas de formulario 1.1'!$B19,$DQ19),#REF!,0),MATCH('Respuestas de formulario 1.1'!EZ$1,#REF!,0)))</f>
        <v/>
      </c>
      <c r="FA19" s="56" t="str">
        <f t="array" ref="FA19">IF($DQ19="","", INDEX(#REF!,MATCH(CONCATENATE('Respuestas de formulario 1.1'!$B19,$DQ19),#REF!,0),MATCH('Respuestas de formulario 1.1'!FA$1,#REF!,0)))</f>
        <v/>
      </c>
      <c r="FB19" s="56" t="str">
        <f t="array" ref="FB19">IF($DQ19="","", INDEX(#REF!,MATCH(CONCATENATE('Respuestas de formulario 1.1'!$B19,$DQ19),#REF!,0),MATCH('Respuestas de formulario 1.1'!FB$1,#REF!,0)))</f>
        <v/>
      </c>
      <c r="FC19" s="56" t="str">
        <f t="array" ref="FC19">IF($DQ19="","", INDEX(#REF!,MATCH(CONCATENATE('Respuestas de formulario 1.1'!$B19,$DQ19),#REF!,0),MATCH('Respuestas de formulario 1.1'!FC$1,#REF!,0)))</f>
        <v/>
      </c>
      <c r="FD19" s="45" t="str">
        <f t="array" ref="FD19">IF($DQ19="","", INDEX(#REF!,MATCH(CONCATENATE('Respuestas de formulario 1.1'!$B19,$DQ19),#REF!,0),MATCH('Respuestas de formulario 1.1'!FD$1,#REF!,0)))</f>
        <v/>
      </c>
      <c r="FE19" s="45" t="str">
        <f t="array" ref="FE19">IF($DR19="","", INDEX(#REF!,MATCH(CONCATENATE(#REF!,$DR19),#REF!,0),MATCH(#REF!,#REF!,0)))</f>
        <v/>
      </c>
      <c r="FF19" s="56" t="str">
        <f t="array" ref="FF19">IF($DR19="","", INDEX(#REF!,MATCH(CONCATENATE(#REF!,$DR19),#REF!,0),MATCH(#REF!,#REF!,0)))</f>
        <v/>
      </c>
      <c r="FG19" s="56" t="str">
        <f t="array" ref="FG19">IF($DR19="","", INDEX(#REF!,MATCH(CONCATENATE(#REF!,$DR19),#REF!,0),MATCH(#REF!,#REF!,0)))</f>
        <v/>
      </c>
      <c r="FH19" s="56" t="str">
        <f t="array" ref="FH19">IF($DR19="","", INDEX(#REF!,MATCH(CONCATENATE(#REF!,$DR19),#REF!,0),MATCH(#REF!,#REF!,0)))</f>
        <v/>
      </c>
      <c r="FI19" s="56" t="str">
        <f t="array" ref="FI19">IF($DR19="","", INDEX(#REF!,MATCH(CONCATENATE(#REF!,$DR19),#REF!,0),MATCH(#REF!,#REF!,0)))</f>
        <v/>
      </c>
      <c r="FJ19" s="56" t="str">
        <f t="array" ref="FJ19">IF($DR19="","", INDEX(#REF!,MATCH(CONCATENATE(#REF!,$DR19),#REF!,0),MATCH(#REF!,#REF!,0)))</f>
        <v/>
      </c>
      <c r="FK19" s="45" t="str">
        <f t="array" ref="FK19">IF($DR19="","", INDEX(#REF!,MATCH(CONCATENATE(#REF!,$DR19),#REF!,0),MATCH(#REF!,#REF!,0)))</f>
        <v/>
      </c>
      <c r="FL19" s="45" t="str">
        <f t="array" ref="FL19">IF($DT19="","", INDEX(#REF!,MATCH(CONCATENATE('Respuestas de formulario 1.1'!$B19,$DS19),#REF!,0),MATCH('Respuestas de formulario 1.1'!FL$1,#REF!,0)))</f>
        <v/>
      </c>
      <c r="FM19" s="56" t="str">
        <f t="array" ref="FM19">IF($DT19="","", INDEX(#REF!,MATCH(CONCATENATE('Respuestas de formulario 1.1'!$B19,$DS19),#REF!,0),MATCH('Respuestas de formulario 1.1'!FM$1,#REF!,0)))</f>
        <v/>
      </c>
      <c r="FN19" s="56" t="str">
        <f t="array" ref="FN19">IF($DT19="","", INDEX(#REF!,MATCH(CONCATENATE('Respuestas de formulario 1.1'!$B19,$DS19),#REF!,0),MATCH('Respuestas de formulario 1.1'!FN$1,#REF!,0)))</f>
        <v/>
      </c>
      <c r="FO19" s="56" t="str">
        <f t="array" ref="FO19">IF($DT19="","", INDEX(#REF!,MATCH(CONCATENATE('Respuestas de formulario 1.1'!$B19,$DS19),#REF!,0),MATCH('Respuestas de formulario 1.1'!FO$1,#REF!,0)))</f>
        <v/>
      </c>
      <c r="FP19" s="56" t="str">
        <f t="array" ref="FP19">IF($DT19="","", INDEX(#REF!,MATCH(CONCATENATE('Respuestas de formulario 1.1'!$B19,$DS19),#REF!,0),MATCH('Respuestas de formulario 1.1'!FP$1,#REF!,0)))</f>
        <v/>
      </c>
      <c r="FQ19" s="56" t="str">
        <f t="array" ref="FQ19">IF($DT19="","", INDEX(#REF!,MATCH(CONCATENATE('Respuestas de formulario 1.1'!$B19,$DS19),#REF!,0),MATCH('Respuestas de formulario 1.1'!FQ$1,#REF!,0)))</f>
        <v/>
      </c>
      <c r="FR19" s="45" t="str">
        <f t="array" ref="FR19">IF($DT19="","", INDEX(#REF!,MATCH(CONCATENATE('Respuestas de formulario 1.1'!$B19,$DS19),#REF!,0),MATCH('Respuestas de formulario 1.1'!FR$1,#REF!,0)))</f>
        <v/>
      </c>
      <c r="FS19" s="45" t="str">
        <f t="array" ref="FS19">IF($DU19="","", INDEX(#REF!,MATCH(CONCATENATE('Respuestas de formulario 1.1'!$B19,$DT19),#REF!,0),MATCH('Respuestas de formulario 1.1'!FS$1,#REF!,0)))</f>
        <v/>
      </c>
      <c r="FT19" s="56" t="str">
        <f t="array" ref="FT19">IF($DU19="","", INDEX(#REF!,MATCH(CONCATENATE('Respuestas de formulario 1.1'!$B19,$DT19),#REF!,0),MATCH('Respuestas de formulario 1.1'!FT$1,#REF!,0)))</f>
        <v/>
      </c>
      <c r="FU19" s="56" t="str">
        <f t="array" ref="FU19">IF($DU19="","", INDEX(#REF!,MATCH(CONCATENATE('Respuestas de formulario 1.1'!$B19,$DT19),#REF!,0),MATCH('Respuestas de formulario 1.1'!FU$1,#REF!,0)))</f>
        <v/>
      </c>
      <c r="FV19" s="56" t="str">
        <f t="array" ref="FV19">IF($DU19="","", INDEX(#REF!,MATCH(CONCATENATE('Respuestas de formulario 1.1'!$B19,$DT19),#REF!,0),MATCH('Respuestas de formulario 1.1'!FV$1,#REF!,0)))</f>
        <v/>
      </c>
      <c r="FW19" s="56" t="str">
        <f t="array" ref="FW19">IF($DU19="","", INDEX(#REF!,MATCH(CONCATENATE('Respuestas de formulario 1.1'!$B19,$DT19),#REF!,0),MATCH('Respuestas de formulario 1.1'!FW$1,#REF!,0)))</f>
        <v/>
      </c>
      <c r="FX19" s="56" t="str">
        <f t="array" ref="FX19">IF($DU19="","", INDEX(#REF!,MATCH(CONCATENATE('Respuestas de formulario 1.1'!$B19,$DT19),#REF!,0),MATCH('Respuestas de formulario 1.1'!FX$1,#REF!,0)))</f>
        <v/>
      </c>
      <c r="FY19" s="45" t="str">
        <f t="array" ref="FY19">IF($DU19="","", INDEX(#REF!,MATCH(CONCATENATE('Respuestas de formulario 1.1'!$B19,$DT19),#REF!,0),MATCH('Respuestas de formulario 1.1'!FY$1,#REF!,0)))</f>
        <v/>
      </c>
      <c r="FZ19" s="3" t="s">
        <v>2860</v>
      </c>
      <c r="GA19" s="1" t="s">
        <v>3137</v>
      </c>
      <c r="GB19" s="5" t="s">
        <v>3138</v>
      </c>
      <c r="GC19" s="4" t="str">
        <f>HYPERLINK("https://drive.google.com/file/d/19hg2cu0N8XfqNpfBK8vip2Z6qiKNucIs/view?usp=drivesdk","MEDINA BARAJAS  TANIA Formato de reinscripción y pago 2022-2")</f>
        <v>MEDINA BARAJAS  TANIA Formato de reinscripción y pago 2022-2</v>
      </c>
      <c r="GD19" s="1" t="s">
        <v>3139</v>
      </c>
      <c r="GE19" s="1"/>
      <c r="GF19" s="1"/>
      <c r="GG19" s="1"/>
      <c r="GH19" s="1"/>
      <c r="GI19" s="1" t="s">
        <v>3140</v>
      </c>
      <c r="GJ19" s="5" t="s">
        <v>3141</v>
      </c>
      <c r="GK19" s="5" t="str">
        <f>HYPERLINK("https://drive.google.com/file/d/1AqccRkIh6vRbNxvAXftMkZEoQ6nt7Vm6/view?usp=drivesdk","MEDINA BARAJAS  TANIA Formato de reinscripción y pago 2022-2")</f>
        <v>MEDINA BARAJAS  TANIA Formato de reinscripción y pago 2022-2</v>
      </c>
      <c r="GL19" s="1" t="s">
        <v>3142</v>
      </c>
    </row>
    <row r="20" spans="1:194" ht="15.75" customHeight="1" x14ac:dyDescent="0.2">
      <c r="A20" s="2">
        <v>45139.033650370373</v>
      </c>
      <c r="B20" s="1" t="s">
        <v>2116</v>
      </c>
      <c r="C20" s="1" t="s">
        <v>859</v>
      </c>
      <c r="D20" s="1" t="s">
        <v>2117</v>
      </c>
      <c r="E20" s="1" t="s">
        <v>3143</v>
      </c>
      <c r="F20" s="1" t="s">
        <v>223</v>
      </c>
      <c r="G20" s="5" t="s">
        <v>3144</v>
      </c>
      <c r="H20" s="41">
        <v>39098</v>
      </c>
      <c r="I20" s="1">
        <v>16</v>
      </c>
      <c r="J20" s="1">
        <v>5536763016</v>
      </c>
      <c r="K20" s="1">
        <v>5518035642</v>
      </c>
      <c r="L20" s="1" t="s">
        <v>2118</v>
      </c>
      <c r="M20" s="1">
        <v>223090600814</v>
      </c>
      <c r="N20" s="1" t="s">
        <v>562</v>
      </c>
      <c r="O20" s="1" t="s">
        <v>225</v>
      </c>
      <c r="P20" s="1" t="s">
        <v>226</v>
      </c>
      <c r="Q20" s="1" t="s">
        <v>315</v>
      </c>
      <c r="R20" s="1" t="s">
        <v>236</v>
      </c>
      <c r="S20" s="1" t="s">
        <v>228</v>
      </c>
      <c r="T20" s="1" t="s">
        <v>229</v>
      </c>
      <c r="U20" s="1" t="s">
        <v>393</v>
      </c>
      <c r="V20" s="1" t="s">
        <v>228</v>
      </c>
      <c r="W20" s="1" t="s">
        <v>2119</v>
      </c>
      <c r="X20" s="1" t="s">
        <v>249</v>
      </c>
      <c r="Y20" s="1" t="s">
        <v>1593</v>
      </c>
      <c r="Z20" s="1" t="s">
        <v>240</v>
      </c>
      <c r="AA20" s="44" t="s">
        <v>602</v>
      </c>
      <c r="AB20" s="1" t="s">
        <v>2120</v>
      </c>
      <c r="AC20" s="1" t="s">
        <v>1389</v>
      </c>
      <c r="AD20" s="1" t="s">
        <v>3145</v>
      </c>
      <c r="AE20" s="1" t="s">
        <v>2121</v>
      </c>
      <c r="AF20" s="1" t="s">
        <v>265</v>
      </c>
      <c r="AG20" s="1"/>
      <c r="AH20" s="5" t="s">
        <v>3146</v>
      </c>
      <c r="AI20" s="1">
        <v>5519601452</v>
      </c>
      <c r="AJ20" s="1">
        <v>5518035642</v>
      </c>
      <c r="AK20" s="1"/>
      <c r="AL20" s="1" t="s">
        <v>859</v>
      </c>
      <c r="AM20" s="1" t="s">
        <v>2117</v>
      </c>
      <c r="AN20" s="1" t="s">
        <v>3147</v>
      </c>
      <c r="AO20" s="1" t="s">
        <v>586</v>
      </c>
      <c r="AP20" s="1"/>
      <c r="AQ20" s="1" t="s">
        <v>2094</v>
      </c>
      <c r="AR20" s="42">
        <v>0.375</v>
      </c>
      <c r="AS20" s="42">
        <v>0.16666666666424135</v>
      </c>
      <c r="AT20" s="1">
        <v>5518035642</v>
      </c>
      <c r="AU20" s="1">
        <v>5519601452</v>
      </c>
      <c r="AV20" s="1"/>
      <c r="AW20" s="5" t="s">
        <v>3148</v>
      </c>
      <c r="AX20" s="1" t="s">
        <v>2117</v>
      </c>
      <c r="AY20" s="1" t="s">
        <v>252</v>
      </c>
      <c r="AZ20" s="1" t="s">
        <v>2124</v>
      </c>
      <c r="BA20" s="1" t="s">
        <v>265</v>
      </c>
      <c r="BB20" s="1">
        <v>45</v>
      </c>
      <c r="BC20" s="1" t="s">
        <v>2122</v>
      </c>
      <c r="BD20" s="43">
        <v>0.25</v>
      </c>
      <c r="BE20" s="43">
        <v>0.10416666666424135</v>
      </c>
      <c r="BF20" s="1">
        <v>5519601452</v>
      </c>
      <c r="BG20" s="1">
        <v>5518035642</v>
      </c>
      <c r="BH20" s="1"/>
      <c r="BI20" s="5" t="s">
        <v>3149</v>
      </c>
      <c r="BJ20" s="1" t="s">
        <v>236</v>
      </c>
      <c r="BL20" s="1">
        <v>1.62</v>
      </c>
      <c r="BM20" s="1">
        <v>50</v>
      </c>
      <c r="BN20" s="1" t="s">
        <v>228</v>
      </c>
      <c r="BO20" s="1" t="s">
        <v>228</v>
      </c>
      <c r="BQ20" s="1" t="s">
        <v>228</v>
      </c>
      <c r="BR20" s="1" t="s">
        <v>237</v>
      </c>
      <c r="BS20" s="1" t="s">
        <v>228</v>
      </c>
      <c r="BT20" s="1" t="s">
        <v>237</v>
      </c>
      <c r="BU20" s="1" t="s">
        <v>228</v>
      </c>
      <c r="BW20" s="1" t="s">
        <v>238</v>
      </c>
      <c r="BX20" s="1">
        <v>30</v>
      </c>
      <c r="BY20" s="1">
        <v>30</v>
      </c>
      <c r="BZ20" s="1" t="s">
        <v>2123</v>
      </c>
      <c r="CA20" s="1" t="s">
        <v>733</v>
      </c>
      <c r="CB20" s="1" t="s">
        <v>240</v>
      </c>
      <c r="CC20" s="1" t="s">
        <v>497</v>
      </c>
      <c r="CD20" s="1">
        <v>600</v>
      </c>
      <c r="CE20" s="1">
        <v>3000</v>
      </c>
      <c r="CF20" s="1" t="s">
        <v>236</v>
      </c>
      <c r="CG20" s="1" t="s">
        <v>242</v>
      </c>
      <c r="CH20" s="1" t="s">
        <v>243</v>
      </c>
      <c r="CI20" s="1" t="s">
        <v>243</v>
      </c>
      <c r="CJ20" s="1" t="s">
        <v>2848</v>
      </c>
      <c r="CL20" s="5" t="s">
        <v>3150</v>
      </c>
      <c r="CM20" s="1">
        <v>49210773666</v>
      </c>
      <c r="CN20" s="1" t="s">
        <v>228</v>
      </c>
      <c r="CQ20" s="42">
        <v>0.25</v>
      </c>
      <c r="CR20" s="42">
        <v>8.3333333335758653E-2</v>
      </c>
      <c r="CT20" s="45" t="str">
        <f t="array" ref="CT20">IFERROR(INDEX(#REF!,MATCH('Respuestas de formulario 1.1'!$B20,#REF!,0),MATCH('Respuestas de formulario 1.1'!CT$1,#REF!,0)),"")</f>
        <v/>
      </c>
      <c r="CU20" s="56" t="str">
        <f t="array" ref="CU20">IFERROR(INDEX(#REF!,MATCH('Respuestas de formulario 1.1'!$B20,#REF!,0),MATCH('Respuestas de formulario 1.1'!CU$1,#REF!,0)),"")</f>
        <v/>
      </c>
      <c r="CV20" s="56" t="str">
        <f t="array" ref="CV20">IFERROR(INDEX(#REF!,MATCH('Respuestas de formulario 1.1'!$B20,#REF!,0),MATCH('Respuestas de formulario 1.1'!CV$1,#REF!,0)),"")</f>
        <v/>
      </c>
      <c r="CW20" s="56" t="str">
        <f t="array" ref="CW20">IFERROR(INDEX(#REF!,MATCH('Respuestas de formulario 1.1'!$B20,#REF!,0),MATCH('Respuestas de formulario 1.1'!CW$1,#REF!,0)),"")</f>
        <v/>
      </c>
      <c r="CX20" s="56" t="str">
        <f t="array" ref="CX20">IFERROR(INDEX(#REF!,MATCH('Respuestas de formulario 1.1'!$B20,#REF!,0),MATCH('Respuestas de formulario 1.1'!CX$1,#REF!,0)),"")</f>
        <v/>
      </c>
      <c r="CY20" s="56" t="str">
        <f t="array" ref="CY20">IFERROR(INDEX(#REF!,MATCH('Respuestas de formulario 1.1'!$B20,#REF!,0),MATCH('Respuestas de formulario 1.1'!CY$1,#REF!,0)),"")</f>
        <v/>
      </c>
      <c r="CZ20" s="57" t="str">
        <f t="array" ref="CZ20">IFERROR(INDEX(#REF!,MATCH('Respuestas de formulario 1.1'!$B20,#REF!,0),MATCH('Respuestas de formulario 1.1'!CZ$1,#REF!,0)),"")</f>
        <v/>
      </c>
      <c r="DA20" s="45" t="e">
        <f t="array" ref="DA20">INDEX(#REF!,MATCH('Respuestas de formulario 1.1'!$B20,#REF!,0),MATCH('Respuestas de formulario 1.1'!DA$1,#REF!,0))</f>
        <v>#REF!</v>
      </c>
      <c r="DB20" s="45" t="e">
        <f t="array" ref="DB20">INDEX(#REF!,MATCH('Respuestas de formulario 1.1'!$B20,#REF!,0),MATCH('Respuestas de formulario 1.1'!DB$1,#REF!,0))</f>
        <v>#REF!</v>
      </c>
      <c r="DC20" s="45" t="e">
        <f t="array" ref="DC20">INDEX(#REF!,MATCH('Respuestas de formulario 1.1'!$B20,#REF!,0),MATCH('Respuestas de formulario 1.1'!DC$1,#REF!,0))</f>
        <v>#REF!</v>
      </c>
      <c r="DD20" s="45" t="e">
        <f t="array" ref="DD20">INDEX(#REF!,MATCH('Respuestas de formulario 1.1'!$B20,#REF!,0),MATCH('Respuestas de formulario 1.1'!DD$1,#REF!,0))</f>
        <v>#REF!</v>
      </c>
      <c r="DE20" s="45" t="e">
        <f t="array" ref="DE20">INDEX(#REF!,MATCH('Respuestas de formulario 1.1'!$B20,#REF!,0),MATCH('Respuestas de formulario 1.1'!DE$1,#REF!,0))</f>
        <v>#REF!</v>
      </c>
      <c r="DF20" s="45" t="e">
        <f t="array" ref="DF20">INDEX(#REF!,MATCH('Respuestas de formulario 1.1'!$B20,#REF!,0),MATCH('Respuestas de formulario 1.1'!DF$1,#REF!,0))</f>
        <v>#REF!</v>
      </c>
      <c r="DG20" s="45" t="e">
        <f t="array" ref="DG20">INDEX(#REF!,MATCH('Respuestas de formulario 1.1'!$B20,#REF!,0),MATCH('Respuestas de formulario 1.1'!DG$1,#REF!,0))</f>
        <v>#REF!</v>
      </c>
      <c r="DH20" s="45" t="e">
        <f t="array" ref="DH20">INDEX(#REF!,MATCH('Respuestas de formulario 1.1'!$B20,#REF!,0),MATCH('Respuestas de formulario 1.1'!DH$1,#REF!,0))</f>
        <v>#REF!</v>
      </c>
      <c r="DI20" s="48" t="e">
        <f>VLOOKUP(CONCATENATE($DF20," TUTO ",$DC20),#REF!,3,0)</f>
        <v>#REF!</v>
      </c>
      <c r="DJ20" s="48" t="e">
        <f t="array" ref="DJ20">IF('Respuestas de formulario 1.1'!A20="","",INDEX(#REF!,MATCH('Respuestas de formulario 1.1'!B20,#REF!,0),MATCH('Respuestas de formulario 1.1'!$DH$1,#REF!,0)))</f>
        <v>#REF!</v>
      </c>
      <c r="DK20" s="52" t="str">
        <f>CONCATENATE("http://doc.google.com/uc?id=",MID('Respuestas de formulario 1.1'!G20,34,33))</f>
        <v>http://doc.google.com/uc?id=1rQbfChOKmQVZOuE_GjR-k0YMVZnfSsWb</v>
      </c>
      <c r="DL20" s="49" t="str">
        <f>CONCATENATE("http://doc.google.com/uc?id=",MID('Respuestas de formulario 1.1'!AH20,34,33))</f>
        <v>http://doc.google.com/uc?id=1tROwPgmbMb2cuBSCsdNuzUbY8aNgjHnt</v>
      </c>
      <c r="DM20" s="50" t="str">
        <f>CONCATENATE("http://doc.google.com/uc?id=",MID('Respuestas de formulario 1.1'!AW20,34,33))</f>
        <v>http://doc.google.com/uc?id=1n_NuQRoSDt1wn0PxhGUAURJLmNqSIejd</v>
      </c>
      <c r="DN20" s="53" t="str">
        <f>CONCATENATE("http://doc.google.com/uc?id=",MID('Respuestas de formulario 1.1'!$BI20,34,33))</f>
        <v>http://doc.google.com/uc?id=1x_PBKmXLPPbwxFq-MSCmvwdmrzKliMK8</v>
      </c>
      <c r="DO20" s="45" t="str">
        <f>IFERROR(VLOOKUP(CONCATENATE('Respuestas de formulario 1.1'!$B20,MID('Respuestas de formulario 1.1'!DO$1,2,1)),#REF!,12,0),"")</f>
        <v/>
      </c>
      <c r="DP20" s="45" t="str">
        <f>IFERROR(VLOOKUP(CONCATENATE('Respuestas de formulario 1.1'!$B20,MID('Respuestas de formulario 1.1'!DP$1,2,1)),#REF!,12,0),"")</f>
        <v/>
      </c>
      <c r="DQ20" s="45" t="str">
        <f>IFERROR(VLOOKUP(CONCATENATE('Respuestas de formulario 1.1'!$B20,MID('Respuestas de formulario 1.1'!DQ$1,2,1)),#REF!,12,0),"")</f>
        <v/>
      </c>
      <c r="DR20" s="45" t="str">
        <f>IFERROR(VLOOKUP(CONCATENATE('Respuestas de formulario 1.1'!$B20,MID('Respuestas de formulario 1.1'!DR$1,2,1)),#REF!,12,0),"")</f>
        <v/>
      </c>
      <c r="DS20" s="45" t="str">
        <f>IFERROR(VLOOKUP(CONCATENATE('Respuestas de formulario 1.1'!$B20,MID('Respuestas de formulario 1.1'!DS$1,2,1)),#REF!,12,0),"")</f>
        <v/>
      </c>
      <c r="DT20" s="45" t="str">
        <f>IFERROR(VLOOKUP(CONCATENATE('Respuestas de formulario 1.1'!$B20,MID('Respuestas de formulario 1.1'!DT$1,2,1)),#REF!,12,0),"")</f>
        <v/>
      </c>
      <c r="DU20" s="45" t="str">
        <f>IFERROR(VLOOKUP(CONCATENATE('Respuestas de formulario 1.1'!$B20,MID('Respuestas de formulario 1.1'!DU$1,2,1)),#REF!,12,0),"")</f>
        <v/>
      </c>
      <c r="DV20" s="45" t="str">
        <f>IFERROR(VLOOKUP(CONCATENATE('Respuestas de formulario 1.1'!$B20,MID('Respuestas de formulario 1.1'!DV$1,2,1)),#REF!,12,0),"")</f>
        <v/>
      </c>
      <c r="DW20" s="45" t="str">
        <f>IFERROR(VLOOKUP(CONCATENATE('Respuestas de formulario 1.1'!$B20,MID('Respuestas de formulario 1.1'!DW$1,2,1)),#REF!,12,0),"")</f>
        <v/>
      </c>
      <c r="DX20" s="45" t="str">
        <f>IFERROR(VLOOKUP(CONCATENATE('Respuestas de formulario 1.1'!$B20,MID('Respuestas de formulario 1.1'!DX$1,2,1)),#REF!,12,0),"")</f>
        <v/>
      </c>
      <c r="DY20" s="45" t="str">
        <f>IFERROR(VLOOKUP(CONCATENATE('Respuestas de formulario 1.1'!$B20,MID('Respuestas de formulario 1.1'!DY$1,2,1)),#REF!,12,0),"")</f>
        <v/>
      </c>
      <c r="DZ20" s="45" t="str">
        <f>IFERROR(VLOOKUP(CONCATENATE('Respuestas de formulario 1.1'!$B20,MID('Respuestas de formulario 1.1'!DZ$1,2,1)),#REF!,12,0),"")</f>
        <v/>
      </c>
      <c r="EA20" s="45" t="str">
        <f>IFERROR(VLOOKUP(CONCATENATE('Respuestas de formulario 1.1'!$B20,MID('Respuestas de formulario 1.1'!EA$1,2,1)),#REF!,12,0),"")</f>
        <v/>
      </c>
      <c r="EB20" s="45" t="str">
        <f>IFERROR(VLOOKUP(CONCATENATE('Respuestas de formulario 1.1'!$B20,MID('Respuestas de formulario 1.1'!EB$1,2,1)),#REF!,12,0),"")</f>
        <v/>
      </c>
      <c r="EC20" s="45" t="str">
        <f>IFERROR(VLOOKUP(CONCATENATE('Respuestas de formulario 1.1'!$B20,MID('Respuestas de formulario 1.1'!EC$1,2,1)),#REF!,12,0),"")</f>
        <v/>
      </c>
      <c r="ED20" s="45" t="str">
        <f>IFERROR(VLOOKUP(CONCATENATE('Respuestas de formulario 1.1'!$B20,MID('Respuestas de formulario 1.1'!ED$1,2,1)),#REF!,12,0),"")</f>
        <v/>
      </c>
      <c r="EE20" s="45" t="str">
        <f>IFERROR(VLOOKUP(CONCATENATE('Respuestas de formulario 1.1'!$B20,MID('Respuestas de formulario 1.1'!EE$1,2,1)),#REF!,12,0),"")</f>
        <v/>
      </c>
      <c r="EF20" s="45" t="str">
        <f>IFERROR(VLOOKUP(CONCATENATE('Respuestas de formulario 1.1'!$B20,MID('Respuestas de formulario 1.1'!EF$1,2,1)),#REF!,12,0),"")</f>
        <v/>
      </c>
      <c r="EG20" s="45" t="str">
        <f>IFERROR(VLOOKUP(CONCATENATE('Respuestas de formulario 1.1'!$B20,MID('Respuestas de formulario 1.1'!EG$1,2,1)),#REF!,12,0),"")</f>
        <v/>
      </c>
      <c r="EH20" s="45" t="str">
        <f>IFERROR(VLOOKUP(CONCATENATE('Respuestas de formulario 1.1'!$B20,MID('Respuestas de formulario 1.1'!EH$1,2,1)),#REF!,12,0),"")</f>
        <v/>
      </c>
      <c r="EI20" s="45" t="str">
        <f>IFERROR(VLOOKUP(CONCATENATE('Respuestas de formulario 1.1'!$B20,MID('Respuestas de formulario 1.1'!EI$1,2,1)),#REF!,12,0),"")</f>
        <v/>
      </c>
      <c r="EJ20" s="45" t="str">
        <f t="array" ref="EJ20">IF(DO20="","", INDEX(#REF!,MATCH(CONCATENATE('Respuestas de formulario 1.1'!$B20,DO20),#REF!,0),MATCH('Respuestas de formulario 1.1'!EJ$1,#REF!,0)))</f>
        <v/>
      </c>
      <c r="EK20" s="56" t="str">
        <f t="array" ref="EK20">IF(DP20="","", INDEX(#REF!,MATCH(CONCATENATE('Respuestas de formulario 1.1'!$B20,DP20),#REF!,0),MATCH('Respuestas de formulario 1.1'!EK$1,#REF!,0)))</f>
        <v/>
      </c>
      <c r="EL20" s="56" t="str">
        <f t="array" ref="EL20">IF(DQ20="","", INDEX(#REF!,MATCH(CONCATENATE('Respuestas de formulario 1.1'!$B20,DQ20),#REF!,0),MATCH('Respuestas de formulario 1.1'!EL$1,#REF!,0)))</f>
        <v/>
      </c>
      <c r="EM20" s="56" t="str">
        <f t="array" ref="EM20">IF(DR20="","", INDEX(#REF!,MATCH(CONCATENATE('Respuestas de formulario 1.1'!$B20,DR20),#REF!,0),MATCH('Respuestas de formulario 1.1'!EM$1,#REF!,0)))</f>
        <v/>
      </c>
      <c r="EN20" s="56" t="str">
        <f t="array" ref="EN20">IF(DS20="","", INDEX(#REF!,MATCH(CONCATENATE('Respuestas de formulario 1.1'!$B20,DS20),#REF!,0),MATCH('Respuestas de formulario 1.1'!EN$1,#REF!,0)))</f>
        <v/>
      </c>
      <c r="EO20" s="56" t="str">
        <f t="array" ref="EO20">IF(DT20="","", INDEX(#REF!,MATCH(CONCATENATE('Respuestas de formulario 1.1'!$B20,DT20),#REF!,0),MATCH('Respuestas de formulario 1.1'!EO$1,#REF!,0)))</f>
        <v/>
      </c>
      <c r="EP20" s="45" t="str">
        <f t="array" ref="EP20">IF(DU20="","", INDEX(#REF!,MATCH(CONCATENATE('Respuestas de formulario 1.1'!$B20,DU20),#REF!,0),MATCH('Respuestas de formulario 1.1'!EP$1,#REF!,0)))</f>
        <v/>
      </c>
      <c r="EQ20" s="45" t="str">
        <f t="array" ref="EQ20">IF(DP20="","", INDEX(#REF!,MATCH(CONCATENATE('Respuestas de formulario 1.1'!$B20,DP20),#REF!,0),MATCH('Respuestas de formulario 1.1'!EQ$1,#REF!,0)))</f>
        <v/>
      </c>
      <c r="ER20" s="56" t="str">
        <f t="array" ref="ER20">IF(DQ20="","", INDEX(#REF!,MATCH(CONCATENATE('Respuestas de formulario 1.1'!$B20,DQ20),#REF!,0),MATCH('Respuestas de formulario 1.1'!ER$1,#REF!,0)))</f>
        <v/>
      </c>
      <c r="ES20" s="56" t="str">
        <f t="array" ref="ES20">IF(DR20="","", INDEX(#REF!,MATCH(CONCATENATE('Respuestas de formulario 1.1'!$B20,DR20),#REF!,0),MATCH('Respuestas de formulario 1.1'!ES$1,#REF!,0)))</f>
        <v/>
      </c>
      <c r="ET20" s="56" t="str">
        <f t="array" ref="ET20">IF(DS20="","", INDEX(#REF!,MATCH(CONCATENATE('Respuestas de formulario 1.1'!$B20,DS20),#REF!,0),MATCH('Respuestas de formulario 1.1'!ET$1,#REF!,0)))</f>
        <v/>
      </c>
      <c r="EU20" s="56" t="str">
        <f t="array" ref="EU20">IF(DT20="","", INDEX(#REF!,MATCH(CONCATENATE('Respuestas de formulario 1.1'!$B20,DT20),#REF!,0),MATCH('Respuestas de formulario 1.1'!EU$1,#REF!,0)))</f>
        <v/>
      </c>
      <c r="EV20" s="56" t="str">
        <f t="array" ref="EV20">IF(DU20="","", INDEX(#REF!,MATCH(CONCATENATE('Respuestas de formulario 1.1'!$B20,DU20),#REF!,0),MATCH('Respuestas de formulario 1.1'!EV$1,#REF!,0)))</f>
        <v/>
      </c>
      <c r="EW20" s="45" t="str">
        <f t="array" ref="EW20">IF(DV20="","", INDEX(#REF!,MATCH(CONCATENATE('Respuestas de formulario 1.1'!$B20,DV20),#REF!,0),MATCH('Respuestas de formulario 1.1'!EW$1,#REF!,0)))</f>
        <v/>
      </c>
      <c r="EX20" s="45" t="str">
        <f t="array" ref="EX20">IF($DQ20="","", INDEX(#REF!,MATCH(CONCATENATE('Respuestas de formulario 1.1'!$B20,$DQ20),#REF!,0),MATCH('Respuestas de formulario 1.1'!EX$1,#REF!,0)))</f>
        <v/>
      </c>
      <c r="EY20" s="56" t="str">
        <f t="array" ref="EY20">IF($DQ20="","", INDEX(#REF!,MATCH(CONCATENATE('Respuestas de formulario 1.1'!$B20,$DQ20),#REF!,0),MATCH('Respuestas de formulario 1.1'!EY$1,#REF!,0)))</f>
        <v/>
      </c>
      <c r="EZ20" s="56" t="str">
        <f t="array" ref="EZ20">IF($DQ20="","", INDEX(#REF!,MATCH(CONCATENATE('Respuestas de formulario 1.1'!$B20,$DQ20),#REF!,0),MATCH('Respuestas de formulario 1.1'!EZ$1,#REF!,0)))</f>
        <v/>
      </c>
      <c r="FA20" s="56" t="str">
        <f t="array" ref="FA20">IF($DQ20="","", INDEX(#REF!,MATCH(CONCATENATE('Respuestas de formulario 1.1'!$B20,$DQ20),#REF!,0),MATCH('Respuestas de formulario 1.1'!FA$1,#REF!,0)))</f>
        <v/>
      </c>
      <c r="FB20" s="56" t="str">
        <f t="array" ref="FB20">IF($DQ20="","", INDEX(#REF!,MATCH(CONCATENATE('Respuestas de formulario 1.1'!$B20,$DQ20),#REF!,0),MATCH('Respuestas de formulario 1.1'!FB$1,#REF!,0)))</f>
        <v/>
      </c>
      <c r="FC20" s="56" t="str">
        <f t="array" ref="FC20">IF($DQ20="","", INDEX(#REF!,MATCH(CONCATENATE('Respuestas de formulario 1.1'!$B20,$DQ20),#REF!,0),MATCH('Respuestas de formulario 1.1'!FC$1,#REF!,0)))</f>
        <v/>
      </c>
      <c r="FD20" s="45" t="str">
        <f t="array" ref="FD20">IF($DQ20="","", INDEX(#REF!,MATCH(CONCATENATE('Respuestas de formulario 1.1'!$B20,$DQ20),#REF!,0),MATCH('Respuestas de formulario 1.1'!FD$1,#REF!,0)))</f>
        <v/>
      </c>
      <c r="FE20" s="45" t="str">
        <f t="array" ref="FE20">IF($DR20="","", INDEX(#REF!,MATCH(CONCATENATE(#REF!,$DR20),#REF!,0),MATCH(#REF!,#REF!,0)))</f>
        <v/>
      </c>
      <c r="FF20" s="56" t="str">
        <f t="array" ref="FF20">IF($DR20="","", INDEX(#REF!,MATCH(CONCATENATE(#REF!,$DR20),#REF!,0),MATCH(#REF!,#REF!,0)))</f>
        <v/>
      </c>
      <c r="FG20" s="56" t="str">
        <f t="array" ref="FG20">IF($DR20="","", INDEX(#REF!,MATCH(CONCATENATE(#REF!,$DR20),#REF!,0),MATCH(#REF!,#REF!,0)))</f>
        <v/>
      </c>
      <c r="FH20" s="56" t="str">
        <f t="array" ref="FH20">IF($DR20="","", INDEX(#REF!,MATCH(CONCATENATE(#REF!,$DR20),#REF!,0),MATCH(#REF!,#REF!,0)))</f>
        <v/>
      </c>
      <c r="FI20" s="56" t="str">
        <f t="array" ref="FI20">IF($DR20="","", INDEX(#REF!,MATCH(CONCATENATE(#REF!,$DR20),#REF!,0),MATCH(#REF!,#REF!,0)))</f>
        <v/>
      </c>
      <c r="FJ20" s="56" t="str">
        <f t="array" ref="FJ20">IF($DR20="","", INDEX(#REF!,MATCH(CONCATENATE(#REF!,$DR20),#REF!,0),MATCH(#REF!,#REF!,0)))</f>
        <v/>
      </c>
      <c r="FK20" s="45" t="str">
        <f t="array" ref="FK20">IF($DR20="","", INDEX(#REF!,MATCH(CONCATENATE(#REF!,$DR20),#REF!,0),MATCH(#REF!,#REF!,0)))</f>
        <v/>
      </c>
      <c r="FL20" s="45" t="str">
        <f t="array" ref="FL20">IF($DT20="","", INDEX(#REF!,MATCH(CONCATENATE('Respuestas de formulario 1.1'!$B20,$DS20),#REF!,0),MATCH('Respuestas de formulario 1.1'!FL$1,#REF!,0)))</f>
        <v/>
      </c>
      <c r="FM20" s="56" t="str">
        <f t="array" ref="FM20">IF($DT20="","", INDEX(#REF!,MATCH(CONCATENATE('Respuestas de formulario 1.1'!$B20,$DS20),#REF!,0),MATCH('Respuestas de formulario 1.1'!FM$1,#REF!,0)))</f>
        <v/>
      </c>
      <c r="FN20" s="56" t="str">
        <f t="array" ref="FN20">IF($DT20="","", INDEX(#REF!,MATCH(CONCATENATE('Respuestas de formulario 1.1'!$B20,$DS20),#REF!,0),MATCH('Respuestas de formulario 1.1'!FN$1,#REF!,0)))</f>
        <v/>
      </c>
      <c r="FO20" s="56" t="str">
        <f t="array" ref="FO20">IF($DT20="","", INDEX(#REF!,MATCH(CONCATENATE('Respuestas de formulario 1.1'!$B20,$DS20),#REF!,0),MATCH('Respuestas de formulario 1.1'!FO$1,#REF!,0)))</f>
        <v/>
      </c>
      <c r="FP20" s="56" t="str">
        <f t="array" ref="FP20">IF($DT20="","", INDEX(#REF!,MATCH(CONCATENATE('Respuestas de formulario 1.1'!$B20,$DS20),#REF!,0),MATCH('Respuestas de formulario 1.1'!FP$1,#REF!,0)))</f>
        <v/>
      </c>
      <c r="FQ20" s="56" t="str">
        <f t="array" ref="FQ20">IF($DT20="","", INDEX(#REF!,MATCH(CONCATENATE('Respuestas de formulario 1.1'!$B20,$DS20),#REF!,0),MATCH('Respuestas de formulario 1.1'!FQ$1,#REF!,0)))</f>
        <v/>
      </c>
      <c r="FR20" s="45" t="str">
        <f t="array" ref="FR20">IF($DT20="","", INDEX(#REF!,MATCH(CONCATENATE('Respuestas de formulario 1.1'!$B20,$DS20),#REF!,0),MATCH('Respuestas de formulario 1.1'!FR$1,#REF!,0)))</f>
        <v/>
      </c>
      <c r="FS20" s="45" t="str">
        <f t="array" ref="FS20">IF($DU20="","", INDEX(#REF!,MATCH(CONCATENATE('Respuestas de formulario 1.1'!$B20,$DT20),#REF!,0),MATCH('Respuestas de formulario 1.1'!FS$1,#REF!,0)))</f>
        <v/>
      </c>
      <c r="FT20" s="56" t="str">
        <f t="array" ref="FT20">IF($DU20="","", INDEX(#REF!,MATCH(CONCATENATE('Respuestas de formulario 1.1'!$B20,$DT20),#REF!,0),MATCH('Respuestas de formulario 1.1'!FT$1,#REF!,0)))</f>
        <v/>
      </c>
      <c r="FU20" s="56" t="str">
        <f t="array" ref="FU20">IF($DU20="","", INDEX(#REF!,MATCH(CONCATENATE('Respuestas de formulario 1.1'!$B20,$DT20),#REF!,0),MATCH('Respuestas de formulario 1.1'!FU$1,#REF!,0)))</f>
        <v/>
      </c>
      <c r="FV20" s="56" t="str">
        <f t="array" ref="FV20">IF($DU20="","", INDEX(#REF!,MATCH(CONCATENATE('Respuestas de formulario 1.1'!$B20,$DT20),#REF!,0),MATCH('Respuestas de formulario 1.1'!FV$1,#REF!,0)))</f>
        <v/>
      </c>
      <c r="FW20" s="56" t="str">
        <f t="array" ref="FW20">IF($DU20="","", INDEX(#REF!,MATCH(CONCATENATE('Respuestas de formulario 1.1'!$B20,$DT20),#REF!,0),MATCH('Respuestas de formulario 1.1'!FW$1,#REF!,0)))</f>
        <v/>
      </c>
      <c r="FX20" s="56" t="str">
        <f t="array" ref="FX20">IF($DU20="","", INDEX(#REF!,MATCH(CONCATENATE('Respuestas de formulario 1.1'!$B20,$DT20),#REF!,0),MATCH('Respuestas de formulario 1.1'!FX$1,#REF!,0)))</f>
        <v/>
      </c>
      <c r="FY20" s="45" t="str">
        <f t="array" ref="FY20">IF($DU20="","", INDEX(#REF!,MATCH(CONCATENATE('Respuestas de formulario 1.1'!$B20,$DT20),#REF!,0),MATCH('Respuestas de formulario 1.1'!FY$1,#REF!,0)))</f>
        <v/>
      </c>
      <c r="FZ20" s="3" t="s">
        <v>2860</v>
      </c>
      <c r="GA20" s="1" t="s">
        <v>3151</v>
      </c>
      <c r="GB20" s="5" t="s">
        <v>3152</v>
      </c>
      <c r="GC20" s="4" t="str">
        <f>HYPERLINK("https://drive.google.com/file/d/1ntekj1QHuoySxssMo-8tqMAR3wmV--4M/view?usp=drivesdk","ISLAS ARCOS SHARON JOCELYN Formato de reinscripción y pago 2022-2")</f>
        <v>ISLAS ARCOS SHARON JOCELYN Formato de reinscripción y pago 2022-2</v>
      </c>
      <c r="GD20" s="1" t="s">
        <v>3153</v>
      </c>
      <c r="GE20" s="1"/>
      <c r="GF20" s="1"/>
      <c r="GG20" s="1"/>
      <c r="GH20" s="1"/>
      <c r="GI20" s="1" t="s">
        <v>3154</v>
      </c>
      <c r="GJ20" s="5" t="s">
        <v>3155</v>
      </c>
      <c r="GK20" s="5" t="str">
        <f>HYPERLINK("https://drive.google.com/file/d/14iIxMbmvn51JNwHVW3itjqDkinu8QRwo/view?usp=drivesdk","ISLAS ARCOS SHARON JOCELYN Formato de reinscripción y pago 2022-2")</f>
        <v>ISLAS ARCOS SHARON JOCELYN Formato de reinscripción y pago 2022-2</v>
      </c>
      <c r="GL20" s="1" t="s">
        <v>3156</v>
      </c>
    </row>
    <row r="21" spans="1:194" ht="15.75" customHeight="1" x14ac:dyDescent="0.2">
      <c r="A21" s="2">
        <v>45139.78158145833</v>
      </c>
      <c r="B21" s="1" t="s">
        <v>77</v>
      </c>
      <c r="C21" s="1" t="s">
        <v>1452</v>
      </c>
      <c r="D21" s="1" t="s">
        <v>499</v>
      </c>
      <c r="E21" s="1" t="s">
        <v>1453</v>
      </c>
      <c r="F21" s="1" t="s">
        <v>262</v>
      </c>
      <c r="G21" s="5" t="s">
        <v>3157</v>
      </c>
      <c r="H21" s="41">
        <v>39222</v>
      </c>
      <c r="I21" s="1">
        <v>16</v>
      </c>
      <c r="J21" s="1">
        <v>5611523821</v>
      </c>
      <c r="K21" s="1" t="s">
        <v>3158</v>
      </c>
      <c r="L21" s="1" t="s">
        <v>1454</v>
      </c>
      <c r="M21" s="1">
        <v>22309060570522</v>
      </c>
      <c r="N21" s="1" t="s">
        <v>562</v>
      </c>
      <c r="O21" s="1" t="s">
        <v>247</v>
      </c>
      <c r="P21" s="1" t="s">
        <v>278</v>
      </c>
      <c r="Q21" s="1" t="s">
        <v>227</v>
      </c>
      <c r="R21" s="1" t="s">
        <v>236</v>
      </c>
      <c r="S21" s="1" t="s">
        <v>228</v>
      </c>
      <c r="T21" s="1" t="s">
        <v>229</v>
      </c>
      <c r="U21" s="1" t="s">
        <v>249</v>
      </c>
      <c r="V21" s="1" t="s">
        <v>228</v>
      </c>
      <c r="W21" s="1" t="s">
        <v>3159</v>
      </c>
      <c r="X21" s="1" t="s">
        <v>434</v>
      </c>
      <c r="Y21" s="1" t="s">
        <v>1394</v>
      </c>
      <c r="Z21" s="1" t="s">
        <v>231</v>
      </c>
      <c r="AA21" s="1">
        <v>56616</v>
      </c>
      <c r="AB21" s="1" t="s">
        <v>3160</v>
      </c>
      <c r="AC21" s="1" t="s">
        <v>1382</v>
      </c>
      <c r="AD21" s="1" t="s">
        <v>3161</v>
      </c>
      <c r="AE21" s="1" t="s">
        <v>3162</v>
      </c>
      <c r="AF21" s="1" t="s">
        <v>265</v>
      </c>
      <c r="AG21" s="1">
        <v>38</v>
      </c>
      <c r="AH21" s="5" t="s">
        <v>3163</v>
      </c>
      <c r="AI21" s="1">
        <v>5585140191</v>
      </c>
      <c r="AJ21" s="1">
        <v>5585140191</v>
      </c>
      <c r="AK21" s="1" t="s">
        <v>1455</v>
      </c>
      <c r="AL21" s="1" t="s">
        <v>499</v>
      </c>
      <c r="AM21" s="1" t="s">
        <v>245</v>
      </c>
      <c r="AN21" s="1" t="s">
        <v>3164</v>
      </c>
      <c r="AO21" s="1" t="s">
        <v>493</v>
      </c>
      <c r="AP21" s="1">
        <v>34</v>
      </c>
      <c r="AQ21" s="1" t="s">
        <v>267</v>
      </c>
      <c r="AR21" s="42">
        <v>0.3125</v>
      </c>
      <c r="AS21" s="42">
        <v>0.58333333333575865</v>
      </c>
      <c r="AT21" s="1">
        <v>5574479407</v>
      </c>
      <c r="AU21" s="1">
        <v>5574479407</v>
      </c>
      <c r="AV21" s="1" t="s">
        <v>3165</v>
      </c>
      <c r="AW21" s="5" t="s">
        <v>3166</v>
      </c>
      <c r="AX21" s="1" t="s">
        <v>433</v>
      </c>
      <c r="AY21" s="1" t="s">
        <v>651</v>
      </c>
      <c r="AZ21" s="1" t="s">
        <v>3167</v>
      </c>
      <c r="BA21" s="1" t="s">
        <v>453</v>
      </c>
      <c r="BB21" s="1">
        <v>33</v>
      </c>
      <c r="BC21" s="1" t="s">
        <v>3168</v>
      </c>
      <c r="BD21" s="43">
        <v>0.29166666666424135</v>
      </c>
      <c r="BE21" s="43">
        <v>0.83333333333575865</v>
      </c>
      <c r="BF21" s="1">
        <v>5531434156</v>
      </c>
      <c r="BG21" s="1">
        <v>5531434156</v>
      </c>
      <c r="BH21" s="1" t="s">
        <v>3169</v>
      </c>
      <c r="BI21" s="5" t="s">
        <v>3170</v>
      </c>
      <c r="BJ21" s="1" t="s">
        <v>236</v>
      </c>
      <c r="BK21" s="1" t="s">
        <v>265</v>
      </c>
      <c r="BL21" s="1">
        <v>163</v>
      </c>
      <c r="BM21" s="1">
        <v>57</v>
      </c>
      <c r="BN21" s="1" t="s">
        <v>236</v>
      </c>
      <c r="BO21" s="1" t="s">
        <v>228</v>
      </c>
      <c r="BP21" s="1" t="s">
        <v>270</v>
      </c>
      <c r="BQ21" s="1" t="s">
        <v>228</v>
      </c>
      <c r="BR21" s="1" t="s">
        <v>237</v>
      </c>
      <c r="BS21" s="1" t="s">
        <v>228</v>
      </c>
      <c r="BT21" s="1" t="s">
        <v>237</v>
      </c>
      <c r="BU21" s="1" t="s">
        <v>228</v>
      </c>
      <c r="BW21" s="1" t="s">
        <v>238</v>
      </c>
      <c r="BX21" s="1">
        <v>90</v>
      </c>
      <c r="BY21" s="1">
        <v>315</v>
      </c>
      <c r="BZ21" s="1" t="s">
        <v>284</v>
      </c>
      <c r="CA21" s="1" t="s">
        <v>343</v>
      </c>
      <c r="CB21" s="1" t="s">
        <v>240</v>
      </c>
      <c r="CC21" s="1" t="s">
        <v>274</v>
      </c>
      <c r="CD21" s="1">
        <v>3000</v>
      </c>
      <c r="CE21" s="1">
        <v>1500</v>
      </c>
      <c r="CF21" s="1" t="s">
        <v>236</v>
      </c>
      <c r="CG21" s="1" t="s">
        <v>242</v>
      </c>
      <c r="CH21" s="1" t="s">
        <v>243</v>
      </c>
      <c r="CI21" s="1" t="s">
        <v>243</v>
      </c>
      <c r="CJ21" s="1" t="s">
        <v>2848</v>
      </c>
      <c r="CL21" s="5" t="s">
        <v>3171</v>
      </c>
      <c r="CM21" s="1">
        <v>12220763697</v>
      </c>
      <c r="CN21" s="1" t="s">
        <v>228</v>
      </c>
      <c r="CQ21" s="42">
        <v>0.29166666666424135</v>
      </c>
      <c r="CR21" s="42">
        <v>0.91666666666424135</v>
      </c>
      <c r="CT21" s="45" t="str">
        <f t="array" ref="CT21">IFERROR(INDEX(#REF!,MATCH('Respuestas de formulario 1.1'!$B21,#REF!,0),MATCH('Respuestas de formulario 1.1'!CT$1,#REF!,0)),"")</f>
        <v/>
      </c>
      <c r="CU21" s="56" t="str">
        <f t="array" ref="CU21">IFERROR(INDEX(#REF!,MATCH('Respuestas de formulario 1.1'!$B21,#REF!,0),MATCH('Respuestas de formulario 1.1'!CU$1,#REF!,0)),"")</f>
        <v/>
      </c>
      <c r="CV21" s="56" t="str">
        <f t="array" ref="CV21">IFERROR(INDEX(#REF!,MATCH('Respuestas de formulario 1.1'!$B21,#REF!,0),MATCH('Respuestas de formulario 1.1'!CV$1,#REF!,0)),"")</f>
        <v/>
      </c>
      <c r="CW21" s="56" t="str">
        <f t="array" ref="CW21">IFERROR(INDEX(#REF!,MATCH('Respuestas de formulario 1.1'!$B21,#REF!,0),MATCH('Respuestas de formulario 1.1'!CW$1,#REF!,0)),"")</f>
        <v/>
      </c>
      <c r="CX21" s="56" t="str">
        <f t="array" ref="CX21">IFERROR(INDEX(#REF!,MATCH('Respuestas de formulario 1.1'!$B21,#REF!,0),MATCH('Respuestas de formulario 1.1'!CX$1,#REF!,0)),"")</f>
        <v/>
      </c>
      <c r="CY21" s="56" t="str">
        <f t="array" ref="CY21">IFERROR(INDEX(#REF!,MATCH('Respuestas de formulario 1.1'!$B21,#REF!,0),MATCH('Respuestas de formulario 1.1'!CY$1,#REF!,0)),"")</f>
        <v/>
      </c>
      <c r="CZ21" s="57" t="str">
        <f t="array" ref="CZ21">IFERROR(INDEX(#REF!,MATCH('Respuestas de formulario 1.1'!$B21,#REF!,0),MATCH('Respuestas de formulario 1.1'!CZ$1,#REF!,0)),"")</f>
        <v/>
      </c>
      <c r="DA21" s="45" t="e">
        <f t="array" ref="DA21">INDEX(#REF!,MATCH('Respuestas de formulario 1.1'!$B21,#REF!,0),MATCH('Respuestas de formulario 1.1'!DA$1,#REF!,0))</f>
        <v>#REF!</v>
      </c>
      <c r="DB21" s="45" t="e">
        <f t="array" ref="DB21">INDEX(#REF!,MATCH('Respuestas de formulario 1.1'!$B21,#REF!,0),MATCH('Respuestas de formulario 1.1'!DB$1,#REF!,0))</f>
        <v>#REF!</v>
      </c>
      <c r="DC21" s="45" t="e">
        <f t="array" ref="DC21">INDEX(#REF!,MATCH('Respuestas de formulario 1.1'!$B21,#REF!,0),MATCH('Respuestas de formulario 1.1'!DC$1,#REF!,0))</f>
        <v>#REF!</v>
      </c>
      <c r="DD21" s="45" t="e">
        <f t="array" ref="DD21">INDEX(#REF!,MATCH('Respuestas de formulario 1.1'!$B21,#REF!,0),MATCH('Respuestas de formulario 1.1'!DD$1,#REF!,0))</f>
        <v>#REF!</v>
      </c>
      <c r="DE21" s="45" t="e">
        <f t="array" ref="DE21">INDEX(#REF!,MATCH('Respuestas de formulario 1.1'!$B21,#REF!,0),MATCH('Respuestas de formulario 1.1'!DE$1,#REF!,0))</f>
        <v>#REF!</v>
      </c>
      <c r="DF21" s="45" t="e">
        <f t="array" ref="DF21">INDEX(#REF!,MATCH('Respuestas de formulario 1.1'!$B21,#REF!,0),MATCH('Respuestas de formulario 1.1'!DF$1,#REF!,0))</f>
        <v>#REF!</v>
      </c>
      <c r="DG21" s="45" t="e">
        <f t="array" ref="DG21">INDEX(#REF!,MATCH('Respuestas de formulario 1.1'!$B21,#REF!,0),MATCH('Respuestas de formulario 1.1'!DG$1,#REF!,0))</f>
        <v>#REF!</v>
      </c>
      <c r="DH21" s="45" t="e">
        <f t="array" ref="DH21">INDEX(#REF!,MATCH('Respuestas de formulario 1.1'!$B21,#REF!,0),MATCH('Respuestas de formulario 1.1'!DH$1,#REF!,0))</f>
        <v>#REF!</v>
      </c>
      <c r="DI21" s="48" t="e">
        <f>VLOOKUP(CONCATENATE($DF21," TUTO ",$DC21),#REF!,3,0)</f>
        <v>#REF!</v>
      </c>
      <c r="DJ21" s="48" t="e">
        <f t="array" ref="DJ21">IF('Respuestas de formulario 1.1'!A21="","",INDEX(#REF!,MATCH('Respuestas de formulario 1.1'!B21,#REF!,0),MATCH('Respuestas de formulario 1.1'!$DH$1,#REF!,0)))</f>
        <v>#REF!</v>
      </c>
      <c r="DK21" s="52" t="str">
        <f>CONCATENATE("http://doc.google.com/uc?id=",MID('Respuestas de formulario 1.1'!G21,34,33))</f>
        <v>http://doc.google.com/uc?id=1iVXUHXYHQ7Oaa55anA1VvwiTNTWbWGbR</v>
      </c>
      <c r="DL21" s="49" t="str">
        <f>CONCATENATE("http://doc.google.com/uc?id=",MID('Respuestas de formulario 1.1'!AH21,34,33))</f>
        <v>http://doc.google.com/uc?id=1jgQgPGGUqH6xrrfFOBEGXSeIyExBUmuZ</v>
      </c>
      <c r="DM21" s="50" t="str">
        <f>CONCATENATE("http://doc.google.com/uc?id=",MID('Respuestas de formulario 1.1'!AW21,34,33))</f>
        <v>http://doc.google.com/uc?id=1FfbLw-LMALfg_ABNRou7jbCK-N_LA9b4</v>
      </c>
      <c r="DN21" s="53" t="str">
        <f>CONCATENATE("http://doc.google.com/uc?id=",MID('Respuestas de formulario 1.1'!$BI21,34,33))</f>
        <v>http://doc.google.com/uc?id=1sEL0UAFBK-n6VR3i8WZBAVi030sFQYcg</v>
      </c>
      <c r="DO21" s="45" t="str">
        <f>IFERROR(VLOOKUP(CONCATENATE('Respuestas de formulario 1.1'!$B21,MID('Respuestas de formulario 1.1'!DO$1,2,1)),#REF!,12,0),"")</f>
        <v/>
      </c>
      <c r="DP21" s="45" t="str">
        <f>IFERROR(VLOOKUP(CONCATENATE('Respuestas de formulario 1.1'!$B21,MID('Respuestas de formulario 1.1'!DP$1,2,1)),#REF!,12,0),"")</f>
        <v/>
      </c>
      <c r="DQ21" s="45" t="str">
        <f>IFERROR(VLOOKUP(CONCATENATE('Respuestas de formulario 1.1'!$B21,MID('Respuestas de formulario 1.1'!DQ$1,2,1)),#REF!,12,0),"")</f>
        <v/>
      </c>
      <c r="DR21" s="45" t="str">
        <f>IFERROR(VLOOKUP(CONCATENATE('Respuestas de formulario 1.1'!$B21,MID('Respuestas de formulario 1.1'!DR$1,2,1)),#REF!,12,0),"")</f>
        <v/>
      </c>
      <c r="DS21" s="45" t="str">
        <f>IFERROR(VLOOKUP(CONCATENATE('Respuestas de formulario 1.1'!$B21,MID('Respuestas de formulario 1.1'!DS$1,2,1)),#REF!,12,0),"")</f>
        <v/>
      </c>
      <c r="DT21" s="45" t="str">
        <f>IFERROR(VLOOKUP(CONCATENATE('Respuestas de formulario 1.1'!$B21,MID('Respuestas de formulario 1.1'!DT$1,2,1)),#REF!,12,0),"")</f>
        <v/>
      </c>
      <c r="DU21" s="45" t="str">
        <f>IFERROR(VLOOKUP(CONCATENATE('Respuestas de formulario 1.1'!$B21,MID('Respuestas de formulario 1.1'!DU$1,2,1)),#REF!,12,0),"")</f>
        <v/>
      </c>
      <c r="DV21" s="45" t="str">
        <f>IFERROR(VLOOKUP(CONCATENATE('Respuestas de formulario 1.1'!$B21,MID('Respuestas de formulario 1.1'!DV$1,2,1)),#REF!,12,0),"")</f>
        <v/>
      </c>
      <c r="DW21" s="45" t="str">
        <f>IFERROR(VLOOKUP(CONCATENATE('Respuestas de formulario 1.1'!$B21,MID('Respuestas de formulario 1.1'!DW$1,2,1)),#REF!,12,0),"")</f>
        <v/>
      </c>
      <c r="DX21" s="45" t="str">
        <f>IFERROR(VLOOKUP(CONCATENATE('Respuestas de formulario 1.1'!$B21,MID('Respuestas de formulario 1.1'!DX$1,2,1)),#REF!,12,0),"")</f>
        <v/>
      </c>
      <c r="DY21" s="45" t="str">
        <f>IFERROR(VLOOKUP(CONCATENATE('Respuestas de formulario 1.1'!$B21,MID('Respuestas de formulario 1.1'!DY$1,2,1)),#REF!,12,0),"")</f>
        <v/>
      </c>
      <c r="DZ21" s="45" t="str">
        <f>IFERROR(VLOOKUP(CONCATENATE('Respuestas de formulario 1.1'!$B21,MID('Respuestas de formulario 1.1'!DZ$1,2,1)),#REF!,12,0),"")</f>
        <v/>
      </c>
      <c r="EA21" s="45" t="str">
        <f>IFERROR(VLOOKUP(CONCATENATE('Respuestas de formulario 1.1'!$B21,MID('Respuestas de formulario 1.1'!EA$1,2,1)),#REF!,12,0),"")</f>
        <v/>
      </c>
      <c r="EB21" s="45" t="str">
        <f>IFERROR(VLOOKUP(CONCATENATE('Respuestas de formulario 1.1'!$B21,MID('Respuestas de formulario 1.1'!EB$1,2,1)),#REF!,12,0),"")</f>
        <v/>
      </c>
      <c r="EC21" s="45" t="str">
        <f>IFERROR(VLOOKUP(CONCATENATE('Respuestas de formulario 1.1'!$B21,MID('Respuestas de formulario 1.1'!EC$1,2,1)),#REF!,12,0),"")</f>
        <v/>
      </c>
      <c r="ED21" s="45" t="str">
        <f>IFERROR(VLOOKUP(CONCATENATE('Respuestas de formulario 1.1'!$B21,MID('Respuestas de formulario 1.1'!ED$1,2,1)),#REF!,12,0),"")</f>
        <v/>
      </c>
      <c r="EE21" s="45" t="str">
        <f>IFERROR(VLOOKUP(CONCATENATE('Respuestas de formulario 1.1'!$B21,MID('Respuestas de formulario 1.1'!EE$1,2,1)),#REF!,12,0),"")</f>
        <v/>
      </c>
      <c r="EF21" s="45" t="str">
        <f>IFERROR(VLOOKUP(CONCATENATE('Respuestas de formulario 1.1'!$B21,MID('Respuestas de formulario 1.1'!EF$1,2,1)),#REF!,12,0),"")</f>
        <v/>
      </c>
      <c r="EG21" s="45" t="str">
        <f>IFERROR(VLOOKUP(CONCATENATE('Respuestas de formulario 1.1'!$B21,MID('Respuestas de formulario 1.1'!EG$1,2,1)),#REF!,12,0),"")</f>
        <v/>
      </c>
      <c r="EH21" s="45" t="str">
        <f>IFERROR(VLOOKUP(CONCATENATE('Respuestas de formulario 1.1'!$B21,MID('Respuestas de formulario 1.1'!EH$1,2,1)),#REF!,12,0),"")</f>
        <v/>
      </c>
      <c r="EI21" s="45" t="str">
        <f>IFERROR(VLOOKUP(CONCATENATE('Respuestas de formulario 1.1'!$B21,MID('Respuestas de formulario 1.1'!EI$1,2,1)),#REF!,12,0),"")</f>
        <v/>
      </c>
      <c r="EJ21" s="45" t="str">
        <f t="array" ref="EJ21">IF(DO21="","", INDEX(#REF!,MATCH(CONCATENATE('Respuestas de formulario 1.1'!$B21,DO21),#REF!,0),MATCH('Respuestas de formulario 1.1'!EJ$1,#REF!,0)))</f>
        <v/>
      </c>
      <c r="EK21" s="56" t="str">
        <f t="array" ref="EK21">IF(DP21="","", INDEX(#REF!,MATCH(CONCATENATE('Respuestas de formulario 1.1'!$B21,DP21),#REF!,0),MATCH('Respuestas de formulario 1.1'!EK$1,#REF!,0)))</f>
        <v/>
      </c>
      <c r="EL21" s="56" t="str">
        <f t="array" ref="EL21">IF(DQ21="","", INDEX(#REF!,MATCH(CONCATENATE('Respuestas de formulario 1.1'!$B21,DQ21),#REF!,0),MATCH('Respuestas de formulario 1.1'!EL$1,#REF!,0)))</f>
        <v/>
      </c>
      <c r="EM21" s="56" t="str">
        <f t="array" ref="EM21">IF(DR21="","", INDEX(#REF!,MATCH(CONCATENATE('Respuestas de formulario 1.1'!$B21,DR21),#REF!,0),MATCH('Respuestas de formulario 1.1'!EM$1,#REF!,0)))</f>
        <v/>
      </c>
      <c r="EN21" s="56" t="str">
        <f t="array" ref="EN21">IF(DS21="","", INDEX(#REF!,MATCH(CONCATENATE('Respuestas de formulario 1.1'!$B21,DS21),#REF!,0),MATCH('Respuestas de formulario 1.1'!EN$1,#REF!,0)))</f>
        <v/>
      </c>
      <c r="EO21" s="56" t="str">
        <f t="array" ref="EO21">IF(DT21="","", INDEX(#REF!,MATCH(CONCATENATE('Respuestas de formulario 1.1'!$B21,DT21),#REF!,0),MATCH('Respuestas de formulario 1.1'!EO$1,#REF!,0)))</f>
        <v/>
      </c>
      <c r="EP21" s="45" t="str">
        <f t="array" ref="EP21">IF(DU21="","", INDEX(#REF!,MATCH(CONCATENATE('Respuestas de formulario 1.1'!$B21,DU21),#REF!,0),MATCH('Respuestas de formulario 1.1'!EP$1,#REF!,0)))</f>
        <v/>
      </c>
      <c r="EQ21" s="45" t="str">
        <f t="array" ref="EQ21">IF(DP21="","", INDEX(#REF!,MATCH(CONCATENATE('Respuestas de formulario 1.1'!$B21,DP21),#REF!,0),MATCH('Respuestas de formulario 1.1'!EQ$1,#REF!,0)))</f>
        <v/>
      </c>
      <c r="ER21" s="56" t="str">
        <f t="array" ref="ER21">IF(DQ21="","", INDEX(#REF!,MATCH(CONCATENATE('Respuestas de formulario 1.1'!$B21,DQ21),#REF!,0),MATCH('Respuestas de formulario 1.1'!ER$1,#REF!,0)))</f>
        <v/>
      </c>
      <c r="ES21" s="56" t="str">
        <f t="array" ref="ES21">IF(DR21="","", INDEX(#REF!,MATCH(CONCATENATE('Respuestas de formulario 1.1'!$B21,DR21),#REF!,0),MATCH('Respuestas de formulario 1.1'!ES$1,#REF!,0)))</f>
        <v/>
      </c>
      <c r="ET21" s="56" t="str">
        <f t="array" ref="ET21">IF(DS21="","", INDEX(#REF!,MATCH(CONCATENATE('Respuestas de formulario 1.1'!$B21,DS21),#REF!,0),MATCH('Respuestas de formulario 1.1'!ET$1,#REF!,0)))</f>
        <v/>
      </c>
      <c r="EU21" s="56" t="str">
        <f t="array" ref="EU21">IF(DT21="","", INDEX(#REF!,MATCH(CONCATENATE('Respuestas de formulario 1.1'!$B21,DT21),#REF!,0),MATCH('Respuestas de formulario 1.1'!EU$1,#REF!,0)))</f>
        <v/>
      </c>
      <c r="EV21" s="56" t="str">
        <f t="array" ref="EV21">IF(DU21="","", INDEX(#REF!,MATCH(CONCATENATE('Respuestas de formulario 1.1'!$B21,DU21),#REF!,0),MATCH('Respuestas de formulario 1.1'!EV$1,#REF!,0)))</f>
        <v/>
      </c>
      <c r="EW21" s="45" t="str">
        <f t="array" ref="EW21">IF(DV21="","", INDEX(#REF!,MATCH(CONCATENATE('Respuestas de formulario 1.1'!$B21,DV21),#REF!,0),MATCH('Respuestas de formulario 1.1'!EW$1,#REF!,0)))</f>
        <v/>
      </c>
      <c r="EX21" s="45" t="str">
        <f t="array" ref="EX21">IF($DQ21="","", INDEX(#REF!,MATCH(CONCATENATE('Respuestas de formulario 1.1'!$B21,$DQ21),#REF!,0),MATCH('Respuestas de formulario 1.1'!EX$1,#REF!,0)))</f>
        <v/>
      </c>
      <c r="EY21" s="56" t="str">
        <f t="array" ref="EY21">IF($DQ21="","", INDEX(#REF!,MATCH(CONCATENATE('Respuestas de formulario 1.1'!$B21,$DQ21),#REF!,0),MATCH('Respuestas de formulario 1.1'!EY$1,#REF!,0)))</f>
        <v/>
      </c>
      <c r="EZ21" s="56" t="str">
        <f t="array" ref="EZ21">IF($DQ21="","", INDEX(#REF!,MATCH(CONCATENATE('Respuestas de formulario 1.1'!$B21,$DQ21),#REF!,0),MATCH('Respuestas de formulario 1.1'!EZ$1,#REF!,0)))</f>
        <v/>
      </c>
      <c r="FA21" s="56" t="str">
        <f t="array" ref="FA21">IF($DQ21="","", INDEX(#REF!,MATCH(CONCATENATE('Respuestas de formulario 1.1'!$B21,$DQ21),#REF!,0),MATCH('Respuestas de formulario 1.1'!FA$1,#REF!,0)))</f>
        <v/>
      </c>
      <c r="FB21" s="56" t="str">
        <f t="array" ref="FB21">IF($DQ21="","", INDEX(#REF!,MATCH(CONCATENATE('Respuestas de formulario 1.1'!$B21,$DQ21),#REF!,0),MATCH('Respuestas de formulario 1.1'!FB$1,#REF!,0)))</f>
        <v/>
      </c>
      <c r="FC21" s="56" t="str">
        <f t="array" ref="FC21">IF($DQ21="","", INDEX(#REF!,MATCH(CONCATENATE('Respuestas de formulario 1.1'!$B21,$DQ21),#REF!,0),MATCH('Respuestas de formulario 1.1'!FC$1,#REF!,0)))</f>
        <v/>
      </c>
      <c r="FD21" s="45" t="str">
        <f t="array" ref="FD21">IF($DQ21="","", INDEX(#REF!,MATCH(CONCATENATE('Respuestas de formulario 1.1'!$B21,$DQ21),#REF!,0),MATCH('Respuestas de formulario 1.1'!FD$1,#REF!,0)))</f>
        <v/>
      </c>
      <c r="FE21" s="45" t="str">
        <f t="array" ref="FE21">IF($DR21="","", INDEX(#REF!,MATCH(CONCATENATE(#REF!,$DR21),#REF!,0),MATCH(#REF!,#REF!,0)))</f>
        <v/>
      </c>
      <c r="FF21" s="56" t="str">
        <f t="array" ref="FF21">IF($DR21="","", INDEX(#REF!,MATCH(CONCATENATE(#REF!,$DR21),#REF!,0),MATCH(#REF!,#REF!,0)))</f>
        <v/>
      </c>
      <c r="FG21" s="56" t="str">
        <f t="array" ref="FG21">IF($DR21="","", INDEX(#REF!,MATCH(CONCATENATE(#REF!,$DR21),#REF!,0),MATCH(#REF!,#REF!,0)))</f>
        <v/>
      </c>
      <c r="FH21" s="56" t="str">
        <f t="array" ref="FH21">IF($DR21="","", INDEX(#REF!,MATCH(CONCATENATE(#REF!,$DR21),#REF!,0),MATCH(#REF!,#REF!,0)))</f>
        <v/>
      </c>
      <c r="FI21" s="56" t="str">
        <f t="array" ref="FI21">IF($DR21="","", INDEX(#REF!,MATCH(CONCATENATE(#REF!,$DR21),#REF!,0),MATCH(#REF!,#REF!,0)))</f>
        <v/>
      </c>
      <c r="FJ21" s="56" t="str">
        <f t="array" ref="FJ21">IF($DR21="","", INDEX(#REF!,MATCH(CONCATENATE(#REF!,$DR21),#REF!,0),MATCH(#REF!,#REF!,0)))</f>
        <v/>
      </c>
      <c r="FK21" s="45" t="str">
        <f t="array" ref="FK21">IF($DR21="","", INDEX(#REF!,MATCH(CONCATENATE(#REF!,$DR21),#REF!,0),MATCH(#REF!,#REF!,0)))</f>
        <v/>
      </c>
      <c r="FL21" s="45" t="str">
        <f t="array" ref="FL21">IF($DT21="","", INDEX(#REF!,MATCH(CONCATENATE('Respuestas de formulario 1.1'!$B21,$DS21),#REF!,0),MATCH('Respuestas de formulario 1.1'!FL$1,#REF!,0)))</f>
        <v/>
      </c>
      <c r="FM21" s="56" t="str">
        <f t="array" ref="FM21">IF($DT21="","", INDEX(#REF!,MATCH(CONCATENATE('Respuestas de formulario 1.1'!$B21,$DS21),#REF!,0),MATCH('Respuestas de formulario 1.1'!FM$1,#REF!,0)))</f>
        <v/>
      </c>
      <c r="FN21" s="56" t="str">
        <f t="array" ref="FN21">IF($DT21="","", INDEX(#REF!,MATCH(CONCATENATE('Respuestas de formulario 1.1'!$B21,$DS21),#REF!,0),MATCH('Respuestas de formulario 1.1'!FN$1,#REF!,0)))</f>
        <v/>
      </c>
      <c r="FO21" s="56" t="str">
        <f t="array" ref="FO21">IF($DT21="","", INDEX(#REF!,MATCH(CONCATENATE('Respuestas de formulario 1.1'!$B21,$DS21),#REF!,0),MATCH('Respuestas de formulario 1.1'!FO$1,#REF!,0)))</f>
        <v/>
      </c>
      <c r="FP21" s="56" t="str">
        <f t="array" ref="FP21">IF($DT21="","", INDEX(#REF!,MATCH(CONCATENATE('Respuestas de formulario 1.1'!$B21,$DS21),#REF!,0),MATCH('Respuestas de formulario 1.1'!FP$1,#REF!,0)))</f>
        <v/>
      </c>
      <c r="FQ21" s="56" t="str">
        <f t="array" ref="FQ21">IF($DT21="","", INDEX(#REF!,MATCH(CONCATENATE('Respuestas de formulario 1.1'!$B21,$DS21),#REF!,0),MATCH('Respuestas de formulario 1.1'!FQ$1,#REF!,0)))</f>
        <v/>
      </c>
      <c r="FR21" s="45" t="str">
        <f t="array" ref="FR21">IF($DT21="","", INDEX(#REF!,MATCH(CONCATENATE('Respuestas de formulario 1.1'!$B21,$DS21),#REF!,0),MATCH('Respuestas de formulario 1.1'!FR$1,#REF!,0)))</f>
        <v/>
      </c>
      <c r="FS21" s="45" t="str">
        <f t="array" ref="FS21">IF($DU21="","", INDEX(#REF!,MATCH(CONCATENATE('Respuestas de formulario 1.1'!$B21,$DT21),#REF!,0),MATCH('Respuestas de formulario 1.1'!FS$1,#REF!,0)))</f>
        <v/>
      </c>
      <c r="FT21" s="56" t="str">
        <f t="array" ref="FT21">IF($DU21="","", INDEX(#REF!,MATCH(CONCATENATE('Respuestas de formulario 1.1'!$B21,$DT21),#REF!,0),MATCH('Respuestas de formulario 1.1'!FT$1,#REF!,0)))</f>
        <v/>
      </c>
      <c r="FU21" s="56" t="str">
        <f t="array" ref="FU21">IF($DU21="","", INDEX(#REF!,MATCH(CONCATENATE('Respuestas de formulario 1.1'!$B21,$DT21),#REF!,0),MATCH('Respuestas de formulario 1.1'!FU$1,#REF!,0)))</f>
        <v/>
      </c>
      <c r="FV21" s="56" t="str">
        <f t="array" ref="FV21">IF($DU21="","", INDEX(#REF!,MATCH(CONCATENATE('Respuestas de formulario 1.1'!$B21,$DT21),#REF!,0),MATCH('Respuestas de formulario 1.1'!FV$1,#REF!,0)))</f>
        <v/>
      </c>
      <c r="FW21" s="56" t="str">
        <f t="array" ref="FW21">IF($DU21="","", INDEX(#REF!,MATCH(CONCATENATE('Respuestas de formulario 1.1'!$B21,$DT21),#REF!,0),MATCH('Respuestas de formulario 1.1'!FW$1,#REF!,0)))</f>
        <v/>
      </c>
      <c r="FX21" s="56" t="str">
        <f t="array" ref="FX21">IF($DU21="","", INDEX(#REF!,MATCH(CONCATENATE('Respuestas de formulario 1.1'!$B21,$DT21),#REF!,0),MATCH('Respuestas de formulario 1.1'!FX$1,#REF!,0)))</f>
        <v/>
      </c>
      <c r="FY21" s="45" t="str">
        <f t="array" ref="FY21">IF($DU21="","", INDEX(#REF!,MATCH(CONCATENATE('Respuestas de formulario 1.1'!$B21,$DT21),#REF!,0),MATCH('Respuestas de formulario 1.1'!FY$1,#REF!,0)))</f>
        <v/>
      </c>
      <c r="FZ21" s="3" t="s">
        <v>2860</v>
      </c>
      <c r="GA21" s="1" t="s">
        <v>3172</v>
      </c>
      <c r="GB21" s="5" t="s">
        <v>3173</v>
      </c>
      <c r="GC21" s="4" t="str">
        <f>HYPERLINK("https://drive.google.com/file/d/1N8ipRAIi4uCLGTqAH32Xca29RdH1jM5q/view?usp=drivesdk","MAYEN MONROY DORIAN Formato de reinscripción y pago 2022-2")</f>
        <v>MAYEN MONROY DORIAN Formato de reinscripción y pago 2022-2</v>
      </c>
      <c r="GD21" s="1" t="s">
        <v>3174</v>
      </c>
      <c r="GE21" s="1"/>
      <c r="GF21" s="1"/>
      <c r="GG21" s="1"/>
      <c r="GH21" s="1"/>
      <c r="GI21" s="1" t="s">
        <v>3175</v>
      </c>
      <c r="GJ21" s="5" t="s">
        <v>3176</v>
      </c>
      <c r="GK21" s="5" t="str">
        <f>HYPERLINK("https://drive.google.com/file/d/1Ropjzoj7wsOWW79v2cagVYlAUyc5MWbB/view?usp=drivesdk","MAYEN MONROY DORIAN Formato de reinscripción y pago 2022-2")</f>
        <v>MAYEN MONROY DORIAN Formato de reinscripción y pago 2022-2</v>
      </c>
      <c r="GL21" s="1" t="s">
        <v>3177</v>
      </c>
    </row>
    <row r="22" spans="1:194" ht="15.75" customHeight="1" x14ac:dyDescent="0.2">
      <c r="A22" s="2">
        <v>45139.036180208335</v>
      </c>
      <c r="B22" s="1" t="s">
        <v>9</v>
      </c>
      <c r="C22" s="1" t="s">
        <v>245</v>
      </c>
      <c r="D22" s="1" t="s">
        <v>432</v>
      </c>
      <c r="E22" s="1" t="s">
        <v>3178</v>
      </c>
      <c r="F22" s="1" t="s">
        <v>223</v>
      </c>
      <c r="G22" s="5" t="s">
        <v>3179</v>
      </c>
      <c r="H22" s="41">
        <v>38972</v>
      </c>
      <c r="I22" s="1">
        <v>16</v>
      </c>
      <c r="J22" s="1">
        <v>5517697029</v>
      </c>
      <c r="K22" s="1">
        <v>5557581718</v>
      </c>
      <c r="L22" s="1" t="s">
        <v>1510</v>
      </c>
      <c r="M22" s="1">
        <v>213090605702</v>
      </c>
      <c r="N22" s="1" t="s">
        <v>1108</v>
      </c>
      <c r="O22" s="1" t="s">
        <v>247</v>
      </c>
      <c r="P22" s="1" t="s">
        <v>226</v>
      </c>
      <c r="Q22" s="1" t="s">
        <v>227</v>
      </c>
      <c r="R22" s="1" t="s">
        <v>236</v>
      </c>
      <c r="S22" s="1" t="s">
        <v>228</v>
      </c>
      <c r="T22" s="1" t="s">
        <v>411</v>
      </c>
      <c r="U22" s="1" t="s">
        <v>393</v>
      </c>
      <c r="V22" s="1" t="s">
        <v>228</v>
      </c>
      <c r="W22" s="1" t="s">
        <v>3180</v>
      </c>
      <c r="X22" s="1" t="s">
        <v>393</v>
      </c>
      <c r="Y22" s="1" t="s">
        <v>300</v>
      </c>
      <c r="Z22" s="1" t="s">
        <v>240</v>
      </c>
      <c r="AA22" s="44" t="s">
        <v>707</v>
      </c>
      <c r="AB22" s="1">
        <v>12</v>
      </c>
      <c r="AC22" s="1">
        <v>1</v>
      </c>
      <c r="AD22" s="1" t="s">
        <v>2574</v>
      </c>
      <c r="AE22" s="1" t="s">
        <v>3181</v>
      </c>
      <c r="AF22" s="1" t="s">
        <v>758</v>
      </c>
      <c r="AG22" s="1">
        <v>23</v>
      </c>
      <c r="AH22" s="5" t="s">
        <v>3182</v>
      </c>
      <c r="AI22" s="1">
        <v>5515040428</v>
      </c>
      <c r="AJ22" s="1">
        <v>5557581718</v>
      </c>
      <c r="AK22" s="1" t="s">
        <v>1511</v>
      </c>
      <c r="AL22" s="1" t="s">
        <v>3183</v>
      </c>
      <c r="AM22" s="1" t="s">
        <v>252</v>
      </c>
      <c r="AN22" s="1" t="s">
        <v>3184</v>
      </c>
      <c r="AO22" s="1" t="s">
        <v>461</v>
      </c>
      <c r="AP22" s="1">
        <v>57</v>
      </c>
      <c r="AQ22" s="1" t="s">
        <v>233</v>
      </c>
      <c r="AR22" s="42">
        <v>0.29166666666424135</v>
      </c>
      <c r="AS22" s="42">
        <v>0.83333333333575865</v>
      </c>
      <c r="AT22" s="1">
        <v>5534034738</v>
      </c>
      <c r="AU22" s="1">
        <v>5557581718</v>
      </c>
      <c r="AV22" s="1" t="s">
        <v>1512</v>
      </c>
      <c r="AW22" s="5" t="s">
        <v>3185</v>
      </c>
      <c r="AX22" s="1" t="s">
        <v>308</v>
      </c>
      <c r="AY22" s="1" t="s">
        <v>1513</v>
      </c>
      <c r="AZ22" s="1" t="s">
        <v>3186</v>
      </c>
      <c r="BA22" s="1" t="s">
        <v>435</v>
      </c>
      <c r="BB22" s="1">
        <v>50</v>
      </c>
      <c r="BC22" s="1" t="s">
        <v>854</v>
      </c>
      <c r="BD22" s="43">
        <v>0.36805555555474712</v>
      </c>
      <c r="BE22" s="43">
        <v>0.83055555555620231</v>
      </c>
      <c r="BF22" s="1">
        <v>5578048582</v>
      </c>
      <c r="BG22" s="1">
        <v>5557581718</v>
      </c>
      <c r="BH22" s="1" t="s">
        <v>1514</v>
      </c>
      <c r="BI22" s="5" t="s">
        <v>3187</v>
      </c>
      <c r="BJ22" s="1" t="s">
        <v>236</v>
      </c>
      <c r="BL22" s="1">
        <v>1.61</v>
      </c>
      <c r="BM22" s="1">
        <v>70</v>
      </c>
      <c r="BN22" s="1" t="s">
        <v>236</v>
      </c>
      <c r="BO22" s="1" t="s">
        <v>228</v>
      </c>
      <c r="BQ22" s="1" t="s">
        <v>228</v>
      </c>
      <c r="BR22" s="1" t="s">
        <v>237</v>
      </c>
      <c r="BS22" s="1" t="s">
        <v>236</v>
      </c>
      <c r="BT22" s="1" t="s">
        <v>271</v>
      </c>
      <c r="BU22" s="1" t="s">
        <v>228</v>
      </c>
      <c r="BW22" s="1" t="s">
        <v>238</v>
      </c>
      <c r="BX22" s="1">
        <v>30</v>
      </c>
      <c r="BY22" s="1">
        <v>80</v>
      </c>
      <c r="BZ22" s="1" t="s">
        <v>253</v>
      </c>
      <c r="CA22" s="1" t="s">
        <v>343</v>
      </c>
      <c r="CB22" s="1" t="s">
        <v>240</v>
      </c>
      <c r="CC22" s="1" t="s">
        <v>300</v>
      </c>
      <c r="CD22" s="1">
        <v>2000</v>
      </c>
      <c r="CE22" s="1">
        <v>3000</v>
      </c>
      <c r="CF22" s="1" t="s">
        <v>236</v>
      </c>
      <c r="CG22" s="1" t="s">
        <v>242</v>
      </c>
      <c r="CH22" s="1" t="s">
        <v>243</v>
      </c>
      <c r="CI22" s="1" t="s">
        <v>243</v>
      </c>
      <c r="CJ22" s="1" t="s">
        <v>2848</v>
      </c>
      <c r="CL22" s="5" t="s">
        <v>3188</v>
      </c>
      <c r="CM22" s="1">
        <v>56210616837</v>
      </c>
      <c r="CN22" s="1" t="s">
        <v>228</v>
      </c>
      <c r="CQ22" s="42">
        <v>0.29166666666424135</v>
      </c>
      <c r="CR22" s="42">
        <v>0.625</v>
      </c>
      <c r="CT22" s="45" t="str">
        <f t="array" ref="CT22">IFERROR(INDEX(#REF!,MATCH('Respuestas de formulario 1.1'!$B22,#REF!,0),MATCH('Respuestas de formulario 1.1'!CT$1,#REF!,0)),"")</f>
        <v/>
      </c>
      <c r="CU22" s="56" t="str">
        <f t="array" ref="CU22">IFERROR(INDEX(#REF!,MATCH('Respuestas de formulario 1.1'!$B22,#REF!,0),MATCH('Respuestas de formulario 1.1'!CU$1,#REF!,0)),"")</f>
        <v/>
      </c>
      <c r="CV22" s="56" t="str">
        <f t="array" ref="CV22">IFERROR(INDEX(#REF!,MATCH('Respuestas de formulario 1.1'!$B22,#REF!,0),MATCH('Respuestas de formulario 1.1'!CV$1,#REF!,0)),"")</f>
        <v/>
      </c>
      <c r="CW22" s="56" t="str">
        <f t="array" ref="CW22">IFERROR(INDEX(#REF!,MATCH('Respuestas de formulario 1.1'!$B22,#REF!,0),MATCH('Respuestas de formulario 1.1'!CW$1,#REF!,0)),"")</f>
        <v/>
      </c>
      <c r="CX22" s="56" t="str">
        <f t="array" ref="CX22">IFERROR(INDEX(#REF!,MATCH('Respuestas de formulario 1.1'!$B22,#REF!,0),MATCH('Respuestas de formulario 1.1'!CX$1,#REF!,0)),"")</f>
        <v/>
      </c>
      <c r="CY22" s="56" t="str">
        <f t="array" ref="CY22">IFERROR(INDEX(#REF!,MATCH('Respuestas de formulario 1.1'!$B22,#REF!,0),MATCH('Respuestas de formulario 1.1'!CY$1,#REF!,0)),"")</f>
        <v/>
      </c>
      <c r="CZ22" s="57" t="str">
        <f t="array" ref="CZ22">IFERROR(INDEX(#REF!,MATCH('Respuestas de formulario 1.1'!$B22,#REF!,0),MATCH('Respuestas de formulario 1.1'!CZ$1,#REF!,0)),"")</f>
        <v/>
      </c>
      <c r="DA22" s="45" t="e">
        <f t="array" ref="DA22">INDEX(#REF!,MATCH('Respuestas de formulario 1.1'!$B22,#REF!,0),MATCH('Respuestas de formulario 1.1'!DA$1,#REF!,0))</f>
        <v>#REF!</v>
      </c>
      <c r="DB22" s="45" t="e">
        <f t="array" ref="DB22">INDEX(#REF!,MATCH('Respuestas de formulario 1.1'!$B22,#REF!,0),MATCH('Respuestas de formulario 1.1'!DB$1,#REF!,0))</f>
        <v>#REF!</v>
      </c>
      <c r="DC22" s="45" t="e">
        <f t="array" ref="DC22">INDEX(#REF!,MATCH('Respuestas de formulario 1.1'!$B22,#REF!,0),MATCH('Respuestas de formulario 1.1'!DC$1,#REF!,0))</f>
        <v>#REF!</v>
      </c>
      <c r="DD22" s="45" t="e">
        <f t="array" ref="DD22">INDEX(#REF!,MATCH('Respuestas de formulario 1.1'!$B22,#REF!,0),MATCH('Respuestas de formulario 1.1'!DD$1,#REF!,0))</f>
        <v>#REF!</v>
      </c>
      <c r="DE22" s="45" t="e">
        <f t="array" ref="DE22">INDEX(#REF!,MATCH('Respuestas de formulario 1.1'!$B22,#REF!,0),MATCH('Respuestas de formulario 1.1'!DE$1,#REF!,0))</f>
        <v>#REF!</v>
      </c>
      <c r="DF22" s="45" t="e">
        <f t="array" ref="DF22">INDEX(#REF!,MATCH('Respuestas de formulario 1.1'!$B22,#REF!,0),MATCH('Respuestas de formulario 1.1'!DF$1,#REF!,0))</f>
        <v>#REF!</v>
      </c>
      <c r="DG22" s="45" t="e">
        <f t="array" ref="DG22">INDEX(#REF!,MATCH('Respuestas de formulario 1.1'!$B22,#REF!,0),MATCH('Respuestas de formulario 1.1'!DG$1,#REF!,0))</f>
        <v>#REF!</v>
      </c>
      <c r="DH22" s="45" t="e">
        <f t="array" ref="DH22">INDEX(#REF!,MATCH('Respuestas de formulario 1.1'!$B22,#REF!,0),MATCH('Respuestas de formulario 1.1'!DH$1,#REF!,0))</f>
        <v>#REF!</v>
      </c>
      <c r="DI22" s="48" t="e">
        <f>VLOOKUP(CONCATENATE($DF22," TUTO ",$DC22),#REF!,3,0)</f>
        <v>#REF!</v>
      </c>
      <c r="DJ22" s="48" t="e">
        <f t="array" ref="DJ22">IF('Respuestas de formulario 1.1'!A22="","",INDEX(#REF!,MATCH('Respuestas de formulario 1.1'!B22,#REF!,0),MATCH('Respuestas de formulario 1.1'!$DH$1,#REF!,0)))</f>
        <v>#REF!</v>
      </c>
      <c r="DK22" s="52" t="str">
        <f>CONCATENATE("http://doc.google.com/uc?id=",MID('Respuestas de formulario 1.1'!G22,34,33))</f>
        <v>http://doc.google.com/uc?id=1y2Ix0Do1Sw-dIuPf5PB3UC2tUDrwjN2G</v>
      </c>
      <c r="DL22" s="49" t="str">
        <f>CONCATENATE("http://doc.google.com/uc?id=",MID('Respuestas de formulario 1.1'!AH22,34,33))</f>
        <v>http://doc.google.com/uc?id=1WBfLaFpol01jPNXLhIQvdG5aAjHHuAam</v>
      </c>
      <c r="DM22" s="50" t="str">
        <f>CONCATENATE("http://doc.google.com/uc?id=",MID('Respuestas de formulario 1.1'!AW22,34,33))</f>
        <v>http://doc.google.com/uc?id=1z2QVG5t8xwlMmbmufC4haV19gEL1cGFA</v>
      </c>
      <c r="DN22" s="53" t="str">
        <f>CONCATENATE("http://doc.google.com/uc?id=",MID('Respuestas de formulario 1.1'!$BI22,34,33))</f>
        <v>http://doc.google.com/uc?id=1ftnARZysR3Pe6y7_9b3-UP8UUqmFSZ2P</v>
      </c>
      <c r="DO22" s="45" t="str">
        <f>IFERROR(VLOOKUP(CONCATENATE('Respuestas de formulario 1.1'!$B22,MID('Respuestas de formulario 1.1'!DO$1,2,1)),#REF!,12,0),"")</f>
        <v/>
      </c>
      <c r="DP22" s="45" t="str">
        <f>IFERROR(VLOOKUP(CONCATENATE('Respuestas de formulario 1.1'!$B22,MID('Respuestas de formulario 1.1'!DP$1,2,1)),#REF!,12,0),"")</f>
        <v/>
      </c>
      <c r="DQ22" s="45" t="str">
        <f>IFERROR(VLOOKUP(CONCATENATE('Respuestas de formulario 1.1'!$B22,MID('Respuestas de formulario 1.1'!DQ$1,2,1)),#REF!,12,0),"")</f>
        <v/>
      </c>
      <c r="DR22" s="45" t="str">
        <f>IFERROR(VLOOKUP(CONCATENATE('Respuestas de formulario 1.1'!$B22,MID('Respuestas de formulario 1.1'!DR$1,2,1)),#REF!,12,0),"")</f>
        <v/>
      </c>
      <c r="DS22" s="45" t="str">
        <f>IFERROR(VLOOKUP(CONCATENATE('Respuestas de formulario 1.1'!$B22,MID('Respuestas de formulario 1.1'!DS$1,2,1)),#REF!,12,0),"")</f>
        <v/>
      </c>
      <c r="DT22" s="45" t="str">
        <f>IFERROR(VLOOKUP(CONCATENATE('Respuestas de formulario 1.1'!$B22,MID('Respuestas de formulario 1.1'!DT$1,2,1)),#REF!,12,0),"")</f>
        <v/>
      </c>
      <c r="DU22" s="45" t="str">
        <f>IFERROR(VLOOKUP(CONCATENATE('Respuestas de formulario 1.1'!$B22,MID('Respuestas de formulario 1.1'!DU$1,2,1)),#REF!,12,0),"")</f>
        <v/>
      </c>
      <c r="DV22" s="45" t="str">
        <f>IFERROR(VLOOKUP(CONCATENATE('Respuestas de formulario 1.1'!$B22,MID('Respuestas de formulario 1.1'!DV$1,2,1)),#REF!,12,0),"")</f>
        <v/>
      </c>
      <c r="DW22" s="45" t="str">
        <f>IFERROR(VLOOKUP(CONCATENATE('Respuestas de formulario 1.1'!$B22,MID('Respuestas de formulario 1.1'!DW$1,2,1)),#REF!,12,0),"")</f>
        <v/>
      </c>
      <c r="DX22" s="45" t="str">
        <f>IFERROR(VLOOKUP(CONCATENATE('Respuestas de formulario 1.1'!$B22,MID('Respuestas de formulario 1.1'!DX$1,2,1)),#REF!,12,0),"")</f>
        <v/>
      </c>
      <c r="DY22" s="45" t="str">
        <f>IFERROR(VLOOKUP(CONCATENATE('Respuestas de formulario 1.1'!$B22,MID('Respuestas de formulario 1.1'!DY$1,2,1)),#REF!,12,0),"")</f>
        <v/>
      </c>
      <c r="DZ22" s="45" t="str">
        <f>IFERROR(VLOOKUP(CONCATENATE('Respuestas de formulario 1.1'!$B22,MID('Respuestas de formulario 1.1'!DZ$1,2,1)),#REF!,12,0),"")</f>
        <v/>
      </c>
      <c r="EA22" s="45" t="str">
        <f>IFERROR(VLOOKUP(CONCATENATE('Respuestas de formulario 1.1'!$B22,MID('Respuestas de formulario 1.1'!EA$1,2,1)),#REF!,12,0),"")</f>
        <v/>
      </c>
      <c r="EB22" s="45" t="str">
        <f>IFERROR(VLOOKUP(CONCATENATE('Respuestas de formulario 1.1'!$B22,MID('Respuestas de formulario 1.1'!EB$1,2,1)),#REF!,12,0),"")</f>
        <v/>
      </c>
      <c r="EC22" s="45" t="str">
        <f>IFERROR(VLOOKUP(CONCATENATE('Respuestas de formulario 1.1'!$B22,MID('Respuestas de formulario 1.1'!EC$1,2,1)),#REF!,12,0),"")</f>
        <v/>
      </c>
      <c r="ED22" s="45" t="str">
        <f>IFERROR(VLOOKUP(CONCATENATE('Respuestas de formulario 1.1'!$B22,MID('Respuestas de formulario 1.1'!ED$1,2,1)),#REF!,12,0),"")</f>
        <v/>
      </c>
      <c r="EE22" s="45" t="str">
        <f>IFERROR(VLOOKUP(CONCATENATE('Respuestas de formulario 1.1'!$B22,MID('Respuestas de formulario 1.1'!EE$1,2,1)),#REF!,12,0),"")</f>
        <v/>
      </c>
      <c r="EF22" s="45" t="str">
        <f>IFERROR(VLOOKUP(CONCATENATE('Respuestas de formulario 1.1'!$B22,MID('Respuestas de formulario 1.1'!EF$1,2,1)),#REF!,12,0),"")</f>
        <v/>
      </c>
      <c r="EG22" s="45" t="str">
        <f>IFERROR(VLOOKUP(CONCATENATE('Respuestas de formulario 1.1'!$B22,MID('Respuestas de formulario 1.1'!EG$1,2,1)),#REF!,12,0),"")</f>
        <v/>
      </c>
      <c r="EH22" s="45" t="str">
        <f>IFERROR(VLOOKUP(CONCATENATE('Respuestas de formulario 1.1'!$B22,MID('Respuestas de formulario 1.1'!EH$1,2,1)),#REF!,12,0),"")</f>
        <v/>
      </c>
      <c r="EI22" s="45" t="str">
        <f>IFERROR(VLOOKUP(CONCATENATE('Respuestas de formulario 1.1'!$B22,MID('Respuestas de formulario 1.1'!EI$1,2,1)),#REF!,12,0),"")</f>
        <v/>
      </c>
      <c r="EJ22" s="45" t="str">
        <f t="array" ref="EJ22">IF(DO22="","", INDEX(#REF!,MATCH(CONCATENATE('Respuestas de formulario 1.1'!$B22,DO22),#REF!,0),MATCH('Respuestas de formulario 1.1'!EJ$1,#REF!,0)))</f>
        <v/>
      </c>
      <c r="EK22" s="56" t="str">
        <f t="array" ref="EK22">IF(DP22="","", INDEX(#REF!,MATCH(CONCATENATE('Respuestas de formulario 1.1'!$B22,DP22),#REF!,0),MATCH('Respuestas de formulario 1.1'!EK$1,#REF!,0)))</f>
        <v/>
      </c>
      <c r="EL22" s="56" t="str">
        <f t="array" ref="EL22">IF(DQ22="","", INDEX(#REF!,MATCH(CONCATENATE('Respuestas de formulario 1.1'!$B22,DQ22),#REF!,0),MATCH('Respuestas de formulario 1.1'!EL$1,#REF!,0)))</f>
        <v/>
      </c>
      <c r="EM22" s="56" t="str">
        <f t="array" ref="EM22">IF(DR22="","", INDEX(#REF!,MATCH(CONCATENATE('Respuestas de formulario 1.1'!$B22,DR22),#REF!,0),MATCH('Respuestas de formulario 1.1'!EM$1,#REF!,0)))</f>
        <v/>
      </c>
      <c r="EN22" s="56" t="str">
        <f t="array" ref="EN22">IF(DS22="","", INDEX(#REF!,MATCH(CONCATENATE('Respuestas de formulario 1.1'!$B22,DS22),#REF!,0),MATCH('Respuestas de formulario 1.1'!EN$1,#REF!,0)))</f>
        <v/>
      </c>
      <c r="EO22" s="56" t="str">
        <f t="array" ref="EO22">IF(DT22="","", INDEX(#REF!,MATCH(CONCATENATE('Respuestas de formulario 1.1'!$B22,DT22),#REF!,0),MATCH('Respuestas de formulario 1.1'!EO$1,#REF!,0)))</f>
        <v/>
      </c>
      <c r="EP22" s="45" t="str">
        <f t="array" ref="EP22">IF(DU22="","", INDEX(#REF!,MATCH(CONCATENATE('Respuestas de formulario 1.1'!$B22,DU22),#REF!,0),MATCH('Respuestas de formulario 1.1'!EP$1,#REF!,0)))</f>
        <v/>
      </c>
      <c r="EQ22" s="45" t="str">
        <f t="array" ref="EQ22">IF(DP22="","", INDEX(#REF!,MATCH(CONCATENATE('Respuestas de formulario 1.1'!$B22,DP22),#REF!,0),MATCH('Respuestas de formulario 1.1'!EQ$1,#REF!,0)))</f>
        <v/>
      </c>
      <c r="ER22" s="56" t="str">
        <f t="array" ref="ER22">IF(DQ22="","", INDEX(#REF!,MATCH(CONCATENATE('Respuestas de formulario 1.1'!$B22,DQ22),#REF!,0),MATCH('Respuestas de formulario 1.1'!ER$1,#REF!,0)))</f>
        <v/>
      </c>
      <c r="ES22" s="56" t="str">
        <f t="array" ref="ES22">IF(DR22="","", INDEX(#REF!,MATCH(CONCATENATE('Respuestas de formulario 1.1'!$B22,DR22),#REF!,0),MATCH('Respuestas de formulario 1.1'!ES$1,#REF!,0)))</f>
        <v/>
      </c>
      <c r="ET22" s="56" t="str">
        <f t="array" ref="ET22">IF(DS22="","", INDEX(#REF!,MATCH(CONCATENATE('Respuestas de formulario 1.1'!$B22,DS22),#REF!,0),MATCH('Respuestas de formulario 1.1'!ET$1,#REF!,0)))</f>
        <v/>
      </c>
      <c r="EU22" s="56" t="str">
        <f t="array" ref="EU22">IF(DT22="","", INDEX(#REF!,MATCH(CONCATENATE('Respuestas de formulario 1.1'!$B22,DT22),#REF!,0),MATCH('Respuestas de formulario 1.1'!EU$1,#REF!,0)))</f>
        <v/>
      </c>
      <c r="EV22" s="56" t="str">
        <f t="array" ref="EV22">IF(DU22="","", INDEX(#REF!,MATCH(CONCATENATE('Respuestas de formulario 1.1'!$B22,DU22),#REF!,0),MATCH('Respuestas de formulario 1.1'!EV$1,#REF!,0)))</f>
        <v/>
      </c>
      <c r="EW22" s="45" t="str">
        <f t="array" ref="EW22">IF(DV22="","", INDEX(#REF!,MATCH(CONCATENATE('Respuestas de formulario 1.1'!$B22,DV22),#REF!,0),MATCH('Respuestas de formulario 1.1'!EW$1,#REF!,0)))</f>
        <v/>
      </c>
      <c r="EX22" s="45" t="str">
        <f t="array" ref="EX22">IF($DQ22="","", INDEX(#REF!,MATCH(CONCATENATE('Respuestas de formulario 1.1'!$B22,$DQ22),#REF!,0),MATCH('Respuestas de formulario 1.1'!EX$1,#REF!,0)))</f>
        <v/>
      </c>
      <c r="EY22" s="56" t="str">
        <f t="array" ref="EY22">IF($DQ22="","", INDEX(#REF!,MATCH(CONCATENATE('Respuestas de formulario 1.1'!$B22,$DQ22),#REF!,0),MATCH('Respuestas de formulario 1.1'!EY$1,#REF!,0)))</f>
        <v/>
      </c>
      <c r="EZ22" s="56" t="str">
        <f t="array" ref="EZ22">IF($DQ22="","", INDEX(#REF!,MATCH(CONCATENATE('Respuestas de formulario 1.1'!$B22,$DQ22),#REF!,0),MATCH('Respuestas de formulario 1.1'!EZ$1,#REF!,0)))</f>
        <v/>
      </c>
      <c r="FA22" s="56" t="str">
        <f t="array" ref="FA22">IF($DQ22="","", INDEX(#REF!,MATCH(CONCATENATE('Respuestas de formulario 1.1'!$B22,$DQ22),#REF!,0),MATCH('Respuestas de formulario 1.1'!FA$1,#REF!,0)))</f>
        <v/>
      </c>
      <c r="FB22" s="56" t="str">
        <f t="array" ref="FB22">IF($DQ22="","", INDEX(#REF!,MATCH(CONCATENATE('Respuestas de formulario 1.1'!$B22,$DQ22),#REF!,0),MATCH('Respuestas de formulario 1.1'!FB$1,#REF!,0)))</f>
        <v/>
      </c>
      <c r="FC22" s="56" t="str">
        <f t="array" ref="FC22">IF($DQ22="","", INDEX(#REF!,MATCH(CONCATENATE('Respuestas de formulario 1.1'!$B22,$DQ22),#REF!,0),MATCH('Respuestas de formulario 1.1'!FC$1,#REF!,0)))</f>
        <v/>
      </c>
      <c r="FD22" s="45" t="str">
        <f t="array" ref="FD22">IF($DQ22="","", INDEX(#REF!,MATCH(CONCATENATE('Respuestas de formulario 1.1'!$B22,$DQ22),#REF!,0),MATCH('Respuestas de formulario 1.1'!FD$1,#REF!,0)))</f>
        <v/>
      </c>
      <c r="FE22" s="45" t="str">
        <f t="array" ref="FE22">IF($DR22="","", INDEX(#REF!,MATCH(CONCATENATE(#REF!,$DR22),#REF!,0),MATCH(#REF!,#REF!,0)))</f>
        <v/>
      </c>
      <c r="FF22" s="56" t="str">
        <f t="array" ref="FF22">IF($DR22="","", INDEX(#REF!,MATCH(CONCATENATE(#REF!,$DR22),#REF!,0),MATCH(#REF!,#REF!,0)))</f>
        <v/>
      </c>
      <c r="FG22" s="56" t="str">
        <f t="array" ref="FG22">IF($DR22="","", INDEX(#REF!,MATCH(CONCATENATE(#REF!,$DR22),#REF!,0),MATCH(#REF!,#REF!,0)))</f>
        <v/>
      </c>
      <c r="FH22" s="56" t="str">
        <f t="array" ref="FH22">IF($DR22="","", INDEX(#REF!,MATCH(CONCATENATE(#REF!,$DR22),#REF!,0),MATCH(#REF!,#REF!,0)))</f>
        <v/>
      </c>
      <c r="FI22" s="56" t="str">
        <f t="array" ref="FI22">IF($DR22="","", INDEX(#REF!,MATCH(CONCATENATE(#REF!,$DR22),#REF!,0),MATCH(#REF!,#REF!,0)))</f>
        <v/>
      </c>
      <c r="FJ22" s="56" t="str">
        <f t="array" ref="FJ22">IF($DR22="","", INDEX(#REF!,MATCH(CONCATENATE(#REF!,$DR22),#REF!,0),MATCH(#REF!,#REF!,0)))</f>
        <v/>
      </c>
      <c r="FK22" s="45" t="str">
        <f t="array" ref="FK22">IF($DR22="","", INDEX(#REF!,MATCH(CONCATENATE(#REF!,$DR22),#REF!,0),MATCH(#REF!,#REF!,0)))</f>
        <v/>
      </c>
      <c r="FL22" s="45" t="str">
        <f t="array" ref="FL22">IF($DT22="","", INDEX(#REF!,MATCH(CONCATENATE('Respuestas de formulario 1.1'!$B22,$DS22),#REF!,0),MATCH('Respuestas de formulario 1.1'!FL$1,#REF!,0)))</f>
        <v/>
      </c>
      <c r="FM22" s="56" t="str">
        <f t="array" ref="FM22">IF($DT22="","", INDEX(#REF!,MATCH(CONCATENATE('Respuestas de formulario 1.1'!$B22,$DS22),#REF!,0),MATCH('Respuestas de formulario 1.1'!FM$1,#REF!,0)))</f>
        <v/>
      </c>
      <c r="FN22" s="56" t="str">
        <f t="array" ref="FN22">IF($DT22="","", INDEX(#REF!,MATCH(CONCATENATE('Respuestas de formulario 1.1'!$B22,$DS22),#REF!,0),MATCH('Respuestas de formulario 1.1'!FN$1,#REF!,0)))</f>
        <v/>
      </c>
      <c r="FO22" s="56" t="str">
        <f t="array" ref="FO22">IF($DT22="","", INDEX(#REF!,MATCH(CONCATENATE('Respuestas de formulario 1.1'!$B22,$DS22),#REF!,0),MATCH('Respuestas de formulario 1.1'!FO$1,#REF!,0)))</f>
        <v/>
      </c>
      <c r="FP22" s="56" t="str">
        <f t="array" ref="FP22">IF($DT22="","", INDEX(#REF!,MATCH(CONCATENATE('Respuestas de formulario 1.1'!$B22,$DS22),#REF!,0),MATCH('Respuestas de formulario 1.1'!FP$1,#REF!,0)))</f>
        <v/>
      </c>
      <c r="FQ22" s="56" t="str">
        <f t="array" ref="FQ22">IF($DT22="","", INDEX(#REF!,MATCH(CONCATENATE('Respuestas de formulario 1.1'!$B22,$DS22),#REF!,0),MATCH('Respuestas de formulario 1.1'!FQ$1,#REF!,0)))</f>
        <v/>
      </c>
      <c r="FR22" s="45" t="str">
        <f t="array" ref="FR22">IF($DT22="","", INDEX(#REF!,MATCH(CONCATENATE('Respuestas de formulario 1.1'!$B22,$DS22),#REF!,0),MATCH('Respuestas de formulario 1.1'!FR$1,#REF!,0)))</f>
        <v/>
      </c>
      <c r="FS22" s="45" t="str">
        <f t="array" ref="FS22">IF($DU22="","", INDEX(#REF!,MATCH(CONCATENATE('Respuestas de formulario 1.1'!$B22,$DT22),#REF!,0),MATCH('Respuestas de formulario 1.1'!FS$1,#REF!,0)))</f>
        <v/>
      </c>
      <c r="FT22" s="56" t="str">
        <f t="array" ref="FT22">IF($DU22="","", INDEX(#REF!,MATCH(CONCATENATE('Respuestas de formulario 1.1'!$B22,$DT22),#REF!,0),MATCH('Respuestas de formulario 1.1'!FT$1,#REF!,0)))</f>
        <v/>
      </c>
      <c r="FU22" s="56" t="str">
        <f t="array" ref="FU22">IF($DU22="","", INDEX(#REF!,MATCH(CONCATENATE('Respuestas de formulario 1.1'!$B22,$DT22),#REF!,0),MATCH('Respuestas de formulario 1.1'!FU$1,#REF!,0)))</f>
        <v/>
      </c>
      <c r="FV22" s="56" t="str">
        <f t="array" ref="FV22">IF($DU22="","", INDEX(#REF!,MATCH(CONCATENATE('Respuestas de formulario 1.1'!$B22,$DT22),#REF!,0),MATCH('Respuestas de formulario 1.1'!FV$1,#REF!,0)))</f>
        <v/>
      </c>
      <c r="FW22" s="56" t="str">
        <f t="array" ref="FW22">IF($DU22="","", INDEX(#REF!,MATCH(CONCATENATE('Respuestas de formulario 1.1'!$B22,$DT22),#REF!,0),MATCH('Respuestas de formulario 1.1'!FW$1,#REF!,0)))</f>
        <v/>
      </c>
      <c r="FX22" s="56" t="str">
        <f t="array" ref="FX22">IF($DU22="","", INDEX(#REF!,MATCH(CONCATENATE('Respuestas de formulario 1.1'!$B22,$DT22),#REF!,0),MATCH('Respuestas de formulario 1.1'!FX$1,#REF!,0)))</f>
        <v/>
      </c>
      <c r="FY22" s="45" t="str">
        <f t="array" ref="FY22">IF($DU22="","", INDEX(#REF!,MATCH(CONCATENATE('Respuestas de formulario 1.1'!$B22,$DT22),#REF!,0),MATCH('Respuestas de formulario 1.1'!FY$1,#REF!,0)))</f>
        <v/>
      </c>
      <c r="FZ22" s="3" t="s">
        <v>2860</v>
      </c>
      <c r="GA22" s="1" t="s">
        <v>3189</v>
      </c>
      <c r="GB22" s="5" t="s">
        <v>3190</v>
      </c>
      <c r="GC22" s="4" t="str">
        <f>HYPERLINK("https://drive.google.com/file/d/19Bz34ZkOCWqFg7K5NVI4i8dJ_n0rkBnO/view?usp=drivesdk","LOPEZ JUAREZ LINDA JOANNA Formato de reinscripción y pago 2022-2")</f>
        <v>LOPEZ JUAREZ LINDA JOANNA Formato de reinscripción y pago 2022-2</v>
      </c>
      <c r="GD22" s="1" t="s">
        <v>3191</v>
      </c>
      <c r="GE22" s="1"/>
      <c r="GF22" s="1"/>
      <c r="GG22" s="1"/>
      <c r="GH22" s="1"/>
      <c r="GI22" s="1" t="s">
        <v>3192</v>
      </c>
      <c r="GJ22" s="5" t="s">
        <v>3193</v>
      </c>
      <c r="GK22" s="5" t="str">
        <f>HYPERLINK("https://drive.google.com/file/d/13xSRcHhAw9cASMwENR5G46dR5gNznQFl/view?usp=drivesdk","LOPEZ JUAREZ LINDA JOANNA Formato de reinscripción y pago 2022-2")</f>
        <v>LOPEZ JUAREZ LINDA JOANNA Formato de reinscripción y pago 2022-2</v>
      </c>
      <c r="GL22" s="1" t="s">
        <v>3194</v>
      </c>
    </row>
    <row r="23" spans="1:194" ht="15.75" customHeight="1" x14ac:dyDescent="0.2">
      <c r="A23" s="2">
        <v>45139.034816620369</v>
      </c>
      <c r="B23" s="1" t="s">
        <v>1478</v>
      </c>
      <c r="C23" s="1" t="s">
        <v>3195</v>
      </c>
      <c r="D23" s="1" t="s">
        <v>840</v>
      </c>
      <c r="E23" s="1" t="s">
        <v>3196</v>
      </c>
      <c r="F23" s="1" t="s">
        <v>223</v>
      </c>
      <c r="G23" s="5" t="s">
        <v>3197</v>
      </c>
      <c r="H23" s="41">
        <v>38982</v>
      </c>
      <c r="I23" s="1">
        <v>16</v>
      </c>
      <c r="J23" s="1">
        <v>5585424712</v>
      </c>
      <c r="K23" s="1">
        <v>5589296145</v>
      </c>
      <c r="L23" s="1" t="s">
        <v>1480</v>
      </c>
      <c r="M23" s="1">
        <v>213090605702</v>
      </c>
      <c r="N23" s="1" t="s">
        <v>1108</v>
      </c>
      <c r="O23" s="1" t="s">
        <v>247</v>
      </c>
      <c r="P23" s="1" t="s">
        <v>226</v>
      </c>
      <c r="Q23" s="1" t="s">
        <v>248</v>
      </c>
      <c r="R23" s="1" t="s">
        <v>236</v>
      </c>
      <c r="S23" s="1" t="s">
        <v>228</v>
      </c>
      <c r="T23" s="1" t="s">
        <v>686</v>
      </c>
      <c r="U23" s="1" t="s">
        <v>264</v>
      </c>
      <c r="V23" s="1" t="s">
        <v>228</v>
      </c>
      <c r="W23" s="1" t="s">
        <v>3198</v>
      </c>
      <c r="X23" s="1" t="s">
        <v>264</v>
      </c>
      <c r="Y23" s="1" t="s">
        <v>1826</v>
      </c>
      <c r="Z23" s="1" t="s">
        <v>231</v>
      </c>
      <c r="AA23" s="1">
        <v>57500</v>
      </c>
      <c r="AB23" s="1">
        <v>180</v>
      </c>
      <c r="AC23" s="1">
        <v>6</v>
      </c>
      <c r="AD23" s="1" t="s">
        <v>3199</v>
      </c>
      <c r="AE23" s="1" t="s">
        <v>3200</v>
      </c>
      <c r="AF23" s="1" t="s">
        <v>445</v>
      </c>
      <c r="AG23" s="1">
        <v>46</v>
      </c>
      <c r="AH23" s="5" t="s">
        <v>3201</v>
      </c>
      <c r="AI23" s="1">
        <v>5620083215</v>
      </c>
      <c r="AJ23" s="1">
        <v>5589296145</v>
      </c>
      <c r="AK23" s="1" t="s">
        <v>1481</v>
      </c>
      <c r="AL23" s="1" t="s">
        <v>1479</v>
      </c>
      <c r="AM23" s="1" t="s">
        <v>244</v>
      </c>
      <c r="AN23" s="1" t="s">
        <v>1280</v>
      </c>
      <c r="AO23" s="1" t="s">
        <v>435</v>
      </c>
      <c r="AP23" s="1">
        <v>47</v>
      </c>
      <c r="AQ23" s="1" t="s">
        <v>3202</v>
      </c>
      <c r="AR23" s="42">
        <v>0.29166666666424135</v>
      </c>
      <c r="AS23" s="42">
        <v>0.33333333333575865</v>
      </c>
      <c r="AT23" s="1">
        <v>5630872482</v>
      </c>
      <c r="AU23" s="1">
        <v>5589296145</v>
      </c>
      <c r="AV23" s="1" t="s">
        <v>1482</v>
      </c>
      <c r="AW23" s="5" t="s">
        <v>3203</v>
      </c>
      <c r="AX23" s="1" t="s">
        <v>1479</v>
      </c>
      <c r="AY23" s="1" t="s">
        <v>840</v>
      </c>
      <c r="AZ23" s="1" t="s">
        <v>3204</v>
      </c>
      <c r="BA23" s="1" t="s">
        <v>403</v>
      </c>
      <c r="BB23" s="1">
        <v>20</v>
      </c>
      <c r="BC23" s="1" t="s">
        <v>3205</v>
      </c>
      <c r="BD23" s="43">
        <v>0.41666666666424135</v>
      </c>
      <c r="BE23" s="43">
        <v>0.33333333333575865</v>
      </c>
      <c r="BF23" s="1">
        <v>5610134526</v>
      </c>
      <c r="BG23" s="1">
        <v>5589296145</v>
      </c>
      <c r="BH23" s="1" t="s">
        <v>3206</v>
      </c>
      <c r="BI23" s="5" t="s">
        <v>3207</v>
      </c>
      <c r="BJ23" s="1" t="s">
        <v>236</v>
      </c>
      <c r="BL23" s="1">
        <v>1.58</v>
      </c>
      <c r="BM23" s="1">
        <v>50</v>
      </c>
      <c r="BN23" s="1" t="s">
        <v>236</v>
      </c>
      <c r="BO23" s="1" t="s">
        <v>228</v>
      </c>
      <c r="BQ23" s="1" t="s">
        <v>228</v>
      </c>
      <c r="BR23" s="1" t="s">
        <v>237</v>
      </c>
      <c r="BS23" s="1" t="s">
        <v>228</v>
      </c>
      <c r="BT23" s="1" t="s">
        <v>237</v>
      </c>
      <c r="BU23" s="1" t="s">
        <v>228</v>
      </c>
      <c r="BW23" s="1" t="s">
        <v>238</v>
      </c>
      <c r="BX23" s="1">
        <v>45</v>
      </c>
      <c r="BY23" s="1">
        <v>80</v>
      </c>
      <c r="BZ23" s="1" t="s">
        <v>253</v>
      </c>
      <c r="CA23" s="1" t="s">
        <v>237</v>
      </c>
      <c r="CB23" s="1" t="s">
        <v>240</v>
      </c>
      <c r="CC23" s="1" t="s">
        <v>322</v>
      </c>
      <c r="CD23" s="1">
        <v>350</v>
      </c>
      <c r="CE23" s="1">
        <v>500</v>
      </c>
      <c r="CF23" s="1" t="s">
        <v>236</v>
      </c>
      <c r="CG23" s="1" t="s">
        <v>242</v>
      </c>
      <c r="CH23" s="1" t="s">
        <v>243</v>
      </c>
      <c r="CI23" s="1" t="s">
        <v>243</v>
      </c>
      <c r="CJ23" s="1" t="s">
        <v>2848</v>
      </c>
      <c r="CL23" s="5" t="s">
        <v>3208</v>
      </c>
      <c r="CM23" s="1">
        <v>13210691484</v>
      </c>
      <c r="CN23" s="1" t="s">
        <v>228</v>
      </c>
      <c r="CQ23" s="42">
        <v>0.33333333333575865</v>
      </c>
      <c r="CR23" s="42">
        <v>0.25</v>
      </c>
      <c r="CT23" s="45" t="str">
        <f t="array" ref="CT23">IFERROR(INDEX(#REF!,MATCH('Respuestas de formulario 1.1'!$B23,#REF!,0),MATCH('Respuestas de formulario 1.1'!CT$1,#REF!,0)),"")</f>
        <v/>
      </c>
      <c r="CU23" s="56" t="str">
        <f t="array" ref="CU23">IFERROR(INDEX(#REF!,MATCH('Respuestas de formulario 1.1'!$B23,#REF!,0),MATCH('Respuestas de formulario 1.1'!CU$1,#REF!,0)),"")</f>
        <v/>
      </c>
      <c r="CV23" s="56" t="str">
        <f t="array" ref="CV23">IFERROR(INDEX(#REF!,MATCH('Respuestas de formulario 1.1'!$B23,#REF!,0),MATCH('Respuestas de formulario 1.1'!CV$1,#REF!,0)),"")</f>
        <v/>
      </c>
      <c r="CW23" s="56" t="str">
        <f t="array" ref="CW23">IFERROR(INDEX(#REF!,MATCH('Respuestas de formulario 1.1'!$B23,#REF!,0),MATCH('Respuestas de formulario 1.1'!CW$1,#REF!,0)),"")</f>
        <v/>
      </c>
      <c r="CX23" s="56" t="str">
        <f t="array" ref="CX23">IFERROR(INDEX(#REF!,MATCH('Respuestas de formulario 1.1'!$B23,#REF!,0),MATCH('Respuestas de formulario 1.1'!CX$1,#REF!,0)),"")</f>
        <v/>
      </c>
      <c r="CY23" s="56" t="str">
        <f t="array" ref="CY23">IFERROR(INDEX(#REF!,MATCH('Respuestas de formulario 1.1'!$B23,#REF!,0),MATCH('Respuestas de formulario 1.1'!CY$1,#REF!,0)),"")</f>
        <v/>
      </c>
      <c r="CZ23" s="57" t="str">
        <f t="array" ref="CZ23">IFERROR(INDEX(#REF!,MATCH('Respuestas de formulario 1.1'!$B23,#REF!,0),MATCH('Respuestas de formulario 1.1'!CZ$1,#REF!,0)),"")</f>
        <v/>
      </c>
      <c r="DA23" s="45" t="e">
        <f t="array" ref="DA23">INDEX(#REF!,MATCH('Respuestas de formulario 1.1'!$B23,#REF!,0),MATCH('Respuestas de formulario 1.1'!DA$1,#REF!,0))</f>
        <v>#REF!</v>
      </c>
      <c r="DB23" s="45" t="e">
        <f t="array" ref="DB23">INDEX(#REF!,MATCH('Respuestas de formulario 1.1'!$B23,#REF!,0),MATCH('Respuestas de formulario 1.1'!DB$1,#REF!,0))</f>
        <v>#REF!</v>
      </c>
      <c r="DC23" s="45" t="e">
        <f t="array" ref="DC23">INDEX(#REF!,MATCH('Respuestas de formulario 1.1'!$B23,#REF!,0),MATCH('Respuestas de formulario 1.1'!DC$1,#REF!,0))</f>
        <v>#REF!</v>
      </c>
      <c r="DD23" s="45" t="e">
        <f t="array" ref="DD23">INDEX(#REF!,MATCH('Respuestas de formulario 1.1'!$B23,#REF!,0),MATCH('Respuestas de formulario 1.1'!DD$1,#REF!,0))</f>
        <v>#REF!</v>
      </c>
      <c r="DE23" s="45" t="e">
        <f t="array" ref="DE23">INDEX(#REF!,MATCH('Respuestas de formulario 1.1'!$B23,#REF!,0),MATCH('Respuestas de formulario 1.1'!DE$1,#REF!,0))</f>
        <v>#REF!</v>
      </c>
      <c r="DF23" s="45" t="e">
        <f t="array" ref="DF23">INDEX(#REF!,MATCH('Respuestas de formulario 1.1'!$B23,#REF!,0),MATCH('Respuestas de formulario 1.1'!DF$1,#REF!,0))</f>
        <v>#REF!</v>
      </c>
      <c r="DG23" s="45" t="e">
        <f t="array" ref="DG23">INDEX(#REF!,MATCH('Respuestas de formulario 1.1'!$B23,#REF!,0),MATCH('Respuestas de formulario 1.1'!DG$1,#REF!,0))</f>
        <v>#REF!</v>
      </c>
      <c r="DH23" s="45" t="e">
        <f t="array" ref="DH23">INDEX(#REF!,MATCH('Respuestas de formulario 1.1'!$B23,#REF!,0),MATCH('Respuestas de formulario 1.1'!DH$1,#REF!,0))</f>
        <v>#REF!</v>
      </c>
      <c r="DI23" s="48" t="e">
        <f>VLOOKUP(CONCATENATE($DF23," TUTO ",$DC23),#REF!,3,0)</f>
        <v>#REF!</v>
      </c>
      <c r="DJ23" s="48" t="e">
        <f t="array" ref="DJ23">IF('Respuestas de formulario 1.1'!A23="","",INDEX(#REF!,MATCH('Respuestas de formulario 1.1'!B23,#REF!,0),MATCH('Respuestas de formulario 1.1'!$DH$1,#REF!,0)))</f>
        <v>#REF!</v>
      </c>
      <c r="DK23" s="52" t="str">
        <f>CONCATENATE("http://doc.google.com/uc?id=",MID('Respuestas de formulario 1.1'!G23,34,33))</f>
        <v>http://doc.google.com/uc?id=13wvov6dqx-VDTZPvbrFcxiPOURYLJBKU</v>
      </c>
      <c r="DL23" s="49" t="str">
        <f>CONCATENATE("http://doc.google.com/uc?id=",MID('Respuestas de formulario 1.1'!AH23,34,33))</f>
        <v>http://doc.google.com/uc?id=1-DIHU2HEh34dAzGVxnruG_PFY7VF9vya</v>
      </c>
      <c r="DM23" s="50" t="str">
        <f>CONCATENATE("http://doc.google.com/uc?id=",MID('Respuestas de formulario 1.1'!AW23,34,33))</f>
        <v>http://doc.google.com/uc?id=1u4Yr-XEJnck2KOXQBbhD12u4Szet-z1J</v>
      </c>
      <c r="DN23" s="53" t="str">
        <f>CONCATENATE("http://doc.google.com/uc?id=",MID('Respuestas de formulario 1.1'!$BI23,34,33))</f>
        <v>http://doc.google.com/uc?id=154gNNgC4Ur-Kf9VBIHgbIu0aNolQQi7U</v>
      </c>
      <c r="DO23" s="45" t="str">
        <f>IFERROR(VLOOKUP(CONCATENATE('Respuestas de formulario 1.1'!$B23,MID('Respuestas de formulario 1.1'!DO$1,2,1)),#REF!,12,0),"")</f>
        <v/>
      </c>
      <c r="DP23" s="45" t="str">
        <f>IFERROR(VLOOKUP(CONCATENATE('Respuestas de formulario 1.1'!$B23,MID('Respuestas de formulario 1.1'!DP$1,2,1)),#REF!,12,0),"")</f>
        <v/>
      </c>
      <c r="DQ23" s="45" t="str">
        <f>IFERROR(VLOOKUP(CONCATENATE('Respuestas de formulario 1.1'!$B23,MID('Respuestas de formulario 1.1'!DQ$1,2,1)),#REF!,12,0),"")</f>
        <v/>
      </c>
      <c r="DR23" s="45" t="str">
        <f>IFERROR(VLOOKUP(CONCATENATE('Respuestas de formulario 1.1'!$B23,MID('Respuestas de formulario 1.1'!DR$1,2,1)),#REF!,12,0),"")</f>
        <v/>
      </c>
      <c r="DS23" s="45" t="str">
        <f>IFERROR(VLOOKUP(CONCATENATE('Respuestas de formulario 1.1'!$B23,MID('Respuestas de formulario 1.1'!DS$1,2,1)),#REF!,12,0),"")</f>
        <v/>
      </c>
      <c r="DT23" s="45" t="str">
        <f>IFERROR(VLOOKUP(CONCATENATE('Respuestas de formulario 1.1'!$B23,MID('Respuestas de formulario 1.1'!DT$1,2,1)),#REF!,12,0),"")</f>
        <v/>
      </c>
      <c r="DU23" s="45" t="str">
        <f>IFERROR(VLOOKUP(CONCATENATE('Respuestas de formulario 1.1'!$B23,MID('Respuestas de formulario 1.1'!DU$1,2,1)),#REF!,12,0),"")</f>
        <v/>
      </c>
      <c r="DV23" s="45" t="str">
        <f>IFERROR(VLOOKUP(CONCATENATE('Respuestas de formulario 1.1'!$B23,MID('Respuestas de formulario 1.1'!DV$1,2,1)),#REF!,12,0),"")</f>
        <v/>
      </c>
      <c r="DW23" s="45" t="str">
        <f>IFERROR(VLOOKUP(CONCATENATE('Respuestas de formulario 1.1'!$B23,MID('Respuestas de formulario 1.1'!DW$1,2,1)),#REF!,12,0),"")</f>
        <v/>
      </c>
      <c r="DX23" s="45" t="str">
        <f>IFERROR(VLOOKUP(CONCATENATE('Respuestas de formulario 1.1'!$B23,MID('Respuestas de formulario 1.1'!DX$1,2,1)),#REF!,12,0),"")</f>
        <v/>
      </c>
      <c r="DY23" s="45" t="str">
        <f>IFERROR(VLOOKUP(CONCATENATE('Respuestas de formulario 1.1'!$B23,MID('Respuestas de formulario 1.1'!DY$1,2,1)),#REF!,12,0),"")</f>
        <v/>
      </c>
      <c r="DZ23" s="45" t="str">
        <f>IFERROR(VLOOKUP(CONCATENATE('Respuestas de formulario 1.1'!$B23,MID('Respuestas de formulario 1.1'!DZ$1,2,1)),#REF!,12,0),"")</f>
        <v/>
      </c>
      <c r="EA23" s="45" t="str">
        <f>IFERROR(VLOOKUP(CONCATENATE('Respuestas de formulario 1.1'!$B23,MID('Respuestas de formulario 1.1'!EA$1,2,1)),#REF!,12,0),"")</f>
        <v/>
      </c>
      <c r="EB23" s="45" t="str">
        <f>IFERROR(VLOOKUP(CONCATENATE('Respuestas de formulario 1.1'!$B23,MID('Respuestas de formulario 1.1'!EB$1,2,1)),#REF!,12,0),"")</f>
        <v/>
      </c>
      <c r="EC23" s="45" t="str">
        <f>IFERROR(VLOOKUP(CONCATENATE('Respuestas de formulario 1.1'!$B23,MID('Respuestas de formulario 1.1'!EC$1,2,1)),#REF!,12,0),"")</f>
        <v/>
      </c>
      <c r="ED23" s="45" t="str">
        <f>IFERROR(VLOOKUP(CONCATENATE('Respuestas de formulario 1.1'!$B23,MID('Respuestas de formulario 1.1'!ED$1,2,1)),#REF!,12,0),"")</f>
        <v/>
      </c>
      <c r="EE23" s="45" t="str">
        <f>IFERROR(VLOOKUP(CONCATENATE('Respuestas de formulario 1.1'!$B23,MID('Respuestas de formulario 1.1'!EE$1,2,1)),#REF!,12,0),"")</f>
        <v/>
      </c>
      <c r="EF23" s="45" t="str">
        <f>IFERROR(VLOOKUP(CONCATENATE('Respuestas de formulario 1.1'!$B23,MID('Respuestas de formulario 1.1'!EF$1,2,1)),#REF!,12,0),"")</f>
        <v/>
      </c>
      <c r="EG23" s="45" t="str">
        <f>IFERROR(VLOOKUP(CONCATENATE('Respuestas de formulario 1.1'!$B23,MID('Respuestas de formulario 1.1'!EG$1,2,1)),#REF!,12,0),"")</f>
        <v/>
      </c>
      <c r="EH23" s="45" t="str">
        <f>IFERROR(VLOOKUP(CONCATENATE('Respuestas de formulario 1.1'!$B23,MID('Respuestas de formulario 1.1'!EH$1,2,1)),#REF!,12,0),"")</f>
        <v/>
      </c>
      <c r="EI23" s="45" t="str">
        <f>IFERROR(VLOOKUP(CONCATENATE('Respuestas de formulario 1.1'!$B23,MID('Respuestas de formulario 1.1'!EI$1,2,1)),#REF!,12,0),"")</f>
        <v/>
      </c>
      <c r="EJ23" s="45" t="str">
        <f t="array" ref="EJ23">IF(DO23="","", INDEX(#REF!,MATCH(CONCATENATE('Respuestas de formulario 1.1'!$B23,DO23),#REF!,0),MATCH('Respuestas de formulario 1.1'!EJ$1,#REF!,0)))</f>
        <v/>
      </c>
      <c r="EK23" s="56" t="str">
        <f t="array" ref="EK23">IF(DP23="","", INDEX(#REF!,MATCH(CONCATENATE('Respuestas de formulario 1.1'!$B23,DP23),#REF!,0),MATCH('Respuestas de formulario 1.1'!EK$1,#REF!,0)))</f>
        <v/>
      </c>
      <c r="EL23" s="56" t="str">
        <f t="array" ref="EL23">IF(DQ23="","", INDEX(#REF!,MATCH(CONCATENATE('Respuestas de formulario 1.1'!$B23,DQ23),#REF!,0),MATCH('Respuestas de formulario 1.1'!EL$1,#REF!,0)))</f>
        <v/>
      </c>
      <c r="EM23" s="56" t="str">
        <f t="array" ref="EM23">IF(DR23="","", INDEX(#REF!,MATCH(CONCATENATE('Respuestas de formulario 1.1'!$B23,DR23),#REF!,0),MATCH('Respuestas de formulario 1.1'!EM$1,#REF!,0)))</f>
        <v/>
      </c>
      <c r="EN23" s="56" t="str">
        <f t="array" ref="EN23">IF(DS23="","", INDEX(#REF!,MATCH(CONCATENATE('Respuestas de formulario 1.1'!$B23,DS23),#REF!,0),MATCH('Respuestas de formulario 1.1'!EN$1,#REF!,0)))</f>
        <v/>
      </c>
      <c r="EO23" s="56" t="str">
        <f t="array" ref="EO23">IF(DT23="","", INDEX(#REF!,MATCH(CONCATENATE('Respuestas de formulario 1.1'!$B23,DT23),#REF!,0),MATCH('Respuestas de formulario 1.1'!EO$1,#REF!,0)))</f>
        <v/>
      </c>
      <c r="EP23" s="45" t="str">
        <f t="array" ref="EP23">IF(DU23="","", INDEX(#REF!,MATCH(CONCATENATE('Respuestas de formulario 1.1'!$B23,DU23),#REF!,0),MATCH('Respuestas de formulario 1.1'!EP$1,#REF!,0)))</f>
        <v/>
      </c>
      <c r="EQ23" s="45" t="str">
        <f t="array" ref="EQ23">IF(DP23="","", INDEX(#REF!,MATCH(CONCATENATE('Respuestas de formulario 1.1'!$B23,DP23),#REF!,0),MATCH('Respuestas de formulario 1.1'!EQ$1,#REF!,0)))</f>
        <v/>
      </c>
      <c r="ER23" s="56" t="str">
        <f t="array" ref="ER23">IF(DQ23="","", INDEX(#REF!,MATCH(CONCATENATE('Respuestas de formulario 1.1'!$B23,DQ23),#REF!,0),MATCH('Respuestas de formulario 1.1'!ER$1,#REF!,0)))</f>
        <v/>
      </c>
      <c r="ES23" s="56" t="str">
        <f t="array" ref="ES23">IF(DR23="","", INDEX(#REF!,MATCH(CONCATENATE('Respuestas de formulario 1.1'!$B23,DR23),#REF!,0),MATCH('Respuestas de formulario 1.1'!ES$1,#REF!,0)))</f>
        <v/>
      </c>
      <c r="ET23" s="56" t="str">
        <f t="array" ref="ET23">IF(DS23="","", INDEX(#REF!,MATCH(CONCATENATE('Respuestas de formulario 1.1'!$B23,DS23),#REF!,0),MATCH('Respuestas de formulario 1.1'!ET$1,#REF!,0)))</f>
        <v/>
      </c>
      <c r="EU23" s="56" t="str">
        <f t="array" ref="EU23">IF(DT23="","", INDEX(#REF!,MATCH(CONCATENATE('Respuestas de formulario 1.1'!$B23,DT23),#REF!,0),MATCH('Respuestas de formulario 1.1'!EU$1,#REF!,0)))</f>
        <v/>
      </c>
      <c r="EV23" s="56" t="str">
        <f t="array" ref="EV23">IF(DU23="","", INDEX(#REF!,MATCH(CONCATENATE('Respuestas de formulario 1.1'!$B23,DU23),#REF!,0),MATCH('Respuestas de formulario 1.1'!EV$1,#REF!,0)))</f>
        <v/>
      </c>
      <c r="EW23" s="45" t="str">
        <f t="array" ref="EW23">IF(DV23="","", INDEX(#REF!,MATCH(CONCATENATE('Respuestas de formulario 1.1'!$B23,DV23),#REF!,0),MATCH('Respuestas de formulario 1.1'!EW$1,#REF!,0)))</f>
        <v/>
      </c>
      <c r="EX23" s="45" t="str">
        <f t="array" ref="EX23">IF($DQ23="","", INDEX(#REF!,MATCH(CONCATENATE('Respuestas de formulario 1.1'!$B23,$DQ23),#REF!,0),MATCH('Respuestas de formulario 1.1'!EX$1,#REF!,0)))</f>
        <v/>
      </c>
      <c r="EY23" s="56" t="str">
        <f t="array" ref="EY23">IF($DQ23="","", INDEX(#REF!,MATCH(CONCATENATE('Respuestas de formulario 1.1'!$B23,$DQ23),#REF!,0),MATCH('Respuestas de formulario 1.1'!EY$1,#REF!,0)))</f>
        <v/>
      </c>
      <c r="EZ23" s="56" t="str">
        <f t="array" ref="EZ23">IF($DQ23="","", INDEX(#REF!,MATCH(CONCATENATE('Respuestas de formulario 1.1'!$B23,$DQ23),#REF!,0),MATCH('Respuestas de formulario 1.1'!EZ$1,#REF!,0)))</f>
        <v/>
      </c>
      <c r="FA23" s="56" t="str">
        <f t="array" ref="FA23">IF($DQ23="","", INDEX(#REF!,MATCH(CONCATENATE('Respuestas de formulario 1.1'!$B23,$DQ23),#REF!,0),MATCH('Respuestas de formulario 1.1'!FA$1,#REF!,0)))</f>
        <v/>
      </c>
      <c r="FB23" s="56" t="str">
        <f t="array" ref="FB23">IF($DQ23="","", INDEX(#REF!,MATCH(CONCATENATE('Respuestas de formulario 1.1'!$B23,$DQ23),#REF!,0),MATCH('Respuestas de formulario 1.1'!FB$1,#REF!,0)))</f>
        <v/>
      </c>
      <c r="FC23" s="56" t="str">
        <f t="array" ref="FC23">IF($DQ23="","", INDEX(#REF!,MATCH(CONCATENATE('Respuestas de formulario 1.1'!$B23,$DQ23),#REF!,0),MATCH('Respuestas de formulario 1.1'!FC$1,#REF!,0)))</f>
        <v/>
      </c>
      <c r="FD23" s="45" t="str">
        <f t="array" ref="FD23">IF($DQ23="","", INDEX(#REF!,MATCH(CONCATENATE('Respuestas de formulario 1.1'!$B23,$DQ23),#REF!,0),MATCH('Respuestas de formulario 1.1'!FD$1,#REF!,0)))</f>
        <v/>
      </c>
      <c r="FE23" s="45" t="str">
        <f t="array" ref="FE23">IF($DR23="","", INDEX(#REF!,MATCH(CONCATENATE(#REF!,$DR23),#REF!,0),MATCH(#REF!,#REF!,0)))</f>
        <v/>
      </c>
      <c r="FF23" s="56" t="str">
        <f t="array" ref="FF23">IF($DR23="","", INDEX(#REF!,MATCH(CONCATENATE(#REF!,$DR23),#REF!,0),MATCH(#REF!,#REF!,0)))</f>
        <v/>
      </c>
      <c r="FG23" s="56" t="str">
        <f t="array" ref="FG23">IF($DR23="","", INDEX(#REF!,MATCH(CONCATENATE(#REF!,$DR23),#REF!,0),MATCH(#REF!,#REF!,0)))</f>
        <v/>
      </c>
      <c r="FH23" s="56" t="str">
        <f t="array" ref="FH23">IF($DR23="","", INDEX(#REF!,MATCH(CONCATENATE(#REF!,$DR23),#REF!,0),MATCH(#REF!,#REF!,0)))</f>
        <v/>
      </c>
      <c r="FI23" s="56" t="str">
        <f t="array" ref="FI23">IF($DR23="","", INDEX(#REF!,MATCH(CONCATENATE(#REF!,$DR23),#REF!,0),MATCH(#REF!,#REF!,0)))</f>
        <v/>
      </c>
      <c r="FJ23" s="56" t="str">
        <f t="array" ref="FJ23">IF($DR23="","", INDEX(#REF!,MATCH(CONCATENATE(#REF!,$DR23),#REF!,0),MATCH(#REF!,#REF!,0)))</f>
        <v/>
      </c>
      <c r="FK23" s="45" t="str">
        <f t="array" ref="FK23">IF($DR23="","", INDEX(#REF!,MATCH(CONCATENATE(#REF!,$DR23),#REF!,0),MATCH(#REF!,#REF!,0)))</f>
        <v/>
      </c>
      <c r="FL23" s="45" t="str">
        <f t="array" ref="FL23">IF($DT23="","", INDEX(#REF!,MATCH(CONCATENATE('Respuestas de formulario 1.1'!$B23,$DS23),#REF!,0),MATCH('Respuestas de formulario 1.1'!FL$1,#REF!,0)))</f>
        <v/>
      </c>
      <c r="FM23" s="56" t="str">
        <f t="array" ref="FM23">IF($DT23="","", INDEX(#REF!,MATCH(CONCATENATE('Respuestas de formulario 1.1'!$B23,$DS23),#REF!,0),MATCH('Respuestas de formulario 1.1'!FM$1,#REF!,0)))</f>
        <v/>
      </c>
      <c r="FN23" s="56" t="str">
        <f t="array" ref="FN23">IF($DT23="","", INDEX(#REF!,MATCH(CONCATENATE('Respuestas de formulario 1.1'!$B23,$DS23),#REF!,0),MATCH('Respuestas de formulario 1.1'!FN$1,#REF!,0)))</f>
        <v/>
      </c>
      <c r="FO23" s="56" t="str">
        <f t="array" ref="FO23">IF($DT23="","", INDEX(#REF!,MATCH(CONCATENATE('Respuestas de formulario 1.1'!$B23,$DS23),#REF!,0),MATCH('Respuestas de formulario 1.1'!FO$1,#REF!,0)))</f>
        <v/>
      </c>
      <c r="FP23" s="56" t="str">
        <f t="array" ref="FP23">IF($DT23="","", INDEX(#REF!,MATCH(CONCATENATE('Respuestas de formulario 1.1'!$B23,$DS23),#REF!,0),MATCH('Respuestas de formulario 1.1'!FP$1,#REF!,0)))</f>
        <v/>
      </c>
      <c r="FQ23" s="56" t="str">
        <f t="array" ref="FQ23">IF($DT23="","", INDEX(#REF!,MATCH(CONCATENATE('Respuestas de formulario 1.1'!$B23,$DS23),#REF!,0),MATCH('Respuestas de formulario 1.1'!FQ$1,#REF!,0)))</f>
        <v/>
      </c>
      <c r="FR23" s="45" t="str">
        <f t="array" ref="FR23">IF($DT23="","", INDEX(#REF!,MATCH(CONCATENATE('Respuestas de formulario 1.1'!$B23,$DS23),#REF!,0),MATCH('Respuestas de formulario 1.1'!FR$1,#REF!,0)))</f>
        <v/>
      </c>
      <c r="FS23" s="45" t="str">
        <f t="array" ref="FS23">IF($DU23="","", INDEX(#REF!,MATCH(CONCATENATE('Respuestas de formulario 1.1'!$B23,$DT23),#REF!,0),MATCH('Respuestas de formulario 1.1'!FS$1,#REF!,0)))</f>
        <v/>
      </c>
      <c r="FT23" s="56" t="str">
        <f t="array" ref="FT23">IF($DU23="","", INDEX(#REF!,MATCH(CONCATENATE('Respuestas de formulario 1.1'!$B23,$DT23),#REF!,0),MATCH('Respuestas de formulario 1.1'!FT$1,#REF!,0)))</f>
        <v/>
      </c>
      <c r="FU23" s="56" t="str">
        <f t="array" ref="FU23">IF($DU23="","", INDEX(#REF!,MATCH(CONCATENATE('Respuestas de formulario 1.1'!$B23,$DT23),#REF!,0),MATCH('Respuestas de formulario 1.1'!FU$1,#REF!,0)))</f>
        <v/>
      </c>
      <c r="FV23" s="56" t="str">
        <f t="array" ref="FV23">IF($DU23="","", INDEX(#REF!,MATCH(CONCATENATE('Respuestas de formulario 1.1'!$B23,$DT23),#REF!,0),MATCH('Respuestas de formulario 1.1'!FV$1,#REF!,0)))</f>
        <v/>
      </c>
      <c r="FW23" s="56" t="str">
        <f t="array" ref="FW23">IF($DU23="","", INDEX(#REF!,MATCH(CONCATENATE('Respuestas de formulario 1.1'!$B23,$DT23),#REF!,0),MATCH('Respuestas de formulario 1.1'!FW$1,#REF!,0)))</f>
        <v/>
      </c>
      <c r="FX23" s="56" t="str">
        <f t="array" ref="FX23">IF($DU23="","", INDEX(#REF!,MATCH(CONCATENATE('Respuestas de formulario 1.1'!$B23,$DT23),#REF!,0),MATCH('Respuestas de formulario 1.1'!FX$1,#REF!,0)))</f>
        <v/>
      </c>
      <c r="FY23" s="45" t="str">
        <f t="array" ref="FY23">IF($DU23="","", INDEX(#REF!,MATCH(CONCATENATE('Respuestas de formulario 1.1'!$B23,$DT23),#REF!,0),MATCH('Respuestas de formulario 1.1'!FY$1,#REF!,0)))</f>
        <v/>
      </c>
      <c r="FZ23" s="3" t="s">
        <v>2860</v>
      </c>
      <c r="GA23" s="1" t="s">
        <v>3209</v>
      </c>
      <c r="GB23" s="5" t="s">
        <v>3210</v>
      </c>
      <c r="GC23" s="4" t="str">
        <f>HYPERLINK("https://drive.google.com/file/d/1rAul2psMOdRRwRlR8dKYOSmk5JTuHx8a/view?usp=drivesdk","PACHUCA  VALLE MILDRED MARGARITA  Formato de reinscripción y pago 2022-2")</f>
        <v>PACHUCA  VALLE MILDRED MARGARITA  Formato de reinscripción y pago 2022-2</v>
      </c>
      <c r="GD23" s="1" t="s">
        <v>3211</v>
      </c>
      <c r="GE23" s="1"/>
      <c r="GF23" s="1"/>
      <c r="GG23" s="1"/>
      <c r="GH23" s="1"/>
      <c r="GI23" s="1" t="s">
        <v>3212</v>
      </c>
      <c r="GJ23" s="5" t="s">
        <v>3213</v>
      </c>
      <c r="GK23" s="5" t="str">
        <f>HYPERLINK("https://drive.google.com/file/d/1eno_PGpivMOYu8YEbkhKw5wtXARlNivN/view?usp=drivesdk","PACHUCA  VALLE MILDRED MARGARITA  Formato de reinscripción y pago 2022-2")</f>
        <v>PACHUCA  VALLE MILDRED MARGARITA  Formato de reinscripción y pago 2022-2</v>
      </c>
      <c r="GL23" s="1" t="s">
        <v>3214</v>
      </c>
    </row>
    <row r="24" spans="1:194" ht="38.25" x14ac:dyDescent="0.2">
      <c r="A24" s="2">
        <v>45139.714221608796</v>
      </c>
      <c r="B24" s="1" t="s">
        <v>697</v>
      </c>
      <c r="C24" s="1" t="s">
        <v>1950</v>
      </c>
      <c r="D24" s="1" t="s">
        <v>308</v>
      </c>
      <c r="E24" s="1" t="s">
        <v>3215</v>
      </c>
      <c r="F24" s="1" t="s">
        <v>223</v>
      </c>
      <c r="G24" s="5" t="s">
        <v>3216</v>
      </c>
      <c r="H24" s="41">
        <v>39248</v>
      </c>
      <c r="I24" s="1">
        <v>16</v>
      </c>
      <c r="J24" s="1">
        <v>5513666012</v>
      </c>
      <c r="K24" s="1">
        <v>5590064883</v>
      </c>
      <c r="L24" s="1" t="s">
        <v>698</v>
      </c>
      <c r="M24" s="1">
        <v>22309060570573</v>
      </c>
      <c r="N24" s="1" t="s">
        <v>562</v>
      </c>
      <c r="O24" s="1" t="s">
        <v>247</v>
      </c>
      <c r="P24" s="1" t="s">
        <v>278</v>
      </c>
      <c r="Q24" s="1" t="s">
        <v>227</v>
      </c>
      <c r="R24" s="1" t="s">
        <v>236</v>
      </c>
      <c r="S24" s="1" t="s">
        <v>228</v>
      </c>
      <c r="T24" s="1" t="s">
        <v>229</v>
      </c>
      <c r="U24" s="1" t="s">
        <v>249</v>
      </c>
      <c r="V24" s="1" t="s">
        <v>228</v>
      </c>
      <c r="W24" s="1" t="s">
        <v>3217</v>
      </c>
      <c r="X24" s="1" t="s">
        <v>249</v>
      </c>
      <c r="Y24" s="1" t="s">
        <v>706</v>
      </c>
      <c r="Z24" s="1" t="s">
        <v>240</v>
      </c>
      <c r="AA24" s="44" t="s">
        <v>492</v>
      </c>
      <c r="AB24" s="1">
        <v>103</v>
      </c>
      <c r="AC24" s="1">
        <v>1102</v>
      </c>
      <c r="AD24" s="1" t="s">
        <v>699</v>
      </c>
      <c r="AE24" s="1" t="s">
        <v>3218</v>
      </c>
      <c r="AF24" s="1" t="s">
        <v>580</v>
      </c>
      <c r="AG24" s="1">
        <v>35</v>
      </c>
      <c r="AH24" s="5" t="s">
        <v>3219</v>
      </c>
      <c r="AI24" s="1">
        <v>5563444818</v>
      </c>
      <c r="AJ24" s="1">
        <v>5590064883</v>
      </c>
      <c r="AK24" s="1" t="s">
        <v>700</v>
      </c>
      <c r="AL24" s="1" t="s">
        <v>1950</v>
      </c>
      <c r="AM24" s="1" t="s">
        <v>2236</v>
      </c>
      <c r="AN24" s="1" t="s">
        <v>1889</v>
      </c>
      <c r="AO24" s="1" t="s">
        <v>420</v>
      </c>
      <c r="AP24" s="1">
        <v>36</v>
      </c>
      <c r="AQ24" s="1" t="s">
        <v>283</v>
      </c>
      <c r="AR24" s="42">
        <v>0.29166666666424135</v>
      </c>
      <c r="AS24" s="42">
        <v>0.33333333333575865</v>
      </c>
      <c r="AT24" s="1">
        <v>5579696636</v>
      </c>
      <c r="AU24" s="1">
        <v>5590064883</v>
      </c>
      <c r="AV24" s="1" t="s">
        <v>703</v>
      </c>
      <c r="AW24" s="5" t="s">
        <v>3220</v>
      </c>
      <c r="AX24" s="1" t="s">
        <v>245</v>
      </c>
      <c r="AY24" s="1" t="s">
        <v>3221</v>
      </c>
      <c r="AZ24" s="1" t="s">
        <v>701</v>
      </c>
      <c r="BA24" s="1" t="s">
        <v>461</v>
      </c>
      <c r="BB24" s="1">
        <v>35</v>
      </c>
      <c r="BC24" s="1" t="s">
        <v>328</v>
      </c>
      <c r="BD24" s="43">
        <v>0.5</v>
      </c>
      <c r="BE24" s="43">
        <v>0.5</v>
      </c>
      <c r="BF24" s="1">
        <v>5563444818</v>
      </c>
      <c r="BG24" s="1">
        <v>5590064883</v>
      </c>
      <c r="BH24" s="1" t="s">
        <v>3222</v>
      </c>
      <c r="BI24" s="5" t="s">
        <v>3223</v>
      </c>
      <c r="BJ24" s="1" t="s">
        <v>236</v>
      </c>
      <c r="BL24" s="1">
        <v>150</v>
      </c>
      <c r="BM24" s="1">
        <v>50</v>
      </c>
      <c r="BN24" s="1" t="s">
        <v>236</v>
      </c>
      <c r="BO24" s="1" t="s">
        <v>228</v>
      </c>
      <c r="BQ24" s="1" t="s">
        <v>236</v>
      </c>
      <c r="BR24" s="1" t="s">
        <v>348</v>
      </c>
      <c r="BS24" s="1" t="s">
        <v>228</v>
      </c>
      <c r="BT24" s="1" t="s">
        <v>237</v>
      </c>
      <c r="BU24" s="1" t="s">
        <v>228</v>
      </c>
      <c r="BW24" s="1" t="s">
        <v>657</v>
      </c>
      <c r="BX24" s="1">
        <v>20</v>
      </c>
      <c r="BY24" s="1">
        <v>100</v>
      </c>
      <c r="BZ24" s="1" t="s">
        <v>3224</v>
      </c>
      <c r="CA24" s="1" t="s">
        <v>343</v>
      </c>
      <c r="CB24" s="1" t="s">
        <v>240</v>
      </c>
      <c r="CC24" s="1" t="s">
        <v>274</v>
      </c>
      <c r="CD24" s="1">
        <v>3000</v>
      </c>
      <c r="CE24" s="1">
        <v>2000</v>
      </c>
      <c r="CF24" s="1" t="s">
        <v>236</v>
      </c>
      <c r="CG24" s="1" t="s">
        <v>242</v>
      </c>
      <c r="CH24" s="1" t="s">
        <v>243</v>
      </c>
      <c r="CI24" s="1" t="s">
        <v>243</v>
      </c>
      <c r="CJ24" s="1" t="s">
        <v>2848</v>
      </c>
      <c r="CL24" s="5" t="s">
        <v>3225</v>
      </c>
      <c r="CM24" s="1">
        <v>14220795539</v>
      </c>
      <c r="CN24" s="1" t="s">
        <v>228</v>
      </c>
      <c r="CQ24" s="42">
        <v>0.5</v>
      </c>
      <c r="CR24" s="42">
        <v>0.5</v>
      </c>
      <c r="CT24" s="45" t="str">
        <f t="array" ref="CT24">IFERROR(INDEX(#REF!,MATCH('Respuestas de formulario 1.1'!$B24,#REF!,0),MATCH('Respuestas de formulario 1.1'!CT$1,#REF!,0)),"")</f>
        <v/>
      </c>
      <c r="CU24" s="56" t="str">
        <f t="array" ref="CU24">IFERROR(INDEX(#REF!,MATCH('Respuestas de formulario 1.1'!$B24,#REF!,0),MATCH('Respuestas de formulario 1.1'!CU$1,#REF!,0)),"")</f>
        <v/>
      </c>
      <c r="CV24" s="56" t="str">
        <f t="array" ref="CV24">IFERROR(INDEX(#REF!,MATCH('Respuestas de formulario 1.1'!$B24,#REF!,0),MATCH('Respuestas de formulario 1.1'!CV$1,#REF!,0)),"")</f>
        <v/>
      </c>
      <c r="CW24" s="56" t="str">
        <f t="array" ref="CW24">IFERROR(INDEX(#REF!,MATCH('Respuestas de formulario 1.1'!$B24,#REF!,0),MATCH('Respuestas de formulario 1.1'!CW$1,#REF!,0)),"")</f>
        <v/>
      </c>
      <c r="CX24" s="56" t="str">
        <f t="array" ref="CX24">IFERROR(INDEX(#REF!,MATCH('Respuestas de formulario 1.1'!$B24,#REF!,0),MATCH('Respuestas de formulario 1.1'!CX$1,#REF!,0)),"")</f>
        <v/>
      </c>
      <c r="CY24" s="56" t="str">
        <f t="array" ref="CY24">IFERROR(INDEX(#REF!,MATCH('Respuestas de formulario 1.1'!$B24,#REF!,0),MATCH('Respuestas de formulario 1.1'!CY$1,#REF!,0)),"")</f>
        <v/>
      </c>
      <c r="CZ24" s="57" t="str">
        <f t="array" ref="CZ24">IFERROR(INDEX(#REF!,MATCH('Respuestas de formulario 1.1'!$B24,#REF!,0),MATCH('Respuestas de formulario 1.1'!CZ$1,#REF!,0)),"")</f>
        <v/>
      </c>
      <c r="DA24" s="45" t="e">
        <f t="array" ref="DA24">INDEX(#REF!,MATCH('Respuestas de formulario 1.1'!$B24,#REF!,0),MATCH('Respuestas de formulario 1.1'!DA$1,#REF!,0))</f>
        <v>#REF!</v>
      </c>
      <c r="DB24" s="45" t="e">
        <f t="array" ref="DB24">INDEX(#REF!,MATCH('Respuestas de formulario 1.1'!$B24,#REF!,0),MATCH('Respuestas de formulario 1.1'!DB$1,#REF!,0))</f>
        <v>#REF!</v>
      </c>
      <c r="DC24" s="45" t="e">
        <f t="array" ref="DC24">INDEX(#REF!,MATCH('Respuestas de formulario 1.1'!$B24,#REF!,0),MATCH('Respuestas de formulario 1.1'!DC$1,#REF!,0))</f>
        <v>#REF!</v>
      </c>
      <c r="DD24" s="45" t="e">
        <f t="array" ref="DD24">INDEX(#REF!,MATCH('Respuestas de formulario 1.1'!$B24,#REF!,0),MATCH('Respuestas de formulario 1.1'!DD$1,#REF!,0))</f>
        <v>#REF!</v>
      </c>
      <c r="DE24" s="45" t="e">
        <f t="array" ref="DE24">INDEX(#REF!,MATCH('Respuestas de formulario 1.1'!$B24,#REF!,0),MATCH('Respuestas de formulario 1.1'!DE$1,#REF!,0))</f>
        <v>#REF!</v>
      </c>
      <c r="DF24" s="45" t="e">
        <f t="array" ref="DF24">INDEX(#REF!,MATCH('Respuestas de formulario 1.1'!$B24,#REF!,0),MATCH('Respuestas de formulario 1.1'!DF$1,#REF!,0))</f>
        <v>#REF!</v>
      </c>
      <c r="DG24" s="45" t="e">
        <f t="array" ref="DG24">INDEX(#REF!,MATCH('Respuestas de formulario 1.1'!$B24,#REF!,0),MATCH('Respuestas de formulario 1.1'!DG$1,#REF!,0))</f>
        <v>#REF!</v>
      </c>
      <c r="DH24" s="45" t="e">
        <f t="array" ref="DH24">INDEX(#REF!,MATCH('Respuestas de formulario 1.1'!$B24,#REF!,0),MATCH('Respuestas de formulario 1.1'!DH$1,#REF!,0))</f>
        <v>#REF!</v>
      </c>
      <c r="DI24" s="48" t="e">
        <f>VLOOKUP(CONCATENATE($DF24," TUTO ",$DC24),#REF!,3,0)</f>
        <v>#REF!</v>
      </c>
      <c r="DJ24" s="48" t="e">
        <f t="array" ref="DJ24">IF('Respuestas de formulario 1.1'!A24="","",INDEX(#REF!,MATCH('Respuestas de formulario 1.1'!B24,#REF!,0),MATCH('Respuestas de formulario 1.1'!$DH$1,#REF!,0)))</f>
        <v>#REF!</v>
      </c>
      <c r="DK24" s="52" t="str">
        <f>CONCATENATE("http://doc.google.com/uc?id=",MID('Respuestas de formulario 1.1'!G24,34,33))</f>
        <v>http://doc.google.com/uc?id=1SVzg5j3FGDVfRXbX9PUiLmZMS5VWntOy</v>
      </c>
      <c r="DL24" s="49" t="str">
        <f>CONCATENATE("http://doc.google.com/uc?id=",MID('Respuestas de formulario 1.1'!AH24,34,33))</f>
        <v>http://doc.google.com/uc?id=1eud146im8yHDjfrFVexPMO3pY1I6aHAQ</v>
      </c>
      <c r="DM24" s="50" t="str">
        <f>CONCATENATE("http://doc.google.com/uc?id=",MID('Respuestas de formulario 1.1'!AW24,34,33))</f>
        <v>http://doc.google.com/uc?id=1T46kAR_bdirlWNiBzhzMdAhkaQ5bGYF2</v>
      </c>
      <c r="DN24" s="53" t="str">
        <f>CONCATENATE("http://doc.google.com/uc?id=",MID('Respuestas de formulario 1.1'!$BI24,34,33))</f>
        <v>http://doc.google.com/uc?id=1BSwBnVMDr81DgHG8FXNLfhXeViq7g5V2</v>
      </c>
      <c r="DO24" s="45" t="str">
        <f>IFERROR(VLOOKUP(CONCATENATE('Respuestas de formulario 1.1'!$B24,MID('Respuestas de formulario 1.1'!DO$1,2,1)),#REF!,12,0),"")</f>
        <v/>
      </c>
      <c r="DP24" s="45" t="str">
        <f>IFERROR(VLOOKUP(CONCATENATE('Respuestas de formulario 1.1'!$B24,MID('Respuestas de formulario 1.1'!DP$1,2,1)),#REF!,12,0),"")</f>
        <v/>
      </c>
      <c r="DQ24" s="45" t="str">
        <f>IFERROR(VLOOKUP(CONCATENATE('Respuestas de formulario 1.1'!$B24,MID('Respuestas de formulario 1.1'!DQ$1,2,1)),#REF!,12,0),"")</f>
        <v/>
      </c>
      <c r="DR24" s="45" t="str">
        <f>IFERROR(VLOOKUP(CONCATENATE('Respuestas de formulario 1.1'!$B24,MID('Respuestas de formulario 1.1'!DR$1,2,1)),#REF!,12,0),"")</f>
        <v/>
      </c>
      <c r="DS24" s="45" t="str">
        <f>IFERROR(VLOOKUP(CONCATENATE('Respuestas de formulario 1.1'!$B24,MID('Respuestas de formulario 1.1'!DS$1,2,1)),#REF!,12,0),"")</f>
        <v/>
      </c>
      <c r="DT24" s="45" t="str">
        <f>IFERROR(VLOOKUP(CONCATENATE('Respuestas de formulario 1.1'!$B24,MID('Respuestas de formulario 1.1'!DT$1,2,1)),#REF!,12,0),"")</f>
        <v/>
      </c>
      <c r="DU24" s="45" t="str">
        <f>IFERROR(VLOOKUP(CONCATENATE('Respuestas de formulario 1.1'!$B24,MID('Respuestas de formulario 1.1'!DU$1,2,1)),#REF!,12,0),"")</f>
        <v/>
      </c>
      <c r="DV24" s="45" t="str">
        <f>IFERROR(VLOOKUP(CONCATENATE('Respuestas de formulario 1.1'!$B24,MID('Respuestas de formulario 1.1'!DV$1,2,1)),#REF!,12,0),"")</f>
        <v/>
      </c>
      <c r="DW24" s="45" t="str">
        <f>IFERROR(VLOOKUP(CONCATENATE('Respuestas de formulario 1.1'!$B24,MID('Respuestas de formulario 1.1'!DW$1,2,1)),#REF!,12,0),"")</f>
        <v/>
      </c>
      <c r="DX24" s="45" t="str">
        <f>IFERROR(VLOOKUP(CONCATENATE('Respuestas de formulario 1.1'!$B24,MID('Respuestas de formulario 1.1'!DX$1,2,1)),#REF!,12,0),"")</f>
        <v/>
      </c>
      <c r="DY24" s="45" t="str">
        <f>IFERROR(VLOOKUP(CONCATENATE('Respuestas de formulario 1.1'!$B24,MID('Respuestas de formulario 1.1'!DY$1,2,1)),#REF!,12,0),"")</f>
        <v/>
      </c>
      <c r="DZ24" s="45" t="str">
        <f>IFERROR(VLOOKUP(CONCATENATE('Respuestas de formulario 1.1'!$B24,MID('Respuestas de formulario 1.1'!DZ$1,2,1)),#REF!,12,0),"")</f>
        <v/>
      </c>
      <c r="EA24" s="45" t="str">
        <f>IFERROR(VLOOKUP(CONCATENATE('Respuestas de formulario 1.1'!$B24,MID('Respuestas de formulario 1.1'!EA$1,2,1)),#REF!,12,0),"")</f>
        <v/>
      </c>
      <c r="EB24" s="45" t="str">
        <f>IFERROR(VLOOKUP(CONCATENATE('Respuestas de formulario 1.1'!$B24,MID('Respuestas de formulario 1.1'!EB$1,2,1)),#REF!,12,0),"")</f>
        <v/>
      </c>
      <c r="EC24" s="45" t="str">
        <f>IFERROR(VLOOKUP(CONCATENATE('Respuestas de formulario 1.1'!$B24,MID('Respuestas de formulario 1.1'!EC$1,2,1)),#REF!,12,0),"")</f>
        <v/>
      </c>
      <c r="ED24" s="45" t="str">
        <f>IFERROR(VLOOKUP(CONCATENATE('Respuestas de formulario 1.1'!$B24,MID('Respuestas de formulario 1.1'!ED$1,2,1)),#REF!,12,0),"")</f>
        <v/>
      </c>
      <c r="EE24" s="45" t="str">
        <f>IFERROR(VLOOKUP(CONCATENATE('Respuestas de formulario 1.1'!$B24,MID('Respuestas de formulario 1.1'!EE$1,2,1)),#REF!,12,0),"")</f>
        <v/>
      </c>
      <c r="EF24" s="45" t="str">
        <f>IFERROR(VLOOKUP(CONCATENATE('Respuestas de formulario 1.1'!$B24,MID('Respuestas de formulario 1.1'!EF$1,2,1)),#REF!,12,0),"")</f>
        <v/>
      </c>
      <c r="EG24" s="45" t="str">
        <f>IFERROR(VLOOKUP(CONCATENATE('Respuestas de formulario 1.1'!$B24,MID('Respuestas de formulario 1.1'!EG$1,2,1)),#REF!,12,0),"")</f>
        <v/>
      </c>
      <c r="EH24" s="45" t="str">
        <f>IFERROR(VLOOKUP(CONCATENATE('Respuestas de formulario 1.1'!$B24,MID('Respuestas de formulario 1.1'!EH$1,2,1)),#REF!,12,0),"")</f>
        <v/>
      </c>
      <c r="EI24" s="45" t="str">
        <f>IFERROR(VLOOKUP(CONCATENATE('Respuestas de formulario 1.1'!$B24,MID('Respuestas de formulario 1.1'!EI$1,2,1)),#REF!,12,0),"")</f>
        <v/>
      </c>
      <c r="EJ24" s="45" t="str">
        <f t="array" ref="EJ24">IF(DO24="","", INDEX(#REF!,MATCH(CONCATENATE('Respuestas de formulario 1.1'!$B24,DO24),#REF!,0),MATCH('Respuestas de formulario 1.1'!EJ$1,#REF!,0)))</f>
        <v/>
      </c>
      <c r="EK24" s="56" t="str">
        <f t="array" ref="EK24">IF(DP24="","", INDEX(#REF!,MATCH(CONCATENATE('Respuestas de formulario 1.1'!$B24,DP24),#REF!,0),MATCH('Respuestas de formulario 1.1'!EK$1,#REF!,0)))</f>
        <v/>
      </c>
      <c r="EL24" s="56" t="str">
        <f t="array" ref="EL24">IF(DQ24="","", INDEX(#REF!,MATCH(CONCATENATE('Respuestas de formulario 1.1'!$B24,DQ24),#REF!,0),MATCH('Respuestas de formulario 1.1'!EL$1,#REF!,0)))</f>
        <v/>
      </c>
      <c r="EM24" s="56" t="str">
        <f t="array" ref="EM24">IF(DR24="","", INDEX(#REF!,MATCH(CONCATENATE('Respuestas de formulario 1.1'!$B24,DR24),#REF!,0),MATCH('Respuestas de formulario 1.1'!EM$1,#REF!,0)))</f>
        <v/>
      </c>
      <c r="EN24" s="56" t="str">
        <f t="array" ref="EN24">IF(DS24="","", INDEX(#REF!,MATCH(CONCATENATE('Respuestas de formulario 1.1'!$B24,DS24),#REF!,0),MATCH('Respuestas de formulario 1.1'!EN$1,#REF!,0)))</f>
        <v/>
      </c>
      <c r="EO24" s="56" t="str">
        <f t="array" ref="EO24">IF(DT24="","", INDEX(#REF!,MATCH(CONCATENATE('Respuestas de formulario 1.1'!$B24,DT24),#REF!,0),MATCH('Respuestas de formulario 1.1'!EO$1,#REF!,0)))</f>
        <v/>
      </c>
      <c r="EP24" s="45" t="str">
        <f t="array" ref="EP24">IF(DU24="","", INDEX(#REF!,MATCH(CONCATENATE('Respuestas de formulario 1.1'!$B24,DU24),#REF!,0),MATCH('Respuestas de formulario 1.1'!EP$1,#REF!,0)))</f>
        <v/>
      </c>
      <c r="EQ24" s="45" t="str">
        <f t="array" ref="EQ24">IF(DP24="","", INDEX(#REF!,MATCH(CONCATENATE('Respuestas de formulario 1.1'!$B24,DP24),#REF!,0),MATCH('Respuestas de formulario 1.1'!EQ$1,#REF!,0)))</f>
        <v/>
      </c>
      <c r="ER24" s="56" t="str">
        <f t="array" ref="ER24">IF(DQ24="","", INDEX(#REF!,MATCH(CONCATENATE('Respuestas de formulario 1.1'!$B24,DQ24),#REF!,0),MATCH('Respuestas de formulario 1.1'!ER$1,#REF!,0)))</f>
        <v/>
      </c>
      <c r="ES24" s="56" t="str">
        <f t="array" ref="ES24">IF(DR24="","", INDEX(#REF!,MATCH(CONCATENATE('Respuestas de formulario 1.1'!$B24,DR24),#REF!,0),MATCH('Respuestas de formulario 1.1'!ES$1,#REF!,0)))</f>
        <v/>
      </c>
      <c r="ET24" s="56" t="str">
        <f t="array" ref="ET24">IF(DS24="","", INDEX(#REF!,MATCH(CONCATENATE('Respuestas de formulario 1.1'!$B24,DS24),#REF!,0),MATCH('Respuestas de formulario 1.1'!ET$1,#REF!,0)))</f>
        <v/>
      </c>
      <c r="EU24" s="56" t="str">
        <f t="array" ref="EU24">IF(DT24="","", INDEX(#REF!,MATCH(CONCATENATE('Respuestas de formulario 1.1'!$B24,DT24),#REF!,0),MATCH('Respuestas de formulario 1.1'!EU$1,#REF!,0)))</f>
        <v/>
      </c>
      <c r="EV24" s="56" t="str">
        <f t="array" ref="EV24">IF(DU24="","", INDEX(#REF!,MATCH(CONCATENATE('Respuestas de formulario 1.1'!$B24,DU24),#REF!,0),MATCH('Respuestas de formulario 1.1'!EV$1,#REF!,0)))</f>
        <v/>
      </c>
      <c r="EW24" s="45" t="str">
        <f t="array" ref="EW24">IF(DV24="","", INDEX(#REF!,MATCH(CONCATENATE('Respuestas de formulario 1.1'!$B24,DV24),#REF!,0),MATCH('Respuestas de formulario 1.1'!EW$1,#REF!,0)))</f>
        <v/>
      </c>
      <c r="EX24" s="45" t="str">
        <f t="array" ref="EX24">IF($DQ24="","", INDEX(#REF!,MATCH(CONCATENATE('Respuestas de formulario 1.1'!$B24,$DQ24),#REF!,0),MATCH('Respuestas de formulario 1.1'!EX$1,#REF!,0)))</f>
        <v/>
      </c>
      <c r="EY24" s="56" t="str">
        <f t="array" ref="EY24">IF($DQ24="","", INDEX(#REF!,MATCH(CONCATENATE('Respuestas de formulario 1.1'!$B24,$DQ24),#REF!,0),MATCH('Respuestas de formulario 1.1'!EY$1,#REF!,0)))</f>
        <v/>
      </c>
      <c r="EZ24" s="56" t="str">
        <f t="array" ref="EZ24">IF($DQ24="","", INDEX(#REF!,MATCH(CONCATENATE('Respuestas de formulario 1.1'!$B24,$DQ24),#REF!,0),MATCH('Respuestas de formulario 1.1'!EZ$1,#REF!,0)))</f>
        <v/>
      </c>
      <c r="FA24" s="56" t="str">
        <f t="array" ref="FA24">IF($DQ24="","", INDEX(#REF!,MATCH(CONCATENATE('Respuestas de formulario 1.1'!$B24,$DQ24),#REF!,0),MATCH('Respuestas de formulario 1.1'!FA$1,#REF!,0)))</f>
        <v/>
      </c>
      <c r="FB24" s="56" t="str">
        <f t="array" ref="FB24">IF($DQ24="","", INDEX(#REF!,MATCH(CONCATENATE('Respuestas de formulario 1.1'!$B24,$DQ24),#REF!,0),MATCH('Respuestas de formulario 1.1'!FB$1,#REF!,0)))</f>
        <v/>
      </c>
      <c r="FC24" s="56" t="str">
        <f t="array" ref="FC24">IF($DQ24="","", INDEX(#REF!,MATCH(CONCATENATE('Respuestas de formulario 1.1'!$B24,$DQ24),#REF!,0),MATCH('Respuestas de formulario 1.1'!FC$1,#REF!,0)))</f>
        <v/>
      </c>
      <c r="FD24" s="45" t="str">
        <f t="array" ref="FD24">IF($DQ24="","", INDEX(#REF!,MATCH(CONCATENATE('Respuestas de formulario 1.1'!$B24,$DQ24),#REF!,0),MATCH('Respuestas de formulario 1.1'!FD$1,#REF!,0)))</f>
        <v/>
      </c>
      <c r="FE24" s="45" t="str">
        <f t="array" ref="FE24">IF($DR24="","", INDEX(#REF!,MATCH(CONCATENATE(#REF!,$DR24),#REF!,0),MATCH(#REF!,#REF!,0)))</f>
        <v/>
      </c>
      <c r="FF24" s="56" t="str">
        <f t="array" ref="FF24">IF($DR24="","", INDEX(#REF!,MATCH(CONCATENATE(#REF!,$DR24),#REF!,0),MATCH(#REF!,#REF!,0)))</f>
        <v/>
      </c>
      <c r="FG24" s="56" t="str">
        <f t="array" ref="FG24">IF($DR24="","", INDEX(#REF!,MATCH(CONCATENATE(#REF!,$DR24),#REF!,0),MATCH(#REF!,#REF!,0)))</f>
        <v/>
      </c>
      <c r="FH24" s="56" t="str">
        <f t="array" ref="FH24">IF($DR24="","", INDEX(#REF!,MATCH(CONCATENATE(#REF!,$DR24),#REF!,0),MATCH(#REF!,#REF!,0)))</f>
        <v/>
      </c>
      <c r="FI24" s="56" t="str">
        <f t="array" ref="FI24">IF($DR24="","", INDEX(#REF!,MATCH(CONCATENATE(#REF!,$DR24),#REF!,0),MATCH(#REF!,#REF!,0)))</f>
        <v/>
      </c>
      <c r="FJ24" s="56" t="str">
        <f t="array" ref="FJ24">IF($DR24="","", INDEX(#REF!,MATCH(CONCATENATE(#REF!,$DR24),#REF!,0),MATCH(#REF!,#REF!,0)))</f>
        <v/>
      </c>
      <c r="FK24" s="45" t="str">
        <f t="array" ref="FK24">IF($DR24="","", INDEX(#REF!,MATCH(CONCATENATE(#REF!,$DR24),#REF!,0),MATCH(#REF!,#REF!,0)))</f>
        <v/>
      </c>
      <c r="FL24" s="45" t="str">
        <f t="array" ref="FL24">IF($DT24="","", INDEX(#REF!,MATCH(CONCATENATE('Respuestas de formulario 1.1'!$B24,$DS24),#REF!,0),MATCH('Respuestas de formulario 1.1'!FL$1,#REF!,0)))</f>
        <v/>
      </c>
      <c r="FM24" s="56" t="str">
        <f t="array" ref="FM24">IF($DT24="","", INDEX(#REF!,MATCH(CONCATENATE('Respuestas de formulario 1.1'!$B24,$DS24),#REF!,0),MATCH('Respuestas de formulario 1.1'!FM$1,#REF!,0)))</f>
        <v/>
      </c>
      <c r="FN24" s="56" t="str">
        <f t="array" ref="FN24">IF($DT24="","", INDEX(#REF!,MATCH(CONCATENATE('Respuestas de formulario 1.1'!$B24,$DS24),#REF!,0),MATCH('Respuestas de formulario 1.1'!FN$1,#REF!,0)))</f>
        <v/>
      </c>
      <c r="FO24" s="56" t="str">
        <f t="array" ref="FO24">IF($DT24="","", INDEX(#REF!,MATCH(CONCATENATE('Respuestas de formulario 1.1'!$B24,$DS24),#REF!,0),MATCH('Respuestas de formulario 1.1'!FO$1,#REF!,0)))</f>
        <v/>
      </c>
      <c r="FP24" s="56" t="str">
        <f t="array" ref="FP24">IF($DT24="","", INDEX(#REF!,MATCH(CONCATENATE('Respuestas de formulario 1.1'!$B24,$DS24),#REF!,0),MATCH('Respuestas de formulario 1.1'!FP$1,#REF!,0)))</f>
        <v/>
      </c>
      <c r="FQ24" s="56" t="str">
        <f t="array" ref="FQ24">IF($DT24="","", INDEX(#REF!,MATCH(CONCATENATE('Respuestas de formulario 1.1'!$B24,$DS24),#REF!,0),MATCH('Respuestas de formulario 1.1'!FQ$1,#REF!,0)))</f>
        <v/>
      </c>
      <c r="FR24" s="45" t="str">
        <f t="array" ref="FR24">IF($DT24="","", INDEX(#REF!,MATCH(CONCATENATE('Respuestas de formulario 1.1'!$B24,$DS24),#REF!,0),MATCH('Respuestas de formulario 1.1'!FR$1,#REF!,0)))</f>
        <v/>
      </c>
      <c r="FS24" s="45" t="str">
        <f t="array" ref="FS24">IF($DU24="","", INDEX(#REF!,MATCH(CONCATENATE('Respuestas de formulario 1.1'!$B24,$DT24),#REF!,0),MATCH('Respuestas de formulario 1.1'!FS$1,#REF!,0)))</f>
        <v/>
      </c>
      <c r="FT24" s="56" t="str">
        <f t="array" ref="FT24">IF($DU24="","", INDEX(#REF!,MATCH(CONCATENATE('Respuestas de formulario 1.1'!$B24,$DT24),#REF!,0),MATCH('Respuestas de formulario 1.1'!FT$1,#REF!,0)))</f>
        <v/>
      </c>
      <c r="FU24" s="56" t="str">
        <f t="array" ref="FU24">IF($DU24="","", INDEX(#REF!,MATCH(CONCATENATE('Respuestas de formulario 1.1'!$B24,$DT24),#REF!,0),MATCH('Respuestas de formulario 1.1'!FU$1,#REF!,0)))</f>
        <v/>
      </c>
      <c r="FV24" s="56" t="str">
        <f t="array" ref="FV24">IF($DU24="","", INDEX(#REF!,MATCH(CONCATENATE('Respuestas de formulario 1.1'!$B24,$DT24),#REF!,0),MATCH('Respuestas de formulario 1.1'!FV$1,#REF!,0)))</f>
        <v/>
      </c>
      <c r="FW24" s="56" t="str">
        <f t="array" ref="FW24">IF($DU24="","", INDEX(#REF!,MATCH(CONCATENATE('Respuestas de formulario 1.1'!$B24,$DT24),#REF!,0),MATCH('Respuestas de formulario 1.1'!FW$1,#REF!,0)))</f>
        <v/>
      </c>
      <c r="FX24" s="56" t="str">
        <f t="array" ref="FX24">IF($DU24="","", INDEX(#REF!,MATCH(CONCATENATE('Respuestas de formulario 1.1'!$B24,$DT24),#REF!,0),MATCH('Respuestas de formulario 1.1'!FX$1,#REF!,0)))</f>
        <v/>
      </c>
      <c r="FY24" s="45" t="str">
        <f t="array" ref="FY24">IF($DU24="","", INDEX(#REF!,MATCH(CONCATENATE('Respuestas de formulario 1.1'!$B24,$DT24),#REF!,0),MATCH('Respuestas de formulario 1.1'!FY$1,#REF!,0)))</f>
        <v/>
      </c>
      <c r="FZ24" s="3" t="s">
        <v>2860</v>
      </c>
      <c r="GA24" s="1" t="s">
        <v>3226</v>
      </c>
      <c r="GB24" s="5" t="s">
        <v>3227</v>
      </c>
      <c r="GC24" s="4" t="str">
        <f>HYPERLINK("https://drive.google.com/file/d/1NfvREvYOqX5-ub6j00VdWR2llJFYWP-O/view?usp=drivesdk","QUINTANILLA  LOPEZ  SOANY CRISTAL  Formato de reinscripción y pago 2022-2")</f>
        <v>QUINTANILLA  LOPEZ  SOANY CRISTAL  Formato de reinscripción y pago 2022-2</v>
      </c>
      <c r="GD24" s="1" t="s">
        <v>3228</v>
      </c>
      <c r="GE24" s="1"/>
      <c r="GF24" s="1"/>
      <c r="GG24" s="1"/>
      <c r="GH24" s="1"/>
      <c r="GI24" s="1" t="s">
        <v>3229</v>
      </c>
      <c r="GJ24" s="5" t="s">
        <v>3230</v>
      </c>
      <c r="GK24" s="5" t="str">
        <f>HYPERLINK("https://drive.google.com/file/d/1lV_Ecc7aNct74yOpzPCM3u9qy5FCBKNs/view?usp=drivesdk","QUINTANILLA  LOPEZ  SOANY CRISTAL  Formato de reinscripción y pago 2022-2")</f>
        <v>QUINTANILLA  LOPEZ  SOANY CRISTAL  Formato de reinscripción y pago 2022-2</v>
      </c>
      <c r="GL24" s="1" t="s">
        <v>3231</v>
      </c>
    </row>
    <row r="25" spans="1:194" ht="38.25" x14ac:dyDescent="0.2">
      <c r="A25" s="2">
        <v>45139.03908707176</v>
      </c>
      <c r="B25" s="1" t="s">
        <v>31</v>
      </c>
      <c r="C25" s="1" t="s">
        <v>1204</v>
      </c>
      <c r="D25" s="1" t="s">
        <v>1318</v>
      </c>
      <c r="E25" s="1" t="s">
        <v>2369</v>
      </c>
      <c r="F25" s="1" t="s">
        <v>223</v>
      </c>
      <c r="G25" s="5" t="s">
        <v>3232</v>
      </c>
      <c r="H25" s="41">
        <v>38734</v>
      </c>
      <c r="I25" s="1">
        <v>17</v>
      </c>
      <c r="J25" s="1">
        <v>5512360619</v>
      </c>
      <c r="K25" s="1">
        <v>5539118838</v>
      </c>
      <c r="L25" s="1" t="s">
        <v>3233</v>
      </c>
      <c r="M25" s="1">
        <v>213090605700</v>
      </c>
      <c r="N25" s="1" t="s">
        <v>1108</v>
      </c>
      <c r="O25" s="1" t="s">
        <v>247</v>
      </c>
      <c r="P25" s="1" t="s">
        <v>226</v>
      </c>
      <c r="Q25" s="1" t="s">
        <v>227</v>
      </c>
      <c r="R25" s="1" t="s">
        <v>236</v>
      </c>
      <c r="S25" s="1" t="s">
        <v>228</v>
      </c>
      <c r="T25" s="1" t="s">
        <v>229</v>
      </c>
      <c r="U25" s="1" t="s">
        <v>264</v>
      </c>
      <c r="V25" s="1" t="s">
        <v>228</v>
      </c>
      <c r="W25" s="1" t="s">
        <v>3234</v>
      </c>
      <c r="X25" s="1" t="s">
        <v>264</v>
      </c>
      <c r="Y25" s="1" t="s">
        <v>522</v>
      </c>
      <c r="Z25" s="1" t="s">
        <v>240</v>
      </c>
      <c r="AA25" s="1">
        <v>57200</v>
      </c>
      <c r="AB25" s="1" t="s">
        <v>1665</v>
      </c>
      <c r="AC25" s="1" t="s">
        <v>3235</v>
      </c>
      <c r="AD25" s="1" t="s">
        <v>3236</v>
      </c>
      <c r="AE25" s="1" t="s">
        <v>3237</v>
      </c>
      <c r="AF25" s="1" t="s">
        <v>445</v>
      </c>
      <c r="AG25" s="1">
        <v>39</v>
      </c>
      <c r="AH25" s="5" t="s">
        <v>3238</v>
      </c>
      <c r="AI25" s="1">
        <v>5539118838</v>
      </c>
      <c r="AJ25" s="1">
        <v>5539118838</v>
      </c>
      <c r="AK25" s="1" t="s">
        <v>3239</v>
      </c>
      <c r="AL25" s="1" t="s">
        <v>1204</v>
      </c>
      <c r="AM25" s="1" t="s">
        <v>234</v>
      </c>
      <c r="AN25" s="1" t="s">
        <v>3240</v>
      </c>
      <c r="AO25" s="1" t="s">
        <v>650</v>
      </c>
      <c r="AP25" s="1">
        <v>58</v>
      </c>
      <c r="AQ25" s="1" t="s">
        <v>663</v>
      </c>
      <c r="AR25" s="42">
        <v>0.29166666666424135</v>
      </c>
      <c r="AS25" s="42">
        <v>0.70833333333575865</v>
      </c>
      <c r="AT25" s="1">
        <v>5512973623</v>
      </c>
      <c r="AU25" s="1">
        <v>5512973623</v>
      </c>
      <c r="AV25" s="1" t="s">
        <v>3239</v>
      </c>
      <c r="AW25" s="5" t="s">
        <v>3241</v>
      </c>
      <c r="AX25" s="1" t="s">
        <v>1318</v>
      </c>
      <c r="AY25" s="1" t="s">
        <v>788</v>
      </c>
      <c r="AZ25" s="1" t="s">
        <v>1057</v>
      </c>
      <c r="BA25" s="1" t="s">
        <v>445</v>
      </c>
      <c r="BB25" s="1">
        <v>39</v>
      </c>
      <c r="BC25" s="1" t="s">
        <v>526</v>
      </c>
      <c r="BD25" s="43">
        <v>0.33333333333575865</v>
      </c>
      <c r="BE25" s="43">
        <v>0.66666666666424135</v>
      </c>
      <c r="BF25" s="1">
        <v>5539118838</v>
      </c>
      <c r="BG25" s="1">
        <v>5539118838</v>
      </c>
      <c r="BH25" s="1" t="s">
        <v>3239</v>
      </c>
      <c r="BI25" s="5" t="s">
        <v>3242</v>
      </c>
      <c r="BJ25" s="1" t="s">
        <v>236</v>
      </c>
      <c r="BL25" s="1">
        <v>1.6</v>
      </c>
      <c r="BM25" s="1">
        <v>74.2</v>
      </c>
      <c r="BN25" s="1" t="s">
        <v>236</v>
      </c>
      <c r="BO25" s="1" t="s">
        <v>228</v>
      </c>
      <c r="BQ25" s="1" t="s">
        <v>228</v>
      </c>
      <c r="BR25" s="1" t="s">
        <v>237</v>
      </c>
      <c r="BS25" s="1" t="s">
        <v>236</v>
      </c>
      <c r="BT25" s="1" t="s">
        <v>237</v>
      </c>
      <c r="BU25" s="1" t="s">
        <v>228</v>
      </c>
      <c r="BW25" s="1" t="s">
        <v>238</v>
      </c>
      <c r="BX25" s="1">
        <v>30</v>
      </c>
      <c r="BY25" s="1">
        <v>17</v>
      </c>
      <c r="BZ25" s="1" t="s">
        <v>298</v>
      </c>
      <c r="CA25" s="1" t="s">
        <v>3243</v>
      </c>
      <c r="CB25" s="1" t="s">
        <v>240</v>
      </c>
      <c r="CC25" s="1" t="s">
        <v>3244</v>
      </c>
      <c r="CD25" s="1">
        <v>1000</v>
      </c>
      <c r="CE25" s="1">
        <v>2500</v>
      </c>
      <c r="CF25" s="1" t="s">
        <v>236</v>
      </c>
      <c r="CG25" s="1" t="s">
        <v>323</v>
      </c>
      <c r="CH25" s="1" t="s">
        <v>243</v>
      </c>
      <c r="CI25" s="1" t="s">
        <v>243</v>
      </c>
      <c r="CJ25" s="1" t="s">
        <v>2848</v>
      </c>
      <c r="CL25" s="5" t="s">
        <v>3245</v>
      </c>
      <c r="CM25" s="1">
        <v>80038339703</v>
      </c>
      <c r="CN25" s="1" t="s">
        <v>228</v>
      </c>
      <c r="CQ25" s="42">
        <v>0.33333333333575865</v>
      </c>
      <c r="CR25" s="42">
        <v>0.66666666666424135</v>
      </c>
      <c r="CT25" s="45" t="str">
        <f t="array" ref="CT25">IFERROR(INDEX(#REF!,MATCH('Respuestas de formulario 1.1'!$B25,#REF!,0),MATCH('Respuestas de formulario 1.1'!CT$1,#REF!,0)),"")</f>
        <v/>
      </c>
      <c r="CU25" s="56" t="str">
        <f t="array" ref="CU25">IFERROR(INDEX(#REF!,MATCH('Respuestas de formulario 1.1'!$B25,#REF!,0),MATCH('Respuestas de formulario 1.1'!CU$1,#REF!,0)),"")</f>
        <v/>
      </c>
      <c r="CV25" s="56" t="str">
        <f t="array" ref="CV25">IFERROR(INDEX(#REF!,MATCH('Respuestas de formulario 1.1'!$B25,#REF!,0),MATCH('Respuestas de formulario 1.1'!CV$1,#REF!,0)),"")</f>
        <v/>
      </c>
      <c r="CW25" s="56" t="str">
        <f t="array" ref="CW25">IFERROR(INDEX(#REF!,MATCH('Respuestas de formulario 1.1'!$B25,#REF!,0),MATCH('Respuestas de formulario 1.1'!CW$1,#REF!,0)),"")</f>
        <v/>
      </c>
      <c r="CX25" s="56" t="str">
        <f t="array" ref="CX25">IFERROR(INDEX(#REF!,MATCH('Respuestas de formulario 1.1'!$B25,#REF!,0),MATCH('Respuestas de formulario 1.1'!CX$1,#REF!,0)),"")</f>
        <v/>
      </c>
      <c r="CY25" s="56" t="str">
        <f t="array" ref="CY25">IFERROR(INDEX(#REF!,MATCH('Respuestas de formulario 1.1'!$B25,#REF!,0),MATCH('Respuestas de formulario 1.1'!CY$1,#REF!,0)),"")</f>
        <v/>
      </c>
      <c r="CZ25" s="57" t="str">
        <f t="array" ref="CZ25">IFERROR(INDEX(#REF!,MATCH('Respuestas de formulario 1.1'!$B25,#REF!,0),MATCH('Respuestas de formulario 1.1'!CZ$1,#REF!,0)),"")</f>
        <v/>
      </c>
      <c r="DA25" s="45" t="e">
        <f t="array" ref="DA25">INDEX(#REF!,MATCH('Respuestas de formulario 1.1'!$B25,#REF!,0),MATCH('Respuestas de formulario 1.1'!DA$1,#REF!,0))</f>
        <v>#REF!</v>
      </c>
      <c r="DB25" s="45" t="e">
        <f t="array" ref="DB25">INDEX(#REF!,MATCH('Respuestas de formulario 1.1'!$B25,#REF!,0),MATCH('Respuestas de formulario 1.1'!DB$1,#REF!,0))</f>
        <v>#REF!</v>
      </c>
      <c r="DC25" s="45" t="e">
        <f t="array" ref="DC25">INDEX(#REF!,MATCH('Respuestas de formulario 1.1'!$B25,#REF!,0),MATCH('Respuestas de formulario 1.1'!DC$1,#REF!,0))</f>
        <v>#REF!</v>
      </c>
      <c r="DD25" s="45" t="e">
        <f t="array" ref="DD25">INDEX(#REF!,MATCH('Respuestas de formulario 1.1'!$B25,#REF!,0),MATCH('Respuestas de formulario 1.1'!DD$1,#REF!,0))</f>
        <v>#REF!</v>
      </c>
      <c r="DE25" s="45" t="e">
        <f t="array" ref="DE25">INDEX(#REF!,MATCH('Respuestas de formulario 1.1'!$B25,#REF!,0),MATCH('Respuestas de formulario 1.1'!DE$1,#REF!,0))</f>
        <v>#REF!</v>
      </c>
      <c r="DF25" s="45" t="e">
        <f t="array" ref="DF25">INDEX(#REF!,MATCH('Respuestas de formulario 1.1'!$B25,#REF!,0),MATCH('Respuestas de formulario 1.1'!DF$1,#REF!,0))</f>
        <v>#REF!</v>
      </c>
      <c r="DG25" s="45" t="e">
        <f t="array" ref="DG25">INDEX(#REF!,MATCH('Respuestas de formulario 1.1'!$B25,#REF!,0),MATCH('Respuestas de formulario 1.1'!DG$1,#REF!,0))</f>
        <v>#REF!</v>
      </c>
      <c r="DH25" s="45" t="e">
        <f t="array" ref="DH25">INDEX(#REF!,MATCH('Respuestas de formulario 1.1'!$B25,#REF!,0),MATCH('Respuestas de formulario 1.1'!DH$1,#REF!,0))</f>
        <v>#REF!</v>
      </c>
      <c r="DI25" s="48" t="e">
        <f>VLOOKUP(CONCATENATE($DF25," TUTO ",$DC25),#REF!,3,0)</f>
        <v>#REF!</v>
      </c>
      <c r="DJ25" s="48" t="e">
        <f t="array" ref="DJ25">IF('Respuestas de formulario 1.1'!A25="","",INDEX(#REF!,MATCH('Respuestas de formulario 1.1'!B25,#REF!,0),MATCH('Respuestas de formulario 1.1'!$DH$1,#REF!,0)))</f>
        <v>#REF!</v>
      </c>
      <c r="DK25" s="52" t="str">
        <f>CONCATENATE("http://doc.google.com/uc?id=",MID('Respuestas de formulario 1.1'!G25,34,33))</f>
        <v>http://doc.google.com/uc?id=1n950eCdmH-_D5kpPKROjJVSPHQ_WkJQJ</v>
      </c>
      <c r="DL25" s="49" t="str">
        <f>CONCATENATE("http://doc.google.com/uc?id=",MID('Respuestas de formulario 1.1'!AH25,34,33))</f>
        <v>http://doc.google.com/uc?id=1JYvCy3PlLBrqpsb9zPYOPq4PCccDoFzp</v>
      </c>
      <c r="DM25" s="50" t="str">
        <f>CONCATENATE("http://doc.google.com/uc?id=",MID('Respuestas de formulario 1.1'!AW25,34,33))</f>
        <v>http://doc.google.com/uc?id=1swEM5XxYDBct0aZ6-xe8mmx1HjwYXh6F</v>
      </c>
      <c r="DN25" s="53" t="str">
        <f>CONCATENATE("http://doc.google.com/uc?id=",MID('Respuestas de formulario 1.1'!$BI25,34,33))</f>
        <v>http://doc.google.com/uc?id=1UiurjWR3A82lKsQWM3i24DI7j9Bxa0SA</v>
      </c>
      <c r="DO25" s="45" t="str">
        <f>IFERROR(VLOOKUP(CONCATENATE('Respuestas de formulario 1.1'!$B25,MID('Respuestas de formulario 1.1'!DO$1,2,1)),#REF!,12,0),"")</f>
        <v/>
      </c>
      <c r="DP25" s="45" t="str">
        <f>IFERROR(VLOOKUP(CONCATENATE('Respuestas de formulario 1.1'!$B25,MID('Respuestas de formulario 1.1'!DP$1,2,1)),#REF!,12,0),"")</f>
        <v/>
      </c>
      <c r="DQ25" s="45" t="str">
        <f>IFERROR(VLOOKUP(CONCATENATE('Respuestas de formulario 1.1'!$B25,MID('Respuestas de formulario 1.1'!DQ$1,2,1)),#REF!,12,0),"")</f>
        <v/>
      </c>
      <c r="DR25" s="45" t="str">
        <f>IFERROR(VLOOKUP(CONCATENATE('Respuestas de formulario 1.1'!$B25,MID('Respuestas de formulario 1.1'!DR$1,2,1)),#REF!,12,0),"")</f>
        <v/>
      </c>
      <c r="DS25" s="45" t="str">
        <f>IFERROR(VLOOKUP(CONCATENATE('Respuestas de formulario 1.1'!$B25,MID('Respuestas de formulario 1.1'!DS$1,2,1)),#REF!,12,0),"")</f>
        <v/>
      </c>
      <c r="DT25" s="45" t="str">
        <f>IFERROR(VLOOKUP(CONCATENATE('Respuestas de formulario 1.1'!$B25,MID('Respuestas de formulario 1.1'!DT$1,2,1)),#REF!,12,0),"")</f>
        <v/>
      </c>
      <c r="DU25" s="45" t="str">
        <f>IFERROR(VLOOKUP(CONCATENATE('Respuestas de formulario 1.1'!$B25,MID('Respuestas de formulario 1.1'!DU$1,2,1)),#REF!,12,0),"")</f>
        <v/>
      </c>
      <c r="DV25" s="45" t="str">
        <f>IFERROR(VLOOKUP(CONCATENATE('Respuestas de formulario 1.1'!$B25,MID('Respuestas de formulario 1.1'!DV$1,2,1)),#REF!,12,0),"")</f>
        <v/>
      </c>
      <c r="DW25" s="45" t="str">
        <f>IFERROR(VLOOKUP(CONCATENATE('Respuestas de formulario 1.1'!$B25,MID('Respuestas de formulario 1.1'!DW$1,2,1)),#REF!,12,0),"")</f>
        <v/>
      </c>
      <c r="DX25" s="45" t="str">
        <f>IFERROR(VLOOKUP(CONCATENATE('Respuestas de formulario 1.1'!$B25,MID('Respuestas de formulario 1.1'!DX$1,2,1)),#REF!,12,0),"")</f>
        <v/>
      </c>
      <c r="DY25" s="45" t="str">
        <f>IFERROR(VLOOKUP(CONCATENATE('Respuestas de formulario 1.1'!$B25,MID('Respuestas de formulario 1.1'!DY$1,2,1)),#REF!,12,0),"")</f>
        <v/>
      </c>
      <c r="DZ25" s="45" t="str">
        <f>IFERROR(VLOOKUP(CONCATENATE('Respuestas de formulario 1.1'!$B25,MID('Respuestas de formulario 1.1'!DZ$1,2,1)),#REF!,12,0),"")</f>
        <v/>
      </c>
      <c r="EA25" s="45" t="str">
        <f>IFERROR(VLOOKUP(CONCATENATE('Respuestas de formulario 1.1'!$B25,MID('Respuestas de formulario 1.1'!EA$1,2,1)),#REF!,12,0),"")</f>
        <v/>
      </c>
      <c r="EB25" s="45" t="str">
        <f>IFERROR(VLOOKUP(CONCATENATE('Respuestas de formulario 1.1'!$B25,MID('Respuestas de formulario 1.1'!EB$1,2,1)),#REF!,12,0),"")</f>
        <v/>
      </c>
      <c r="EC25" s="45" t="str">
        <f>IFERROR(VLOOKUP(CONCATENATE('Respuestas de formulario 1.1'!$B25,MID('Respuestas de formulario 1.1'!EC$1,2,1)),#REF!,12,0),"")</f>
        <v/>
      </c>
      <c r="ED25" s="45" t="str">
        <f>IFERROR(VLOOKUP(CONCATENATE('Respuestas de formulario 1.1'!$B25,MID('Respuestas de formulario 1.1'!ED$1,2,1)),#REF!,12,0),"")</f>
        <v/>
      </c>
      <c r="EE25" s="45" t="str">
        <f>IFERROR(VLOOKUP(CONCATENATE('Respuestas de formulario 1.1'!$B25,MID('Respuestas de formulario 1.1'!EE$1,2,1)),#REF!,12,0),"")</f>
        <v/>
      </c>
      <c r="EF25" s="45" t="str">
        <f>IFERROR(VLOOKUP(CONCATENATE('Respuestas de formulario 1.1'!$B25,MID('Respuestas de formulario 1.1'!EF$1,2,1)),#REF!,12,0),"")</f>
        <v/>
      </c>
      <c r="EG25" s="45" t="str">
        <f>IFERROR(VLOOKUP(CONCATENATE('Respuestas de formulario 1.1'!$B25,MID('Respuestas de formulario 1.1'!EG$1,2,1)),#REF!,12,0),"")</f>
        <v/>
      </c>
      <c r="EH25" s="45" t="str">
        <f>IFERROR(VLOOKUP(CONCATENATE('Respuestas de formulario 1.1'!$B25,MID('Respuestas de formulario 1.1'!EH$1,2,1)),#REF!,12,0),"")</f>
        <v/>
      </c>
      <c r="EI25" s="45" t="str">
        <f>IFERROR(VLOOKUP(CONCATENATE('Respuestas de formulario 1.1'!$B25,MID('Respuestas de formulario 1.1'!EI$1,2,1)),#REF!,12,0),"")</f>
        <v/>
      </c>
      <c r="EJ25" s="45" t="str">
        <f t="array" ref="EJ25">IF(DO25="","", INDEX(#REF!,MATCH(CONCATENATE('Respuestas de formulario 1.1'!$B25,DO25),#REF!,0),MATCH('Respuestas de formulario 1.1'!EJ$1,#REF!,0)))</f>
        <v/>
      </c>
      <c r="EK25" s="56" t="str">
        <f t="array" ref="EK25">IF(DP25="","", INDEX(#REF!,MATCH(CONCATENATE('Respuestas de formulario 1.1'!$B25,DP25),#REF!,0),MATCH('Respuestas de formulario 1.1'!EK$1,#REF!,0)))</f>
        <v/>
      </c>
      <c r="EL25" s="56" t="str">
        <f t="array" ref="EL25">IF(DQ25="","", INDEX(#REF!,MATCH(CONCATENATE('Respuestas de formulario 1.1'!$B25,DQ25),#REF!,0),MATCH('Respuestas de formulario 1.1'!EL$1,#REF!,0)))</f>
        <v/>
      </c>
      <c r="EM25" s="56" t="str">
        <f t="array" ref="EM25">IF(DR25="","", INDEX(#REF!,MATCH(CONCATENATE('Respuestas de formulario 1.1'!$B25,DR25),#REF!,0),MATCH('Respuestas de formulario 1.1'!EM$1,#REF!,0)))</f>
        <v/>
      </c>
      <c r="EN25" s="56" t="str">
        <f t="array" ref="EN25">IF(DS25="","", INDEX(#REF!,MATCH(CONCATENATE('Respuestas de formulario 1.1'!$B25,DS25),#REF!,0),MATCH('Respuestas de formulario 1.1'!EN$1,#REF!,0)))</f>
        <v/>
      </c>
      <c r="EO25" s="56" t="str">
        <f t="array" ref="EO25">IF(DT25="","", INDEX(#REF!,MATCH(CONCATENATE('Respuestas de formulario 1.1'!$B25,DT25),#REF!,0),MATCH('Respuestas de formulario 1.1'!EO$1,#REF!,0)))</f>
        <v/>
      </c>
      <c r="EP25" s="45" t="str">
        <f t="array" ref="EP25">IF(DU25="","", INDEX(#REF!,MATCH(CONCATENATE('Respuestas de formulario 1.1'!$B25,DU25),#REF!,0),MATCH('Respuestas de formulario 1.1'!EP$1,#REF!,0)))</f>
        <v/>
      </c>
      <c r="EQ25" s="45" t="str">
        <f t="array" ref="EQ25">IF(DP25="","", INDEX(#REF!,MATCH(CONCATENATE('Respuestas de formulario 1.1'!$B25,DP25),#REF!,0),MATCH('Respuestas de formulario 1.1'!EQ$1,#REF!,0)))</f>
        <v/>
      </c>
      <c r="ER25" s="56" t="str">
        <f t="array" ref="ER25">IF(DQ25="","", INDEX(#REF!,MATCH(CONCATENATE('Respuestas de formulario 1.1'!$B25,DQ25),#REF!,0),MATCH('Respuestas de formulario 1.1'!ER$1,#REF!,0)))</f>
        <v/>
      </c>
      <c r="ES25" s="56" t="str">
        <f t="array" ref="ES25">IF(DR25="","", INDEX(#REF!,MATCH(CONCATENATE('Respuestas de formulario 1.1'!$B25,DR25),#REF!,0),MATCH('Respuestas de formulario 1.1'!ES$1,#REF!,0)))</f>
        <v/>
      </c>
      <c r="ET25" s="56" t="str">
        <f t="array" ref="ET25">IF(DS25="","", INDEX(#REF!,MATCH(CONCATENATE('Respuestas de formulario 1.1'!$B25,DS25),#REF!,0),MATCH('Respuestas de formulario 1.1'!ET$1,#REF!,0)))</f>
        <v/>
      </c>
      <c r="EU25" s="56" t="str">
        <f t="array" ref="EU25">IF(DT25="","", INDEX(#REF!,MATCH(CONCATENATE('Respuestas de formulario 1.1'!$B25,DT25),#REF!,0),MATCH('Respuestas de formulario 1.1'!EU$1,#REF!,0)))</f>
        <v/>
      </c>
      <c r="EV25" s="56" t="str">
        <f t="array" ref="EV25">IF(DU25="","", INDEX(#REF!,MATCH(CONCATENATE('Respuestas de formulario 1.1'!$B25,DU25),#REF!,0),MATCH('Respuestas de formulario 1.1'!EV$1,#REF!,0)))</f>
        <v/>
      </c>
      <c r="EW25" s="45" t="str">
        <f t="array" ref="EW25">IF(DV25="","", INDEX(#REF!,MATCH(CONCATENATE('Respuestas de formulario 1.1'!$B25,DV25),#REF!,0),MATCH('Respuestas de formulario 1.1'!EW$1,#REF!,0)))</f>
        <v/>
      </c>
      <c r="EX25" s="45" t="str">
        <f t="array" ref="EX25">IF($DQ25="","", INDEX(#REF!,MATCH(CONCATENATE('Respuestas de formulario 1.1'!$B25,$DQ25),#REF!,0),MATCH('Respuestas de formulario 1.1'!EX$1,#REF!,0)))</f>
        <v/>
      </c>
      <c r="EY25" s="56" t="str">
        <f t="array" ref="EY25">IF($DQ25="","", INDEX(#REF!,MATCH(CONCATENATE('Respuestas de formulario 1.1'!$B25,$DQ25),#REF!,0),MATCH('Respuestas de formulario 1.1'!EY$1,#REF!,0)))</f>
        <v/>
      </c>
      <c r="EZ25" s="56" t="str">
        <f t="array" ref="EZ25">IF($DQ25="","", INDEX(#REF!,MATCH(CONCATENATE('Respuestas de formulario 1.1'!$B25,$DQ25),#REF!,0),MATCH('Respuestas de formulario 1.1'!EZ$1,#REF!,0)))</f>
        <v/>
      </c>
      <c r="FA25" s="56" t="str">
        <f t="array" ref="FA25">IF($DQ25="","", INDEX(#REF!,MATCH(CONCATENATE('Respuestas de formulario 1.1'!$B25,$DQ25),#REF!,0),MATCH('Respuestas de formulario 1.1'!FA$1,#REF!,0)))</f>
        <v/>
      </c>
      <c r="FB25" s="56" t="str">
        <f t="array" ref="FB25">IF($DQ25="","", INDEX(#REF!,MATCH(CONCATENATE('Respuestas de formulario 1.1'!$B25,$DQ25),#REF!,0),MATCH('Respuestas de formulario 1.1'!FB$1,#REF!,0)))</f>
        <v/>
      </c>
      <c r="FC25" s="56" t="str">
        <f t="array" ref="FC25">IF($DQ25="","", INDEX(#REF!,MATCH(CONCATENATE('Respuestas de formulario 1.1'!$B25,$DQ25),#REF!,0),MATCH('Respuestas de formulario 1.1'!FC$1,#REF!,0)))</f>
        <v/>
      </c>
      <c r="FD25" s="45" t="str">
        <f t="array" ref="FD25">IF($DQ25="","", INDEX(#REF!,MATCH(CONCATENATE('Respuestas de formulario 1.1'!$B25,$DQ25),#REF!,0),MATCH('Respuestas de formulario 1.1'!FD$1,#REF!,0)))</f>
        <v/>
      </c>
      <c r="FE25" s="45" t="str">
        <f t="array" ref="FE25">IF($DR25="","", INDEX(#REF!,MATCH(CONCATENATE(#REF!,$DR25),#REF!,0),MATCH(#REF!,#REF!,0)))</f>
        <v/>
      </c>
      <c r="FF25" s="56" t="str">
        <f t="array" ref="FF25">IF($DR25="","", INDEX(#REF!,MATCH(CONCATENATE(#REF!,$DR25),#REF!,0),MATCH(#REF!,#REF!,0)))</f>
        <v/>
      </c>
      <c r="FG25" s="56" t="str">
        <f t="array" ref="FG25">IF($DR25="","", INDEX(#REF!,MATCH(CONCATENATE(#REF!,$DR25),#REF!,0),MATCH(#REF!,#REF!,0)))</f>
        <v/>
      </c>
      <c r="FH25" s="56" t="str">
        <f t="array" ref="FH25">IF($DR25="","", INDEX(#REF!,MATCH(CONCATENATE(#REF!,$DR25),#REF!,0),MATCH(#REF!,#REF!,0)))</f>
        <v/>
      </c>
      <c r="FI25" s="56" t="str">
        <f t="array" ref="FI25">IF($DR25="","", INDEX(#REF!,MATCH(CONCATENATE(#REF!,$DR25),#REF!,0),MATCH(#REF!,#REF!,0)))</f>
        <v/>
      </c>
      <c r="FJ25" s="56" t="str">
        <f t="array" ref="FJ25">IF($DR25="","", INDEX(#REF!,MATCH(CONCATENATE(#REF!,$DR25),#REF!,0),MATCH(#REF!,#REF!,0)))</f>
        <v/>
      </c>
      <c r="FK25" s="45" t="str">
        <f t="array" ref="FK25">IF($DR25="","", INDEX(#REF!,MATCH(CONCATENATE(#REF!,$DR25),#REF!,0),MATCH(#REF!,#REF!,0)))</f>
        <v/>
      </c>
      <c r="FL25" s="45" t="str">
        <f t="array" ref="FL25">IF($DT25="","", INDEX(#REF!,MATCH(CONCATENATE('Respuestas de formulario 1.1'!$B25,$DS25),#REF!,0),MATCH('Respuestas de formulario 1.1'!FL$1,#REF!,0)))</f>
        <v/>
      </c>
      <c r="FM25" s="56" t="str">
        <f t="array" ref="FM25">IF($DT25="","", INDEX(#REF!,MATCH(CONCATENATE('Respuestas de formulario 1.1'!$B25,$DS25),#REF!,0),MATCH('Respuestas de formulario 1.1'!FM$1,#REF!,0)))</f>
        <v/>
      </c>
      <c r="FN25" s="56" t="str">
        <f t="array" ref="FN25">IF($DT25="","", INDEX(#REF!,MATCH(CONCATENATE('Respuestas de formulario 1.1'!$B25,$DS25),#REF!,0),MATCH('Respuestas de formulario 1.1'!FN$1,#REF!,0)))</f>
        <v/>
      </c>
      <c r="FO25" s="56" t="str">
        <f t="array" ref="FO25">IF($DT25="","", INDEX(#REF!,MATCH(CONCATENATE('Respuestas de formulario 1.1'!$B25,$DS25),#REF!,0),MATCH('Respuestas de formulario 1.1'!FO$1,#REF!,0)))</f>
        <v/>
      </c>
      <c r="FP25" s="56" t="str">
        <f t="array" ref="FP25">IF($DT25="","", INDEX(#REF!,MATCH(CONCATENATE('Respuestas de formulario 1.1'!$B25,$DS25),#REF!,0),MATCH('Respuestas de formulario 1.1'!FP$1,#REF!,0)))</f>
        <v/>
      </c>
      <c r="FQ25" s="56" t="str">
        <f t="array" ref="FQ25">IF($DT25="","", INDEX(#REF!,MATCH(CONCATENATE('Respuestas de formulario 1.1'!$B25,$DS25),#REF!,0),MATCH('Respuestas de formulario 1.1'!FQ$1,#REF!,0)))</f>
        <v/>
      </c>
      <c r="FR25" s="45" t="str">
        <f t="array" ref="FR25">IF($DT25="","", INDEX(#REF!,MATCH(CONCATENATE('Respuestas de formulario 1.1'!$B25,$DS25),#REF!,0),MATCH('Respuestas de formulario 1.1'!FR$1,#REF!,0)))</f>
        <v/>
      </c>
      <c r="FS25" s="45" t="str">
        <f t="array" ref="FS25">IF($DU25="","", INDEX(#REF!,MATCH(CONCATENATE('Respuestas de formulario 1.1'!$B25,$DT25),#REF!,0),MATCH('Respuestas de formulario 1.1'!FS$1,#REF!,0)))</f>
        <v/>
      </c>
      <c r="FT25" s="56" t="str">
        <f t="array" ref="FT25">IF($DU25="","", INDEX(#REF!,MATCH(CONCATENATE('Respuestas de formulario 1.1'!$B25,$DT25),#REF!,0),MATCH('Respuestas de formulario 1.1'!FT$1,#REF!,0)))</f>
        <v/>
      </c>
      <c r="FU25" s="56" t="str">
        <f t="array" ref="FU25">IF($DU25="","", INDEX(#REF!,MATCH(CONCATENATE('Respuestas de formulario 1.1'!$B25,$DT25),#REF!,0),MATCH('Respuestas de formulario 1.1'!FU$1,#REF!,0)))</f>
        <v/>
      </c>
      <c r="FV25" s="56" t="str">
        <f t="array" ref="FV25">IF($DU25="","", INDEX(#REF!,MATCH(CONCATENATE('Respuestas de formulario 1.1'!$B25,$DT25),#REF!,0),MATCH('Respuestas de formulario 1.1'!FV$1,#REF!,0)))</f>
        <v/>
      </c>
      <c r="FW25" s="56" t="str">
        <f t="array" ref="FW25">IF($DU25="","", INDEX(#REF!,MATCH(CONCATENATE('Respuestas de formulario 1.1'!$B25,$DT25),#REF!,0),MATCH('Respuestas de formulario 1.1'!FW$1,#REF!,0)))</f>
        <v/>
      </c>
      <c r="FX25" s="56" t="str">
        <f t="array" ref="FX25">IF($DU25="","", INDEX(#REF!,MATCH(CONCATENATE('Respuestas de formulario 1.1'!$B25,$DT25),#REF!,0),MATCH('Respuestas de formulario 1.1'!FX$1,#REF!,0)))</f>
        <v/>
      </c>
      <c r="FY25" s="45" t="str">
        <f t="array" ref="FY25">IF($DU25="","", INDEX(#REF!,MATCH(CONCATENATE('Respuestas de formulario 1.1'!$B25,$DT25),#REF!,0),MATCH('Respuestas de formulario 1.1'!FY$1,#REF!,0)))</f>
        <v/>
      </c>
      <c r="FZ25" s="3" t="s">
        <v>2860</v>
      </c>
      <c r="GA25" s="1" t="s">
        <v>3246</v>
      </c>
      <c r="GB25" s="5" t="s">
        <v>3247</v>
      </c>
      <c r="GC25" s="4" t="str">
        <f>HYPERLINK("https://drive.google.com/file/d/1imidiT2QJzRLXhtxlYexEGMIDBlSYPWv/view?usp=drivesdk","GALINDO  ROMERO  YARETZI JUDITH  Formato de reinscripción y pago 2022-2")</f>
        <v>GALINDO  ROMERO  YARETZI JUDITH  Formato de reinscripción y pago 2022-2</v>
      </c>
      <c r="GD25" s="1" t="s">
        <v>3248</v>
      </c>
      <c r="GE25" s="1"/>
      <c r="GF25" s="1"/>
      <c r="GG25" s="1"/>
      <c r="GH25" s="1"/>
      <c r="GI25" s="1" t="s">
        <v>3249</v>
      </c>
      <c r="GJ25" s="5" t="s">
        <v>3250</v>
      </c>
      <c r="GK25" s="5" t="str">
        <f>HYPERLINK("https://drive.google.com/file/d/1QWPtd7mgqdGkx5L_EIGeA9AM9zbdBx7Z/view?usp=drivesdk","GALINDO  ROMERO  YARETZI JUDITH  Formato de reinscripción y pago 2022-2")</f>
        <v>GALINDO  ROMERO  YARETZI JUDITH  Formato de reinscripción y pago 2022-2</v>
      </c>
      <c r="GL25" s="1" t="s">
        <v>3251</v>
      </c>
    </row>
    <row r="26" spans="1:194" ht="38.25" x14ac:dyDescent="0.2">
      <c r="A26" s="2">
        <v>45139.039430393517</v>
      </c>
      <c r="B26" s="1" t="s">
        <v>1031</v>
      </c>
      <c r="C26" s="1" t="s">
        <v>1032</v>
      </c>
      <c r="D26" s="1" t="s">
        <v>924</v>
      </c>
      <c r="E26" s="1" t="s">
        <v>1033</v>
      </c>
      <c r="F26" s="1" t="s">
        <v>223</v>
      </c>
      <c r="G26" s="5" t="s">
        <v>3252</v>
      </c>
      <c r="H26" s="41">
        <v>38777</v>
      </c>
      <c r="I26" s="1">
        <v>17</v>
      </c>
      <c r="J26" s="1">
        <v>5568618691</v>
      </c>
      <c r="K26" s="1">
        <v>5561203319</v>
      </c>
      <c r="L26" s="1" t="s">
        <v>1034</v>
      </c>
      <c r="M26" s="1">
        <v>213090605702</v>
      </c>
      <c r="N26" s="1" t="s">
        <v>1108</v>
      </c>
      <c r="O26" s="1" t="s">
        <v>247</v>
      </c>
      <c r="P26" s="1" t="s">
        <v>226</v>
      </c>
      <c r="Q26" s="1" t="s">
        <v>248</v>
      </c>
      <c r="R26" s="1" t="s">
        <v>236</v>
      </c>
      <c r="S26" s="1" t="s">
        <v>228</v>
      </c>
      <c r="T26" s="1" t="s">
        <v>229</v>
      </c>
      <c r="U26" s="1" t="s">
        <v>756</v>
      </c>
      <c r="V26" s="1" t="s">
        <v>228</v>
      </c>
      <c r="W26" s="1" t="s">
        <v>3253</v>
      </c>
      <c r="X26" s="1" t="s">
        <v>249</v>
      </c>
      <c r="Y26" s="1" t="s">
        <v>1043</v>
      </c>
      <c r="Z26" s="1" t="s">
        <v>240</v>
      </c>
      <c r="AA26" s="44" t="s">
        <v>1035</v>
      </c>
      <c r="AB26" s="1" t="s">
        <v>3254</v>
      </c>
      <c r="AC26" s="1" t="s">
        <v>2467</v>
      </c>
      <c r="AD26" s="1" t="s">
        <v>3255</v>
      </c>
      <c r="AE26" s="1" t="s">
        <v>1036</v>
      </c>
      <c r="AF26" s="1" t="s">
        <v>265</v>
      </c>
      <c r="AG26" s="1">
        <v>53</v>
      </c>
      <c r="AH26" s="5" t="s">
        <v>3256</v>
      </c>
      <c r="AI26" s="1">
        <v>5581556410</v>
      </c>
      <c r="AJ26" s="1">
        <v>5581556410</v>
      </c>
      <c r="AK26" s="1" t="s">
        <v>1037</v>
      </c>
      <c r="AL26" s="1" t="s">
        <v>1032</v>
      </c>
      <c r="AM26" s="1" t="s">
        <v>924</v>
      </c>
      <c r="AN26" s="1" t="s">
        <v>1023</v>
      </c>
      <c r="AO26" s="1" t="s">
        <v>586</v>
      </c>
      <c r="AP26" s="1">
        <v>19</v>
      </c>
      <c r="AQ26" s="1" t="s">
        <v>605</v>
      </c>
      <c r="AR26" s="42">
        <v>0.29166666666424135</v>
      </c>
      <c r="AS26" s="42">
        <v>0.125</v>
      </c>
      <c r="AT26" s="1">
        <v>5561203319</v>
      </c>
      <c r="AU26" s="1">
        <v>5561203319</v>
      </c>
      <c r="AV26" s="1" t="s">
        <v>3257</v>
      </c>
      <c r="AW26" s="5" t="s">
        <v>3258</v>
      </c>
      <c r="AX26" s="1" t="s">
        <v>1032</v>
      </c>
      <c r="AY26" s="1" t="s">
        <v>924</v>
      </c>
      <c r="AZ26" s="1" t="s">
        <v>1023</v>
      </c>
      <c r="BA26" s="1" t="s">
        <v>586</v>
      </c>
      <c r="BB26" s="1">
        <v>19</v>
      </c>
      <c r="BC26" s="1" t="s">
        <v>605</v>
      </c>
      <c r="BD26" s="43">
        <v>0.29166666666424135</v>
      </c>
      <c r="BE26" s="43">
        <v>0.125</v>
      </c>
      <c r="BF26" s="1">
        <v>5561203319</v>
      </c>
      <c r="BG26" s="1">
        <v>5561203319</v>
      </c>
      <c r="BH26" s="1" t="s">
        <v>1041</v>
      </c>
      <c r="BI26" s="5" t="s">
        <v>3259</v>
      </c>
      <c r="BJ26" s="1" t="s">
        <v>236</v>
      </c>
      <c r="BL26" s="1">
        <v>1.58</v>
      </c>
      <c r="BM26" s="1">
        <v>52</v>
      </c>
      <c r="BN26" s="1" t="s">
        <v>236</v>
      </c>
      <c r="BO26" s="1" t="s">
        <v>236</v>
      </c>
      <c r="BP26" s="1" t="s">
        <v>3260</v>
      </c>
      <c r="BQ26" s="1" t="s">
        <v>236</v>
      </c>
      <c r="BR26" s="1" t="s">
        <v>387</v>
      </c>
      <c r="BS26" s="1" t="s">
        <v>228</v>
      </c>
      <c r="BT26" s="1" t="s">
        <v>237</v>
      </c>
      <c r="BU26" s="1" t="s">
        <v>236</v>
      </c>
      <c r="BV26" s="4" t="s">
        <v>3261</v>
      </c>
      <c r="BW26" s="1" t="s">
        <v>272</v>
      </c>
      <c r="BX26" s="1">
        <v>90</v>
      </c>
      <c r="BY26" s="1">
        <v>155</v>
      </c>
      <c r="BZ26" s="1" t="s">
        <v>1042</v>
      </c>
      <c r="CA26" s="1" t="s">
        <v>1397</v>
      </c>
      <c r="CB26" s="1" t="s">
        <v>231</v>
      </c>
      <c r="CC26" s="1" t="s">
        <v>322</v>
      </c>
      <c r="CD26" s="1">
        <v>300</v>
      </c>
      <c r="CE26" s="1">
        <v>400</v>
      </c>
      <c r="CF26" s="1" t="s">
        <v>236</v>
      </c>
      <c r="CG26" s="1" t="s">
        <v>242</v>
      </c>
      <c r="CH26" s="1" t="s">
        <v>243</v>
      </c>
      <c r="CI26" s="1" t="s">
        <v>243</v>
      </c>
      <c r="CJ26" s="1" t="s">
        <v>2848</v>
      </c>
      <c r="CL26" s="5" t="s">
        <v>3262</v>
      </c>
      <c r="CM26" s="1">
        <v>27220616513</v>
      </c>
      <c r="CN26" s="1" t="s">
        <v>228</v>
      </c>
      <c r="CQ26" s="42">
        <v>0.22916666666424135</v>
      </c>
      <c r="CR26" s="42">
        <v>0.3125</v>
      </c>
      <c r="CT26" s="45" t="str">
        <f t="array" ref="CT26">IFERROR(INDEX(#REF!,MATCH('Respuestas de formulario 1.1'!$B26,#REF!,0),MATCH('Respuestas de formulario 1.1'!CT$1,#REF!,0)),"")</f>
        <v/>
      </c>
      <c r="CU26" s="56" t="str">
        <f t="array" ref="CU26">IFERROR(INDEX(#REF!,MATCH('Respuestas de formulario 1.1'!$B26,#REF!,0),MATCH('Respuestas de formulario 1.1'!CU$1,#REF!,0)),"")</f>
        <v/>
      </c>
      <c r="CV26" s="56" t="str">
        <f t="array" ref="CV26">IFERROR(INDEX(#REF!,MATCH('Respuestas de formulario 1.1'!$B26,#REF!,0),MATCH('Respuestas de formulario 1.1'!CV$1,#REF!,0)),"")</f>
        <v/>
      </c>
      <c r="CW26" s="56" t="str">
        <f t="array" ref="CW26">IFERROR(INDEX(#REF!,MATCH('Respuestas de formulario 1.1'!$B26,#REF!,0),MATCH('Respuestas de formulario 1.1'!CW$1,#REF!,0)),"")</f>
        <v/>
      </c>
      <c r="CX26" s="56" t="str">
        <f t="array" ref="CX26">IFERROR(INDEX(#REF!,MATCH('Respuestas de formulario 1.1'!$B26,#REF!,0),MATCH('Respuestas de formulario 1.1'!CX$1,#REF!,0)),"")</f>
        <v/>
      </c>
      <c r="CY26" s="56" t="str">
        <f t="array" ref="CY26">IFERROR(INDEX(#REF!,MATCH('Respuestas de formulario 1.1'!$B26,#REF!,0),MATCH('Respuestas de formulario 1.1'!CY$1,#REF!,0)),"")</f>
        <v/>
      </c>
      <c r="CZ26" s="57" t="str">
        <f t="array" ref="CZ26">IFERROR(INDEX(#REF!,MATCH('Respuestas de formulario 1.1'!$B26,#REF!,0),MATCH('Respuestas de formulario 1.1'!CZ$1,#REF!,0)),"")</f>
        <v/>
      </c>
      <c r="DA26" s="45" t="e">
        <f t="array" ref="DA26">INDEX(#REF!,MATCH('Respuestas de formulario 1.1'!$B26,#REF!,0),MATCH('Respuestas de formulario 1.1'!DA$1,#REF!,0))</f>
        <v>#REF!</v>
      </c>
      <c r="DB26" s="45" t="e">
        <f t="array" ref="DB26">INDEX(#REF!,MATCH('Respuestas de formulario 1.1'!$B26,#REF!,0),MATCH('Respuestas de formulario 1.1'!DB$1,#REF!,0))</f>
        <v>#REF!</v>
      </c>
      <c r="DC26" s="45" t="e">
        <f t="array" ref="DC26">INDEX(#REF!,MATCH('Respuestas de formulario 1.1'!$B26,#REF!,0),MATCH('Respuestas de formulario 1.1'!DC$1,#REF!,0))</f>
        <v>#REF!</v>
      </c>
      <c r="DD26" s="45" t="e">
        <f t="array" ref="DD26">INDEX(#REF!,MATCH('Respuestas de formulario 1.1'!$B26,#REF!,0),MATCH('Respuestas de formulario 1.1'!DD$1,#REF!,0))</f>
        <v>#REF!</v>
      </c>
      <c r="DE26" s="45" t="e">
        <f t="array" ref="DE26">INDEX(#REF!,MATCH('Respuestas de formulario 1.1'!$B26,#REF!,0),MATCH('Respuestas de formulario 1.1'!DE$1,#REF!,0))</f>
        <v>#REF!</v>
      </c>
      <c r="DF26" s="45" t="e">
        <f t="array" ref="DF26">INDEX(#REF!,MATCH('Respuestas de formulario 1.1'!$B26,#REF!,0),MATCH('Respuestas de formulario 1.1'!DF$1,#REF!,0))</f>
        <v>#REF!</v>
      </c>
      <c r="DG26" s="45" t="e">
        <f t="array" ref="DG26">INDEX(#REF!,MATCH('Respuestas de formulario 1.1'!$B26,#REF!,0),MATCH('Respuestas de formulario 1.1'!DG$1,#REF!,0))</f>
        <v>#REF!</v>
      </c>
      <c r="DH26" s="45" t="e">
        <f t="array" ref="DH26">INDEX(#REF!,MATCH('Respuestas de formulario 1.1'!$B26,#REF!,0),MATCH('Respuestas de formulario 1.1'!DH$1,#REF!,0))</f>
        <v>#REF!</v>
      </c>
      <c r="DI26" s="48" t="e">
        <f>VLOOKUP(CONCATENATE($DF26," TUTO ",$DC26),#REF!,3,0)</f>
        <v>#REF!</v>
      </c>
      <c r="DJ26" s="48" t="e">
        <f t="array" ref="DJ26">IF('Respuestas de formulario 1.1'!A26="","",INDEX(#REF!,MATCH('Respuestas de formulario 1.1'!B26,#REF!,0),MATCH('Respuestas de formulario 1.1'!$DH$1,#REF!,0)))</f>
        <v>#REF!</v>
      </c>
      <c r="DK26" s="52" t="str">
        <f>CONCATENATE("http://doc.google.com/uc?id=",MID('Respuestas de formulario 1.1'!G26,34,33))</f>
        <v>http://doc.google.com/uc?id=1rBvlyBB0WAQld6bOGSfg-GqFiQM4a_LA</v>
      </c>
      <c r="DL26" s="49" t="str">
        <f>CONCATENATE("http://doc.google.com/uc?id=",MID('Respuestas de formulario 1.1'!AH26,34,33))</f>
        <v>http://doc.google.com/uc?id=1_IHldJdnkYAhR39AKd3iqyt5xjQCSGcH</v>
      </c>
      <c r="DM26" s="50" t="str">
        <f>CONCATENATE("http://doc.google.com/uc?id=",MID('Respuestas de formulario 1.1'!AW26,34,33))</f>
        <v>http://doc.google.com/uc?id=1wogDRERdJoFFizwOwXKh2h8Kyt-6R7zh</v>
      </c>
      <c r="DN26" s="53" t="str">
        <f>CONCATENATE("http://doc.google.com/uc?id=",MID('Respuestas de formulario 1.1'!$BI26,34,33))</f>
        <v>http://doc.google.com/uc?id=1-0RyjljekbV7T1WpDFAfuoqg39gt1K_t</v>
      </c>
      <c r="DO26" s="45" t="str">
        <f>IFERROR(VLOOKUP(CONCATENATE('Respuestas de formulario 1.1'!$B26,MID('Respuestas de formulario 1.1'!DO$1,2,1)),#REF!,12,0),"")</f>
        <v/>
      </c>
      <c r="DP26" s="45" t="str">
        <f>IFERROR(VLOOKUP(CONCATENATE('Respuestas de formulario 1.1'!$B26,MID('Respuestas de formulario 1.1'!DP$1,2,1)),#REF!,12,0),"")</f>
        <v/>
      </c>
      <c r="DQ26" s="45" t="str">
        <f>IFERROR(VLOOKUP(CONCATENATE('Respuestas de formulario 1.1'!$B26,MID('Respuestas de formulario 1.1'!DQ$1,2,1)),#REF!,12,0),"")</f>
        <v/>
      </c>
      <c r="DR26" s="45" t="str">
        <f>IFERROR(VLOOKUP(CONCATENATE('Respuestas de formulario 1.1'!$B26,MID('Respuestas de formulario 1.1'!DR$1,2,1)),#REF!,12,0),"")</f>
        <v/>
      </c>
      <c r="DS26" s="45" t="str">
        <f>IFERROR(VLOOKUP(CONCATENATE('Respuestas de formulario 1.1'!$B26,MID('Respuestas de formulario 1.1'!DS$1,2,1)),#REF!,12,0),"")</f>
        <v/>
      </c>
      <c r="DT26" s="45" t="str">
        <f>IFERROR(VLOOKUP(CONCATENATE('Respuestas de formulario 1.1'!$B26,MID('Respuestas de formulario 1.1'!DT$1,2,1)),#REF!,12,0),"")</f>
        <v/>
      </c>
      <c r="DU26" s="45" t="str">
        <f>IFERROR(VLOOKUP(CONCATENATE('Respuestas de formulario 1.1'!$B26,MID('Respuestas de formulario 1.1'!DU$1,2,1)),#REF!,12,0),"")</f>
        <v/>
      </c>
      <c r="DV26" s="45" t="str">
        <f>IFERROR(VLOOKUP(CONCATENATE('Respuestas de formulario 1.1'!$B26,MID('Respuestas de formulario 1.1'!DV$1,2,1)),#REF!,12,0),"")</f>
        <v/>
      </c>
      <c r="DW26" s="45" t="str">
        <f>IFERROR(VLOOKUP(CONCATENATE('Respuestas de formulario 1.1'!$B26,MID('Respuestas de formulario 1.1'!DW$1,2,1)),#REF!,12,0),"")</f>
        <v/>
      </c>
      <c r="DX26" s="45" t="str">
        <f>IFERROR(VLOOKUP(CONCATENATE('Respuestas de formulario 1.1'!$B26,MID('Respuestas de formulario 1.1'!DX$1,2,1)),#REF!,12,0),"")</f>
        <v/>
      </c>
      <c r="DY26" s="45" t="str">
        <f>IFERROR(VLOOKUP(CONCATENATE('Respuestas de formulario 1.1'!$B26,MID('Respuestas de formulario 1.1'!DY$1,2,1)),#REF!,12,0),"")</f>
        <v/>
      </c>
      <c r="DZ26" s="45" t="str">
        <f>IFERROR(VLOOKUP(CONCATENATE('Respuestas de formulario 1.1'!$B26,MID('Respuestas de formulario 1.1'!DZ$1,2,1)),#REF!,12,0),"")</f>
        <v/>
      </c>
      <c r="EA26" s="45" t="str">
        <f>IFERROR(VLOOKUP(CONCATENATE('Respuestas de formulario 1.1'!$B26,MID('Respuestas de formulario 1.1'!EA$1,2,1)),#REF!,12,0),"")</f>
        <v/>
      </c>
      <c r="EB26" s="45" t="str">
        <f>IFERROR(VLOOKUP(CONCATENATE('Respuestas de formulario 1.1'!$B26,MID('Respuestas de formulario 1.1'!EB$1,2,1)),#REF!,12,0),"")</f>
        <v/>
      </c>
      <c r="EC26" s="45" t="str">
        <f>IFERROR(VLOOKUP(CONCATENATE('Respuestas de formulario 1.1'!$B26,MID('Respuestas de formulario 1.1'!EC$1,2,1)),#REF!,12,0),"")</f>
        <v/>
      </c>
      <c r="ED26" s="45" t="str">
        <f>IFERROR(VLOOKUP(CONCATENATE('Respuestas de formulario 1.1'!$B26,MID('Respuestas de formulario 1.1'!ED$1,2,1)),#REF!,12,0),"")</f>
        <v/>
      </c>
      <c r="EE26" s="45" t="str">
        <f>IFERROR(VLOOKUP(CONCATENATE('Respuestas de formulario 1.1'!$B26,MID('Respuestas de formulario 1.1'!EE$1,2,1)),#REF!,12,0),"")</f>
        <v/>
      </c>
      <c r="EF26" s="45" t="str">
        <f>IFERROR(VLOOKUP(CONCATENATE('Respuestas de formulario 1.1'!$B26,MID('Respuestas de formulario 1.1'!EF$1,2,1)),#REF!,12,0),"")</f>
        <v/>
      </c>
      <c r="EG26" s="45" t="str">
        <f>IFERROR(VLOOKUP(CONCATENATE('Respuestas de formulario 1.1'!$B26,MID('Respuestas de formulario 1.1'!EG$1,2,1)),#REF!,12,0),"")</f>
        <v/>
      </c>
      <c r="EH26" s="45" t="str">
        <f>IFERROR(VLOOKUP(CONCATENATE('Respuestas de formulario 1.1'!$B26,MID('Respuestas de formulario 1.1'!EH$1,2,1)),#REF!,12,0),"")</f>
        <v/>
      </c>
      <c r="EI26" s="45" t="str">
        <f>IFERROR(VLOOKUP(CONCATENATE('Respuestas de formulario 1.1'!$B26,MID('Respuestas de formulario 1.1'!EI$1,2,1)),#REF!,12,0),"")</f>
        <v/>
      </c>
      <c r="EJ26" s="45" t="str">
        <f t="array" ref="EJ26">IF(DO26="","", INDEX(#REF!,MATCH(CONCATENATE('Respuestas de formulario 1.1'!$B26,DO26),#REF!,0),MATCH('Respuestas de formulario 1.1'!EJ$1,#REF!,0)))</f>
        <v/>
      </c>
      <c r="EK26" s="56" t="str">
        <f t="array" ref="EK26">IF(DP26="","", INDEX(#REF!,MATCH(CONCATENATE('Respuestas de formulario 1.1'!$B26,DP26),#REF!,0),MATCH('Respuestas de formulario 1.1'!EK$1,#REF!,0)))</f>
        <v/>
      </c>
      <c r="EL26" s="56" t="str">
        <f t="array" ref="EL26">IF(DQ26="","", INDEX(#REF!,MATCH(CONCATENATE('Respuestas de formulario 1.1'!$B26,DQ26),#REF!,0),MATCH('Respuestas de formulario 1.1'!EL$1,#REF!,0)))</f>
        <v/>
      </c>
      <c r="EM26" s="56" t="str">
        <f t="array" ref="EM26">IF(DR26="","", INDEX(#REF!,MATCH(CONCATENATE('Respuestas de formulario 1.1'!$B26,DR26),#REF!,0),MATCH('Respuestas de formulario 1.1'!EM$1,#REF!,0)))</f>
        <v/>
      </c>
      <c r="EN26" s="56" t="str">
        <f t="array" ref="EN26">IF(DS26="","", INDEX(#REF!,MATCH(CONCATENATE('Respuestas de formulario 1.1'!$B26,DS26),#REF!,0),MATCH('Respuestas de formulario 1.1'!EN$1,#REF!,0)))</f>
        <v/>
      </c>
      <c r="EO26" s="56" t="str">
        <f t="array" ref="EO26">IF(DT26="","", INDEX(#REF!,MATCH(CONCATENATE('Respuestas de formulario 1.1'!$B26,DT26),#REF!,0),MATCH('Respuestas de formulario 1.1'!EO$1,#REF!,0)))</f>
        <v/>
      </c>
      <c r="EP26" s="45" t="str">
        <f t="array" ref="EP26">IF(DU26="","", INDEX(#REF!,MATCH(CONCATENATE('Respuestas de formulario 1.1'!$B26,DU26),#REF!,0),MATCH('Respuestas de formulario 1.1'!EP$1,#REF!,0)))</f>
        <v/>
      </c>
      <c r="EQ26" s="45" t="str">
        <f t="array" ref="EQ26">IF(DP26="","", INDEX(#REF!,MATCH(CONCATENATE('Respuestas de formulario 1.1'!$B26,DP26),#REF!,0),MATCH('Respuestas de formulario 1.1'!EQ$1,#REF!,0)))</f>
        <v/>
      </c>
      <c r="ER26" s="56" t="str">
        <f t="array" ref="ER26">IF(DQ26="","", INDEX(#REF!,MATCH(CONCATENATE('Respuestas de formulario 1.1'!$B26,DQ26),#REF!,0),MATCH('Respuestas de formulario 1.1'!ER$1,#REF!,0)))</f>
        <v/>
      </c>
      <c r="ES26" s="56" t="str">
        <f t="array" ref="ES26">IF(DR26="","", INDEX(#REF!,MATCH(CONCATENATE('Respuestas de formulario 1.1'!$B26,DR26),#REF!,0),MATCH('Respuestas de formulario 1.1'!ES$1,#REF!,0)))</f>
        <v/>
      </c>
      <c r="ET26" s="56" t="str">
        <f t="array" ref="ET26">IF(DS26="","", INDEX(#REF!,MATCH(CONCATENATE('Respuestas de formulario 1.1'!$B26,DS26),#REF!,0),MATCH('Respuestas de formulario 1.1'!ET$1,#REF!,0)))</f>
        <v/>
      </c>
      <c r="EU26" s="56" t="str">
        <f t="array" ref="EU26">IF(DT26="","", INDEX(#REF!,MATCH(CONCATENATE('Respuestas de formulario 1.1'!$B26,DT26),#REF!,0),MATCH('Respuestas de formulario 1.1'!EU$1,#REF!,0)))</f>
        <v/>
      </c>
      <c r="EV26" s="56" t="str">
        <f t="array" ref="EV26">IF(DU26="","", INDEX(#REF!,MATCH(CONCATENATE('Respuestas de formulario 1.1'!$B26,DU26),#REF!,0),MATCH('Respuestas de formulario 1.1'!EV$1,#REF!,0)))</f>
        <v/>
      </c>
      <c r="EW26" s="45" t="str">
        <f t="array" ref="EW26">IF(DV26="","", INDEX(#REF!,MATCH(CONCATENATE('Respuestas de formulario 1.1'!$B26,DV26),#REF!,0),MATCH('Respuestas de formulario 1.1'!EW$1,#REF!,0)))</f>
        <v/>
      </c>
      <c r="EX26" s="45" t="str">
        <f t="array" ref="EX26">IF($DQ26="","", INDEX(#REF!,MATCH(CONCATENATE('Respuestas de formulario 1.1'!$B26,$DQ26),#REF!,0),MATCH('Respuestas de formulario 1.1'!EX$1,#REF!,0)))</f>
        <v/>
      </c>
      <c r="EY26" s="56" t="str">
        <f t="array" ref="EY26">IF($DQ26="","", INDEX(#REF!,MATCH(CONCATENATE('Respuestas de formulario 1.1'!$B26,$DQ26),#REF!,0),MATCH('Respuestas de formulario 1.1'!EY$1,#REF!,0)))</f>
        <v/>
      </c>
      <c r="EZ26" s="56" t="str">
        <f t="array" ref="EZ26">IF($DQ26="","", INDEX(#REF!,MATCH(CONCATENATE('Respuestas de formulario 1.1'!$B26,$DQ26),#REF!,0),MATCH('Respuestas de formulario 1.1'!EZ$1,#REF!,0)))</f>
        <v/>
      </c>
      <c r="FA26" s="56" t="str">
        <f t="array" ref="FA26">IF($DQ26="","", INDEX(#REF!,MATCH(CONCATENATE('Respuestas de formulario 1.1'!$B26,$DQ26),#REF!,0),MATCH('Respuestas de formulario 1.1'!FA$1,#REF!,0)))</f>
        <v/>
      </c>
      <c r="FB26" s="56" t="str">
        <f t="array" ref="FB26">IF($DQ26="","", INDEX(#REF!,MATCH(CONCATENATE('Respuestas de formulario 1.1'!$B26,$DQ26),#REF!,0),MATCH('Respuestas de formulario 1.1'!FB$1,#REF!,0)))</f>
        <v/>
      </c>
      <c r="FC26" s="56" t="str">
        <f t="array" ref="FC26">IF($DQ26="","", INDEX(#REF!,MATCH(CONCATENATE('Respuestas de formulario 1.1'!$B26,$DQ26),#REF!,0),MATCH('Respuestas de formulario 1.1'!FC$1,#REF!,0)))</f>
        <v/>
      </c>
      <c r="FD26" s="45" t="str">
        <f t="array" ref="FD26">IF($DQ26="","", INDEX(#REF!,MATCH(CONCATENATE('Respuestas de formulario 1.1'!$B26,$DQ26),#REF!,0),MATCH('Respuestas de formulario 1.1'!FD$1,#REF!,0)))</f>
        <v/>
      </c>
      <c r="FE26" s="45" t="str">
        <f t="array" ref="FE26">IF($DR26="","", INDEX(#REF!,MATCH(CONCATENATE(#REF!,$DR26),#REF!,0),MATCH(#REF!,#REF!,0)))</f>
        <v/>
      </c>
      <c r="FF26" s="56" t="str">
        <f t="array" ref="FF26">IF($DR26="","", INDEX(#REF!,MATCH(CONCATENATE(#REF!,$DR26),#REF!,0),MATCH(#REF!,#REF!,0)))</f>
        <v/>
      </c>
      <c r="FG26" s="56" t="str">
        <f t="array" ref="FG26">IF($DR26="","", INDEX(#REF!,MATCH(CONCATENATE(#REF!,$DR26),#REF!,0),MATCH(#REF!,#REF!,0)))</f>
        <v/>
      </c>
      <c r="FH26" s="56" t="str">
        <f t="array" ref="FH26">IF($DR26="","", INDEX(#REF!,MATCH(CONCATENATE(#REF!,$DR26),#REF!,0),MATCH(#REF!,#REF!,0)))</f>
        <v/>
      </c>
      <c r="FI26" s="56" t="str">
        <f t="array" ref="FI26">IF($DR26="","", INDEX(#REF!,MATCH(CONCATENATE(#REF!,$DR26),#REF!,0),MATCH(#REF!,#REF!,0)))</f>
        <v/>
      </c>
      <c r="FJ26" s="56" t="str">
        <f t="array" ref="FJ26">IF($DR26="","", INDEX(#REF!,MATCH(CONCATENATE(#REF!,$DR26),#REF!,0),MATCH(#REF!,#REF!,0)))</f>
        <v/>
      </c>
      <c r="FK26" s="45" t="str">
        <f t="array" ref="FK26">IF($DR26="","", INDEX(#REF!,MATCH(CONCATENATE(#REF!,$DR26),#REF!,0),MATCH(#REF!,#REF!,0)))</f>
        <v/>
      </c>
      <c r="FL26" s="45" t="str">
        <f t="array" ref="FL26">IF($DT26="","", INDEX(#REF!,MATCH(CONCATENATE('Respuestas de formulario 1.1'!$B26,$DS26),#REF!,0),MATCH('Respuestas de formulario 1.1'!FL$1,#REF!,0)))</f>
        <v/>
      </c>
      <c r="FM26" s="56" t="str">
        <f t="array" ref="FM26">IF($DT26="","", INDEX(#REF!,MATCH(CONCATENATE('Respuestas de formulario 1.1'!$B26,$DS26),#REF!,0),MATCH('Respuestas de formulario 1.1'!FM$1,#REF!,0)))</f>
        <v/>
      </c>
      <c r="FN26" s="56" t="str">
        <f t="array" ref="FN26">IF($DT26="","", INDEX(#REF!,MATCH(CONCATENATE('Respuestas de formulario 1.1'!$B26,$DS26),#REF!,0),MATCH('Respuestas de formulario 1.1'!FN$1,#REF!,0)))</f>
        <v/>
      </c>
      <c r="FO26" s="56" t="str">
        <f t="array" ref="FO26">IF($DT26="","", INDEX(#REF!,MATCH(CONCATENATE('Respuestas de formulario 1.1'!$B26,$DS26),#REF!,0),MATCH('Respuestas de formulario 1.1'!FO$1,#REF!,0)))</f>
        <v/>
      </c>
      <c r="FP26" s="56" t="str">
        <f t="array" ref="FP26">IF($DT26="","", INDEX(#REF!,MATCH(CONCATENATE('Respuestas de formulario 1.1'!$B26,$DS26),#REF!,0),MATCH('Respuestas de formulario 1.1'!FP$1,#REF!,0)))</f>
        <v/>
      </c>
      <c r="FQ26" s="56" t="str">
        <f t="array" ref="FQ26">IF($DT26="","", INDEX(#REF!,MATCH(CONCATENATE('Respuestas de formulario 1.1'!$B26,$DS26),#REF!,0),MATCH('Respuestas de formulario 1.1'!FQ$1,#REF!,0)))</f>
        <v/>
      </c>
      <c r="FR26" s="45" t="str">
        <f t="array" ref="FR26">IF($DT26="","", INDEX(#REF!,MATCH(CONCATENATE('Respuestas de formulario 1.1'!$B26,$DS26),#REF!,0),MATCH('Respuestas de formulario 1.1'!FR$1,#REF!,0)))</f>
        <v/>
      </c>
      <c r="FS26" s="45" t="str">
        <f t="array" ref="FS26">IF($DU26="","", INDEX(#REF!,MATCH(CONCATENATE('Respuestas de formulario 1.1'!$B26,$DT26),#REF!,0),MATCH('Respuestas de formulario 1.1'!FS$1,#REF!,0)))</f>
        <v/>
      </c>
      <c r="FT26" s="56" t="str">
        <f t="array" ref="FT26">IF($DU26="","", INDEX(#REF!,MATCH(CONCATENATE('Respuestas de formulario 1.1'!$B26,$DT26),#REF!,0),MATCH('Respuestas de formulario 1.1'!FT$1,#REF!,0)))</f>
        <v/>
      </c>
      <c r="FU26" s="56" t="str">
        <f t="array" ref="FU26">IF($DU26="","", INDEX(#REF!,MATCH(CONCATENATE('Respuestas de formulario 1.1'!$B26,$DT26),#REF!,0),MATCH('Respuestas de formulario 1.1'!FU$1,#REF!,0)))</f>
        <v/>
      </c>
      <c r="FV26" s="56" t="str">
        <f t="array" ref="FV26">IF($DU26="","", INDEX(#REF!,MATCH(CONCATENATE('Respuestas de formulario 1.1'!$B26,$DT26),#REF!,0),MATCH('Respuestas de formulario 1.1'!FV$1,#REF!,0)))</f>
        <v/>
      </c>
      <c r="FW26" s="56" t="str">
        <f t="array" ref="FW26">IF($DU26="","", INDEX(#REF!,MATCH(CONCATENATE('Respuestas de formulario 1.1'!$B26,$DT26),#REF!,0),MATCH('Respuestas de formulario 1.1'!FW$1,#REF!,0)))</f>
        <v/>
      </c>
      <c r="FX26" s="56" t="str">
        <f t="array" ref="FX26">IF($DU26="","", INDEX(#REF!,MATCH(CONCATENATE('Respuestas de formulario 1.1'!$B26,$DT26),#REF!,0),MATCH('Respuestas de formulario 1.1'!FX$1,#REF!,0)))</f>
        <v/>
      </c>
      <c r="FY26" s="45" t="str">
        <f t="array" ref="FY26">IF($DU26="","", INDEX(#REF!,MATCH(CONCATENATE('Respuestas de formulario 1.1'!$B26,$DT26),#REF!,0),MATCH('Respuestas de formulario 1.1'!FY$1,#REF!,0)))</f>
        <v/>
      </c>
      <c r="FZ26" s="3" t="s">
        <v>2860</v>
      </c>
      <c r="GA26" s="1" t="s">
        <v>3263</v>
      </c>
      <c r="GB26" s="5" t="s">
        <v>3264</v>
      </c>
      <c r="GC26" s="4" t="str">
        <f>HYPERLINK("https://drive.google.com/file/d/1acL9BF_eCHsWAtMHd-sgqUefkKSRTVpE/view?usp=drivesdk","LOZANO MORENO PAOLA ALEJANDRA Formato de reinscripción y pago 2022-2")</f>
        <v>LOZANO MORENO PAOLA ALEJANDRA Formato de reinscripción y pago 2022-2</v>
      </c>
      <c r="GD26" s="1" t="s">
        <v>3265</v>
      </c>
      <c r="GE26" s="1"/>
      <c r="GF26" s="1"/>
      <c r="GG26" s="1"/>
      <c r="GH26" s="1"/>
      <c r="GI26" s="1" t="s">
        <v>3266</v>
      </c>
      <c r="GJ26" s="5" t="s">
        <v>3267</v>
      </c>
      <c r="GK26" s="5" t="str">
        <f>HYPERLINK("https://drive.google.com/file/d/1R3po3tOV8w2wLZvtg4H__1rv8Rxwi3Y9/view?usp=drivesdk","LOZANO MORENO PAOLA ALEJANDRA Formato de reinscripción y pago 2022-2")</f>
        <v>LOZANO MORENO PAOLA ALEJANDRA Formato de reinscripción y pago 2022-2</v>
      </c>
      <c r="GL26" s="1" t="s">
        <v>3268</v>
      </c>
    </row>
    <row r="27" spans="1:194" ht="38.25" x14ac:dyDescent="0.2">
      <c r="A27" s="2">
        <v>45139.778907314816</v>
      </c>
      <c r="B27" s="1" t="s">
        <v>16</v>
      </c>
      <c r="C27" s="1" t="s">
        <v>392</v>
      </c>
      <c r="D27" s="1" t="s">
        <v>252</v>
      </c>
      <c r="E27" s="1" t="s">
        <v>3269</v>
      </c>
      <c r="F27" s="1" t="s">
        <v>262</v>
      </c>
      <c r="G27" s="5" t="s">
        <v>3270</v>
      </c>
      <c r="H27" s="41">
        <v>38736</v>
      </c>
      <c r="I27" s="1">
        <v>17</v>
      </c>
      <c r="J27" s="1">
        <v>5634002694</v>
      </c>
      <c r="K27" s="1">
        <v>5590558230</v>
      </c>
      <c r="L27" s="1" t="s">
        <v>568</v>
      </c>
      <c r="M27" s="1">
        <v>21309060570586</v>
      </c>
      <c r="N27" s="1" t="s">
        <v>1108</v>
      </c>
      <c r="O27" s="1" t="s">
        <v>247</v>
      </c>
      <c r="P27" s="1" t="s">
        <v>278</v>
      </c>
      <c r="Q27" s="1" t="s">
        <v>248</v>
      </c>
      <c r="R27" s="1" t="s">
        <v>236</v>
      </c>
      <c r="S27" s="1" t="s">
        <v>228</v>
      </c>
      <c r="T27" s="1" t="s">
        <v>411</v>
      </c>
      <c r="U27" s="1" t="s">
        <v>249</v>
      </c>
      <c r="V27" s="1" t="s">
        <v>228</v>
      </c>
      <c r="W27" s="1" t="s">
        <v>3271</v>
      </c>
      <c r="X27" s="1" t="s">
        <v>249</v>
      </c>
      <c r="Y27" s="1" t="s">
        <v>573</v>
      </c>
      <c r="Z27" s="1" t="s">
        <v>240</v>
      </c>
      <c r="AA27" s="44" t="s">
        <v>569</v>
      </c>
      <c r="AB27" s="1">
        <v>531</v>
      </c>
      <c r="AC27" s="1">
        <v>36</v>
      </c>
      <c r="AD27" s="1" t="s">
        <v>3272</v>
      </c>
      <c r="AE27" s="1" t="s">
        <v>570</v>
      </c>
      <c r="AF27" s="1" t="s">
        <v>265</v>
      </c>
      <c r="AG27" s="1">
        <v>62</v>
      </c>
      <c r="AH27" s="5" t="s">
        <v>3273</v>
      </c>
      <c r="AI27" s="1">
        <v>5510160450</v>
      </c>
      <c r="AJ27" s="1">
        <v>5590558230</v>
      </c>
      <c r="AK27" s="1"/>
      <c r="AL27" s="1" t="s">
        <v>392</v>
      </c>
      <c r="AM27" s="1" t="s">
        <v>252</v>
      </c>
      <c r="AN27" s="1" t="s">
        <v>3274</v>
      </c>
      <c r="AO27" s="1" t="s">
        <v>586</v>
      </c>
      <c r="AP27" s="1">
        <v>21</v>
      </c>
      <c r="AQ27" s="1" t="s">
        <v>303</v>
      </c>
      <c r="AR27" s="42">
        <v>0.29166666666424135</v>
      </c>
      <c r="AS27" s="42">
        <v>0.47916666666424135</v>
      </c>
      <c r="AT27" s="1">
        <v>5551537691</v>
      </c>
      <c r="AU27" s="1">
        <v>5551537691</v>
      </c>
      <c r="AV27" s="1" t="s">
        <v>571</v>
      </c>
      <c r="AW27" s="5" t="s">
        <v>3275</v>
      </c>
      <c r="AX27" s="1" t="s">
        <v>2286</v>
      </c>
      <c r="AY27" s="1" t="s">
        <v>3276</v>
      </c>
      <c r="AZ27" s="1" t="s">
        <v>1887</v>
      </c>
      <c r="BA27" s="1" t="s">
        <v>672</v>
      </c>
      <c r="BB27" s="1">
        <v>28</v>
      </c>
      <c r="BC27" s="1" t="s">
        <v>1179</v>
      </c>
      <c r="BD27" s="43">
        <v>0.29166666666424135</v>
      </c>
      <c r="BE27" s="43">
        <v>0.375</v>
      </c>
      <c r="BF27" s="1">
        <v>5552873022</v>
      </c>
      <c r="BG27" s="1">
        <v>5552873022</v>
      </c>
      <c r="BH27" s="1"/>
      <c r="BI27" s="5" t="s">
        <v>3277</v>
      </c>
      <c r="BJ27" s="1" t="s">
        <v>236</v>
      </c>
      <c r="BL27" s="1">
        <v>168</v>
      </c>
      <c r="BM27" s="1">
        <v>57</v>
      </c>
      <c r="BN27" s="1" t="s">
        <v>228</v>
      </c>
      <c r="BO27" s="1" t="s">
        <v>228</v>
      </c>
      <c r="BQ27" s="1" t="s">
        <v>228</v>
      </c>
      <c r="BR27" s="1" t="s">
        <v>237</v>
      </c>
      <c r="BS27" s="1" t="s">
        <v>228</v>
      </c>
      <c r="BT27" s="1" t="s">
        <v>237</v>
      </c>
      <c r="BU27" s="1" t="s">
        <v>228</v>
      </c>
      <c r="BW27" s="1" t="s">
        <v>238</v>
      </c>
      <c r="BX27" s="1">
        <v>120</v>
      </c>
      <c r="BY27" s="1">
        <v>300</v>
      </c>
      <c r="BZ27" s="1" t="s">
        <v>253</v>
      </c>
      <c r="CA27" s="1" t="s">
        <v>786</v>
      </c>
      <c r="CB27" s="1" t="s">
        <v>240</v>
      </c>
      <c r="CC27" s="1" t="s">
        <v>300</v>
      </c>
      <c r="CD27" s="1">
        <v>1000</v>
      </c>
      <c r="CE27" s="1">
        <v>2000</v>
      </c>
      <c r="CF27" s="1" t="s">
        <v>236</v>
      </c>
      <c r="CG27" s="1" t="s">
        <v>242</v>
      </c>
      <c r="CH27" s="1" t="s">
        <v>243</v>
      </c>
      <c r="CI27" s="1" t="s">
        <v>243</v>
      </c>
      <c r="CJ27" s="1" t="s">
        <v>2848</v>
      </c>
      <c r="CL27" s="5" t="s">
        <v>3278</v>
      </c>
      <c r="CM27" s="44" t="s">
        <v>572</v>
      </c>
      <c r="CN27" s="1" t="s">
        <v>228</v>
      </c>
      <c r="CQ27" s="42">
        <v>0.29166666666424135</v>
      </c>
      <c r="CR27" s="42">
        <v>8.3333333335758653E-2</v>
      </c>
      <c r="CT27" s="45" t="str">
        <f t="array" ref="CT27">IFERROR(INDEX(#REF!,MATCH('Respuestas de formulario 1.1'!$B27,#REF!,0),MATCH('Respuestas de formulario 1.1'!CT$1,#REF!,0)),"")</f>
        <v/>
      </c>
      <c r="CU27" s="56" t="str">
        <f t="array" ref="CU27">IFERROR(INDEX(#REF!,MATCH('Respuestas de formulario 1.1'!$B27,#REF!,0),MATCH('Respuestas de formulario 1.1'!CU$1,#REF!,0)),"")</f>
        <v/>
      </c>
      <c r="CV27" s="56" t="str">
        <f t="array" ref="CV27">IFERROR(INDEX(#REF!,MATCH('Respuestas de formulario 1.1'!$B27,#REF!,0),MATCH('Respuestas de formulario 1.1'!CV$1,#REF!,0)),"")</f>
        <v/>
      </c>
      <c r="CW27" s="56" t="str">
        <f t="array" ref="CW27">IFERROR(INDEX(#REF!,MATCH('Respuestas de formulario 1.1'!$B27,#REF!,0),MATCH('Respuestas de formulario 1.1'!CW$1,#REF!,0)),"")</f>
        <v/>
      </c>
      <c r="CX27" s="56" t="str">
        <f t="array" ref="CX27">IFERROR(INDEX(#REF!,MATCH('Respuestas de formulario 1.1'!$B27,#REF!,0),MATCH('Respuestas de formulario 1.1'!CX$1,#REF!,0)),"")</f>
        <v/>
      </c>
      <c r="CY27" s="56" t="str">
        <f t="array" ref="CY27">IFERROR(INDEX(#REF!,MATCH('Respuestas de formulario 1.1'!$B27,#REF!,0),MATCH('Respuestas de formulario 1.1'!CY$1,#REF!,0)),"")</f>
        <v/>
      </c>
      <c r="CZ27" s="57" t="str">
        <f t="array" ref="CZ27">IFERROR(INDEX(#REF!,MATCH('Respuestas de formulario 1.1'!$B27,#REF!,0),MATCH('Respuestas de formulario 1.1'!CZ$1,#REF!,0)),"")</f>
        <v/>
      </c>
      <c r="DA27" s="45" t="e">
        <f t="array" ref="DA27">INDEX(#REF!,MATCH('Respuestas de formulario 1.1'!$B27,#REF!,0),MATCH('Respuestas de formulario 1.1'!DA$1,#REF!,0))</f>
        <v>#REF!</v>
      </c>
      <c r="DB27" s="45" t="e">
        <f t="array" ref="DB27">INDEX(#REF!,MATCH('Respuestas de formulario 1.1'!$B27,#REF!,0),MATCH('Respuestas de formulario 1.1'!DB$1,#REF!,0))</f>
        <v>#REF!</v>
      </c>
      <c r="DC27" s="45" t="e">
        <f t="array" ref="DC27">INDEX(#REF!,MATCH('Respuestas de formulario 1.1'!$B27,#REF!,0),MATCH('Respuestas de formulario 1.1'!DC$1,#REF!,0))</f>
        <v>#REF!</v>
      </c>
      <c r="DD27" s="45" t="e">
        <f t="array" ref="DD27">INDEX(#REF!,MATCH('Respuestas de formulario 1.1'!$B27,#REF!,0),MATCH('Respuestas de formulario 1.1'!DD$1,#REF!,0))</f>
        <v>#REF!</v>
      </c>
      <c r="DE27" s="45" t="e">
        <f t="array" ref="DE27">INDEX(#REF!,MATCH('Respuestas de formulario 1.1'!$B27,#REF!,0),MATCH('Respuestas de formulario 1.1'!DE$1,#REF!,0))</f>
        <v>#REF!</v>
      </c>
      <c r="DF27" s="45" t="e">
        <f t="array" ref="DF27">INDEX(#REF!,MATCH('Respuestas de formulario 1.1'!$B27,#REF!,0),MATCH('Respuestas de formulario 1.1'!DF$1,#REF!,0))</f>
        <v>#REF!</v>
      </c>
      <c r="DG27" s="45" t="e">
        <f t="array" ref="DG27">INDEX(#REF!,MATCH('Respuestas de formulario 1.1'!$B27,#REF!,0),MATCH('Respuestas de formulario 1.1'!DG$1,#REF!,0))</f>
        <v>#REF!</v>
      </c>
      <c r="DH27" s="45" t="e">
        <f t="array" ref="DH27">INDEX(#REF!,MATCH('Respuestas de formulario 1.1'!$B27,#REF!,0),MATCH('Respuestas de formulario 1.1'!DH$1,#REF!,0))</f>
        <v>#REF!</v>
      </c>
      <c r="DI27" s="48" t="e">
        <f>VLOOKUP(CONCATENATE($DF27," TUTO ",$DC27),#REF!,3,0)</f>
        <v>#REF!</v>
      </c>
      <c r="DJ27" s="48" t="e">
        <f t="array" ref="DJ27">IF('Respuestas de formulario 1.1'!A27="","",INDEX(#REF!,MATCH('Respuestas de formulario 1.1'!B27,#REF!,0),MATCH('Respuestas de formulario 1.1'!$DH$1,#REF!,0)))</f>
        <v>#REF!</v>
      </c>
      <c r="DK27" s="52" t="str">
        <f>CONCATENATE("http://doc.google.com/uc?id=",MID('Respuestas de formulario 1.1'!G27,34,33))</f>
        <v>http://doc.google.com/uc?id=1ihWCGz6wILi5c4rPVsGZkCdm4RbE5jVO</v>
      </c>
      <c r="DL27" s="49" t="str">
        <f>CONCATENATE("http://doc.google.com/uc?id=",MID('Respuestas de formulario 1.1'!AH27,34,33))</f>
        <v>http://doc.google.com/uc?id=1FtMtCOZX6VyHhvpO1qJNeE36YGqQ1Mw0</v>
      </c>
      <c r="DM27" s="50" t="str">
        <f>CONCATENATE("http://doc.google.com/uc?id=",MID('Respuestas de formulario 1.1'!AW27,34,33))</f>
        <v>http://doc.google.com/uc?id=1dGgou2us4V2Hx3ty2aM52tvn2MhtTf74</v>
      </c>
      <c r="DN27" s="53" t="str">
        <f>CONCATENATE("http://doc.google.com/uc?id=",MID('Respuestas de formulario 1.1'!$BI27,34,33))</f>
        <v>http://doc.google.com/uc?id=1fPxj3H-Z4bLK_S7a8xgXLKXpwMCo8DKC</v>
      </c>
      <c r="DO27" s="45" t="str">
        <f>IFERROR(VLOOKUP(CONCATENATE('Respuestas de formulario 1.1'!$B27,MID('Respuestas de formulario 1.1'!DO$1,2,1)),#REF!,12,0),"")</f>
        <v/>
      </c>
      <c r="DP27" s="45" t="str">
        <f>IFERROR(VLOOKUP(CONCATENATE('Respuestas de formulario 1.1'!$B27,MID('Respuestas de formulario 1.1'!DP$1,2,1)),#REF!,12,0),"")</f>
        <v/>
      </c>
      <c r="DQ27" s="45" t="str">
        <f>IFERROR(VLOOKUP(CONCATENATE('Respuestas de formulario 1.1'!$B27,MID('Respuestas de formulario 1.1'!DQ$1,2,1)),#REF!,12,0),"")</f>
        <v/>
      </c>
      <c r="DR27" s="45" t="str">
        <f>IFERROR(VLOOKUP(CONCATENATE('Respuestas de formulario 1.1'!$B27,MID('Respuestas de formulario 1.1'!DR$1,2,1)),#REF!,12,0),"")</f>
        <v/>
      </c>
      <c r="DS27" s="45" t="str">
        <f>IFERROR(VLOOKUP(CONCATENATE('Respuestas de formulario 1.1'!$B27,MID('Respuestas de formulario 1.1'!DS$1,2,1)),#REF!,12,0),"")</f>
        <v/>
      </c>
      <c r="DT27" s="45" t="str">
        <f>IFERROR(VLOOKUP(CONCATENATE('Respuestas de formulario 1.1'!$B27,MID('Respuestas de formulario 1.1'!DT$1,2,1)),#REF!,12,0),"")</f>
        <v/>
      </c>
      <c r="DU27" s="45" t="str">
        <f>IFERROR(VLOOKUP(CONCATENATE('Respuestas de formulario 1.1'!$B27,MID('Respuestas de formulario 1.1'!DU$1,2,1)),#REF!,12,0),"")</f>
        <v/>
      </c>
      <c r="DV27" s="45" t="str">
        <f>IFERROR(VLOOKUP(CONCATENATE('Respuestas de formulario 1.1'!$B27,MID('Respuestas de formulario 1.1'!DV$1,2,1)),#REF!,12,0),"")</f>
        <v/>
      </c>
      <c r="DW27" s="45" t="str">
        <f>IFERROR(VLOOKUP(CONCATENATE('Respuestas de formulario 1.1'!$B27,MID('Respuestas de formulario 1.1'!DW$1,2,1)),#REF!,12,0),"")</f>
        <v/>
      </c>
      <c r="DX27" s="45" t="str">
        <f>IFERROR(VLOOKUP(CONCATENATE('Respuestas de formulario 1.1'!$B27,MID('Respuestas de formulario 1.1'!DX$1,2,1)),#REF!,12,0),"")</f>
        <v/>
      </c>
      <c r="DY27" s="45" t="str">
        <f>IFERROR(VLOOKUP(CONCATENATE('Respuestas de formulario 1.1'!$B27,MID('Respuestas de formulario 1.1'!DY$1,2,1)),#REF!,12,0),"")</f>
        <v/>
      </c>
      <c r="DZ27" s="45" t="str">
        <f>IFERROR(VLOOKUP(CONCATENATE('Respuestas de formulario 1.1'!$B27,MID('Respuestas de formulario 1.1'!DZ$1,2,1)),#REF!,12,0),"")</f>
        <v/>
      </c>
      <c r="EA27" s="45" t="str">
        <f>IFERROR(VLOOKUP(CONCATENATE('Respuestas de formulario 1.1'!$B27,MID('Respuestas de formulario 1.1'!EA$1,2,1)),#REF!,12,0),"")</f>
        <v/>
      </c>
      <c r="EB27" s="45" t="str">
        <f>IFERROR(VLOOKUP(CONCATENATE('Respuestas de formulario 1.1'!$B27,MID('Respuestas de formulario 1.1'!EB$1,2,1)),#REF!,12,0),"")</f>
        <v/>
      </c>
      <c r="EC27" s="45" t="str">
        <f>IFERROR(VLOOKUP(CONCATENATE('Respuestas de formulario 1.1'!$B27,MID('Respuestas de formulario 1.1'!EC$1,2,1)),#REF!,12,0),"")</f>
        <v/>
      </c>
      <c r="ED27" s="45" t="str">
        <f>IFERROR(VLOOKUP(CONCATENATE('Respuestas de formulario 1.1'!$B27,MID('Respuestas de formulario 1.1'!ED$1,2,1)),#REF!,12,0),"")</f>
        <v/>
      </c>
      <c r="EE27" s="45" t="str">
        <f>IFERROR(VLOOKUP(CONCATENATE('Respuestas de formulario 1.1'!$B27,MID('Respuestas de formulario 1.1'!EE$1,2,1)),#REF!,12,0),"")</f>
        <v/>
      </c>
      <c r="EF27" s="45" t="str">
        <f>IFERROR(VLOOKUP(CONCATENATE('Respuestas de formulario 1.1'!$B27,MID('Respuestas de formulario 1.1'!EF$1,2,1)),#REF!,12,0),"")</f>
        <v/>
      </c>
      <c r="EG27" s="45" t="str">
        <f>IFERROR(VLOOKUP(CONCATENATE('Respuestas de formulario 1.1'!$B27,MID('Respuestas de formulario 1.1'!EG$1,2,1)),#REF!,12,0),"")</f>
        <v/>
      </c>
      <c r="EH27" s="45" t="str">
        <f>IFERROR(VLOOKUP(CONCATENATE('Respuestas de formulario 1.1'!$B27,MID('Respuestas de formulario 1.1'!EH$1,2,1)),#REF!,12,0),"")</f>
        <v/>
      </c>
      <c r="EI27" s="45" t="str">
        <f>IFERROR(VLOOKUP(CONCATENATE('Respuestas de formulario 1.1'!$B27,MID('Respuestas de formulario 1.1'!EI$1,2,1)),#REF!,12,0),"")</f>
        <v/>
      </c>
      <c r="EJ27" s="45" t="str">
        <f t="array" ref="EJ27">IF(DO27="","", INDEX(#REF!,MATCH(CONCATENATE('Respuestas de formulario 1.1'!$B27,DO27),#REF!,0),MATCH('Respuestas de formulario 1.1'!EJ$1,#REF!,0)))</f>
        <v/>
      </c>
      <c r="EK27" s="56" t="str">
        <f t="array" ref="EK27">IF(DP27="","", INDEX(#REF!,MATCH(CONCATENATE('Respuestas de formulario 1.1'!$B27,DP27),#REF!,0),MATCH('Respuestas de formulario 1.1'!EK$1,#REF!,0)))</f>
        <v/>
      </c>
      <c r="EL27" s="56" t="str">
        <f t="array" ref="EL27">IF(DQ27="","", INDEX(#REF!,MATCH(CONCATENATE('Respuestas de formulario 1.1'!$B27,DQ27),#REF!,0),MATCH('Respuestas de formulario 1.1'!EL$1,#REF!,0)))</f>
        <v/>
      </c>
      <c r="EM27" s="56" t="str">
        <f t="array" ref="EM27">IF(DR27="","", INDEX(#REF!,MATCH(CONCATENATE('Respuestas de formulario 1.1'!$B27,DR27),#REF!,0),MATCH('Respuestas de formulario 1.1'!EM$1,#REF!,0)))</f>
        <v/>
      </c>
      <c r="EN27" s="56" t="str">
        <f t="array" ref="EN27">IF(DS27="","", INDEX(#REF!,MATCH(CONCATENATE('Respuestas de formulario 1.1'!$B27,DS27),#REF!,0),MATCH('Respuestas de formulario 1.1'!EN$1,#REF!,0)))</f>
        <v/>
      </c>
      <c r="EO27" s="56" t="str">
        <f t="array" ref="EO27">IF(DT27="","", INDEX(#REF!,MATCH(CONCATENATE('Respuestas de formulario 1.1'!$B27,DT27),#REF!,0),MATCH('Respuestas de formulario 1.1'!EO$1,#REF!,0)))</f>
        <v/>
      </c>
      <c r="EP27" s="45" t="str">
        <f t="array" ref="EP27">IF(DU27="","", INDEX(#REF!,MATCH(CONCATENATE('Respuestas de formulario 1.1'!$B27,DU27),#REF!,0),MATCH('Respuestas de formulario 1.1'!EP$1,#REF!,0)))</f>
        <v/>
      </c>
      <c r="EQ27" s="45" t="str">
        <f t="array" ref="EQ27">IF(DP27="","", INDEX(#REF!,MATCH(CONCATENATE('Respuestas de formulario 1.1'!$B27,DP27),#REF!,0),MATCH('Respuestas de formulario 1.1'!EQ$1,#REF!,0)))</f>
        <v/>
      </c>
      <c r="ER27" s="56" t="str">
        <f t="array" ref="ER27">IF(DQ27="","", INDEX(#REF!,MATCH(CONCATENATE('Respuestas de formulario 1.1'!$B27,DQ27),#REF!,0),MATCH('Respuestas de formulario 1.1'!ER$1,#REF!,0)))</f>
        <v/>
      </c>
      <c r="ES27" s="56" t="str">
        <f t="array" ref="ES27">IF(DR27="","", INDEX(#REF!,MATCH(CONCATENATE('Respuestas de formulario 1.1'!$B27,DR27),#REF!,0),MATCH('Respuestas de formulario 1.1'!ES$1,#REF!,0)))</f>
        <v/>
      </c>
      <c r="ET27" s="56" t="str">
        <f t="array" ref="ET27">IF(DS27="","", INDEX(#REF!,MATCH(CONCATENATE('Respuestas de formulario 1.1'!$B27,DS27),#REF!,0),MATCH('Respuestas de formulario 1.1'!ET$1,#REF!,0)))</f>
        <v/>
      </c>
      <c r="EU27" s="56" t="str">
        <f t="array" ref="EU27">IF(DT27="","", INDEX(#REF!,MATCH(CONCATENATE('Respuestas de formulario 1.1'!$B27,DT27),#REF!,0),MATCH('Respuestas de formulario 1.1'!EU$1,#REF!,0)))</f>
        <v/>
      </c>
      <c r="EV27" s="56" t="str">
        <f t="array" ref="EV27">IF(DU27="","", INDEX(#REF!,MATCH(CONCATENATE('Respuestas de formulario 1.1'!$B27,DU27),#REF!,0),MATCH('Respuestas de formulario 1.1'!EV$1,#REF!,0)))</f>
        <v/>
      </c>
      <c r="EW27" s="45" t="str">
        <f t="array" ref="EW27">IF(DV27="","", INDEX(#REF!,MATCH(CONCATENATE('Respuestas de formulario 1.1'!$B27,DV27),#REF!,0),MATCH('Respuestas de formulario 1.1'!EW$1,#REF!,0)))</f>
        <v/>
      </c>
      <c r="EX27" s="45" t="str">
        <f t="array" ref="EX27">IF($DQ27="","", INDEX(#REF!,MATCH(CONCATENATE('Respuestas de formulario 1.1'!$B27,$DQ27),#REF!,0),MATCH('Respuestas de formulario 1.1'!EX$1,#REF!,0)))</f>
        <v/>
      </c>
      <c r="EY27" s="56" t="str">
        <f t="array" ref="EY27">IF($DQ27="","", INDEX(#REF!,MATCH(CONCATENATE('Respuestas de formulario 1.1'!$B27,$DQ27),#REF!,0),MATCH('Respuestas de formulario 1.1'!EY$1,#REF!,0)))</f>
        <v/>
      </c>
      <c r="EZ27" s="56" t="str">
        <f t="array" ref="EZ27">IF($DQ27="","", INDEX(#REF!,MATCH(CONCATENATE('Respuestas de formulario 1.1'!$B27,$DQ27),#REF!,0),MATCH('Respuestas de formulario 1.1'!EZ$1,#REF!,0)))</f>
        <v/>
      </c>
      <c r="FA27" s="56" t="str">
        <f t="array" ref="FA27">IF($DQ27="","", INDEX(#REF!,MATCH(CONCATENATE('Respuestas de formulario 1.1'!$B27,$DQ27),#REF!,0),MATCH('Respuestas de formulario 1.1'!FA$1,#REF!,0)))</f>
        <v/>
      </c>
      <c r="FB27" s="56" t="str">
        <f t="array" ref="FB27">IF($DQ27="","", INDEX(#REF!,MATCH(CONCATENATE('Respuestas de formulario 1.1'!$B27,$DQ27),#REF!,0),MATCH('Respuestas de formulario 1.1'!FB$1,#REF!,0)))</f>
        <v/>
      </c>
      <c r="FC27" s="56" t="str">
        <f t="array" ref="FC27">IF($DQ27="","", INDEX(#REF!,MATCH(CONCATENATE('Respuestas de formulario 1.1'!$B27,$DQ27),#REF!,0),MATCH('Respuestas de formulario 1.1'!FC$1,#REF!,0)))</f>
        <v/>
      </c>
      <c r="FD27" s="45" t="str">
        <f t="array" ref="FD27">IF($DQ27="","", INDEX(#REF!,MATCH(CONCATENATE('Respuestas de formulario 1.1'!$B27,$DQ27),#REF!,0),MATCH('Respuestas de formulario 1.1'!FD$1,#REF!,0)))</f>
        <v/>
      </c>
      <c r="FE27" s="45" t="str">
        <f t="array" ref="FE27">IF($DR27="","", INDEX(#REF!,MATCH(CONCATENATE(#REF!,$DR27),#REF!,0),MATCH(#REF!,#REF!,0)))</f>
        <v/>
      </c>
      <c r="FF27" s="56" t="str">
        <f t="array" ref="FF27">IF($DR27="","", INDEX(#REF!,MATCH(CONCATENATE(#REF!,$DR27),#REF!,0),MATCH(#REF!,#REF!,0)))</f>
        <v/>
      </c>
      <c r="FG27" s="56" t="str">
        <f t="array" ref="FG27">IF($DR27="","", INDEX(#REF!,MATCH(CONCATENATE(#REF!,$DR27),#REF!,0),MATCH(#REF!,#REF!,0)))</f>
        <v/>
      </c>
      <c r="FH27" s="56" t="str">
        <f t="array" ref="FH27">IF($DR27="","", INDEX(#REF!,MATCH(CONCATENATE(#REF!,$DR27),#REF!,0),MATCH(#REF!,#REF!,0)))</f>
        <v/>
      </c>
      <c r="FI27" s="56" t="str">
        <f t="array" ref="FI27">IF($DR27="","", INDEX(#REF!,MATCH(CONCATENATE(#REF!,$DR27),#REF!,0),MATCH(#REF!,#REF!,0)))</f>
        <v/>
      </c>
      <c r="FJ27" s="56" t="str">
        <f t="array" ref="FJ27">IF($DR27="","", INDEX(#REF!,MATCH(CONCATENATE(#REF!,$DR27),#REF!,0),MATCH(#REF!,#REF!,0)))</f>
        <v/>
      </c>
      <c r="FK27" s="45" t="str">
        <f t="array" ref="FK27">IF($DR27="","", INDEX(#REF!,MATCH(CONCATENATE(#REF!,$DR27),#REF!,0),MATCH(#REF!,#REF!,0)))</f>
        <v/>
      </c>
      <c r="FL27" s="45" t="str">
        <f t="array" ref="FL27">IF($DT27="","", INDEX(#REF!,MATCH(CONCATENATE('Respuestas de formulario 1.1'!$B27,$DS27),#REF!,0),MATCH('Respuestas de formulario 1.1'!FL$1,#REF!,0)))</f>
        <v/>
      </c>
      <c r="FM27" s="56" t="str">
        <f t="array" ref="FM27">IF($DT27="","", INDEX(#REF!,MATCH(CONCATENATE('Respuestas de formulario 1.1'!$B27,$DS27),#REF!,0),MATCH('Respuestas de formulario 1.1'!FM$1,#REF!,0)))</f>
        <v/>
      </c>
      <c r="FN27" s="56" t="str">
        <f t="array" ref="FN27">IF($DT27="","", INDEX(#REF!,MATCH(CONCATENATE('Respuestas de formulario 1.1'!$B27,$DS27),#REF!,0),MATCH('Respuestas de formulario 1.1'!FN$1,#REF!,0)))</f>
        <v/>
      </c>
      <c r="FO27" s="56" t="str">
        <f t="array" ref="FO27">IF($DT27="","", INDEX(#REF!,MATCH(CONCATENATE('Respuestas de formulario 1.1'!$B27,$DS27),#REF!,0),MATCH('Respuestas de formulario 1.1'!FO$1,#REF!,0)))</f>
        <v/>
      </c>
      <c r="FP27" s="56" t="str">
        <f t="array" ref="FP27">IF($DT27="","", INDEX(#REF!,MATCH(CONCATENATE('Respuestas de formulario 1.1'!$B27,$DS27),#REF!,0),MATCH('Respuestas de formulario 1.1'!FP$1,#REF!,0)))</f>
        <v/>
      </c>
      <c r="FQ27" s="56" t="str">
        <f t="array" ref="FQ27">IF($DT27="","", INDEX(#REF!,MATCH(CONCATENATE('Respuestas de formulario 1.1'!$B27,$DS27),#REF!,0),MATCH('Respuestas de formulario 1.1'!FQ$1,#REF!,0)))</f>
        <v/>
      </c>
      <c r="FR27" s="45" t="str">
        <f t="array" ref="FR27">IF($DT27="","", INDEX(#REF!,MATCH(CONCATENATE('Respuestas de formulario 1.1'!$B27,$DS27),#REF!,0),MATCH('Respuestas de formulario 1.1'!FR$1,#REF!,0)))</f>
        <v/>
      </c>
      <c r="FS27" s="45" t="str">
        <f t="array" ref="FS27">IF($DU27="","", INDEX(#REF!,MATCH(CONCATENATE('Respuestas de formulario 1.1'!$B27,$DT27),#REF!,0),MATCH('Respuestas de formulario 1.1'!FS$1,#REF!,0)))</f>
        <v/>
      </c>
      <c r="FT27" s="56" t="str">
        <f t="array" ref="FT27">IF($DU27="","", INDEX(#REF!,MATCH(CONCATENATE('Respuestas de formulario 1.1'!$B27,$DT27),#REF!,0),MATCH('Respuestas de formulario 1.1'!FT$1,#REF!,0)))</f>
        <v/>
      </c>
      <c r="FU27" s="56" t="str">
        <f t="array" ref="FU27">IF($DU27="","", INDEX(#REF!,MATCH(CONCATENATE('Respuestas de formulario 1.1'!$B27,$DT27),#REF!,0),MATCH('Respuestas de formulario 1.1'!FU$1,#REF!,0)))</f>
        <v/>
      </c>
      <c r="FV27" s="56" t="str">
        <f t="array" ref="FV27">IF($DU27="","", INDEX(#REF!,MATCH(CONCATENATE('Respuestas de formulario 1.1'!$B27,$DT27),#REF!,0),MATCH('Respuestas de formulario 1.1'!FV$1,#REF!,0)))</f>
        <v/>
      </c>
      <c r="FW27" s="56" t="str">
        <f t="array" ref="FW27">IF($DU27="","", INDEX(#REF!,MATCH(CONCATENATE('Respuestas de formulario 1.1'!$B27,$DT27),#REF!,0),MATCH('Respuestas de formulario 1.1'!FW$1,#REF!,0)))</f>
        <v/>
      </c>
      <c r="FX27" s="56" t="str">
        <f t="array" ref="FX27">IF($DU27="","", INDEX(#REF!,MATCH(CONCATENATE('Respuestas de formulario 1.1'!$B27,$DT27),#REF!,0),MATCH('Respuestas de formulario 1.1'!FX$1,#REF!,0)))</f>
        <v/>
      </c>
      <c r="FY27" s="45" t="str">
        <f t="array" ref="FY27">IF($DU27="","", INDEX(#REF!,MATCH(CONCATENATE('Respuestas de formulario 1.1'!$B27,$DT27),#REF!,0),MATCH('Respuestas de formulario 1.1'!FY$1,#REF!,0)))</f>
        <v/>
      </c>
      <c r="FZ27" s="3" t="s">
        <v>2860</v>
      </c>
      <c r="GA27" s="1" t="s">
        <v>3279</v>
      </c>
      <c r="GB27" s="51" t="s">
        <v>3280</v>
      </c>
      <c r="GC27" s="4" t="str">
        <f>HYPERLINK("https://drive.google.com/file/d/1VLo7oIUInAHebTzNBp-5W6yw_sXHR6GJ/view?usp=drivesdk","HERNANDEZ  PEREZ SERGIO ISAAC  Formato de reinscripción y pago 2022-2")</f>
        <v>HERNANDEZ  PEREZ SERGIO ISAAC  Formato de reinscripción y pago 2022-2</v>
      </c>
      <c r="GD27" s="1" t="s">
        <v>3281</v>
      </c>
      <c r="GE27" s="1"/>
      <c r="GF27" s="1"/>
      <c r="GG27" s="1"/>
      <c r="GH27" s="1"/>
      <c r="GI27" s="1" t="s">
        <v>3282</v>
      </c>
      <c r="GJ27" s="5" t="s">
        <v>3283</v>
      </c>
      <c r="GK27" s="5" t="str">
        <f>HYPERLINK("https://drive.google.com/file/d/1FAjAw4D9tCbdUZy9kt3ye13dxNn0UJIJ/view?usp=drivesdk","HERNANDEZ  PEREZ SERGIO ISAAC  Formato de reinscripción y pago 2022-2")</f>
        <v>HERNANDEZ  PEREZ SERGIO ISAAC  Formato de reinscripción y pago 2022-2</v>
      </c>
      <c r="GL27" s="1" t="s">
        <v>3284</v>
      </c>
    </row>
    <row r="28" spans="1:194" ht="38.25" x14ac:dyDescent="0.2">
      <c r="A28" s="2">
        <v>45139.044722812498</v>
      </c>
      <c r="B28" s="1" t="s">
        <v>834</v>
      </c>
      <c r="C28" s="1" t="s">
        <v>835</v>
      </c>
      <c r="D28" s="1" t="s">
        <v>1779</v>
      </c>
      <c r="E28" s="1" t="s">
        <v>470</v>
      </c>
      <c r="F28" s="1" t="s">
        <v>223</v>
      </c>
      <c r="G28" s="5" t="s">
        <v>3285</v>
      </c>
      <c r="H28" s="41">
        <v>39229</v>
      </c>
      <c r="I28" s="1">
        <v>16</v>
      </c>
      <c r="J28" s="1">
        <v>5632706445</v>
      </c>
      <c r="K28" s="1">
        <v>5628077016</v>
      </c>
      <c r="L28" s="1" t="s">
        <v>836</v>
      </c>
      <c r="M28" s="1">
        <v>239060570483</v>
      </c>
      <c r="N28" s="1" t="s">
        <v>562</v>
      </c>
      <c r="O28" s="1" t="s">
        <v>247</v>
      </c>
      <c r="P28" s="1" t="s">
        <v>278</v>
      </c>
      <c r="Q28" s="1" t="s">
        <v>227</v>
      </c>
      <c r="R28" s="1" t="s">
        <v>236</v>
      </c>
      <c r="S28" s="1" t="s">
        <v>228</v>
      </c>
      <c r="T28" s="1" t="s">
        <v>229</v>
      </c>
      <c r="U28" s="1" t="s">
        <v>249</v>
      </c>
      <c r="V28" s="1" t="s">
        <v>228</v>
      </c>
      <c r="W28" s="1" t="s">
        <v>3286</v>
      </c>
      <c r="X28" s="1" t="s">
        <v>249</v>
      </c>
      <c r="Y28" s="1" t="s">
        <v>1666</v>
      </c>
      <c r="Z28" s="1" t="s">
        <v>240</v>
      </c>
      <c r="AA28" s="44" t="s">
        <v>555</v>
      </c>
      <c r="AB28" s="1">
        <v>50</v>
      </c>
      <c r="AC28" s="1">
        <v>50</v>
      </c>
      <c r="AD28" s="1" t="s">
        <v>3287</v>
      </c>
      <c r="AE28" s="1" t="s">
        <v>3288</v>
      </c>
      <c r="AF28" s="1" t="s">
        <v>265</v>
      </c>
      <c r="AG28" s="1">
        <v>42</v>
      </c>
      <c r="AH28" s="5" t="s">
        <v>3289</v>
      </c>
      <c r="AI28" s="1">
        <v>5628077016</v>
      </c>
      <c r="AJ28" s="1">
        <v>5628077016</v>
      </c>
      <c r="AK28" s="1" t="s">
        <v>839</v>
      </c>
      <c r="AL28" s="1" t="s">
        <v>835</v>
      </c>
      <c r="AM28" s="1" t="s">
        <v>1284</v>
      </c>
      <c r="AN28" s="1" t="s">
        <v>1413</v>
      </c>
      <c r="AO28" s="1" t="s">
        <v>435</v>
      </c>
      <c r="AP28" s="1">
        <v>47</v>
      </c>
      <c r="AQ28" s="1" t="s">
        <v>283</v>
      </c>
      <c r="AR28" s="42">
        <v>0.29166666666424135</v>
      </c>
      <c r="AS28" s="42">
        <v>8.3333333335758653E-2</v>
      </c>
      <c r="AT28" s="1">
        <v>5565048883</v>
      </c>
      <c r="AU28" s="1">
        <v>5565048883</v>
      </c>
      <c r="AV28" s="1" t="s">
        <v>838</v>
      </c>
      <c r="AW28" s="5" t="s">
        <v>3290</v>
      </c>
      <c r="AX28" s="1" t="s">
        <v>835</v>
      </c>
      <c r="AY28" s="1" t="s">
        <v>600</v>
      </c>
      <c r="AZ28" s="1" t="s">
        <v>1764</v>
      </c>
      <c r="BA28" s="1" t="s">
        <v>586</v>
      </c>
      <c r="BB28" s="1">
        <v>23</v>
      </c>
      <c r="BC28" s="1" t="s">
        <v>1319</v>
      </c>
      <c r="BD28" s="43">
        <v>0.3125</v>
      </c>
      <c r="BE28" s="43">
        <v>0.125</v>
      </c>
      <c r="BF28" s="1">
        <v>5516875082</v>
      </c>
      <c r="BG28" s="1">
        <v>5516875082</v>
      </c>
      <c r="BH28" s="1" t="s">
        <v>3291</v>
      </c>
      <c r="BI28" s="5" t="s">
        <v>3292</v>
      </c>
      <c r="BJ28" s="1" t="s">
        <v>228</v>
      </c>
      <c r="BK28" s="1" t="s">
        <v>265</v>
      </c>
      <c r="BL28" s="1">
        <v>1.6</v>
      </c>
      <c r="BM28" s="1">
        <v>73</v>
      </c>
      <c r="BN28" s="1" t="s">
        <v>236</v>
      </c>
      <c r="BO28" s="1" t="s">
        <v>236</v>
      </c>
      <c r="BP28" s="1" t="s">
        <v>3293</v>
      </c>
      <c r="BQ28" s="1" t="s">
        <v>228</v>
      </c>
      <c r="BR28" s="1" t="s">
        <v>237</v>
      </c>
      <c r="BS28" s="1" t="s">
        <v>228</v>
      </c>
      <c r="BT28" s="1" t="s">
        <v>237</v>
      </c>
      <c r="BU28" s="1" t="s">
        <v>228</v>
      </c>
      <c r="BW28" s="1" t="s">
        <v>238</v>
      </c>
      <c r="BX28" s="1">
        <v>40</v>
      </c>
      <c r="BY28" s="1">
        <v>150</v>
      </c>
      <c r="BZ28" s="1" t="s">
        <v>3294</v>
      </c>
      <c r="CA28" s="1" t="s">
        <v>343</v>
      </c>
      <c r="CB28" s="1" t="s">
        <v>240</v>
      </c>
      <c r="CC28" s="1" t="s">
        <v>484</v>
      </c>
      <c r="CD28" s="1">
        <v>3000</v>
      </c>
      <c r="CE28" s="1">
        <v>3000</v>
      </c>
      <c r="CF28" s="1" t="s">
        <v>236</v>
      </c>
      <c r="CG28" s="1" t="s">
        <v>242</v>
      </c>
      <c r="CH28" s="1" t="s">
        <v>243</v>
      </c>
      <c r="CI28" s="1" t="s">
        <v>243</v>
      </c>
      <c r="CJ28" s="1" t="s">
        <v>2848</v>
      </c>
      <c r="CL28" s="5" t="s">
        <v>3295</v>
      </c>
      <c r="CM28" s="1">
        <v>11220773490</v>
      </c>
      <c r="CN28" s="1" t="s">
        <v>228</v>
      </c>
      <c r="CQ28" s="42">
        <v>0.29166666666424135</v>
      </c>
      <c r="CR28" s="42">
        <v>0.375</v>
      </c>
      <c r="CT28" s="45" t="str">
        <f t="array" ref="CT28">IFERROR(INDEX(#REF!,MATCH('Respuestas de formulario 1.1'!$B28,#REF!,0),MATCH('Respuestas de formulario 1.1'!CT$1,#REF!,0)),"")</f>
        <v/>
      </c>
      <c r="CU28" s="56" t="str">
        <f t="array" ref="CU28">IFERROR(INDEX(#REF!,MATCH('Respuestas de formulario 1.1'!$B28,#REF!,0),MATCH('Respuestas de formulario 1.1'!CU$1,#REF!,0)),"")</f>
        <v/>
      </c>
      <c r="CV28" s="56" t="str">
        <f t="array" ref="CV28">IFERROR(INDEX(#REF!,MATCH('Respuestas de formulario 1.1'!$B28,#REF!,0),MATCH('Respuestas de formulario 1.1'!CV$1,#REF!,0)),"")</f>
        <v/>
      </c>
      <c r="CW28" s="56" t="str">
        <f t="array" ref="CW28">IFERROR(INDEX(#REF!,MATCH('Respuestas de formulario 1.1'!$B28,#REF!,0),MATCH('Respuestas de formulario 1.1'!CW$1,#REF!,0)),"")</f>
        <v/>
      </c>
      <c r="CX28" s="56" t="str">
        <f t="array" ref="CX28">IFERROR(INDEX(#REF!,MATCH('Respuestas de formulario 1.1'!$B28,#REF!,0),MATCH('Respuestas de formulario 1.1'!CX$1,#REF!,0)),"")</f>
        <v/>
      </c>
      <c r="CY28" s="56" t="str">
        <f t="array" ref="CY28">IFERROR(INDEX(#REF!,MATCH('Respuestas de formulario 1.1'!$B28,#REF!,0),MATCH('Respuestas de formulario 1.1'!CY$1,#REF!,0)),"")</f>
        <v/>
      </c>
      <c r="CZ28" s="57" t="str">
        <f t="array" ref="CZ28">IFERROR(INDEX(#REF!,MATCH('Respuestas de formulario 1.1'!$B28,#REF!,0),MATCH('Respuestas de formulario 1.1'!CZ$1,#REF!,0)),"")</f>
        <v/>
      </c>
      <c r="DA28" s="45" t="e">
        <f t="array" ref="DA28">INDEX(#REF!,MATCH('Respuestas de formulario 1.1'!$B28,#REF!,0),MATCH('Respuestas de formulario 1.1'!DA$1,#REF!,0))</f>
        <v>#REF!</v>
      </c>
      <c r="DB28" s="45" t="e">
        <f t="array" ref="DB28">INDEX(#REF!,MATCH('Respuestas de formulario 1.1'!$B28,#REF!,0),MATCH('Respuestas de formulario 1.1'!DB$1,#REF!,0))</f>
        <v>#REF!</v>
      </c>
      <c r="DC28" s="45" t="e">
        <f t="array" ref="DC28">INDEX(#REF!,MATCH('Respuestas de formulario 1.1'!$B28,#REF!,0),MATCH('Respuestas de formulario 1.1'!DC$1,#REF!,0))</f>
        <v>#REF!</v>
      </c>
      <c r="DD28" s="45" t="e">
        <f t="array" ref="DD28">INDEX(#REF!,MATCH('Respuestas de formulario 1.1'!$B28,#REF!,0),MATCH('Respuestas de formulario 1.1'!DD$1,#REF!,0))</f>
        <v>#REF!</v>
      </c>
      <c r="DE28" s="45" t="e">
        <f t="array" ref="DE28">INDEX(#REF!,MATCH('Respuestas de formulario 1.1'!$B28,#REF!,0),MATCH('Respuestas de formulario 1.1'!DE$1,#REF!,0))</f>
        <v>#REF!</v>
      </c>
      <c r="DF28" s="45" t="e">
        <f t="array" ref="DF28">INDEX(#REF!,MATCH('Respuestas de formulario 1.1'!$B28,#REF!,0),MATCH('Respuestas de formulario 1.1'!DF$1,#REF!,0))</f>
        <v>#REF!</v>
      </c>
      <c r="DG28" s="45" t="e">
        <f t="array" ref="DG28">INDEX(#REF!,MATCH('Respuestas de formulario 1.1'!$B28,#REF!,0),MATCH('Respuestas de formulario 1.1'!DG$1,#REF!,0))</f>
        <v>#REF!</v>
      </c>
      <c r="DH28" s="45" t="e">
        <f t="array" ref="DH28">INDEX(#REF!,MATCH('Respuestas de formulario 1.1'!$B28,#REF!,0),MATCH('Respuestas de formulario 1.1'!DH$1,#REF!,0))</f>
        <v>#REF!</v>
      </c>
      <c r="DI28" s="48" t="e">
        <f>VLOOKUP(CONCATENATE($DF28," TUTO ",$DC28),#REF!,3,0)</f>
        <v>#REF!</v>
      </c>
      <c r="DJ28" s="48" t="e">
        <f t="array" ref="DJ28">IF('Respuestas de formulario 1.1'!A28="","",INDEX(#REF!,MATCH('Respuestas de formulario 1.1'!B28,#REF!,0),MATCH('Respuestas de formulario 1.1'!$DH$1,#REF!,0)))</f>
        <v>#REF!</v>
      </c>
      <c r="DK28" s="52" t="str">
        <f>CONCATENATE("http://doc.google.com/uc?id=",MID('Respuestas de formulario 1.1'!G28,34,33))</f>
        <v>http://doc.google.com/uc?id=1weZx4gqYFWZPvH1x6WUjgwzniHI87oMN</v>
      </c>
      <c r="DL28" s="49" t="str">
        <f>CONCATENATE("http://doc.google.com/uc?id=",MID('Respuestas de formulario 1.1'!AH28,34,33))</f>
        <v>http://doc.google.com/uc?id=14BtpWi_V4UF7o508KGMp6si8hDbz8IL1</v>
      </c>
      <c r="DM28" s="50" t="str">
        <f>CONCATENATE("http://doc.google.com/uc?id=",MID('Respuestas de formulario 1.1'!AW28,34,33))</f>
        <v>http://doc.google.com/uc?id=1Dyzk8gwU9eQzLaaNzPd8L9NsiMnspvKv</v>
      </c>
      <c r="DN28" s="53" t="str">
        <f>CONCATENATE("http://doc.google.com/uc?id=",MID('Respuestas de formulario 1.1'!$BI28,34,33))</f>
        <v>http://doc.google.com/uc?id=1cctZSH_3_JglbtI-seOSgIydRkZv5nYM</v>
      </c>
      <c r="DO28" s="45" t="str">
        <f>IFERROR(VLOOKUP(CONCATENATE('Respuestas de formulario 1.1'!$B28,MID('Respuestas de formulario 1.1'!DO$1,2,1)),#REF!,12,0),"")</f>
        <v/>
      </c>
      <c r="DP28" s="45" t="str">
        <f>IFERROR(VLOOKUP(CONCATENATE('Respuestas de formulario 1.1'!$B28,MID('Respuestas de formulario 1.1'!DP$1,2,1)),#REF!,12,0),"")</f>
        <v/>
      </c>
      <c r="DQ28" s="45" t="str">
        <f>IFERROR(VLOOKUP(CONCATENATE('Respuestas de formulario 1.1'!$B28,MID('Respuestas de formulario 1.1'!DQ$1,2,1)),#REF!,12,0),"")</f>
        <v/>
      </c>
      <c r="DR28" s="45" t="str">
        <f>IFERROR(VLOOKUP(CONCATENATE('Respuestas de formulario 1.1'!$B28,MID('Respuestas de formulario 1.1'!DR$1,2,1)),#REF!,12,0),"")</f>
        <v/>
      </c>
      <c r="DS28" s="45" t="str">
        <f>IFERROR(VLOOKUP(CONCATENATE('Respuestas de formulario 1.1'!$B28,MID('Respuestas de formulario 1.1'!DS$1,2,1)),#REF!,12,0),"")</f>
        <v/>
      </c>
      <c r="DT28" s="45" t="str">
        <f>IFERROR(VLOOKUP(CONCATENATE('Respuestas de formulario 1.1'!$B28,MID('Respuestas de formulario 1.1'!DT$1,2,1)),#REF!,12,0),"")</f>
        <v/>
      </c>
      <c r="DU28" s="45" t="str">
        <f>IFERROR(VLOOKUP(CONCATENATE('Respuestas de formulario 1.1'!$B28,MID('Respuestas de formulario 1.1'!DU$1,2,1)),#REF!,12,0),"")</f>
        <v/>
      </c>
      <c r="DV28" s="45" t="str">
        <f>IFERROR(VLOOKUP(CONCATENATE('Respuestas de formulario 1.1'!$B28,MID('Respuestas de formulario 1.1'!DV$1,2,1)),#REF!,12,0),"")</f>
        <v/>
      </c>
      <c r="DW28" s="45" t="str">
        <f>IFERROR(VLOOKUP(CONCATENATE('Respuestas de formulario 1.1'!$B28,MID('Respuestas de formulario 1.1'!DW$1,2,1)),#REF!,12,0),"")</f>
        <v/>
      </c>
      <c r="DX28" s="45" t="str">
        <f>IFERROR(VLOOKUP(CONCATENATE('Respuestas de formulario 1.1'!$B28,MID('Respuestas de formulario 1.1'!DX$1,2,1)),#REF!,12,0),"")</f>
        <v/>
      </c>
      <c r="DY28" s="45" t="str">
        <f>IFERROR(VLOOKUP(CONCATENATE('Respuestas de formulario 1.1'!$B28,MID('Respuestas de formulario 1.1'!DY$1,2,1)),#REF!,12,0),"")</f>
        <v/>
      </c>
      <c r="DZ28" s="45" t="str">
        <f>IFERROR(VLOOKUP(CONCATENATE('Respuestas de formulario 1.1'!$B28,MID('Respuestas de formulario 1.1'!DZ$1,2,1)),#REF!,12,0),"")</f>
        <v/>
      </c>
      <c r="EA28" s="45" t="str">
        <f>IFERROR(VLOOKUP(CONCATENATE('Respuestas de formulario 1.1'!$B28,MID('Respuestas de formulario 1.1'!EA$1,2,1)),#REF!,12,0),"")</f>
        <v/>
      </c>
      <c r="EB28" s="45" t="str">
        <f>IFERROR(VLOOKUP(CONCATENATE('Respuestas de formulario 1.1'!$B28,MID('Respuestas de formulario 1.1'!EB$1,2,1)),#REF!,12,0),"")</f>
        <v/>
      </c>
      <c r="EC28" s="45" t="str">
        <f>IFERROR(VLOOKUP(CONCATENATE('Respuestas de formulario 1.1'!$B28,MID('Respuestas de formulario 1.1'!EC$1,2,1)),#REF!,12,0),"")</f>
        <v/>
      </c>
      <c r="ED28" s="45" t="str">
        <f>IFERROR(VLOOKUP(CONCATENATE('Respuestas de formulario 1.1'!$B28,MID('Respuestas de formulario 1.1'!ED$1,2,1)),#REF!,12,0),"")</f>
        <v/>
      </c>
      <c r="EE28" s="45" t="str">
        <f>IFERROR(VLOOKUP(CONCATENATE('Respuestas de formulario 1.1'!$B28,MID('Respuestas de formulario 1.1'!EE$1,2,1)),#REF!,12,0),"")</f>
        <v/>
      </c>
      <c r="EF28" s="45" t="str">
        <f>IFERROR(VLOOKUP(CONCATENATE('Respuestas de formulario 1.1'!$B28,MID('Respuestas de formulario 1.1'!EF$1,2,1)),#REF!,12,0),"")</f>
        <v/>
      </c>
      <c r="EG28" s="45" t="str">
        <f>IFERROR(VLOOKUP(CONCATENATE('Respuestas de formulario 1.1'!$B28,MID('Respuestas de formulario 1.1'!EG$1,2,1)),#REF!,12,0),"")</f>
        <v/>
      </c>
      <c r="EH28" s="45" t="str">
        <f>IFERROR(VLOOKUP(CONCATENATE('Respuestas de formulario 1.1'!$B28,MID('Respuestas de formulario 1.1'!EH$1,2,1)),#REF!,12,0),"")</f>
        <v/>
      </c>
      <c r="EI28" s="45" t="str">
        <f>IFERROR(VLOOKUP(CONCATENATE('Respuestas de formulario 1.1'!$B28,MID('Respuestas de formulario 1.1'!EI$1,2,1)),#REF!,12,0),"")</f>
        <v/>
      </c>
      <c r="EJ28" s="45" t="str">
        <f t="array" ref="EJ28">IF(DO28="","", INDEX(#REF!,MATCH(CONCATENATE('Respuestas de formulario 1.1'!$B28,DO28),#REF!,0),MATCH('Respuestas de formulario 1.1'!EJ$1,#REF!,0)))</f>
        <v/>
      </c>
      <c r="EK28" s="56" t="str">
        <f t="array" ref="EK28">IF(DP28="","", INDEX(#REF!,MATCH(CONCATENATE('Respuestas de formulario 1.1'!$B28,DP28),#REF!,0),MATCH('Respuestas de formulario 1.1'!EK$1,#REF!,0)))</f>
        <v/>
      </c>
      <c r="EL28" s="56" t="str">
        <f t="array" ref="EL28">IF(DQ28="","", INDEX(#REF!,MATCH(CONCATENATE('Respuestas de formulario 1.1'!$B28,DQ28),#REF!,0),MATCH('Respuestas de formulario 1.1'!EL$1,#REF!,0)))</f>
        <v/>
      </c>
      <c r="EM28" s="56" t="str">
        <f t="array" ref="EM28">IF(DR28="","", INDEX(#REF!,MATCH(CONCATENATE('Respuestas de formulario 1.1'!$B28,DR28),#REF!,0),MATCH('Respuestas de formulario 1.1'!EM$1,#REF!,0)))</f>
        <v/>
      </c>
      <c r="EN28" s="56" t="str">
        <f t="array" ref="EN28">IF(DS28="","", INDEX(#REF!,MATCH(CONCATENATE('Respuestas de formulario 1.1'!$B28,DS28),#REF!,0),MATCH('Respuestas de formulario 1.1'!EN$1,#REF!,0)))</f>
        <v/>
      </c>
      <c r="EO28" s="56" t="str">
        <f t="array" ref="EO28">IF(DT28="","", INDEX(#REF!,MATCH(CONCATENATE('Respuestas de formulario 1.1'!$B28,DT28),#REF!,0),MATCH('Respuestas de formulario 1.1'!EO$1,#REF!,0)))</f>
        <v/>
      </c>
      <c r="EP28" s="45" t="str">
        <f t="array" ref="EP28">IF(DU28="","", INDEX(#REF!,MATCH(CONCATENATE('Respuestas de formulario 1.1'!$B28,DU28),#REF!,0),MATCH('Respuestas de formulario 1.1'!EP$1,#REF!,0)))</f>
        <v/>
      </c>
      <c r="EQ28" s="45" t="str">
        <f t="array" ref="EQ28">IF(DP28="","", INDEX(#REF!,MATCH(CONCATENATE('Respuestas de formulario 1.1'!$B28,DP28),#REF!,0),MATCH('Respuestas de formulario 1.1'!EQ$1,#REF!,0)))</f>
        <v/>
      </c>
      <c r="ER28" s="56" t="str">
        <f t="array" ref="ER28">IF(DQ28="","", INDEX(#REF!,MATCH(CONCATENATE('Respuestas de formulario 1.1'!$B28,DQ28),#REF!,0),MATCH('Respuestas de formulario 1.1'!ER$1,#REF!,0)))</f>
        <v/>
      </c>
      <c r="ES28" s="56" t="str">
        <f t="array" ref="ES28">IF(DR28="","", INDEX(#REF!,MATCH(CONCATENATE('Respuestas de formulario 1.1'!$B28,DR28),#REF!,0),MATCH('Respuestas de formulario 1.1'!ES$1,#REF!,0)))</f>
        <v/>
      </c>
      <c r="ET28" s="56" t="str">
        <f t="array" ref="ET28">IF(DS28="","", INDEX(#REF!,MATCH(CONCATENATE('Respuestas de formulario 1.1'!$B28,DS28),#REF!,0),MATCH('Respuestas de formulario 1.1'!ET$1,#REF!,0)))</f>
        <v/>
      </c>
      <c r="EU28" s="56" t="str">
        <f t="array" ref="EU28">IF(DT28="","", INDEX(#REF!,MATCH(CONCATENATE('Respuestas de formulario 1.1'!$B28,DT28),#REF!,0),MATCH('Respuestas de formulario 1.1'!EU$1,#REF!,0)))</f>
        <v/>
      </c>
      <c r="EV28" s="56" t="str">
        <f t="array" ref="EV28">IF(DU28="","", INDEX(#REF!,MATCH(CONCATENATE('Respuestas de formulario 1.1'!$B28,DU28),#REF!,0),MATCH('Respuestas de formulario 1.1'!EV$1,#REF!,0)))</f>
        <v/>
      </c>
      <c r="EW28" s="45" t="str">
        <f t="array" ref="EW28">IF(DV28="","", INDEX(#REF!,MATCH(CONCATENATE('Respuestas de formulario 1.1'!$B28,DV28),#REF!,0),MATCH('Respuestas de formulario 1.1'!EW$1,#REF!,0)))</f>
        <v/>
      </c>
      <c r="EX28" s="45" t="str">
        <f t="array" ref="EX28">IF($DQ28="","", INDEX(#REF!,MATCH(CONCATENATE('Respuestas de formulario 1.1'!$B28,$DQ28),#REF!,0),MATCH('Respuestas de formulario 1.1'!EX$1,#REF!,0)))</f>
        <v/>
      </c>
      <c r="EY28" s="56" t="str">
        <f t="array" ref="EY28">IF($DQ28="","", INDEX(#REF!,MATCH(CONCATENATE('Respuestas de formulario 1.1'!$B28,$DQ28),#REF!,0),MATCH('Respuestas de formulario 1.1'!EY$1,#REF!,0)))</f>
        <v/>
      </c>
      <c r="EZ28" s="56" t="str">
        <f t="array" ref="EZ28">IF($DQ28="","", INDEX(#REF!,MATCH(CONCATENATE('Respuestas de formulario 1.1'!$B28,$DQ28),#REF!,0),MATCH('Respuestas de formulario 1.1'!EZ$1,#REF!,0)))</f>
        <v/>
      </c>
      <c r="FA28" s="56" t="str">
        <f t="array" ref="FA28">IF($DQ28="","", INDEX(#REF!,MATCH(CONCATENATE('Respuestas de formulario 1.1'!$B28,$DQ28),#REF!,0),MATCH('Respuestas de formulario 1.1'!FA$1,#REF!,0)))</f>
        <v/>
      </c>
      <c r="FB28" s="56" t="str">
        <f t="array" ref="FB28">IF($DQ28="","", INDEX(#REF!,MATCH(CONCATENATE('Respuestas de formulario 1.1'!$B28,$DQ28),#REF!,0),MATCH('Respuestas de formulario 1.1'!FB$1,#REF!,0)))</f>
        <v/>
      </c>
      <c r="FC28" s="56" t="str">
        <f t="array" ref="FC28">IF($DQ28="","", INDEX(#REF!,MATCH(CONCATENATE('Respuestas de formulario 1.1'!$B28,$DQ28),#REF!,0),MATCH('Respuestas de formulario 1.1'!FC$1,#REF!,0)))</f>
        <v/>
      </c>
      <c r="FD28" s="45" t="str">
        <f t="array" ref="FD28">IF($DQ28="","", INDEX(#REF!,MATCH(CONCATENATE('Respuestas de formulario 1.1'!$B28,$DQ28),#REF!,0),MATCH('Respuestas de formulario 1.1'!FD$1,#REF!,0)))</f>
        <v/>
      </c>
      <c r="FE28" s="45" t="str">
        <f t="array" ref="FE28">IF($DR28="","", INDEX(#REF!,MATCH(CONCATENATE(#REF!,$DR28),#REF!,0),MATCH(#REF!,#REF!,0)))</f>
        <v/>
      </c>
      <c r="FF28" s="56" t="str">
        <f t="array" ref="FF28">IF($DR28="","", INDEX(#REF!,MATCH(CONCATENATE(#REF!,$DR28),#REF!,0),MATCH(#REF!,#REF!,0)))</f>
        <v/>
      </c>
      <c r="FG28" s="56" t="str">
        <f t="array" ref="FG28">IF($DR28="","", INDEX(#REF!,MATCH(CONCATENATE(#REF!,$DR28),#REF!,0),MATCH(#REF!,#REF!,0)))</f>
        <v/>
      </c>
      <c r="FH28" s="56" t="str">
        <f t="array" ref="FH28">IF($DR28="","", INDEX(#REF!,MATCH(CONCATENATE(#REF!,$DR28),#REF!,0),MATCH(#REF!,#REF!,0)))</f>
        <v/>
      </c>
      <c r="FI28" s="56" t="str">
        <f t="array" ref="FI28">IF($DR28="","", INDEX(#REF!,MATCH(CONCATENATE(#REF!,$DR28),#REF!,0),MATCH(#REF!,#REF!,0)))</f>
        <v/>
      </c>
      <c r="FJ28" s="56" t="str">
        <f t="array" ref="FJ28">IF($DR28="","", INDEX(#REF!,MATCH(CONCATENATE(#REF!,$DR28),#REF!,0),MATCH(#REF!,#REF!,0)))</f>
        <v/>
      </c>
      <c r="FK28" s="45" t="str">
        <f t="array" ref="FK28">IF($DR28="","", INDEX(#REF!,MATCH(CONCATENATE(#REF!,$DR28),#REF!,0),MATCH(#REF!,#REF!,0)))</f>
        <v/>
      </c>
      <c r="FL28" s="45" t="str">
        <f t="array" ref="FL28">IF($DT28="","", INDEX(#REF!,MATCH(CONCATENATE('Respuestas de formulario 1.1'!$B28,$DS28),#REF!,0),MATCH('Respuestas de formulario 1.1'!FL$1,#REF!,0)))</f>
        <v/>
      </c>
      <c r="FM28" s="56" t="str">
        <f t="array" ref="FM28">IF($DT28="","", INDEX(#REF!,MATCH(CONCATENATE('Respuestas de formulario 1.1'!$B28,$DS28),#REF!,0),MATCH('Respuestas de formulario 1.1'!FM$1,#REF!,0)))</f>
        <v/>
      </c>
      <c r="FN28" s="56" t="str">
        <f t="array" ref="FN28">IF($DT28="","", INDEX(#REF!,MATCH(CONCATENATE('Respuestas de formulario 1.1'!$B28,$DS28),#REF!,0),MATCH('Respuestas de formulario 1.1'!FN$1,#REF!,0)))</f>
        <v/>
      </c>
      <c r="FO28" s="56" t="str">
        <f t="array" ref="FO28">IF($DT28="","", INDEX(#REF!,MATCH(CONCATENATE('Respuestas de formulario 1.1'!$B28,$DS28),#REF!,0),MATCH('Respuestas de formulario 1.1'!FO$1,#REF!,0)))</f>
        <v/>
      </c>
      <c r="FP28" s="56" t="str">
        <f t="array" ref="FP28">IF($DT28="","", INDEX(#REF!,MATCH(CONCATENATE('Respuestas de formulario 1.1'!$B28,$DS28),#REF!,0),MATCH('Respuestas de formulario 1.1'!FP$1,#REF!,0)))</f>
        <v/>
      </c>
      <c r="FQ28" s="56" t="str">
        <f t="array" ref="FQ28">IF($DT28="","", INDEX(#REF!,MATCH(CONCATENATE('Respuestas de formulario 1.1'!$B28,$DS28),#REF!,0),MATCH('Respuestas de formulario 1.1'!FQ$1,#REF!,0)))</f>
        <v/>
      </c>
      <c r="FR28" s="45" t="str">
        <f t="array" ref="FR28">IF($DT28="","", INDEX(#REF!,MATCH(CONCATENATE('Respuestas de formulario 1.1'!$B28,$DS28),#REF!,0),MATCH('Respuestas de formulario 1.1'!FR$1,#REF!,0)))</f>
        <v/>
      </c>
      <c r="FS28" s="45" t="str">
        <f t="array" ref="FS28">IF($DU28="","", INDEX(#REF!,MATCH(CONCATENATE('Respuestas de formulario 1.1'!$B28,$DT28),#REF!,0),MATCH('Respuestas de formulario 1.1'!FS$1,#REF!,0)))</f>
        <v/>
      </c>
      <c r="FT28" s="56" t="str">
        <f t="array" ref="FT28">IF($DU28="","", INDEX(#REF!,MATCH(CONCATENATE('Respuestas de formulario 1.1'!$B28,$DT28),#REF!,0),MATCH('Respuestas de formulario 1.1'!FT$1,#REF!,0)))</f>
        <v/>
      </c>
      <c r="FU28" s="56" t="str">
        <f t="array" ref="FU28">IF($DU28="","", INDEX(#REF!,MATCH(CONCATENATE('Respuestas de formulario 1.1'!$B28,$DT28),#REF!,0),MATCH('Respuestas de formulario 1.1'!FU$1,#REF!,0)))</f>
        <v/>
      </c>
      <c r="FV28" s="56" t="str">
        <f t="array" ref="FV28">IF($DU28="","", INDEX(#REF!,MATCH(CONCATENATE('Respuestas de formulario 1.1'!$B28,$DT28),#REF!,0),MATCH('Respuestas de formulario 1.1'!FV$1,#REF!,0)))</f>
        <v/>
      </c>
      <c r="FW28" s="56" t="str">
        <f t="array" ref="FW28">IF($DU28="","", INDEX(#REF!,MATCH(CONCATENATE('Respuestas de formulario 1.1'!$B28,$DT28),#REF!,0),MATCH('Respuestas de formulario 1.1'!FW$1,#REF!,0)))</f>
        <v/>
      </c>
      <c r="FX28" s="56" t="str">
        <f t="array" ref="FX28">IF($DU28="","", INDEX(#REF!,MATCH(CONCATENATE('Respuestas de formulario 1.1'!$B28,$DT28),#REF!,0),MATCH('Respuestas de formulario 1.1'!FX$1,#REF!,0)))</f>
        <v/>
      </c>
      <c r="FY28" s="45" t="str">
        <f t="array" ref="FY28">IF($DU28="","", INDEX(#REF!,MATCH(CONCATENATE('Respuestas de formulario 1.1'!$B28,$DT28),#REF!,0),MATCH('Respuestas de formulario 1.1'!FY$1,#REF!,0)))</f>
        <v/>
      </c>
      <c r="FZ28" s="3" t="s">
        <v>2860</v>
      </c>
      <c r="GA28" s="1" t="s">
        <v>3296</v>
      </c>
      <c r="GB28" s="5" t="s">
        <v>3297</v>
      </c>
      <c r="GC28" s="4" t="str">
        <f>HYPERLINK("https://drive.google.com/file/d/1JwmUTeS4xIMahZ08l3Ex19AjqzB4JP0l/view?usp=drivesdk","LAGOS RUIZ  VALERIA  Formato de reinscripción y pago 2022-2")</f>
        <v>LAGOS RUIZ  VALERIA  Formato de reinscripción y pago 2022-2</v>
      </c>
      <c r="GD28" s="1" t="s">
        <v>3298</v>
      </c>
      <c r="GE28" s="1"/>
      <c r="GF28" s="1"/>
      <c r="GG28" s="1"/>
      <c r="GH28" s="1"/>
      <c r="GI28" s="1" t="s">
        <v>3299</v>
      </c>
      <c r="GJ28" s="5" t="s">
        <v>3300</v>
      </c>
      <c r="GK28" s="5" t="str">
        <f>HYPERLINK("https://drive.google.com/file/d/1Lc15hJDBCQev2Ya2sODSRCd9dHLiJ3hy/view?usp=drivesdk","LAGOS RUIZ  VALERIA  Formato de reinscripción y pago 2022-2")</f>
        <v>LAGOS RUIZ  VALERIA  Formato de reinscripción y pago 2022-2</v>
      </c>
      <c r="GL28" s="1" t="s">
        <v>3301</v>
      </c>
    </row>
    <row r="29" spans="1:194" ht="38.25" x14ac:dyDescent="0.2">
      <c r="A29" s="2">
        <v>45139.045345289356</v>
      </c>
      <c r="B29" s="1" t="s">
        <v>3302</v>
      </c>
      <c r="C29" s="1" t="s">
        <v>340</v>
      </c>
      <c r="D29" s="1" t="s">
        <v>1208</v>
      </c>
      <c r="E29" s="1" t="s">
        <v>3303</v>
      </c>
      <c r="F29" s="1" t="s">
        <v>223</v>
      </c>
      <c r="G29" s="5" t="s">
        <v>3304</v>
      </c>
      <c r="H29" s="41">
        <v>39067</v>
      </c>
      <c r="I29" s="1">
        <v>16</v>
      </c>
      <c r="J29" s="1">
        <v>5565347516</v>
      </c>
      <c r="K29" s="1">
        <v>5588072061</v>
      </c>
      <c r="L29" s="1" t="s">
        <v>3305</v>
      </c>
      <c r="M29" s="1">
        <v>213090605702</v>
      </c>
      <c r="N29" s="1" t="s">
        <v>246</v>
      </c>
      <c r="O29" s="1" t="s">
        <v>247</v>
      </c>
      <c r="P29" s="1" t="s">
        <v>314</v>
      </c>
      <c r="Q29" s="1" t="s">
        <v>315</v>
      </c>
      <c r="R29" s="1" t="s">
        <v>236</v>
      </c>
      <c r="S29" s="1" t="s">
        <v>228</v>
      </c>
      <c r="T29" s="1" t="s">
        <v>229</v>
      </c>
      <c r="U29" s="1" t="s">
        <v>394</v>
      </c>
      <c r="V29" s="1" t="s">
        <v>228</v>
      </c>
      <c r="W29" s="1" t="s">
        <v>401</v>
      </c>
      <c r="X29" s="1" t="s">
        <v>394</v>
      </c>
      <c r="Y29" s="1" t="s">
        <v>401</v>
      </c>
      <c r="Z29" s="1" t="s">
        <v>231</v>
      </c>
      <c r="AA29" s="1">
        <v>60337</v>
      </c>
      <c r="AB29" s="1">
        <v>60337</v>
      </c>
      <c r="AC29" s="1">
        <v>60337</v>
      </c>
      <c r="AD29" s="1" t="s">
        <v>3306</v>
      </c>
      <c r="AE29" s="1" t="s">
        <v>3307</v>
      </c>
      <c r="AF29" s="1" t="s">
        <v>445</v>
      </c>
      <c r="AG29" s="1">
        <v>50</v>
      </c>
      <c r="AH29" s="5" t="s">
        <v>3308</v>
      </c>
      <c r="AI29" s="1">
        <v>5565347516</v>
      </c>
      <c r="AJ29" s="1">
        <v>5565347516</v>
      </c>
      <c r="AK29" s="1" t="s">
        <v>3309</v>
      </c>
      <c r="AL29" s="1" t="s">
        <v>295</v>
      </c>
      <c r="AM29" s="1" t="s">
        <v>587</v>
      </c>
      <c r="AN29" s="1" t="s">
        <v>3310</v>
      </c>
      <c r="AO29" s="1" t="s">
        <v>650</v>
      </c>
      <c r="AP29" s="1">
        <v>54</v>
      </c>
      <c r="AQ29" s="1" t="s">
        <v>3311</v>
      </c>
      <c r="AR29" s="42">
        <v>0.33333333333575865</v>
      </c>
      <c r="AS29" s="42">
        <v>0.25</v>
      </c>
      <c r="AT29" s="1">
        <v>5565347516</v>
      </c>
      <c r="AU29" s="1">
        <v>5588072061</v>
      </c>
      <c r="AV29" s="1" t="s">
        <v>3312</v>
      </c>
      <c r="AW29" s="5" t="s">
        <v>3313</v>
      </c>
      <c r="AX29" s="1" t="s">
        <v>295</v>
      </c>
      <c r="AY29" s="1" t="s">
        <v>1208</v>
      </c>
      <c r="AZ29" s="1" t="s">
        <v>3314</v>
      </c>
      <c r="BA29" s="1" t="s">
        <v>758</v>
      </c>
      <c r="BB29" s="1">
        <v>23</v>
      </c>
      <c r="BC29" s="1" t="s">
        <v>1044</v>
      </c>
      <c r="BD29" s="43">
        <v>0.29166666666424135</v>
      </c>
      <c r="BE29" s="43">
        <v>8.3333333335758653E-2</v>
      </c>
      <c r="BF29" s="1">
        <v>5565347516</v>
      </c>
      <c r="BG29" s="1">
        <v>5588072061</v>
      </c>
      <c r="BH29" s="1" t="s">
        <v>3309</v>
      </c>
      <c r="BI29" s="5" t="s">
        <v>3315</v>
      </c>
      <c r="BJ29" s="1" t="s">
        <v>236</v>
      </c>
      <c r="BK29" s="1" t="s">
        <v>310</v>
      </c>
      <c r="BL29" s="1">
        <v>1.66</v>
      </c>
      <c r="BM29" s="1">
        <v>48</v>
      </c>
      <c r="BN29" s="1" t="s">
        <v>236</v>
      </c>
      <c r="BO29" s="1" t="s">
        <v>228</v>
      </c>
      <c r="BP29" s="1" t="s">
        <v>310</v>
      </c>
      <c r="BQ29" s="1" t="s">
        <v>228</v>
      </c>
      <c r="BR29" s="1" t="s">
        <v>237</v>
      </c>
      <c r="BS29" s="1" t="s">
        <v>228</v>
      </c>
      <c r="BT29" s="1" t="s">
        <v>237</v>
      </c>
      <c r="BU29" s="1" t="s">
        <v>228</v>
      </c>
      <c r="BW29" s="1" t="s">
        <v>272</v>
      </c>
      <c r="BX29" s="1">
        <v>40</v>
      </c>
      <c r="BY29" s="1">
        <v>20</v>
      </c>
      <c r="BZ29" s="1" t="s">
        <v>310</v>
      </c>
      <c r="CA29" s="1" t="s">
        <v>3316</v>
      </c>
      <c r="CB29" s="1" t="s">
        <v>231</v>
      </c>
      <c r="CC29" s="1" t="s">
        <v>1283</v>
      </c>
      <c r="CD29" s="1">
        <v>1700</v>
      </c>
      <c r="CE29" s="1">
        <v>2400</v>
      </c>
      <c r="CF29" s="1" t="s">
        <v>236</v>
      </c>
      <c r="CG29" s="1" t="s">
        <v>256</v>
      </c>
      <c r="CH29" s="1" t="s">
        <v>243</v>
      </c>
      <c r="CI29" s="1" t="s">
        <v>243</v>
      </c>
      <c r="CJ29" s="1" t="s">
        <v>2848</v>
      </c>
      <c r="CL29" s="5" t="s">
        <v>3317</v>
      </c>
      <c r="CM29" s="44" t="s">
        <v>3318</v>
      </c>
      <c r="CN29" s="1" t="s">
        <v>236</v>
      </c>
      <c r="CO29" s="1" t="s">
        <v>3319</v>
      </c>
      <c r="CP29" s="1" t="s">
        <v>3319</v>
      </c>
      <c r="CQ29" s="42">
        <v>0.33333333333575865</v>
      </c>
      <c r="CR29" s="42">
        <v>0.29166666666424135</v>
      </c>
      <c r="CT29" s="45" t="str">
        <f t="array" ref="CT29">IFERROR(INDEX(#REF!,MATCH('Respuestas de formulario 1.1'!$B29,#REF!,0),MATCH('Respuestas de formulario 1.1'!CT$1,#REF!,0)),"")</f>
        <v/>
      </c>
      <c r="CU29" s="56" t="str">
        <f t="array" ref="CU29">IFERROR(INDEX(#REF!,MATCH('Respuestas de formulario 1.1'!$B29,#REF!,0),MATCH('Respuestas de formulario 1.1'!CU$1,#REF!,0)),"")</f>
        <v/>
      </c>
      <c r="CV29" s="56" t="str">
        <f t="array" ref="CV29">IFERROR(INDEX(#REF!,MATCH('Respuestas de formulario 1.1'!$B29,#REF!,0),MATCH('Respuestas de formulario 1.1'!CV$1,#REF!,0)),"")</f>
        <v/>
      </c>
      <c r="CW29" s="56" t="str">
        <f t="array" ref="CW29">IFERROR(INDEX(#REF!,MATCH('Respuestas de formulario 1.1'!$B29,#REF!,0),MATCH('Respuestas de formulario 1.1'!CW$1,#REF!,0)),"")</f>
        <v/>
      </c>
      <c r="CX29" s="56" t="str">
        <f t="array" ref="CX29">IFERROR(INDEX(#REF!,MATCH('Respuestas de formulario 1.1'!$B29,#REF!,0),MATCH('Respuestas de formulario 1.1'!CX$1,#REF!,0)),"")</f>
        <v/>
      </c>
      <c r="CY29" s="56" t="str">
        <f t="array" ref="CY29">IFERROR(INDEX(#REF!,MATCH('Respuestas de formulario 1.1'!$B29,#REF!,0),MATCH('Respuestas de formulario 1.1'!CY$1,#REF!,0)),"")</f>
        <v/>
      </c>
      <c r="CZ29" s="57" t="str">
        <f t="array" ref="CZ29">IFERROR(INDEX(#REF!,MATCH('Respuestas de formulario 1.1'!$B29,#REF!,0),MATCH('Respuestas de formulario 1.1'!CZ$1,#REF!,0)),"")</f>
        <v/>
      </c>
      <c r="DA29" s="45" t="e">
        <f t="array" ref="DA29">INDEX(#REF!,MATCH('Respuestas de formulario 1.1'!$B29,#REF!,0),MATCH('Respuestas de formulario 1.1'!DA$1,#REF!,0))</f>
        <v>#REF!</v>
      </c>
      <c r="DB29" s="45" t="e">
        <f t="array" ref="DB29">INDEX(#REF!,MATCH('Respuestas de formulario 1.1'!$B29,#REF!,0),MATCH('Respuestas de formulario 1.1'!DB$1,#REF!,0))</f>
        <v>#REF!</v>
      </c>
      <c r="DC29" s="45" t="e">
        <f t="array" ref="DC29">INDEX(#REF!,MATCH('Respuestas de formulario 1.1'!$B29,#REF!,0),MATCH('Respuestas de formulario 1.1'!DC$1,#REF!,0))</f>
        <v>#REF!</v>
      </c>
      <c r="DD29" s="45" t="e">
        <f t="array" ref="DD29">INDEX(#REF!,MATCH('Respuestas de formulario 1.1'!$B29,#REF!,0),MATCH('Respuestas de formulario 1.1'!DD$1,#REF!,0))</f>
        <v>#REF!</v>
      </c>
      <c r="DE29" s="45" t="e">
        <f t="array" ref="DE29">INDEX(#REF!,MATCH('Respuestas de formulario 1.1'!$B29,#REF!,0),MATCH('Respuestas de formulario 1.1'!DE$1,#REF!,0))</f>
        <v>#REF!</v>
      </c>
      <c r="DF29" s="45" t="e">
        <f t="array" ref="DF29">INDEX(#REF!,MATCH('Respuestas de formulario 1.1'!$B29,#REF!,0),MATCH('Respuestas de formulario 1.1'!DF$1,#REF!,0))</f>
        <v>#REF!</v>
      </c>
      <c r="DG29" s="45" t="e">
        <f t="array" ref="DG29">INDEX(#REF!,MATCH('Respuestas de formulario 1.1'!$B29,#REF!,0),MATCH('Respuestas de formulario 1.1'!DG$1,#REF!,0))</f>
        <v>#REF!</v>
      </c>
      <c r="DH29" s="45" t="e">
        <f t="array" ref="DH29">INDEX(#REF!,MATCH('Respuestas de formulario 1.1'!$B29,#REF!,0),MATCH('Respuestas de formulario 1.1'!DH$1,#REF!,0))</f>
        <v>#REF!</v>
      </c>
      <c r="DI29" s="48" t="e">
        <f>VLOOKUP(CONCATENATE($DF29," TUTO ",$DC29),#REF!,3,0)</f>
        <v>#REF!</v>
      </c>
      <c r="DJ29" s="48" t="e">
        <f t="array" ref="DJ29">IF('Respuestas de formulario 1.1'!A29="","",INDEX(#REF!,MATCH('Respuestas de formulario 1.1'!B29,#REF!,0),MATCH('Respuestas de formulario 1.1'!$DH$1,#REF!,0)))</f>
        <v>#REF!</v>
      </c>
      <c r="DK29" s="52" t="str">
        <f>CONCATENATE("http://doc.google.com/uc?id=",MID('Respuestas de formulario 1.1'!G29,34,33))</f>
        <v>http://doc.google.com/uc?id=1tBEdUCFDwczl-VbZnzEd250dTa9tDhU-</v>
      </c>
      <c r="DL29" s="49" t="str">
        <f>CONCATENATE("http://doc.google.com/uc?id=",MID('Respuestas de formulario 1.1'!AH29,34,33))</f>
        <v>http://doc.google.com/uc?id=1BZDqDZHccrnh1lUdYaZs841j2YT8Dd89</v>
      </c>
      <c r="DM29" s="50" t="str">
        <f>CONCATENATE("http://doc.google.com/uc?id=",MID('Respuestas de formulario 1.1'!AW29,34,33))</f>
        <v>http://doc.google.com/uc?id=1mBTyNvPBdS17Qe59HNXIC04hJpILzbDy</v>
      </c>
      <c r="DN29" s="53" t="str">
        <f>CONCATENATE("http://doc.google.com/uc?id=",MID('Respuestas de formulario 1.1'!$BI29,34,33))</f>
        <v>http://doc.google.com/uc?id=1Bsf72eJOsWiPN6J7wIei1BnZcoMxgqaR</v>
      </c>
      <c r="DO29" s="45" t="str">
        <f>IFERROR(VLOOKUP(CONCATENATE('Respuestas de formulario 1.1'!$B29,MID('Respuestas de formulario 1.1'!DO$1,2,1)),#REF!,12,0),"")</f>
        <v/>
      </c>
      <c r="DP29" s="45" t="str">
        <f>IFERROR(VLOOKUP(CONCATENATE('Respuestas de formulario 1.1'!$B29,MID('Respuestas de formulario 1.1'!DP$1,2,1)),#REF!,12,0),"")</f>
        <v/>
      </c>
      <c r="DQ29" s="45" t="str">
        <f>IFERROR(VLOOKUP(CONCATENATE('Respuestas de formulario 1.1'!$B29,MID('Respuestas de formulario 1.1'!DQ$1,2,1)),#REF!,12,0),"")</f>
        <v/>
      </c>
      <c r="DR29" s="45" t="str">
        <f>IFERROR(VLOOKUP(CONCATENATE('Respuestas de formulario 1.1'!$B29,MID('Respuestas de formulario 1.1'!DR$1,2,1)),#REF!,12,0),"")</f>
        <v/>
      </c>
      <c r="DS29" s="45" t="str">
        <f>IFERROR(VLOOKUP(CONCATENATE('Respuestas de formulario 1.1'!$B29,MID('Respuestas de formulario 1.1'!DS$1,2,1)),#REF!,12,0),"")</f>
        <v/>
      </c>
      <c r="DT29" s="45" t="str">
        <f>IFERROR(VLOOKUP(CONCATENATE('Respuestas de formulario 1.1'!$B29,MID('Respuestas de formulario 1.1'!DT$1,2,1)),#REF!,12,0),"")</f>
        <v/>
      </c>
      <c r="DU29" s="45" t="str">
        <f>IFERROR(VLOOKUP(CONCATENATE('Respuestas de formulario 1.1'!$B29,MID('Respuestas de formulario 1.1'!DU$1,2,1)),#REF!,12,0),"")</f>
        <v/>
      </c>
      <c r="DV29" s="45" t="str">
        <f>IFERROR(VLOOKUP(CONCATENATE('Respuestas de formulario 1.1'!$B29,MID('Respuestas de formulario 1.1'!DV$1,2,1)),#REF!,12,0),"")</f>
        <v/>
      </c>
      <c r="DW29" s="45" t="str">
        <f>IFERROR(VLOOKUP(CONCATENATE('Respuestas de formulario 1.1'!$B29,MID('Respuestas de formulario 1.1'!DW$1,2,1)),#REF!,12,0),"")</f>
        <v/>
      </c>
      <c r="DX29" s="45" t="str">
        <f>IFERROR(VLOOKUP(CONCATENATE('Respuestas de formulario 1.1'!$B29,MID('Respuestas de formulario 1.1'!DX$1,2,1)),#REF!,12,0),"")</f>
        <v/>
      </c>
      <c r="DY29" s="45" t="str">
        <f>IFERROR(VLOOKUP(CONCATENATE('Respuestas de formulario 1.1'!$B29,MID('Respuestas de formulario 1.1'!DY$1,2,1)),#REF!,12,0),"")</f>
        <v/>
      </c>
      <c r="DZ29" s="45" t="str">
        <f>IFERROR(VLOOKUP(CONCATENATE('Respuestas de formulario 1.1'!$B29,MID('Respuestas de formulario 1.1'!DZ$1,2,1)),#REF!,12,0),"")</f>
        <v/>
      </c>
      <c r="EA29" s="45" t="str">
        <f>IFERROR(VLOOKUP(CONCATENATE('Respuestas de formulario 1.1'!$B29,MID('Respuestas de formulario 1.1'!EA$1,2,1)),#REF!,12,0),"")</f>
        <v/>
      </c>
      <c r="EB29" s="45" t="str">
        <f>IFERROR(VLOOKUP(CONCATENATE('Respuestas de formulario 1.1'!$B29,MID('Respuestas de formulario 1.1'!EB$1,2,1)),#REF!,12,0),"")</f>
        <v/>
      </c>
      <c r="EC29" s="45" t="str">
        <f>IFERROR(VLOOKUP(CONCATENATE('Respuestas de formulario 1.1'!$B29,MID('Respuestas de formulario 1.1'!EC$1,2,1)),#REF!,12,0),"")</f>
        <v/>
      </c>
      <c r="ED29" s="45" t="str">
        <f>IFERROR(VLOOKUP(CONCATENATE('Respuestas de formulario 1.1'!$B29,MID('Respuestas de formulario 1.1'!ED$1,2,1)),#REF!,12,0),"")</f>
        <v/>
      </c>
      <c r="EE29" s="45" t="str">
        <f>IFERROR(VLOOKUP(CONCATENATE('Respuestas de formulario 1.1'!$B29,MID('Respuestas de formulario 1.1'!EE$1,2,1)),#REF!,12,0),"")</f>
        <v/>
      </c>
      <c r="EF29" s="45" t="str">
        <f>IFERROR(VLOOKUP(CONCATENATE('Respuestas de formulario 1.1'!$B29,MID('Respuestas de formulario 1.1'!EF$1,2,1)),#REF!,12,0),"")</f>
        <v/>
      </c>
      <c r="EG29" s="45" t="str">
        <f>IFERROR(VLOOKUP(CONCATENATE('Respuestas de formulario 1.1'!$B29,MID('Respuestas de formulario 1.1'!EG$1,2,1)),#REF!,12,0),"")</f>
        <v/>
      </c>
      <c r="EH29" s="45" t="str">
        <f>IFERROR(VLOOKUP(CONCATENATE('Respuestas de formulario 1.1'!$B29,MID('Respuestas de formulario 1.1'!EH$1,2,1)),#REF!,12,0),"")</f>
        <v/>
      </c>
      <c r="EI29" s="45" t="str">
        <f>IFERROR(VLOOKUP(CONCATENATE('Respuestas de formulario 1.1'!$B29,MID('Respuestas de formulario 1.1'!EI$1,2,1)),#REF!,12,0),"")</f>
        <v/>
      </c>
      <c r="EJ29" s="45" t="str">
        <f t="array" ref="EJ29">IF(DO29="","", INDEX(#REF!,MATCH(CONCATENATE('Respuestas de formulario 1.1'!$B29,DO29),#REF!,0),MATCH('Respuestas de formulario 1.1'!EJ$1,#REF!,0)))</f>
        <v/>
      </c>
      <c r="EK29" s="56" t="str">
        <f t="array" ref="EK29">IF(DP29="","", INDEX(#REF!,MATCH(CONCATENATE('Respuestas de formulario 1.1'!$B29,DP29),#REF!,0),MATCH('Respuestas de formulario 1.1'!EK$1,#REF!,0)))</f>
        <v/>
      </c>
      <c r="EL29" s="56" t="str">
        <f t="array" ref="EL29">IF(DQ29="","", INDEX(#REF!,MATCH(CONCATENATE('Respuestas de formulario 1.1'!$B29,DQ29),#REF!,0),MATCH('Respuestas de formulario 1.1'!EL$1,#REF!,0)))</f>
        <v/>
      </c>
      <c r="EM29" s="56" t="str">
        <f t="array" ref="EM29">IF(DR29="","", INDEX(#REF!,MATCH(CONCATENATE('Respuestas de formulario 1.1'!$B29,DR29),#REF!,0),MATCH('Respuestas de formulario 1.1'!EM$1,#REF!,0)))</f>
        <v/>
      </c>
      <c r="EN29" s="56" t="str">
        <f t="array" ref="EN29">IF(DS29="","", INDEX(#REF!,MATCH(CONCATENATE('Respuestas de formulario 1.1'!$B29,DS29),#REF!,0),MATCH('Respuestas de formulario 1.1'!EN$1,#REF!,0)))</f>
        <v/>
      </c>
      <c r="EO29" s="56" t="str">
        <f t="array" ref="EO29">IF(DT29="","", INDEX(#REF!,MATCH(CONCATENATE('Respuestas de formulario 1.1'!$B29,DT29),#REF!,0),MATCH('Respuestas de formulario 1.1'!EO$1,#REF!,0)))</f>
        <v/>
      </c>
      <c r="EP29" s="45" t="str">
        <f t="array" ref="EP29">IF(DU29="","", INDEX(#REF!,MATCH(CONCATENATE('Respuestas de formulario 1.1'!$B29,DU29),#REF!,0),MATCH('Respuestas de formulario 1.1'!EP$1,#REF!,0)))</f>
        <v/>
      </c>
      <c r="EQ29" s="45" t="str">
        <f t="array" ref="EQ29">IF(DP29="","", INDEX(#REF!,MATCH(CONCATENATE('Respuestas de formulario 1.1'!$B29,DP29),#REF!,0),MATCH('Respuestas de formulario 1.1'!EQ$1,#REF!,0)))</f>
        <v/>
      </c>
      <c r="ER29" s="56" t="str">
        <f t="array" ref="ER29">IF(DQ29="","", INDEX(#REF!,MATCH(CONCATENATE('Respuestas de formulario 1.1'!$B29,DQ29),#REF!,0),MATCH('Respuestas de formulario 1.1'!ER$1,#REF!,0)))</f>
        <v/>
      </c>
      <c r="ES29" s="56" t="str">
        <f t="array" ref="ES29">IF(DR29="","", INDEX(#REF!,MATCH(CONCATENATE('Respuestas de formulario 1.1'!$B29,DR29),#REF!,0),MATCH('Respuestas de formulario 1.1'!ES$1,#REF!,0)))</f>
        <v/>
      </c>
      <c r="ET29" s="56" t="str">
        <f t="array" ref="ET29">IF(DS29="","", INDEX(#REF!,MATCH(CONCATENATE('Respuestas de formulario 1.1'!$B29,DS29),#REF!,0),MATCH('Respuestas de formulario 1.1'!ET$1,#REF!,0)))</f>
        <v/>
      </c>
      <c r="EU29" s="56" t="str">
        <f t="array" ref="EU29">IF(DT29="","", INDEX(#REF!,MATCH(CONCATENATE('Respuestas de formulario 1.1'!$B29,DT29),#REF!,0),MATCH('Respuestas de formulario 1.1'!EU$1,#REF!,0)))</f>
        <v/>
      </c>
      <c r="EV29" s="56" t="str">
        <f t="array" ref="EV29">IF(DU29="","", INDEX(#REF!,MATCH(CONCATENATE('Respuestas de formulario 1.1'!$B29,DU29),#REF!,0),MATCH('Respuestas de formulario 1.1'!EV$1,#REF!,0)))</f>
        <v/>
      </c>
      <c r="EW29" s="45" t="str">
        <f t="array" ref="EW29">IF(DV29="","", INDEX(#REF!,MATCH(CONCATENATE('Respuestas de formulario 1.1'!$B29,DV29),#REF!,0),MATCH('Respuestas de formulario 1.1'!EW$1,#REF!,0)))</f>
        <v/>
      </c>
      <c r="EX29" s="45" t="str">
        <f t="array" ref="EX29">IF($DQ29="","", INDEX(#REF!,MATCH(CONCATENATE('Respuestas de formulario 1.1'!$B29,$DQ29),#REF!,0),MATCH('Respuestas de formulario 1.1'!EX$1,#REF!,0)))</f>
        <v/>
      </c>
      <c r="EY29" s="56" t="str">
        <f t="array" ref="EY29">IF($DQ29="","", INDEX(#REF!,MATCH(CONCATENATE('Respuestas de formulario 1.1'!$B29,$DQ29),#REF!,0),MATCH('Respuestas de formulario 1.1'!EY$1,#REF!,0)))</f>
        <v/>
      </c>
      <c r="EZ29" s="56" t="str">
        <f t="array" ref="EZ29">IF($DQ29="","", INDEX(#REF!,MATCH(CONCATENATE('Respuestas de formulario 1.1'!$B29,$DQ29),#REF!,0),MATCH('Respuestas de formulario 1.1'!EZ$1,#REF!,0)))</f>
        <v/>
      </c>
      <c r="FA29" s="56" t="str">
        <f t="array" ref="FA29">IF($DQ29="","", INDEX(#REF!,MATCH(CONCATENATE('Respuestas de formulario 1.1'!$B29,$DQ29),#REF!,0),MATCH('Respuestas de formulario 1.1'!FA$1,#REF!,0)))</f>
        <v/>
      </c>
      <c r="FB29" s="56" t="str">
        <f t="array" ref="FB29">IF($DQ29="","", INDEX(#REF!,MATCH(CONCATENATE('Respuestas de formulario 1.1'!$B29,$DQ29),#REF!,0),MATCH('Respuestas de formulario 1.1'!FB$1,#REF!,0)))</f>
        <v/>
      </c>
      <c r="FC29" s="56" t="str">
        <f t="array" ref="FC29">IF($DQ29="","", INDEX(#REF!,MATCH(CONCATENATE('Respuestas de formulario 1.1'!$B29,$DQ29),#REF!,0),MATCH('Respuestas de formulario 1.1'!FC$1,#REF!,0)))</f>
        <v/>
      </c>
      <c r="FD29" s="45" t="str">
        <f t="array" ref="FD29">IF($DQ29="","", INDEX(#REF!,MATCH(CONCATENATE('Respuestas de formulario 1.1'!$B29,$DQ29),#REF!,0),MATCH('Respuestas de formulario 1.1'!FD$1,#REF!,0)))</f>
        <v/>
      </c>
      <c r="FE29" s="45" t="str">
        <f t="array" ref="FE29">IF($DR29="","", INDEX(#REF!,MATCH(CONCATENATE(#REF!,$DR29),#REF!,0),MATCH(#REF!,#REF!,0)))</f>
        <v/>
      </c>
      <c r="FF29" s="56" t="str">
        <f t="array" ref="FF29">IF($DR29="","", INDEX(#REF!,MATCH(CONCATENATE(#REF!,$DR29),#REF!,0),MATCH(#REF!,#REF!,0)))</f>
        <v/>
      </c>
      <c r="FG29" s="56" t="str">
        <f t="array" ref="FG29">IF($DR29="","", INDEX(#REF!,MATCH(CONCATENATE(#REF!,$DR29),#REF!,0),MATCH(#REF!,#REF!,0)))</f>
        <v/>
      </c>
      <c r="FH29" s="56" t="str">
        <f t="array" ref="FH29">IF($DR29="","", INDEX(#REF!,MATCH(CONCATENATE(#REF!,$DR29),#REF!,0),MATCH(#REF!,#REF!,0)))</f>
        <v/>
      </c>
      <c r="FI29" s="56" t="str">
        <f t="array" ref="FI29">IF($DR29="","", INDEX(#REF!,MATCH(CONCATENATE(#REF!,$DR29),#REF!,0),MATCH(#REF!,#REF!,0)))</f>
        <v/>
      </c>
      <c r="FJ29" s="56" t="str">
        <f t="array" ref="FJ29">IF($DR29="","", INDEX(#REF!,MATCH(CONCATENATE(#REF!,$DR29),#REF!,0),MATCH(#REF!,#REF!,0)))</f>
        <v/>
      </c>
      <c r="FK29" s="45" t="str">
        <f t="array" ref="FK29">IF($DR29="","", INDEX(#REF!,MATCH(CONCATENATE(#REF!,$DR29),#REF!,0),MATCH(#REF!,#REF!,0)))</f>
        <v/>
      </c>
      <c r="FL29" s="45" t="str">
        <f t="array" ref="FL29">IF($DT29="","", INDEX(#REF!,MATCH(CONCATENATE('Respuestas de formulario 1.1'!$B29,$DS29),#REF!,0),MATCH('Respuestas de formulario 1.1'!FL$1,#REF!,0)))</f>
        <v/>
      </c>
      <c r="FM29" s="56" t="str">
        <f t="array" ref="FM29">IF($DT29="","", INDEX(#REF!,MATCH(CONCATENATE('Respuestas de formulario 1.1'!$B29,$DS29),#REF!,0),MATCH('Respuestas de formulario 1.1'!FM$1,#REF!,0)))</f>
        <v/>
      </c>
      <c r="FN29" s="56" t="str">
        <f t="array" ref="FN29">IF($DT29="","", INDEX(#REF!,MATCH(CONCATENATE('Respuestas de formulario 1.1'!$B29,$DS29),#REF!,0),MATCH('Respuestas de formulario 1.1'!FN$1,#REF!,0)))</f>
        <v/>
      </c>
      <c r="FO29" s="56" t="str">
        <f t="array" ref="FO29">IF($DT29="","", INDEX(#REF!,MATCH(CONCATENATE('Respuestas de formulario 1.1'!$B29,$DS29),#REF!,0),MATCH('Respuestas de formulario 1.1'!FO$1,#REF!,0)))</f>
        <v/>
      </c>
      <c r="FP29" s="56" t="str">
        <f t="array" ref="FP29">IF($DT29="","", INDEX(#REF!,MATCH(CONCATENATE('Respuestas de formulario 1.1'!$B29,$DS29),#REF!,0),MATCH('Respuestas de formulario 1.1'!FP$1,#REF!,0)))</f>
        <v/>
      </c>
      <c r="FQ29" s="56" t="str">
        <f t="array" ref="FQ29">IF($DT29="","", INDEX(#REF!,MATCH(CONCATENATE('Respuestas de formulario 1.1'!$B29,$DS29),#REF!,0),MATCH('Respuestas de formulario 1.1'!FQ$1,#REF!,0)))</f>
        <v/>
      </c>
      <c r="FR29" s="45" t="str">
        <f t="array" ref="FR29">IF($DT29="","", INDEX(#REF!,MATCH(CONCATENATE('Respuestas de formulario 1.1'!$B29,$DS29),#REF!,0),MATCH('Respuestas de formulario 1.1'!FR$1,#REF!,0)))</f>
        <v/>
      </c>
      <c r="FS29" s="45" t="str">
        <f t="array" ref="FS29">IF($DU29="","", INDEX(#REF!,MATCH(CONCATENATE('Respuestas de formulario 1.1'!$B29,$DT29),#REF!,0),MATCH('Respuestas de formulario 1.1'!FS$1,#REF!,0)))</f>
        <v/>
      </c>
      <c r="FT29" s="56" t="str">
        <f t="array" ref="FT29">IF($DU29="","", INDEX(#REF!,MATCH(CONCATENATE('Respuestas de formulario 1.1'!$B29,$DT29),#REF!,0),MATCH('Respuestas de formulario 1.1'!FT$1,#REF!,0)))</f>
        <v/>
      </c>
      <c r="FU29" s="56" t="str">
        <f t="array" ref="FU29">IF($DU29="","", INDEX(#REF!,MATCH(CONCATENATE('Respuestas de formulario 1.1'!$B29,$DT29),#REF!,0),MATCH('Respuestas de formulario 1.1'!FU$1,#REF!,0)))</f>
        <v/>
      </c>
      <c r="FV29" s="56" t="str">
        <f t="array" ref="FV29">IF($DU29="","", INDEX(#REF!,MATCH(CONCATENATE('Respuestas de formulario 1.1'!$B29,$DT29),#REF!,0),MATCH('Respuestas de formulario 1.1'!FV$1,#REF!,0)))</f>
        <v/>
      </c>
      <c r="FW29" s="56" t="str">
        <f t="array" ref="FW29">IF($DU29="","", INDEX(#REF!,MATCH(CONCATENATE('Respuestas de formulario 1.1'!$B29,$DT29),#REF!,0),MATCH('Respuestas de formulario 1.1'!FW$1,#REF!,0)))</f>
        <v/>
      </c>
      <c r="FX29" s="56" t="str">
        <f t="array" ref="FX29">IF($DU29="","", INDEX(#REF!,MATCH(CONCATENATE('Respuestas de formulario 1.1'!$B29,$DT29),#REF!,0),MATCH('Respuestas de formulario 1.1'!FX$1,#REF!,0)))</f>
        <v/>
      </c>
      <c r="FY29" s="45" t="str">
        <f t="array" ref="FY29">IF($DU29="","", INDEX(#REF!,MATCH(CONCATENATE('Respuestas de formulario 1.1'!$B29,$DT29),#REF!,0),MATCH('Respuestas de formulario 1.1'!FY$1,#REF!,0)))</f>
        <v/>
      </c>
      <c r="FZ29" s="3" t="s">
        <v>2860</v>
      </c>
    </row>
    <row r="30" spans="1:194" ht="38.25" x14ac:dyDescent="0.2">
      <c r="A30" s="2">
        <v>45139.050206655098</v>
      </c>
      <c r="B30" s="1" t="s">
        <v>1685</v>
      </c>
      <c r="C30" s="1" t="s">
        <v>578</v>
      </c>
      <c r="D30" s="1" t="s">
        <v>1190</v>
      </c>
      <c r="E30" s="1" t="s">
        <v>1686</v>
      </c>
      <c r="F30" s="1" t="s">
        <v>223</v>
      </c>
      <c r="G30" s="5" t="s">
        <v>3320</v>
      </c>
      <c r="H30" s="41">
        <v>38968</v>
      </c>
      <c r="I30" s="1">
        <v>16</v>
      </c>
      <c r="J30" s="1">
        <v>5618215992</v>
      </c>
      <c r="K30" s="1" t="s">
        <v>3321</v>
      </c>
      <c r="L30" s="1" t="s">
        <v>1687</v>
      </c>
      <c r="M30" s="1">
        <v>213090605702</v>
      </c>
      <c r="N30" s="1" t="s">
        <v>1108</v>
      </c>
      <c r="O30" s="1" t="s">
        <v>247</v>
      </c>
      <c r="P30" s="1" t="s">
        <v>278</v>
      </c>
      <c r="Q30" s="1" t="s">
        <v>248</v>
      </c>
      <c r="R30" s="1" t="s">
        <v>236</v>
      </c>
      <c r="S30" s="1" t="s">
        <v>228</v>
      </c>
      <c r="T30" s="1" t="s">
        <v>229</v>
      </c>
      <c r="U30" s="1" t="s">
        <v>249</v>
      </c>
      <c r="V30" s="1" t="s">
        <v>228</v>
      </c>
      <c r="W30" s="1" t="s">
        <v>3322</v>
      </c>
      <c r="X30" s="1" t="s">
        <v>249</v>
      </c>
      <c r="Y30" s="1" t="s">
        <v>274</v>
      </c>
      <c r="Z30" s="1" t="s">
        <v>240</v>
      </c>
      <c r="AA30" s="44" t="s">
        <v>1328</v>
      </c>
      <c r="AB30" s="1" t="s">
        <v>3323</v>
      </c>
      <c r="AC30" s="1" t="s">
        <v>923</v>
      </c>
      <c r="AD30" s="1" t="s">
        <v>1688</v>
      </c>
      <c r="AE30" s="1" t="s">
        <v>3324</v>
      </c>
      <c r="AF30" s="1" t="s">
        <v>445</v>
      </c>
      <c r="AG30" s="1">
        <v>46</v>
      </c>
      <c r="AH30" s="5" t="s">
        <v>3325</v>
      </c>
      <c r="AI30" s="1">
        <v>5584228282</v>
      </c>
      <c r="AJ30" s="1">
        <v>5571583729</v>
      </c>
      <c r="AK30" s="1"/>
      <c r="AL30" s="1" t="s">
        <v>578</v>
      </c>
      <c r="AM30" s="1" t="s">
        <v>1689</v>
      </c>
      <c r="AN30" s="1" t="s">
        <v>1690</v>
      </c>
      <c r="AO30" s="1" t="s">
        <v>650</v>
      </c>
      <c r="AP30" s="1">
        <v>48</v>
      </c>
      <c r="AQ30" s="1" t="s">
        <v>663</v>
      </c>
      <c r="AR30" s="42">
        <v>0.29166666666424135</v>
      </c>
      <c r="AS30" s="42">
        <v>0.3125</v>
      </c>
      <c r="AT30" s="1">
        <v>5623366528</v>
      </c>
      <c r="AU30" s="1">
        <v>5571583729</v>
      </c>
      <c r="AV30" s="1"/>
      <c r="AW30" s="5" t="s">
        <v>3326</v>
      </c>
      <c r="AX30" s="1" t="s">
        <v>578</v>
      </c>
      <c r="AY30" s="1" t="s">
        <v>1190</v>
      </c>
      <c r="AZ30" s="1" t="s">
        <v>1690</v>
      </c>
      <c r="BA30" s="1" t="s">
        <v>758</v>
      </c>
      <c r="BB30" s="1">
        <v>26</v>
      </c>
      <c r="BC30" s="1" t="s">
        <v>663</v>
      </c>
      <c r="BD30" s="43">
        <v>0.29166666666424135</v>
      </c>
      <c r="BE30" s="43">
        <v>0.33333333333575865</v>
      </c>
      <c r="BF30" s="1">
        <v>5584228282</v>
      </c>
      <c r="BG30" s="1">
        <v>5571583729</v>
      </c>
      <c r="BH30" s="1"/>
      <c r="BI30" s="5" t="s">
        <v>3327</v>
      </c>
      <c r="BJ30" s="1" t="s">
        <v>236</v>
      </c>
      <c r="BL30" s="1">
        <v>159</v>
      </c>
      <c r="BM30" s="1">
        <v>50</v>
      </c>
      <c r="BN30" s="1" t="s">
        <v>228</v>
      </c>
      <c r="BO30" s="1" t="s">
        <v>228</v>
      </c>
      <c r="BQ30" s="1" t="s">
        <v>228</v>
      </c>
      <c r="BR30" s="1" t="s">
        <v>237</v>
      </c>
      <c r="BS30" s="1" t="s">
        <v>228</v>
      </c>
      <c r="BT30" s="1" t="s">
        <v>237</v>
      </c>
      <c r="BU30" s="1" t="s">
        <v>228</v>
      </c>
      <c r="BW30" s="1" t="s">
        <v>238</v>
      </c>
      <c r="BX30" s="1">
        <v>70</v>
      </c>
      <c r="BY30" s="1">
        <v>140</v>
      </c>
      <c r="BZ30" s="1" t="s">
        <v>253</v>
      </c>
      <c r="CA30" s="1" t="s">
        <v>1397</v>
      </c>
      <c r="CB30" s="1" t="s">
        <v>240</v>
      </c>
      <c r="CC30" s="1" t="s">
        <v>1612</v>
      </c>
      <c r="CD30" s="1">
        <v>600</v>
      </c>
      <c r="CE30" s="1">
        <v>700</v>
      </c>
      <c r="CF30" s="1" t="s">
        <v>236</v>
      </c>
      <c r="CG30" s="1" t="s">
        <v>242</v>
      </c>
      <c r="CH30" s="1" t="s">
        <v>243</v>
      </c>
      <c r="CI30" s="1" t="s">
        <v>243</v>
      </c>
      <c r="CJ30" s="1" t="s">
        <v>2848</v>
      </c>
      <c r="CL30" s="5" t="s">
        <v>3328</v>
      </c>
      <c r="CM30" s="44" t="s">
        <v>1691</v>
      </c>
      <c r="CN30" s="1" t="s">
        <v>228</v>
      </c>
      <c r="CQ30" s="42">
        <v>0.29166666666424135</v>
      </c>
      <c r="CR30" s="42">
        <v>0.3125</v>
      </c>
      <c r="CT30" s="45" t="str">
        <f t="array" ref="CT30">IFERROR(INDEX(#REF!,MATCH('Respuestas de formulario 1.1'!$B30,#REF!,0),MATCH('Respuestas de formulario 1.1'!CT$1,#REF!,0)),"")</f>
        <v/>
      </c>
      <c r="CU30" s="56" t="str">
        <f t="array" ref="CU30">IFERROR(INDEX(#REF!,MATCH('Respuestas de formulario 1.1'!$B30,#REF!,0),MATCH('Respuestas de formulario 1.1'!CU$1,#REF!,0)),"")</f>
        <v/>
      </c>
      <c r="CV30" s="56" t="str">
        <f t="array" ref="CV30">IFERROR(INDEX(#REF!,MATCH('Respuestas de formulario 1.1'!$B30,#REF!,0),MATCH('Respuestas de formulario 1.1'!CV$1,#REF!,0)),"")</f>
        <v/>
      </c>
      <c r="CW30" s="56" t="str">
        <f t="array" ref="CW30">IFERROR(INDEX(#REF!,MATCH('Respuestas de formulario 1.1'!$B30,#REF!,0),MATCH('Respuestas de formulario 1.1'!CW$1,#REF!,0)),"")</f>
        <v/>
      </c>
      <c r="CX30" s="56" t="str">
        <f t="array" ref="CX30">IFERROR(INDEX(#REF!,MATCH('Respuestas de formulario 1.1'!$B30,#REF!,0),MATCH('Respuestas de formulario 1.1'!CX$1,#REF!,0)),"")</f>
        <v/>
      </c>
      <c r="CY30" s="56" t="str">
        <f t="array" ref="CY30">IFERROR(INDEX(#REF!,MATCH('Respuestas de formulario 1.1'!$B30,#REF!,0),MATCH('Respuestas de formulario 1.1'!CY$1,#REF!,0)),"")</f>
        <v/>
      </c>
      <c r="CZ30" s="57" t="str">
        <f t="array" ref="CZ30">IFERROR(INDEX(#REF!,MATCH('Respuestas de formulario 1.1'!$B30,#REF!,0),MATCH('Respuestas de formulario 1.1'!CZ$1,#REF!,0)),"")</f>
        <v/>
      </c>
      <c r="DA30" s="45" t="e">
        <f t="array" ref="DA30">INDEX(#REF!,MATCH('Respuestas de formulario 1.1'!$B30,#REF!,0),MATCH('Respuestas de formulario 1.1'!DA$1,#REF!,0))</f>
        <v>#REF!</v>
      </c>
      <c r="DB30" s="45" t="e">
        <f t="array" ref="DB30">INDEX(#REF!,MATCH('Respuestas de formulario 1.1'!$B30,#REF!,0),MATCH('Respuestas de formulario 1.1'!DB$1,#REF!,0))</f>
        <v>#REF!</v>
      </c>
      <c r="DC30" s="45" t="e">
        <f t="array" ref="DC30">INDEX(#REF!,MATCH('Respuestas de formulario 1.1'!$B30,#REF!,0),MATCH('Respuestas de formulario 1.1'!DC$1,#REF!,0))</f>
        <v>#REF!</v>
      </c>
      <c r="DD30" s="45" t="e">
        <f t="array" ref="DD30">INDEX(#REF!,MATCH('Respuestas de formulario 1.1'!$B30,#REF!,0),MATCH('Respuestas de formulario 1.1'!DD$1,#REF!,0))</f>
        <v>#REF!</v>
      </c>
      <c r="DE30" s="45" t="e">
        <f t="array" ref="DE30">INDEX(#REF!,MATCH('Respuestas de formulario 1.1'!$B30,#REF!,0),MATCH('Respuestas de formulario 1.1'!DE$1,#REF!,0))</f>
        <v>#REF!</v>
      </c>
      <c r="DF30" s="45" t="e">
        <f t="array" ref="DF30">INDEX(#REF!,MATCH('Respuestas de formulario 1.1'!$B30,#REF!,0),MATCH('Respuestas de formulario 1.1'!DF$1,#REF!,0))</f>
        <v>#REF!</v>
      </c>
      <c r="DG30" s="45" t="e">
        <f t="array" ref="DG30">INDEX(#REF!,MATCH('Respuestas de formulario 1.1'!$B30,#REF!,0),MATCH('Respuestas de formulario 1.1'!DG$1,#REF!,0))</f>
        <v>#REF!</v>
      </c>
      <c r="DH30" s="45" t="e">
        <f t="array" ref="DH30">INDEX(#REF!,MATCH('Respuestas de formulario 1.1'!$B30,#REF!,0),MATCH('Respuestas de formulario 1.1'!DH$1,#REF!,0))</f>
        <v>#REF!</v>
      </c>
      <c r="DI30" s="48" t="e">
        <f>VLOOKUP(CONCATENATE($DF30," TUTO ",$DC30),#REF!,3,0)</f>
        <v>#REF!</v>
      </c>
      <c r="DJ30" s="48" t="e">
        <f t="array" ref="DJ30">IF('Respuestas de formulario 1.1'!A30="","",INDEX(#REF!,MATCH('Respuestas de formulario 1.1'!B30,#REF!,0),MATCH('Respuestas de formulario 1.1'!$DH$1,#REF!,0)))</f>
        <v>#REF!</v>
      </c>
      <c r="DK30" s="52" t="str">
        <f>CONCATENATE("http://doc.google.com/uc?id=",MID('Respuestas de formulario 1.1'!G30,34,33))</f>
        <v>http://doc.google.com/uc?id=13Dyy-TkLPdz_tHpY77h-vWYUKAUi1HhU</v>
      </c>
      <c r="DL30" s="49" t="str">
        <f>CONCATENATE("http://doc.google.com/uc?id=",MID('Respuestas de formulario 1.1'!AH30,34,33))</f>
        <v>http://doc.google.com/uc?id=1-iGncyIuqWDahiSbdjl_dnvKzhe2QiNR</v>
      </c>
      <c r="DM30" s="50" t="str">
        <f>CONCATENATE("http://doc.google.com/uc?id=",MID('Respuestas de formulario 1.1'!AW30,34,33))</f>
        <v>http://doc.google.com/uc?id=17SsuoWWYJJfqSIIn21n96DYkLSqZ0I6y</v>
      </c>
      <c r="DN30" s="53" t="str">
        <f>CONCATENATE("http://doc.google.com/uc?id=",MID('Respuestas de formulario 1.1'!$BI30,34,33))</f>
        <v>http://doc.google.com/uc?id=1cWZF9P6FEJ9j62mpyB9VDy6k6-_I1h8w</v>
      </c>
      <c r="DO30" s="45" t="str">
        <f>IFERROR(VLOOKUP(CONCATENATE('Respuestas de formulario 1.1'!$B30,MID('Respuestas de formulario 1.1'!DO$1,2,1)),#REF!,12,0),"")</f>
        <v/>
      </c>
      <c r="DP30" s="45" t="str">
        <f>IFERROR(VLOOKUP(CONCATENATE('Respuestas de formulario 1.1'!$B30,MID('Respuestas de formulario 1.1'!DP$1,2,1)),#REF!,12,0),"")</f>
        <v/>
      </c>
      <c r="DQ30" s="45" t="str">
        <f>IFERROR(VLOOKUP(CONCATENATE('Respuestas de formulario 1.1'!$B30,MID('Respuestas de formulario 1.1'!DQ$1,2,1)),#REF!,12,0),"")</f>
        <v/>
      </c>
      <c r="DR30" s="45" t="str">
        <f>IFERROR(VLOOKUP(CONCATENATE('Respuestas de formulario 1.1'!$B30,MID('Respuestas de formulario 1.1'!DR$1,2,1)),#REF!,12,0),"")</f>
        <v/>
      </c>
      <c r="DS30" s="45" t="str">
        <f>IFERROR(VLOOKUP(CONCATENATE('Respuestas de formulario 1.1'!$B30,MID('Respuestas de formulario 1.1'!DS$1,2,1)),#REF!,12,0),"")</f>
        <v/>
      </c>
      <c r="DT30" s="45" t="str">
        <f>IFERROR(VLOOKUP(CONCATENATE('Respuestas de formulario 1.1'!$B30,MID('Respuestas de formulario 1.1'!DT$1,2,1)),#REF!,12,0),"")</f>
        <v/>
      </c>
      <c r="DU30" s="45" t="str">
        <f>IFERROR(VLOOKUP(CONCATENATE('Respuestas de formulario 1.1'!$B30,MID('Respuestas de formulario 1.1'!DU$1,2,1)),#REF!,12,0),"")</f>
        <v/>
      </c>
      <c r="DV30" s="45" t="str">
        <f>IFERROR(VLOOKUP(CONCATENATE('Respuestas de formulario 1.1'!$B30,MID('Respuestas de formulario 1.1'!DV$1,2,1)),#REF!,12,0),"")</f>
        <v/>
      </c>
      <c r="DW30" s="45" t="str">
        <f>IFERROR(VLOOKUP(CONCATENATE('Respuestas de formulario 1.1'!$B30,MID('Respuestas de formulario 1.1'!DW$1,2,1)),#REF!,12,0),"")</f>
        <v/>
      </c>
      <c r="DX30" s="45" t="str">
        <f>IFERROR(VLOOKUP(CONCATENATE('Respuestas de formulario 1.1'!$B30,MID('Respuestas de formulario 1.1'!DX$1,2,1)),#REF!,12,0),"")</f>
        <v/>
      </c>
      <c r="DY30" s="45" t="str">
        <f>IFERROR(VLOOKUP(CONCATENATE('Respuestas de formulario 1.1'!$B30,MID('Respuestas de formulario 1.1'!DY$1,2,1)),#REF!,12,0),"")</f>
        <v/>
      </c>
      <c r="DZ30" s="45" t="str">
        <f>IFERROR(VLOOKUP(CONCATENATE('Respuestas de formulario 1.1'!$B30,MID('Respuestas de formulario 1.1'!DZ$1,2,1)),#REF!,12,0),"")</f>
        <v/>
      </c>
      <c r="EA30" s="45" t="str">
        <f>IFERROR(VLOOKUP(CONCATENATE('Respuestas de formulario 1.1'!$B30,MID('Respuestas de formulario 1.1'!EA$1,2,1)),#REF!,12,0),"")</f>
        <v/>
      </c>
      <c r="EB30" s="45" t="str">
        <f>IFERROR(VLOOKUP(CONCATENATE('Respuestas de formulario 1.1'!$B30,MID('Respuestas de formulario 1.1'!EB$1,2,1)),#REF!,12,0),"")</f>
        <v/>
      </c>
      <c r="EC30" s="45" t="str">
        <f>IFERROR(VLOOKUP(CONCATENATE('Respuestas de formulario 1.1'!$B30,MID('Respuestas de formulario 1.1'!EC$1,2,1)),#REF!,12,0),"")</f>
        <v/>
      </c>
      <c r="ED30" s="45" t="str">
        <f>IFERROR(VLOOKUP(CONCATENATE('Respuestas de formulario 1.1'!$B30,MID('Respuestas de formulario 1.1'!ED$1,2,1)),#REF!,12,0),"")</f>
        <v/>
      </c>
      <c r="EE30" s="45" t="str">
        <f>IFERROR(VLOOKUP(CONCATENATE('Respuestas de formulario 1.1'!$B30,MID('Respuestas de formulario 1.1'!EE$1,2,1)),#REF!,12,0),"")</f>
        <v/>
      </c>
      <c r="EF30" s="45" t="str">
        <f>IFERROR(VLOOKUP(CONCATENATE('Respuestas de formulario 1.1'!$B30,MID('Respuestas de formulario 1.1'!EF$1,2,1)),#REF!,12,0),"")</f>
        <v/>
      </c>
      <c r="EG30" s="45" t="str">
        <f>IFERROR(VLOOKUP(CONCATENATE('Respuestas de formulario 1.1'!$B30,MID('Respuestas de formulario 1.1'!EG$1,2,1)),#REF!,12,0),"")</f>
        <v/>
      </c>
      <c r="EH30" s="45" t="str">
        <f>IFERROR(VLOOKUP(CONCATENATE('Respuestas de formulario 1.1'!$B30,MID('Respuestas de formulario 1.1'!EH$1,2,1)),#REF!,12,0),"")</f>
        <v/>
      </c>
      <c r="EI30" s="45" t="str">
        <f>IFERROR(VLOOKUP(CONCATENATE('Respuestas de formulario 1.1'!$B30,MID('Respuestas de formulario 1.1'!EI$1,2,1)),#REF!,12,0),"")</f>
        <v/>
      </c>
      <c r="EJ30" s="45" t="str">
        <f t="array" ref="EJ30">IF(DO30="","", INDEX(#REF!,MATCH(CONCATENATE('Respuestas de formulario 1.1'!$B30,DO30),#REF!,0),MATCH('Respuestas de formulario 1.1'!EJ$1,#REF!,0)))</f>
        <v/>
      </c>
      <c r="EK30" s="56" t="str">
        <f t="array" ref="EK30">IF(DP30="","", INDEX(#REF!,MATCH(CONCATENATE('Respuestas de formulario 1.1'!$B30,DP30),#REF!,0),MATCH('Respuestas de formulario 1.1'!EK$1,#REF!,0)))</f>
        <v/>
      </c>
      <c r="EL30" s="56" t="str">
        <f t="array" ref="EL30">IF(DQ30="","", INDEX(#REF!,MATCH(CONCATENATE('Respuestas de formulario 1.1'!$B30,DQ30),#REF!,0),MATCH('Respuestas de formulario 1.1'!EL$1,#REF!,0)))</f>
        <v/>
      </c>
      <c r="EM30" s="56" t="str">
        <f t="array" ref="EM30">IF(DR30="","", INDEX(#REF!,MATCH(CONCATENATE('Respuestas de formulario 1.1'!$B30,DR30),#REF!,0),MATCH('Respuestas de formulario 1.1'!EM$1,#REF!,0)))</f>
        <v/>
      </c>
      <c r="EN30" s="56" t="str">
        <f t="array" ref="EN30">IF(DS30="","", INDEX(#REF!,MATCH(CONCATENATE('Respuestas de formulario 1.1'!$B30,DS30),#REF!,0),MATCH('Respuestas de formulario 1.1'!EN$1,#REF!,0)))</f>
        <v/>
      </c>
      <c r="EO30" s="56" t="str">
        <f t="array" ref="EO30">IF(DT30="","", INDEX(#REF!,MATCH(CONCATENATE('Respuestas de formulario 1.1'!$B30,DT30),#REF!,0),MATCH('Respuestas de formulario 1.1'!EO$1,#REF!,0)))</f>
        <v/>
      </c>
      <c r="EP30" s="45" t="str">
        <f t="array" ref="EP30">IF(DU30="","", INDEX(#REF!,MATCH(CONCATENATE('Respuestas de formulario 1.1'!$B30,DU30),#REF!,0),MATCH('Respuestas de formulario 1.1'!EP$1,#REF!,0)))</f>
        <v/>
      </c>
      <c r="EQ30" s="45" t="str">
        <f t="array" ref="EQ30">IF(DP30="","", INDEX(#REF!,MATCH(CONCATENATE('Respuestas de formulario 1.1'!$B30,DP30),#REF!,0),MATCH('Respuestas de formulario 1.1'!EQ$1,#REF!,0)))</f>
        <v/>
      </c>
      <c r="ER30" s="56" t="str">
        <f t="array" ref="ER30">IF(DQ30="","", INDEX(#REF!,MATCH(CONCATENATE('Respuestas de formulario 1.1'!$B30,DQ30),#REF!,0),MATCH('Respuestas de formulario 1.1'!ER$1,#REF!,0)))</f>
        <v/>
      </c>
      <c r="ES30" s="56" t="str">
        <f t="array" ref="ES30">IF(DR30="","", INDEX(#REF!,MATCH(CONCATENATE('Respuestas de formulario 1.1'!$B30,DR30),#REF!,0),MATCH('Respuestas de formulario 1.1'!ES$1,#REF!,0)))</f>
        <v/>
      </c>
      <c r="ET30" s="56" t="str">
        <f t="array" ref="ET30">IF(DS30="","", INDEX(#REF!,MATCH(CONCATENATE('Respuestas de formulario 1.1'!$B30,DS30),#REF!,0),MATCH('Respuestas de formulario 1.1'!ET$1,#REF!,0)))</f>
        <v/>
      </c>
      <c r="EU30" s="56" t="str">
        <f t="array" ref="EU30">IF(DT30="","", INDEX(#REF!,MATCH(CONCATENATE('Respuestas de formulario 1.1'!$B30,DT30),#REF!,0),MATCH('Respuestas de formulario 1.1'!EU$1,#REF!,0)))</f>
        <v/>
      </c>
      <c r="EV30" s="56" t="str">
        <f t="array" ref="EV30">IF(DU30="","", INDEX(#REF!,MATCH(CONCATENATE('Respuestas de formulario 1.1'!$B30,DU30),#REF!,0),MATCH('Respuestas de formulario 1.1'!EV$1,#REF!,0)))</f>
        <v/>
      </c>
      <c r="EW30" s="45" t="str">
        <f t="array" ref="EW30">IF(DV30="","", INDEX(#REF!,MATCH(CONCATENATE('Respuestas de formulario 1.1'!$B30,DV30),#REF!,0),MATCH('Respuestas de formulario 1.1'!EW$1,#REF!,0)))</f>
        <v/>
      </c>
      <c r="EX30" s="45" t="str">
        <f t="array" ref="EX30">IF($DQ30="","", INDEX(#REF!,MATCH(CONCATENATE('Respuestas de formulario 1.1'!$B30,$DQ30),#REF!,0),MATCH('Respuestas de formulario 1.1'!EX$1,#REF!,0)))</f>
        <v/>
      </c>
      <c r="EY30" s="56" t="str">
        <f t="array" ref="EY30">IF($DQ30="","", INDEX(#REF!,MATCH(CONCATENATE('Respuestas de formulario 1.1'!$B30,$DQ30),#REF!,0),MATCH('Respuestas de formulario 1.1'!EY$1,#REF!,0)))</f>
        <v/>
      </c>
      <c r="EZ30" s="56" t="str">
        <f t="array" ref="EZ30">IF($DQ30="","", INDEX(#REF!,MATCH(CONCATENATE('Respuestas de formulario 1.1'!$B30,$DQ30),#REF!,0),MATCH('Respuestas de formulario 1.1'!EZ$1,#REF!,0)))</f>
        <v/>
      </c>
      <c r="FA30" s="56" t="str">
        <f t="array" ref="FA30">IF($DQ30="","", INDEX(#REF!,MATCH(CONCATENATE('Respuestas de formulario 1.1'!$B30,$DQ30),#REF!,0),MATCH('Respuestas de formulario 1.1'!FA$1,#REF!,0)))</f>
        <v/>
      </c>
      <c r="FB30" s="56" t="str">
        <f t="array" ref="FB30">IF($DQ30="","", INDEX(#REF!,MATCH(CONCATENATE('Respuestas de formulario 1.1'!$B30,$DQ30),#REF!,0),MATCH('Respuestas de formulario 1.1'!FB$1,#REF!,0)))</f>
        <v/>
      </c>
      <c r="FC30" s="56" t="str">
        <f t="array" ref="FC30">IF($DQ30="","", INDEX(#REF!,MATCH(CONCATENATE('Respuestas de formulario 1.1'!$B30,$DQ30),#REF!,0),MATCH('Respuestas de formulario 1.1'!FC$1,#REF!,0)))</f>
        <v/>
      </c>
      <c r="FD30" s="45" t="str">
        <f t="array" ref="FD30">IF($DQ30="","", INDEX(#REF!,MATCH(CONCATENATE('Respuestas de formulario 1.1'!$B30,$DQ30),#REF!,0),MATCH('Respuestas de formulario 1.1'!FD$1,#REF!,0)))</f>
        <v/>
      </c>
      <c r="FE30" s="45" t="str">
        <f t="array" ref="FE30">IF($DR30="","", INDEX(#REF!,MATCH(CONCATENATE(#REF!,$DR30),#REF!,0),MATCH(#REF!,#REF!,0)))</f>
        <v/>
      </c>
      <c r="FF30" s="56" t="str">
        <f t="array" ref="FF30">IF($DR30="","", INDEX(#REF!,MATCH(CONCATENATE(#REF!,$DR30),#REF!,0),MATCH(#REF!,#REF!,0)))</f>
        <v/>
      </c>
      <c r="FG30" s="56" t="str">
        <f t="array" ref="FG30">IF($DR30="","", INDEX(#REF!,MATCH(CONCATENATE(#REF!,$DR30),#REF!,0),MATCH(#REF!,#REF!,0)))</f>
        <v/>
      </c>
      <c r="FH30" s="56" t="str">
        <f t="array" ref="FH30">IF($DR30="","", INDEX(#REF!,MATCH(CONCATENATE(#REF!,$DR30),#REF!,0),MATCH(#REF!,#REF!,0)))</f>
        <v/>
      </c>
      <c r="FI30" s="56" t="str">
        <f t="array" ref="FI30">IF($DR30="","", INDEX(#REF!,MATCH(CONCATENATE(#REF!,$DR30),#REF!,0),MATCH(#REF!,#REF!,0)))</f>
        <v/>
      </c>
      <c r="FJ30" s="56" t="str">
        <f t="array" ref="FJ30">IF($DR30="","", INDEX(#REF!,MATCH(CONCATENATE(#REF!,$DR30),#REF!,0),MATCH(#REF!,#REF!,0)))</f>
        <v/>
      </c>
      <c r="FK30" s="45" t="str">
        <f t="array" ref="FK30">IF($DR30="","", INDEX(#REF!,MATCH(CONCATENATE(#REF!,$DR30),#REF!,0),MATCH(#REF!,#REF!,0)))</f>
        <v/>
      </c>
      <c r="FL30" s="45" t="str">
        <f t="array" ref="FL30">IF($DT30="","", INDEX(#REF!,MATCH(CONCATENATE('Respuestas de formulario 1.1'!$B30,$DS30),#REF!,0),MATCH('Respuestas de formulario 1.1'!FL$1,#REF!,0)))</f>
        <v/>
      </c>
      <c r="FM30" s="56" t="str">
        <f t="array" ref="FM30">IF($DT30="","", INDEX(#REF!,MATCH(CONCATENATE('Respuestas de formulario 1.1'!$B30,$DS30),#REF!,0),MATCH('Respuestas de formulario 1.1'!FM$1,#REF!,0)))</f>
        <v/>
      </c>
      <c r="FN30" s="56" t="str">
        <f t="array" ref="FN30">IF($DT30="","", INDEX(#REF!,MATCH(CONCATENATE('Respuestas de formulario 1.1'!$B30,$DS30),#REF!,0),MATCH('Respuestas de formulario 1.1'!FN$1,#REF!,0)))</f>
        <v/>
      </c>
      <c r="FO30" s="56" t="str">
        <f t="array" ref="FO30">IF($DT30="","", INDEX(#REF!,MATCH(CONCATENATE('Respuestas de formulario 1.1'!$B30,$DS30),#REF!,0),MATCH('Respuestas de formulario 1.1'!FO$1,#REF!,0)))</f>
        <v/>
      </c>
      <c r="FP30" s="56" t="str">
        <f t="array" ref="FP30">IF($DT30="","", INDEX(#REF!,MATCH(CONCATENATE('Respuestas de formulario 1.1'!$B30,$DS30),#REF!,0),MATCH('Respuestas de formulario 1.1'!FP$1,#REF!,0)))</f>
        <v/>
      </c>
      <c r="FQ30" s="56" t="str">
        <f t="array" ref="FQ30">IF($DT30="","", INDEX(#REF!,MATCH(CONCATENATE('Respuestas de formulario 1.1'!$B30,$DS30),#REF!,0),MATCH('Respuestas de formulario 1.1'!FQ$1,#REF!,0)))</f>
        <v/>
      </c>
      <c r="FR30" s="45" t="str">
        <f t="array" ref="FR30">IF($DT30="","", INDEX(#REF!,MATCH(CONCATENATE('Respuestas de formulario 1.1'!$B30,$DS30),#REF!,0),MATCH('Respuestas de formulario 1.1'!FR$1,#REF!,0)))</f>
        <v/>
      </c>
      <c r="FS30" s="45" t="str">
        <f t="array" ref="FS30">IF($DU30="","", INDEX(#REF!,MATCH(CONCATENATE('Respuestas de formulario 1.1'!$B30,$DT30),#REF!,0),MATCH('Respuestas de formulario 1.1'!FS$1,#REF!,0)))</f>
        <v/>
      </c>
      <c r="FT30" s="56" t="str">
        <f t="array" ref="FT30">IF($DU30="","", INDEX(#REF!,MATCH(CONCATENATE('Respuestas de formulario 1.1'!$B30,$DT30),#REF!,0),MATCH('Respuestas de formulario 1.1'!FT$1,#REF!,0)))</f>
        <v/>
      </c>
      <c r="FU30" s="56" t="str">
        <f t="array" ref="FU30">IF($DU30="","", INDEX(#REF!,MATCH(CONCATENATE('Respuestas de formulario 1.1'!$B30,$DT30),#REF!,0),MATCH('Respuestas de formulario 1.1'!FU$1,#REF!,0)))</f>
        <v/>
      </c>
      <c r="FV30" s="56" t="str">
        <f t="array" ref="FV30">IF($DU30="","", INDEX(#REF!,MATCH(CONCATENATE('Respuestas de formulario 1.1'!$B30,$DT30),#REF!,0),MATCH('Respuestas de formulario 1.1'!FV$1,#REF!,0)))</f>
        <v/>
      </c>
      <c r="FW30" s="56" t="str">
        <f t="array" ref="FW30">IF($DU30="","", INDEX(#REF!,MATCH(CONCATENATE('Respuestas de formulario 1.1'!$B30,$DT30),#REF!,0),MATCH('Respuestas de formulario 1.1'!FW$1,#REF!,0)))</f>
        <v/>
      </c>
      <c r="FX30" s="56" t="str">
        <f t="array" ref="FX30">IF($DU30="","", INDEX(#REF!,MATCH(CONCATENATE('Respuestas de formulario 1.1'!$B30,$DT30),#REF!,0),MATCH('Respuestas de formulario 1.1'!FX$1,#REF!,0)))</f>
        <v/>
      </c>
      <c r="FY30" s="45" t="str">
        <f t="array" ref="FY30">IF($DU30="","", INDEX(#REF!,MATCH(CONCATENATE('Respuestas de formulario 1.1'!$B30,$DT30),#REF!,0),MATCH('Respuestas de formulario 1.1'!FY$1,#REF!,0)))</f>
        <v/>
      </c>
      <c r="FZ30" s="3" t="s">
        <v>2860</v>
      </c>
      <c r="GA30" s="1" t="s">
        <v>3329</v>
      </c>
      <c r="GB30" s="5" t="s">
        <v>3330</v>
      </c>
      <c r="GC30" s="4" t="str">
        <f>HYPERLINK("https://drive.google.com/file/d/1EllzMHDnbtF_-iNJILt9quYOYffFwwxW/view?usp=drivesdk","CORTEZ  SILVA  JESSICA LILIANA  Formato de reinscripción y pago 2022-2")</f>
        <v>CORTEZ  SILVA  JESSICA LILIANA  Formato de reinscripción y pago 2022-2</v>
      </c>
      <c r="GD30" s="1" t="s">
        <v>3331</v>
      </c>
      <c r="GE30" s="1"/>
      <c r="GF30" s="1"/>
      <c r="GG30" s="1"/>
      <c r="GH30" s="1"/>
      <c r="GI30" s="1" t="s">
        <v>3332</v>
      </c>
      <c r="GJ30" s="5" t="s">
        <v>3333</v>
      </c>
      <c r="GK30" s="5" t="str">
        <f>HYPERLINK("https://drive.google.com/file/d/1xGhGAfIslt_tNYZNrbGArzBFeEPmtl84/view?usp=drivesdk","CORTEZ  SILVA  &lt;&lt;Nombre(S)&gt;&gt; Formato de reinscripción y pago 2022-2")</f>
        <v>CORTEZ  SILVA  &lt;&lt;Nombre(S)&gt;&gt; Formato de reinscripción y pago 2022-2</v>
      </c>
      <c r="GL30" s="1" t="s">
        <v>3334</v>
      </c>
    </row>
    <row r="31" spans="1:194" ht="38.25" x14ac:dyDescent="0.2">
      <c r="A31" s="2">
        <v>45139.046596307875</v>
      </c>
      <c r="B31" s="1" t="s">
        <v>1289</v>
      </c>
      <c r="C31" s="1" t="s">
        <v>507</v>
      </c>
      <c r="D31" s="1" t="s">
        <v>1290</v>
      </c>
      <c r="E31" s="1" t="s">
        <v>1291</v>
      </c>
      <c r="F31" s="1" t="s">
        <v>223</v>
      </c>
      <c r="G31" s="5" t="s">
        <v>3335</v>
      </c>
      <c r="H31" s="41">
        <v>39258</v>
      </c>
      <c r="I31" s="1">
        <v>16</v>
      </c>
      <c r="J31" s="1">
        <v>5561751607</v>
      </c>
      <c r="K31" s="1">
        <v>5522864526</v>
      </c>
      <c r="L31" s="1" t="s">
        <v>1292</v>
      </c>
      <c r="M31" s="1">
        <v>223090605704</v>
      </c>
      <c r="N31" s="1" t="s">
        <v>562</v>
      </c>
      <c r="O31" s="1" t="s">
        <v>247</v>
      </c>
      <c r="P31" s="1" t="s">
        <v>278</v>
      </c>
      <c r="Q31" s="1" t="s">
        <v>315</v>
      </c>
      <c r="R31" s="1" t="s">
        <v>236</v>
      </c>
      <c r="S31" s="1" t="s">
        <v>228</v>
      </c>
      <c r="T31" s="1" t="s">
        <v>229</v>
      </c>
      <c r="U31" s="1" t="s">
        <v>327</v>
      </c>
      <c r="V31" s="1" t="s">
        <v>228</v>
      </c>
      <c r="W31" s="1" t="s">
        <v>3336</v>
      </c>
      <c r="X31" s="1" t="s">
        <v>327</v>
      </c>
      <c r="Y31" s="1" t="s">
        <v>1217</v>
      </c>
      <c r="Z31" s="1" t="s">
        <v>231</v>
      </c>
      <c r="AA31" s="1">
        <v>56335</v>
      </c>
      <c r="AB31" s="1">
        <v>16</v>
      </c>
      <c r="AC31" s="1" t="s">
        <v>1956</v>
      </c>
      <c r="AD31" s="1" t="s">
        <v>3337</v>
      </c>
      <c r="AE31" s="1" t="s">
        <v>3338</v>
      </c>
      <c r="AF31" s="1" t="s">
        <v>265</v>
      </c>
      <c r="AG31" s="1">
        <v>43</v>
      </c>
      <c r="AH31" s="5" t="s">
        <v>3339</v>
      </c>
      <c r="AI31" s="1">
        <v>5513907136</v>
      </c>
      <c r="AJ31" s="1">
        <v>5522864526</v>
      </c>
      <c r="AK31" s="1" t="s">
        <v>1293</v>
      </c>
      <c r="AL31" s="1" t="s">
        <v>507</v>
      </c>
      <c r="AM31" s="1" t="s">
        <v>1603</v>
      </c>
      <c r="AN31" s="1" t="s">
        <v>296</v>
      </c>
      <c r="AO31" s="1" t="s">
        <v>435</v>
      </c>
      <c r="AP31" s="1">
        <v>53</v>
      </c>
      <c r="AQ31" s="1" t="s">
        <v>512</v>
      </c>
      <c r="AR31" s="42">
        <v>0.625</v>
      </c>
      <c r="AS31" s="42">
        <v>0.89583333333575865</v>
      </c>
      <c r="AT31" s="1">
        <v>5511409587</v>
      </c>
      <c r="AU31" s="1">
        <v>5522864526</v>
      </c>
      <c r="AV31" s="1" t="s">
        <v>1294</v>
      </c>
      <c r="AW31" s="5" t="s">
        <v>3340</v>
      </c>
      <c r="AX31" s="1" t="s">
        <v>308</v>
      </c>
      <c r="AY31" s="1" t="s">
        <v>1032</v>
      </c>
      <c r="AZ31" s="1" t="s">
        <v>2319</v>
      </c>
      <c r="BA31" s="1" t="s">
        <v>359</v>
      </c>
      <c r="BB31" s="1">
        <v>69</v>
      </c>
      <c r="BC31" s="1" t="s">
        <v>233</v>
      </c>
      <c r="BD31" s="43">
        <v>0.33333333333575865</v>
      </c>
      <c r="BE31" s="43">
        <v>0.83333333333575865</v>
      </c>
      <c r="BF31" s="1">
        <v>5574706810</v>
      </c>
      <c r="BG31" s="1">
        <v>5522864526</v>
      </c>
      <c r="BH31" s="1" t="s">
        <v>1293</v>
      </c>
      <c r="BI31" s="5" t="s">
        <v>3341</v>
      </c>
      <c r="BJ31" s="1" t="s">
        <v>236</v>
      </c>
      <c r="BK31" s="1" t="s">
        <v>1550</v>
      </c>
      <c r="BL31" s="1">
        <v>162</v>
      </c>
      <c r="BM31" s="1">
        <v>52</v>
      </c>
      <c r="BN31" s="1" t="s">
        <v>236</v>
      </c>
      <c r="BO31" s="1" t="s">
        <v>228</v>
      </c>
      <c r="BP31" s="1" t="s">
        <v>270</v>
      </c>
      <c r="BQ31" s="1" t="s">
        <v>228</v>
      </c>
      <c r="BR31" s="1" t="s">
        <v>237</v>
      </c>
      <c r="BS31" s="1" t="s">
        <v>236</v>
      </c>
      <c r="BT31" s="1" t="s">
        <v>457</v>
      </c>
      <c r="BU31" s="1" t="s">
        <v>228</v>
      </c>
      <c r="BW31" s="1" t="s">
        <v>238</v>
      </c>
      <c r="BX31" s="1">
        <v>180</v>
      </c>
      <c r="BY31" s="1">
        <v>60</v>
      </c>
      <c r="BZ31" s="1" t="s">
        <v>284</v>
      </c>
      <c r="CA31" s="1" t="s">
        <v>1400</v>
      </c>
      <c r="CB31" s="1" t="s">
        <v>240</v>
      </c>
      <c r="CC31" s="1" t="s">
        <v>274</v>
      </c>
      <c r="CD31" s="1">
        <v>1500</v>
      </c>
      <c r="CE31" s="1">
        <v>2000</v>
      </c>
      <c r="CF31" s="1" t="s">
        <v>236</v>
      </c>
      <c r="CG31" s="1" t="s">
        <v>242</v>
      </c>
      <c r="CH31" s="1" t="s">
        <v>243</v>
      </c>
      <c r="CI31" s="1" t="s">
        <v>243</v>
      </c>
      <c r="CJ31" s="1" t="s">
        <v>2848</v>
      </c>
      <c r="CL31" s="5" t="s">
        <v>3342</v>
      </c>
      <c r="CM31" s="1">
        <v>11937005798</v>
      </c>
      <c r="CN31" s="1" t="s">
        <v>228</v>
      </c>
      <c r="CQ31" s="42">
        <v>0.33333333333575865</v>
      </c>
      <c r="CR31" s="42">
        <v>0.91666666666424135</v>
      </c>
      <c r="CT31" s="45" t="str">
        <f t="array" ref="CT31">IFERROR(INDEX(#REF!,MATCH('Respuestas de formulario 1.1'!$B31,#REF!,0),MATCH('Respuestas de formulario 1.1'!CT$1,#REF!,0)),"")</f>
        <v/>
      </c>
      <c r="CU31" s="56" t="str">
        <f t="array" ref="CU31">IFERROR(INDEX(#REF!,MATCH('Respuestas de formulario 1.1'!$B31,#REF!,0),MATCH('Respuestas de formulario 1.1'!CU$1,#REF!,0)),"")</f>
        <v/>
      </c>
      <c r="CV31" s="56" t="str">
        <f t="array" ref="CV31">IFERROR(INDEX(#REF!,MATCH('Respuestas de formulario 1.1'!$B31,#REF!,0),MATCH('Respuestas de formulario 1.1'!CV$1,#REF!,0)),"")</f>
        <v/>
      </c>
      <c r="CW31" s="56" t="str">
        <f t="array" ref="CW31">IFERROR(INDEX(#REF!,MATCH('Respuestas de formulario 1.1'!$B31,#REF!,0),MATCH('Respuestas de formulario 1.1'!CW$1,#REF!,0)),"")</f>
        <v/>
      </c>
      <c r="CX31" s="56" t="str">
        <f t="array" ref="CX31">IFERROR(INDEX(#REF!,MATCH('Respuestas de formulario 1.1'!$B31,#REF!,0),MATCH('Respuestas de formulario 1.1'!CX$1,#REF!,0)),"")</f>
        <v/>
      </c>
      <c r="CY31" s="56" t="str">
        <f t="array" ref="CY31">IFERROR(INDEX(#REF!,MATCH('Respuestas de formulario 1.1'!$B31,#REF!,0),MATCH('Respuestas de formulario 1.1'!CY$1,#REF!,0)),"")</f>
        <v/>
      </c>
      <c r="CZ31" s="57" t="str">
        <f t="array" ref="CZ31">IFERROR(INDEX(#REF!,MATCH('Respuestas de formulario 1.1'!$B31,#REF!,0),MATCH('Respuestas de formulario 1.1'!CZ$1,#REF!,0)),"")</f>
        <v/>
      </c>
      <c r="DA31" s="45" t="e">
        <f t="array" ref="DA31">INDEX(#REF!,MATCH('Respuestas de formulario 1.1'!$B31,#REF!,0),MATCH('Respuestas de formulario 1.1'!DA$1,#REF!,0))</f>
        <v>#REF!</v>
      </c>
      <c r="DB31" s="45" t="e">
        <f t="array" ref="DB31">INDEX(#REF!,MATCH('Respuestas de formulario 1.1'!$B31,#REF!,0),MATCH('Respuestas de formulario 1.1'!DB$1,#REF!,0))</f>
        <v>#REF!</v>
      </c>
      <c r="DC31" s="45" t="e">
        <f t="array" ref="DC31">INDEX(#REF!,MATCH('Respuestas de formulario 1.1'!$B31,#REF!,0),MATCH('Respuestas de formulario 1.1'!DC$1,#REF!,0))</f>
        <v>#REF!</v>
      </c>
      <c r="DD31" s="45" t="e">
        <f t="array" ref="DD31">INDEX(#REF!,MATCH('Respuestas de formulario 1.1'!$B31,#REF!,0),MATCH('Respuestas de formulario 1.1'!DD$1,#REF!,0))</f>
        <v>#REF!</v>
      </c>
      <c r="DE31" s="45" t="e">
        <f t="array" ref="DE31">INDEX(#REF!,MATCH('Respuestas de formulario 1.1'!$B31,#REF!,0),MATCH('Respuestas de formulario 1.1'!DE$1,#REF!,0))</f>
        <v>#REF!</v>
      </c>
      <c r="DF31" s="45" t="e">
        <f t="array" ref="DF31">INDEX(#REF!,MATCH('Respuestas de formulario 1.1'!$B31,#REF!,0),MATCH('Respuestas de formulario 1.1'!DF$1,#REF!,0))</f>
        <v>#REF!</v>
      </c>
      <c r="DG31" s="45" t="e">
        <f t="array" ref="DG31">INDEX(#REF!,MATCH('Respuestas de formulario 1.1'!$B31,#REF!,0),MATCH('Respuestas de formulario 1.1'!DG$1,#REF!,0))</f>
        <v>#REF!</v>
      </c>
      <c r="DH31" s="45" t="e">
        <f t="array" ref="DH31">INDEX(#REF!,MATCH('Respuestas de formulario 1.1'!$B31,#REF!,0),MATCH('Respuestas de formulario 1.1'!DH$1,#REF!,0))</f>
        <v>#REF!</v>
      </c>
      <c r="DI31" s="48" t="e">
        <f>VLOOKUP(CONCATENATE($DF31," TUTO ",$DC31),#REF!,3,0)</f>
        <v>#REF!</v>
      </c>
      <c r="DJ31" s="48" t="e">
        <f t="array" ref="DJ31">IF('Respuestas de formulario 1.1'!A31="","",INDEX(#REF!,MATCH('Respuestas de formulario 1.1'!B31,#REF!,0),MATCH('Respuestas de formulario 1.1'!$DH$1,#REF!,0)))</f>
        <v>#REF!</v>
      </c>
      <c r="DK31" s="52" t="str">
        <f>CONCATENATE("http://doc.google.com/uc?id=",MID('Respuestas de formulario 1.1'!G31,34,33))</f>
        <v>http://doc.google.com/uc?id=1LzJ2wulyyOtocEeeDmSkyhKOhySWTb9m</v>
      </c>
      <c r="DL31" s="49" t="str">
        <f>CONCATENATE("http://doc.google.com/uc?id=",MID('Respuestas de formulario 1.1'!AH31,34,33))</f>
        <v>http://doc.google.com/uc?id=1Z2mp0RxUMhHqwYCbPbQFQrdEtzL0yw4u</v>
      </c>
      <c r="DM31" s="50" t="str">
        <f>CONCATENATE("http://doc.google.com/uc?id=",MID('Respuestas de formulario 1.1'!AW31,34,33))</f>
        <v>http://doc.google.com/uc?id=1YpdhiQdXJnm5begiR9XXIE7VQGZX-16g</v>
      </c>
      <c r="DN31" s="53" t="str">
        <f>CONCATENATE("http://doc.google.com/uc?id=",MID('Respuestas de formulario 1.1'!$BI31,34,33))</f>
        <v>http://doc.google.com/uc?id=1YNR21xrlnemX8DyEx8E-BXPUEJjrVWA0</v>
      </c>
      <c r="DO31" s="45" t="str">
        <f>IFERROR(VLOOKUP(CONCATENATE('Respuestas de formulario 1.1'!$B31,MID('Respuestas de formulario 1.1'!DO$1,2,1)),#REF!,12,0),"")</f>
        <v/>
      </c>
      <c r="DP31" s="45" t="str">
        <f>IFERROR(VLOOKUP(CONCATENATE('Respuestas de formulario 1.1'!$B31,MID('Respuestas de formulario 1.1'!DP$1,2,1)),#REF!,12,0),"")</f>
        <v/>
      </c>
      <c r="DQ31" s="45" t="str">
        <f>IFERROR(VLOOKUP(CONCATENATE('Respuestas de formulario 1.1'!$B31,MID('Respuestas de formulario 1.1'!DQ$1,2,1)),#REF!,12,0),"")</f>
        <v/>
      </c>
      <c r="DR31" s="45" t="str">
        <f>IFERROR(VLOOKUP(CONCATENATE('Respuestas de formulario 1.1'!$B31,MID('Respuestas de formulario 1.1'!DR$1,2,1)),#REF!,12,0),"")</f>
        <v/>
      </c>
      <c r="DS31" s="45" t="str">
        <f>IFERROR(VLOOKUP(CONCATENATE('Respuestas de formulario 1.1'!$B31,MID('Respuestas de formulario 1.1'!DS$1,2,1)),#REF!,12,0),"")</f>
        <v/>
      </c>
      <c r="DT31" s="45" t="str">
        <f>IFERROR(VLOOKUP(CONCATENATE('Respuestas de formulario 1.1'!$B31,MID('Respuestas de formulario 1.1'!DT$1,2,1)),#REF!,12,0),"")</f>
        <v/>
      </c>
      <c r="DU31" s="45" t="str">
        <f>IFERROR(VLOOKUP(CONCATENATE('Respuestas de formulario 1.1'!$B31,MID('Respuestas de formulario 1.1'!DU$1,2,1)),#REF!,12,0),"")</f>
        <v/>
      </c>
      <c r="DV31" s="45" t="str">
        <f>IFERROR(VLOOKUP(CONCATENATE('Respuestas de formulario 1.1'!$B31,MID('Respuestas de formulario 1.1'!DV$1,2,1)),#REF!,12,0),"")</f>
        <v/>
      </c>
      <c r="DW31" s="45" t="str">
        <f>IFERROR(VLOOKUP(CONCATENATE('Respuestas de formulario 1.1'!$B31,MID('Respuestas de formulario 1.1'!DW$1,2,1)),#REF!,12,0),"")</f>
        <v/>
      </c>
      <c r="DX31" s="45" t="str">
        <f>IFERROR(VLOOKUP(CONCATENATE('Respuestas de formulario 1.1'!$B31,MID('Respuestas de formulario 1.1'!DX$1,2,1)),#REF!,12,0),"")</f>
        <v/>
      </c>
      <c r="DY31" s="45" t="str">
        <f>IFERROR(VLOOKUP(CONCATENATE('Respuestas de formulario 1.1'!$B31,MID('Respuestas de formulario 1.1'!DY$1,2,1)),#REF!,12,0),"")</f>
        <v/>
      </c>
      <c r="DZ31" s="45" t="str">
        <f>IFERROR(VLOOKUP(CONCATENATE('Respuestas de formulario 1.1'!$B31,MID('Respuestas de formulario 1.1'!DZ$1,2,1)),#REF!,12,0),"")</f>
        <v/>
      </c>
      <c r="EA31" s="45" t="str">
        <f>IFERROR(VLOOKUP(CONCATENATE('Respuestas de formulario 1.1'!$B31,MID('Respuestas de formulario 1.1'!EA$1,2,1)),#REF!,12,0),"")</f>
        <v/>
      </c>
      <c r="EB31" s="45" t="str">
        <f>IFERROR(VLOOKUP(CONCATENATE('Respuestas de formulario 1.1'!$B31,MID('Respuestas de formulario 1.1'!EB$1,2,1)),#REF!,12,0),"")</f>
        <v/>
      </c>
      <c r="EC31" s="45" t="str">
        <f>IFERROR(VLOOKUP(CONCATENATE('Respuestas de formulario 1.1'!$B31,MID('Respuestas de formulario 1.1'!EC$1,2,1)),#REF!,12,0),"")</f>
        <v/>
      </c>
      <c r="ED31" s="45" t="str">
        <f>IFERROR(VLOOKUP(CONCATENATE('Respuestas de formulario 1.1'!$B31,MID('Respuestas de formulario 1.1'!ED$1,2,1)),#REF!,12,0),"")</f>
        <v/>
      </c>
      <c r="EE31" s="45" t="str">
        <f>IFERROR(VLOOKUP(CONCATENATE('Respuestas de formulario 1.1'!$B31,MID('Respuestas de formulario 1.1'!EE$1,2,1)),#REF!,12,0),"")</f>
        <v/>
      </c>
      <c r="EF31" s="45" t="str">
        <f>IFERROR(VLOOKUP(CONCATENATE('Respuestas de formulario 1.1'!$B31,MID('Respuestas de formulario 1.1'!EF$1,2,1)),#REF!,12,0),"")</f>
        <v/>
      </c>
      <c r="EG31" s="45" t="str">
        <f>IFERROR(VLOOKUP(CONCATENATE('Respuestas de formulario 1.1'!$B31,MID('Respuestas de formulario 1.1'!EG$1,2,1)),#REF!,12,0),"")</f>
        <v/>
      </c>
      <c r="EH31" s="45" t="str">
        <f>IFERROR(VLOOKUP(CONCATENATE('Respuestas de formulario 1.1'!$B31,MID('Respuestas de formulario 1.1'!EH$1,2,1)),#REF!,12,0),"")</f>
        <v/>
      </c>
      <c r="EI31" s="45" t="str">
        <f>IFERROR(VLOOKUP(CONCATENATE('Respuestas de formulario 1.1'!$B31,MID('Respuestas de formulario 1.1'!EI$1,2,1)),#REF!,12,0),"")</f>
        <v/>
      </c>
      <c r="EJ31" s="45" t="str">
        <f t="array" ref="EJ31">IF(DO31="","", INDEX(#REF!,MATCH(CONCATENATE('Respuestas de formulario 1.1'!$B31,DO31),#REF!,0),MATCH('Respuestas de formulario 1.1'!EJ$1,#REF!,0)))</f>
        <v/>
      </c>
      <c r="EK31" s="56" t="str">
        <f t="array" ref="EK31">IF(DP31="","", INDEX(#REF!,MATCH(CONCATENATE('Respuestas de formulario 1.1'!$B31,DP31),#REF!,0),MATCH('Respuestas de formulario 1.1'!EK$1,#REF!,0)))</f>
        <v/>
      </c>
      <c r="EL31" s="56" t="str">
        <f t="array" ref="EL31">IF(DQ31="","", INDEX(#REF!,MATCH(CONCATENATE('Respuestas de formulario 1.1'!$B31,DQ31),#REF!,0),MATCH('Respuestas de formulario 1.1'!EL$1,#REF!,0)))</f>
        <v/>
      </c>
      <c r="EM31" s="56" t="str">
        <f t="array" ref="EM31">IF(DR31="","", INDEX(#REF!,MATCH(CONCATENATE('Respuestas de formulario 1.1'!$B31,DR31),#REF!,0),MATCH('Respuestas de formulario 1.1'!EM$1,#REF!,0)))</f>
        <v/>
      </c>
      <c r="EN31" s="56" t="str">
        <f t="array" ref="EN31">IF(DS31="","", INDEX(#REF!,MATCH(CONCATENATE('Respuestas de formulario 1.1'!$B31,DS31),#REF!,0),MATCH('Respuestas de formulario 1.1'!EN$1,#REF!,0)))</f>
        <v/>
      </c>
      <c r="EO31" s="56" t="str">
        <f t="array" ref="EO31">IF(DT31="","", INDEX(#REF!,MATCH(CONCATENATE('Respuestas de formulario 1.1'!$B31,DT31),#REF!,0),MATCH('Respuestas de formulario 1.1'!EO$1,#REF!,0)))</f>
        <v/>
      </c>
      <c r="EP31" s="45" t="str">
        <f t="array" ref="EP31">IF(DU31="","", INDEX(#REF!,MATCH(CONCATENATE('Respuestas de formulario 1.1'!$B31,DU31),#REF!,0),MATCH('Respuestas de formulario 1.1'!EP$1,#REF!,0)))</f>
        <v/>
      </c>
      <c r="EQ31" s="45" t="str">
        <f t="array" ref="EQ31">IF(DP31="","", INDEX(#REF!,MATCH(CONCATENATE('Respuestas de formulario 1.1'!$B31,DP31),#REF!,0),MATCH('Respuestas de formulario 1.1'!EQ$1,#REF!,0)))</f>
        <v/>
      </c>
      <c r="ER31" s="56" t="str">
        <f t="array" ref="ER31">IF(DQ31="","", INDEX(#REF!,MATCH(CONCATENATE('Respuestas de formulario 1.1'!$B31,DQ31),#REF!,0),MATCH('Respuestas de formulario 1.1'!ER$1,#REF!,0)))</f>
        <v/>
      </c>
      <c r="ES31" s="56" t="str">
        <f t="array" ref="ES31">IF(DR31="","", INDEX(#REF!,MATCH(CONCATENATE('Respuestas de formulario 1.1'!$B31,DR31),#REF!,0),MATCH('Respuestas de formulario 1.1'!ES$1,#REF!,0)))</f>
        <v/>
      </c>
      <c r="ET31" s="56" t="str">
        <f t="array" ref="ET31">IF(DS31="","", INDEX(#REF!,MATCH(CONCATENATE('Respuestas de formulario 1.1'!$B31,DS31),#REF!,0),MATCH('Respuestas de formulario 1.1'!ET$1,#REF!,0)))</f>
        <v/>
      </c>
      <c r="EU31" s="56" t="str">
        <f t="array" ref="EU31">IF(DT31="","", INDEX(#REF!,MATCH(CONCATENATE('Respuestas de formulario 1.1'!$B31,DT31),#REF!,0),MATCH('Respuestas de formulario 1.1'!EU$1,#REF!,0)))</f>
        <v/>
      </c>
      <c r="EV31" s="56" t="str">
        <f t="array" ref="EV31">IF(DU31="","", INDEX(#REF!,MATCH(CONCATENATE('Respuestas de formulario 1.1'!$B31,DU31),#REF!,0),MATCH('Respuestas de formulario 1.1'!EV$1,#REF!,0)))</f>
        <v/>
      </c>
      <c r="EW31" s="45" t="str">
        <f t="array" ref="EW31">IF(DV31="","", INDEX(#REF!,MATCH(CONCATENATE('Respuestas de formulario 1.1'!$B31,DV31),#REF!,0),MATCH('Respuestas de formulario 1.1'!EW$1,#REF!,0)))</f>
        <v/>
      </c>
      <c r="EX31" s="45" t="str">
        <f t="array" ref="EX31">IF($DQ31="","", INDEX(#REF!,MATCH(CONCATENATE('Respuestas de formulario 1.1'!$B31,$DQ31),#REF!,0),MATCH('Respuestas de formulario 1.1'!EX$1,#REF!,0)))</f>
        <v/>
      </c>
      <c r="EY31" s="56" t="str">
        <f t="array" ref="EY31">IF($DQ31="","", INDEX(#REF!,MATCH(CONCATENATE('Respuestas de formulario 1.1'!$B31,$DQ31),#REF!,0),MATCH('Respuestas de formulario 1.1'!EY$1,#REF!,0)))</f>
        <v/>
      </c>
      <c r="EZ31" s="56" t="str">
        <f t="array" ref="EZ31">IF($DQ31="","", INDEX(#REF!,MATCH(CONCATENATE('Respuestas de formulario 1.1'!$B31,$DQ31),#REF!,0),MATCH('Respuestas de formulario 1.1'!EZ$1,#REF!,0)))</f>
        <v/>
      </c>
      <c r="FA31" s="56" t="str">
        <f t="array" ref="FA31">IF($DQ31="","", INDEX(#REF!,MATCH(CONCATENATE('Respuestas de formulario 1.1'!$B31,$DQ31),#REF!,0),MATCH('Respuestas de formulario 1.1'!FA$1,#REF!,0)))</f>
        <v/>
      </c>
      <c r="FB31" s="56" t="str">
        <f t="array" ref="FB31">IF($DQ31="","", INDEX(#REF!,MATCH(CONCATENATE('Respuestas de formulario 1.1'!$B31,$DQ31),#REF!,0),MATCH('Respuestas de formulario 1.1'!FB$1,#REF!,0)))</f>
        <v/>
      </c>
      <c r="FC31" s="56" t="str">
        <f t="array" ref="FC31">IF($DQ31="","", INDEX(#REF!,MATCH(CONCATENATE('Respuestas de formulario 1.1'!$B31,$DQ31),#REF!,0),MATCH('Respuestas de formulario 1.1'!FC$1,#REF!,0)))</f>
        <v/>
      </c>
      <c r="FD31" s="45" t="str">
        <f t="array" ref="FD31">IF($DQ31="","", INDEX(#REF!,MATCH(CONCATENATE('Respuestas de formulario 1.1'!$B31,$DQ31),#REF!,0),MATCH('Respuestas de formulario 1.1'!FD$1,#REF!,0)))</f>
        <v/>
      </c>
      <c r="FE31" s="45" t="str">
        <f t="array" ref="FE31">IF($DR31="","", INDEX(#REF!,MATCH(CONCATENATE(#REF!,$DR31),#REF!,0),MATCH(#REF!,#REF!,0)))</f>
        <v/>
      </c>
      <c r="FF31" s="56" t="str">
        <f t="array" ref="FF31">IF($DR31="","", INDEX(#REF!,MATCH(CONCATENATE(#REF!,$DR31),#REF!,0),MATCH(#REF!,#REF!,0)))</f>
        <v/>
      </c>
      <c r="FG31" s="56" t="str">
        <f t="array" ref="FG31">IF($DR31="","", INDEX(#REF!,MATCH(CONCATENATE(#REF!,$DR31),#REF!,0),MATCH(#REF!,#REF!,0)))</f>
        <v/>
      </c>
      <c r="FH31" s="56" t="str">
        <f t="array" ref="FH31">IF($DR31="","", INDEX(#REF!,MATCH(CONCATENATE(#REF!,$DR31),#REF!,0),MATCH(#REF!,#REF!,0)))</f>
        <v/>
      </c>
      <c r="FI31" s="56" t="str">
        <f t="array" ref="FI31">IF($DR31="","", INDEX(#REF!,MATCH(CONCATENATE(#REF!,$DR31),#REF!,0),MATCH(#REF!,#REF!,0)))</f>
        <v/>
      </c>
      <c r="FJ31" s="56" t="str">
        <f t="array" ref="FJ31">IF($DR31="","", INDEX(#REF!,MATCH(CONCATENATE(#REF!,$DR31),#REF!,0),MATCH(#REF!,#REF!,0)))</f>
        <v/>
      </c>
      <c r="FK31" s="45" t="str">
        <f t="array" ref="FK31">IF($DR31="","", INDEX(#REF!,MATCH(CONCATENATE(#REF!,$DR31),#REF!,0),MATCH(#REF!,#REF!,0)))</f>
        <v/>
      </c>
      <c r="FL31" s="45" t="str">
        <f t="array" ref="FL31">IF($DT31="","", INDEX(#REF!,MATCH(CONCATENATE('Respuestas de formulario 1.1'!$B31,$DS31),#REF!,0),MATCH('Respuestas de formulario 1.1'!FL$1,#REF!,0)))</f>
        <v/>
      </c>
      <c r="FM31" s="56" t="str">
        <f t="array" ref="FM31">IF($DT31="","", INDEX(#REF!,MATCH(CONCATENATE('Respuestas de formulario 1.1'!$B31,$DS31),#REF!,0),MATCH('Respuestas de formulario 1.1'!FM$1,#REF!,0)))</f>
        <v/>
      </c>
      <c r="FN31" s="56" t="str">
        <f t="array" ref="FN31">IF($DT31="","", INDEX(#REF!,MATCH(CONCATENATE('Respuestas de formulario 1.1'!$B31,$DS31),#REF!,0),MATCH('Respuestas de formulario 1.1'!FN$1,#REF!,0)))</f>
        <v/>
      </c>
      <c r="FO31" s="56" t="str">
        <f t="array" ref="FO31">IF($DT31="","", INDEX(#REF!,MATCH(CONCATENATE('Respuestas de formulario 1.1'!$B31,$DS31),#REF!,0),MATCH('Respuestas de formulario 1.1'!FO$1,#REF!,0)))</f>
        <v/>
      </c>
      <c r="FP31" s="56" t="str">
        <f t="array" ref="FP31">IF($DT31="","", INDEX(#REF!,MATCH(CONCATENATE('Respuestas de formulario 1.1'!$B31,$DS31),#REF!,0),MATCH('Respuestas de formulario 1.1'!FP$1,#REF!,0)))</f>
        <v/>
      </c>
      <c r="FQ31" s="56" t="str">
        <f t="array" ref="FQ31">IF($DT31="","", INDEX(#REF!,MATCH(CONCATENATE('Respuestas de formulario 1.1'!$B31,$DS31),#REF!,0),MATCH('Respuestas de formulario 1.1'!FQ$1,#REF!,0)))</f>
        <v/>
      </c>
      <c r="FR31" s="45" t="str">
        <f t="array" ref="FR31">IF($DT31="","", INDEX(#REF!,MATCH(CONCATENATE('Respuestas de formulario 1.1'!$B31,$DS31),#REF!,0),MATCH('Respuestas de formulario 1.1'!FR$1,#REF!,0)))</f>
        <v/>
      </c>
      <c r="FS31" s="45" t="str">
        <f t="array" ref="FS31">IF($DU31="","", INDEX(#REF!,MATCH(CONCATENATE('Respuestas de formulario 1.1'!$B31,$DT31),#REF!,0),MATCH('Respuestas de formulario 1.1'!FS$1,#REF!,0)))</f>
        <v/>
      </c>
      <c r="FT31" s="56" t="str">
        <f t="array" ref="FT31">IF($DU31="","", INDEX(#REF!,MATCH(CONCATENATE('Respuestas de formulario 1.1'!$B31,$DT31),#REF!,0),MATCH('Respuestas de formulario 1.1'!FT$1,#REF!,0)))</f>
        <v/>
      </c>
      <c r="FU31" s="56" t="str">
        <f t="array" ref="FU31">IF($DU31="","", INDEX(#REF!,MATCH(CONCATENATE('Respuestas de formulario 1.1'!$B31,$DT31),#REF!,0),MATCH('Respuestas de formulario 1.1'!FU$1,#REF!,0)))</f>
        <v/>
      </c>
      <c r="FV31" s="56" t="str">
        <f t="array" ref="FV31">IF($DU31="","", INDEX(#REF!,MATCH(CONCATENATE('Respuestas de formulario 1.1'!$B31,$DT31),#REF!,0),MATCH('Respuestas de formulario 1.1'!FV$1,#REF!,0)))</f>
        <v/>
      </c>
      <c r="FW31" s="56" t="str">
        <f t="array" ref="FW31">IF($DU31="","", INDEX(#REF!,MATCH(CONCATENATE('Respuestas de formulario 1.1'!$B31,$DT31),#REF!,0),MATCH('Respuestas de formulario 1.1'!FW$1,#REF!,0)))</f>
        <v/>
      </c>
      <c r="FX31" s="56" t="str">
        <f t="array" ref="FX31">IF($DU31="","", INDEX(#REF!,MATCH(CONCATENATE('Respuestas de formulario 1.1'!$B31,$DT31),#REF!,0),MATCH('Respuestas de formulario 1.1'!FX$1,#REF!,0)))</f>
        <v/>
      </c>
      <c r="FY31" s="45" t="str">
        <f t="array" ref="FY31">IF($DU31="","", INDEX(#REF!,MATCH(CONCATENATE('Respuestas de formulario 1.1'!$B31,$DT31),#REF!,0),MATCH('Respuestas de formulario 1.1'!FY$1,#REF!,0)))</f>
        <v/>
      </c>
      <c r="FZ31" s="3" t="s">
        <v>2860</v>
      </c>
      <c r="GA31" s="1" t="s">
        <v>3343</v>
      </c>
      <c r="GB31" s="5" t="s">
        <v>3344</v>
      </c>
      <c r="GC31" s="4" t="str">
        <f>HYPERLINK("https://drive.google.com/file/d/1E6AL-ixOArKDqMmjwjOsZYhTf4igykGc/view?usp=drivesdk","JIMENEZ OLIVO ABIGAIL Formato de reinscripción y pago 2022-2")</f>
        <v>JIMENEZ OLIVO ABIGAIL Formato de reinscripción y pago 2022-2</v>
      </c>
      <c r="GD31" s="1" t="s">
        <v>3345</v>
      </c>
      <c r="GE31" s="1"/>
      <c r="GF31" s="1"/>
      <c r="GG31" s="1"/>
      <c r="GH31" s="1"/>
      <c r="GI31" s="1" t="s">
        <v>3346</v>
      </c>
      <c r="GJ31" s="5" t="s">
        <v>3347</v>
      </c>
      <c r="GK31" s="5" t="str">
        <f>HYPERLINK("https://drive.google.com/file/d/1MjcIINlqB7CzC00vHNHf78I0UrNHktr_/view?usp=drivesdk","JIMENEZ OLIVO &lt;&lt;Nombre(S)&gt;&gt; Formato de reinscripción y pago 2022-2")</f>
        <v>JIMENEZ OLIVO &lt;&lt;Nombre(S)&gt;&gt; Formato de reinscripción y pago 2022-2</v>
      </c>
      <c r="GL31" s="1" t="s">
        <v>3348</v>
      </c>
    </row>
    <row r="32" spans="1:194" ht="38.25" x14ac:dyDescent="0.2">
      <c r="A32" s="2">
        <v>45139.711933020837</v>
      </c>
      <c r="B32" s="1" t="s">
        <v>60</v>
      </c>
      <c r="C32" s="1" t="s">
        <v>600</v>
      </c>
      <c r="D32" s="1" t="s">
        <v>304</v>
      </c>
      <c r="E32" s="1" t="s">
        <v>3349</v>
      </c>
      <c r="F32" s="1" t="s">
        <v>223</v>
      </c>
      <c r="G32" s="5" t="s">
        <v>3350</v>
      </c>
      <c r="H32" s="41">
        <v>39129</v>
      </c>
      <c r="I32" s="1">
        <v>16</v>
      </c>
      <c r="J32" s="1">
        <v>5591982796</v>
      </c>
      <c r="K32" s="1">
        <v>5551124246</v>
      </c>
      <c r="L32" s="1" t="s">
        <v>634</v>
      </c>
      <c r="M32" s="1">
        <v>22309060570588</v>
      </c>
      <c r="N32" s="1" t="s">
        <v>562</v>
      </c>
      <c r="O32" s="1" t="s">
        <v>247</v>
      </c>
      <c r="P32" s="1" t="s">
        <v>278</v>
      </c>
      <c r="Q32" s="1" t="s">
        <v>227</v>
      </c>
      <c r="R32" s="1" t="s">
        <v>236</v>
      </c>
      <c r="S32" s="1" t="s">
        <v>228</v>
      </c>
      <c r="T32" s="1" t="s">
        <v>229</v>
      </c>
      <c r="U32" s="1" t="s">
        <v>264</v>
      </c>
      <c r="V32" s="1" t="s">
        <v>228</v>
      </c>
      <c r="W32" s="1" t="s">
        <v>3351</v>
      </c>
      <c r="X32" s="1" t="s">
        <v>264</v>
      </c>
      <c r="Y32" s="1" t="s">
        <v>766</v>
      </c>
      <c r="Z32" s="1" t="s">
        <v>231</v>
      </c>
      <c r="AA32" s="1">
        <v>57210</v>
      </c>
      <c r="AB32" s="1">
        <v>78</v>
      </c>
      <c r="AC32" s="1" t="s">
        <v>2273</v>
      </c>
      <c r="AD32" s="1" t="s">
        <v>3352</v>
      </c>
      <c r="AE32" s="1" t="s">
        <v>635</v>
      </c>
      <c r="AF32" s="1" t="s">
        <v>403</v>
      </c>
      <c r="AG32" s="1">
        <v>26</v>
      </c>
      <c r="AH32" s="5" t="s">
        <v>3353</v>
      </c>
      <c r="AI32" s="1">
        <v>5575116816</v>
      </c>
      <c r="AJ32" s="1">
        <v>5551124246</v>
      </c>
      <c r="AK32" s="1" t="s">
        <v>636</v>
      </c>
      <c r="AL32" s="1" t="s">
        <v>390</v>
      </c>
      <c r="AM32" s="1" t="s">
        <v>637</v>
      </c>
      <c r="AN32" s="1" t="s">
        <v>639</v>
      </c>
      <c r="AO32" s="1" t="s">
        <v>265</v>
      </c>
      <c r="AP32" s="1">
        <v>55</v>
      </c>
      <c r="AQ32" s="1" t="s">
        <v>454</v>
      </c>
      <c r="AR32" s="42">
        <v>0.33333333333575865</v>
      </c>
      <c r="AS32" s="42">
        <v>0.79166666666424135</v>
      </c>
      <c r="AT32" s="1">
        <v>5537207454</v>
      </c>
      <c r="AU32" s="1">
        <v>5551124246</v>
      </c>
      <c r="AV32" s="1" t="s">
        <v>638</v>
      </c>
      <c r="AW32" s="5" t="s">
        <v>3354</v>
      </c>
      <c r="AX32" s="1" t="s">
        <v>1779</v>
      </c>
      <c r="AY32" s="1" t="s">
        <v>304</v>
      </c>
      <c r="AZ32" s="1" t="s">
        <v>2091</v>
      </c>
      <c r="BA32" s="1" t="s">
        <v>403</v>
      </c>
      <c r="BB32" s="1">
        <v>26</v>
      </c>
      <c r="BC32" s="1" t="s">
        <v>3355</v>
      </c>
      <c r="BD32" s="43">
        <v>0.29166666666424135</v>
      </c>
      <c r="BE32" s="43">
        <v>0.75</v>
      </c>
      <c r="BF32" s="1">
        <v>5575116816</v>
      </c>
      <c r="BG32" s="1">
        <v>5551124246</v>
      </c>
      <c r="BH32" s="1" t="s">
        <v>636</v>
      </c>
      <c r="BI32" s="5" t="s">
        <v>3356</v>
      </c>
      <c r="BJ32" s="1" t="s">
        <v>236</v>
      </c>
      <c r="BK32" s="1" t="s">
        <v>3357</v>
      </c>
      <c r="BL32" s="1">
        <v>1.69</v>
      </c>
      <c r="BM32" s="1">
        <v>80</v>
      </c>
      <c r="BN32" s="1" t="s">
        <v>228</v>
      </c>
      <c r="BO32" s="1" t="s">
        <v>228</v>
      </c>
      <c r="BP32" s="1" t="s">
        <v>270</v>
      </c>
      <c r="BQ32" s="1" t="s">
        <v>228</v>
      </c>
      <c r="BR32" s="1" t="s">
        <v>237</v>
      </c>
      <c r="BS32" s="1" t="s">
        <v>228</v>
      </c>
      <c r="BT32" s="1" t="s">
        <v>237</v>
      </c>
      <c r="BU32" s="1" t="s">
        <v>228</v>
      </c>
      <c r="BW32" s="1" t="s">
        <v>238</v>
      </c>
      <c r="BX32" s="1">
        <v>180</v>
      </c>
      <c r="BY32" s="1">
        <v>500</v>
      </c>
      <c r="BZ32" s="1" t="s">
        <v>1615</v>
      </c>
      <c r="CA32" s="1" t="s">
        <v>343</v>
      </c>
      <c r="CB32" s="1" t="s">
        <v>240</v>
      </c>
      <c r="CC32" s="1" t="s">
        <v>322</v>
      </c>
      <c r="CD32" s="1">
        <v>2000</v>
      </c>
      <c r="CE32" s="1">
        <v>2600</v>
      </c>
      <c r="CF32" s="1" t="s">
        <v>236</v>
      </c>
      <c r="CG32" s="1" t="s">
        <v>242</v>
      </c>
      <c r="CH32" s="1" t="s">
        <v>243</v>
      </c>
      <c r="CI32" s="1" t="s">
        <v>243</v>
      </c>
      <c r="CJ32" s="1" t="s">
        <v>2848</v>
      </c>
      <c r="CL32" s="5" t="s">
        <v>3358</v>
      </c>
      <c r="CM32" s="1">
        <v>16220718783</v>
      </c>
      <c r="CN32" s="1" t="s">
        <v>228</v>
      </c>
      <c r="CQ32" s="42">
        <v>0.29166666666424135</v>
      </c>
      <c r="CR32" s="42">
        <v>0.75</v>
      </c>
      <c r="CT32" s="45" t="str">
        <f t="array" ref="CT32">IFERROR(INDEX(#REF!,MATCH('Respuestas de formulario 1.1'!$B32,#REF!,0),MATCH('Respuestas de formulario 1.1'!CT$1,#REF!,0)),"")</f>
        <v/>
      </c>
      <c r="CU32" s="56" t="str">
        <f t="array" ref="CU32">IFERROR(INDEX(#REF!,MATCH('Respuestas de formulario 1.1'!$B32,#REF!,0),MATCH('Respuestas de formulario 1.1'!CU$1,#REF!,0)),"")</f>
        <v/>
      </c>
      <c r="CV32" s="56" t="str">
        <f t="array" ref="CV32">IFERROR(INDEX(#REF!,MATCH('Respuestas de formulario 1.1'!$B32,#REF!,0),MATCH('Respuestas de formulario 1.1'!CV$1,#REF!,0)),"")</f>
        <v/>
      </c>
      <c r="CW32" s="56" t="str">
        <f t="array" ref="CW32">IFERROR(INDEX(#REF!,MATCH('Respuestas de formulario 1.1'!$B32,#REF!,0),MATCH('Respuestas de formulario 1.1'!CW$1,#REF!,0)),"")</f>
        <v/>
      </c>
      <c r="CX32" s="56" t="str">
        <f t="array" ref="CX32">IFERROR(INDEX(#REF!,MATCH('Respuestas de formulario 1.1'!$B32,#REF!,0),MATCH('Respuestas de formulario 1.1'!CX$1,#REF!,0)),"")</f>
        <v/>
      </c>
      <c r="CY32" s="56" t="str">
        <f t="array" ref="CY32">IFERROR(INDEX(#REF!,MATCH('Respuestas de formulario 1.1'!$B32,#REF!,0),MATCH('Respuestas de formulario 1.1'!CY$1,#REF!,0)),"")</f>
        <v/>
      </c>
      <c r="CZ32" s="57" t="str">
        <f t="array" ref="CZ32">IFERROR(INDEX(#REF!,MATCH('Respuestas de formulario 1.1'!$B32,#REF!,0),MATCH('Respuestas de formulario 1.1'!CZ$1,#REF!,0)),"")</f>
        <v/>
      </c>
      <c r="DA32" s="45" t="e">
        <f t="array" ref="DA32">INDEX(#REF!,MATCH('Respuestas de formulario 1.1'!$B32,#REF!,0),MATCH('Respuestas de formulario 1.1'!DA$1,#REF!,0))</f>
        <v>#REF!</v>
      </c>
      <c r="DB32" s="45" t="e">
        <f t="array" ref="DB32">INDEX(#REF!,MATCH('Respuestas de formulario 1.1'!$B32,#REF!,0),MATCH('Respuestas de formulario 1.1'!DB$1,#REF!,0))</f>
        <v>#REF!</v>
      </c>
      <c r="DC32" s="45" t="e">
        <f t="array" ref="DC32">INDEX(#REF!,MATCH('Respuestas de formulario 1.1'!$B32,#REF!,0),MATCH('Respuestas de formulario 1.1'!DC$1,#REF!,0))</f>
        <v>#REF!</v>
      </c>
      <c r="DD32" s="45" t="e">
        <f t="array" ref="DD32">INDEX(#REF!,MATCH('Respuestas de formulario 1.1'!$B32,#REF!,0),MATCH('Respuestas de formulario 1.1'!DD$1,#REF!,0))</f>
        <v>#REF!</v>
      </c>
      <c r="DE32" s="45" t="e">
        <f t="array" ref="DE32">INDEX(#REF!,MATCH('Respuestas de formulario 1.1'!$B32,#REF!,0),MATCH('Respuestas de formulario 1.1'!DE$1,#REF!,0))</f>
        <v>#REF!</v>
      </c>
      <c r="DF32" s="45" t="e">
        <f t="array" ref="DF32">INDEX(#REF!,MATCH('Respuestas de formulario 1.1'!$B32,#REF!,0),MATCH('Respuestas de formulario 1.1'!DF$1,#REF!,0))</f>
        <v>#REF!</v>
      </c>
      <c r="DG32" s="45" t="e">
        <f t="array" ref="DG32">INDEX(#REF!,MATCH('Respuestas de formulario 1.1'!$B32,#REF!,0),MATCH('Respuestas de formulario 1.1'!DG$1,#REF!,0))</f>
        <v>#REF!</v>
      </c>
      <c r="DH32" s="45" t="e">
        <f t="array" ref="DH32">INDEX(#REF!,MATCH('Respuestas de formulario 1.1'!$B32,#REF!,0),MATCH('Respuestas de formulario 1.1'!DH$1,#REF!,0))</f>
        <v>#REF!</v>
      </c>
      <c r="DI32" s="48" t="e">
        <f>VLOOKUP(CONCATENATE($DF32," TUTO ",$DC32),#REF!,3,0)</f>
        <v>#REF!</v>
      </c>
      <c r="DJ32" s="48" t="e">
        <f t="array" ref="DJ32">IF('Respuestas de formulario 1.1'!A32="","",INDEX(#REF!,MATCH('Respuestas de formulario 1.1'!B32,#REF!,0),MATCH('Respuestas de formulario 1.1'!$DH$1,#REF!,0)))</f>
        <v>#REF!</v>
      </c>
      <c r="DK32" s="52" t="str">
        <f>CONCATENATE("http://doc.google.com/uc?id=",MID('Respuestas de formulario 1.1'!G32,34,33))</f>
        <v>http://doc.google.com/uc?id=1lUf55B_8jr3fP6aMItidx67lURyfhCvL</v>
      </c>
      <c r="DL32" s="49" t="str">
        <f>CONCATENATE("http://doc.google.com/uc?id=",MID('Respuestas de formulario 1.1'!AH32,34,33))</f>
        <v>http://doc.google.com/uc?id=1HxGAUkGhDwPNTZm4N1DFPVmLt8VsnZeT</v>
      </c>
      <c r="DM32" s="50" t="str">
        <f>CONCATENATE("http://doc.google.com/uc?id=",MID('Respuestas de formulario 1.1'!AW32,34,33))</f>
        <v>http://doc.google.com/uc?id=1wsAqp46603UoMRo19svbRjHzk54WPmwF</v>
      </c>
      <c r="DN32" s="53" t="str">
        <f>CONCATENATE("http://doc.google.com/uc?id=",MID('Respuestas de formulario 1.1'!$BI32,34,33))</f>
        <v>http://doc.google.com/uc?id=13XDoRsTEMFynKfnYkuC7bLcAM63Qk-e4</v>
      </c>
      <c r="DO32" s="45" t="str">
        <f>IFERROR(VLOOKUP(CONCATENATE('Respuestas de formulario 1.1'!$B32,MID('Respuestas de formulario 1.1'!DO$1,2,1)),#REF!,12,0),"")</f>
        <v/>
      </c>
      <c r="DP32" s="45" t="str">
        <f>IFERROR(VLOOKUP(CONCATENATE('Respuestas de formulario 1.1'!$B32,MID('Respuestas de formulario 1.1'!DP$1,2,1)),#REF!,12,0),"")</f>
        <v/>
      </c>
      <c r="DQ32" s="45" t="str">
        <f>IFERROR(VLOOKUP(CONCATENATE('Respuestas de formulario 1.1'!$B32,MID('Respuestas de formulario 1.1'!DQ$1,2,1)),#REF!,12,0),"")</f>
        <v/>
      </c>
      <c r="DR32" s="45" t="str">
        <f>IFERROR(VLOOKUP(CONCATENATE('Respuestas de formulario 1.1'!$B32,MID('Respuestas de formulario 1.1'!DR$1,2,1)),#REF!,12,0),"")</f>
        <v/>
      </c>
      <c r="DS32" s="45" t="str">
        <f>IFERROR(VLOOKUP(CONCATENATE('Respuestas de formulario 1.1'!$B32,MID('Respuestas de formulario 1.1'!DS$1,2,1)),#REF!,12,0),"")</f>
        <v/>
      </c>
      <c r="DT32" s="45" t="str">
        <f>IFERROR(VLOOKUP(CONCATENATE('Respuestas de formulario 1.1'!$B32,MID('Respuestas de formulario 1.1'!DT$1,2,1)),#REF!,12,0),"")</f>
        <v/>
      </c>
      <c r="DU32" s="45" t="str">
        <f>IFERROR(VLOOKUP(CONCATENATE('Respuestas de formulario 1.1'!$B32,MID('Respuestas de formulario 1.1'!DU$1,2,1)),#REF!,12,0),"")</f>
        <v/>
      </c>
      <c r="DV32" s="45" t="str">
        <f>IFERROR(VLOOKUP(CONCATENATE('Respuestas de formulario 1.1'!$B32,MID('Respuestas de formulario 1.1'!DV$1,2,1)),#REF!,12,0),"")</f>
        <v/>
      </c>
      <c r="DW32" s="45" t="str">
        <f>IFERROR(VLOOKUP(CONCATENATE('Respuestas de formulario 1.1'!$B32,MID('Respuestas de formulario 1.1'!DW$1,2,1)),#REF!,12,0),"")</f>
        <v/>
      </c>
      <c r="DX32" s="45" t="str">
        <f>IFERROR(VLOOKUP(CONCATENATE('Respuestas de formulario 1.1'!$B32,MID('Respuestas de formulario 1.1'!DX$1,2,1)),#REF!,12,0),"")</f>
        <v/>
      </c>
      <c r="DY32" s="45" t="str">
        <f>IFERROR(VLOOKUP(CONCATENATE('Respuestas de formulario 1.1'!$B32,MID('Respuestas de formulario 1.1'!DY$1,2,1)),#REF!,12,0),"")</f>
        <v/>
      </c>
      <c r="DZ32" s="45" t="str">
        <f>IFERROR(VLOOKUP(CONCATENATE('Respuestas de formulario 1.1'!$B32,MID('Respuestas de formulario 1.1'!DZ$1,2,1)),#REF!,12,0),"")</f>
        <v/>
      </c>
      <c r="EA32" s="45" t="str">
        <f>IFERROR(VLOOKUP(CONCATENATE('Respuestas de formulario 1.1'!$B32,MID('Respuestas de formulario 1.1'!EA$1,2,1)),#REF!,12,0),"")</f>
        <v/>
      </c>
      <c r="EB32" s="45" t="str">
        <f>IFERROR(VLOOKUP(CONCATENATE('Respuestas de formulario 1.1'!$B32,MID('Respuestas de formulario 1.1'!EB$1,2,1)),#REF!,12,0),"")</f>
        <v/>
      </c>
      <c r="EC32" s="45" t="str">
        <f>IFERROR(VLOOKUP(CONCATENATE('Respuestas de formulario 1.1'!$B32,MID('Respuestas de formulario 1.1'!EC$1,2,1)),#REF!,12,0),"")</f>
        <v/>
      </c>
      <c r="ED32" s="45" t="str">
        <f>IFERROR(VLOOKUP(CONCATENATE('Respuestas de formulario 1.1'!$B32,MID('Respuestas de formulario 1.1'!ED$1,2,1)),#REF!,12,0),"")</f>
        <v/>
      </c>
      <c r="EE32" s="45" t="str">
        <f>IFERROR(VLOOKUP(CONCATENATE('Respuestas de formulario 1.1'!$B32,MID('Respuestas de formulario 1.1'!EE$1,2,1)),#REF!,12,0),"")</f>
        <v/>
      </c>
      <c r="EF32" s="45" t="str">
        <f>IFERROR(VLOOKUP(CONCATENATE('Respuestas de formulario 1.1'!$B32,MID('Respuestas de formulario 1.1'!EF$1,2,1)),#REF!,12,0),"")</f>
        <v/>
      </c>
      <c r="EG32" s="45" t="str">
        <f>IFERROR(VLOOKUP(CONCATENATE('Respuestas de formulario 1.1'!$B32,MID('Respuestas de formulario 1.1'!EG$1,2,1)),#REF!,12,0),"")</f>
        <v/>
      </c>
      <c r="EH32" s="45" t="str">
        <f>IFERROR(VLOOKUP(CONCATENATE('Respuestas de formulario 1.1'!$B32,MID('Respuestas de formulario 1.1'!EH$1,2,1)),#REF!,12,0),"")</f>
        <v/>
      </c>
      <c r="EI32" s="45" t="str">
        <f>IFERROR(VLOOKUP(CONCATENATE('Respuestas de formulario 1.1'!$B32,MID('Respuestas de formulario 1.1'!EI$1,2,1)),#REF!,12,0),"")</f>
        <v/>
      </c>
      <c r="EJ32" s="45" t="str">
        <f t="array" ref="EJ32">IF(DO32="","", INDEX(#REF!,MATCH(CONCATENATE('Respuestas de formulario 1.1'!$B32,DO32),#REF!,0),MATCH('Respuestas de formulario 1.1'!EJ$1,#REF!,0)))</f>
        <v/>
      </c>
      <c r="EK32" s="56" t="str">
        <f t="array" ref="EK32">IF(DP32="","", INDEX(#REF!,MATCH(CONCATENATE('Respuestas de formulario 1.1'!$B32,DP32),#REF!,0),MATCH('Respuestas de formulario 1.1'!EK$1,#REF!,0)))</f>
        <v/>
      </c>
      <c r="EL32" s="56" t="str">
        <f t="array" ref="EL32">IF(DQ32="","", INDEX(#REF!,MATCH(CONCATENATE('Respuestas de formulario 1.1'!$B32,DQ32),#REF!,0),MATCH('Respuestas de formulario 1.1'!EL$1,#REF!,0)))</f>
        <v/>
      </c>
      <c r="EM32" s="56" t="str">
        <f t="array" ref="EM32">IF(DR32="","", INDEX(#REF!,MATCH(CONCATENATE('Respuestas de formulario 1.1'!$B32,DR32),#REF!,0),MATCH('Respuestas de formulario 1.1'!EM$1,#REF!,0)))</f>
        <v/>
      </c>
      <c r="EN32" s="56" t="str">
        <f t="array" ref="EN32">IF(DS32="","", INDEX(#REF!,MATCH(CONCATENATE('Respuestas de formulario 1.1'!$B32,DS32),#REF!,0),MATCH('Respuestas de formulario 1.1'!EN$1,#REF!,0)))</f>
        <v/>
      </c>
      <c r="EO32" s="56" t="str">
        <f t="array" ref="EO32">IF(DT32="","", INDEX(#REF!,MATCH(CONCATENATE('Respuestas de formulario 1.1'!$B32,DT32),#REF!,0),MATCH('Respuestas de formulario 1.1'!EO$1,#REF!,0)))</f>
        <v/>
      </c>
      <c r="EP32" s="45" t="str">
        <f t="array" ref="EP32">IF(DU32="","", INDEX(#REF!,MATCH(CONCATENATE('Respuestas de formulario 1.1'!$B32,DU32),#REF!,0),MATCH('Respuestas de formulario 1.1'!EP$1,#REF!,0)))</f>
        <v/>
      </c>
      <c r="EQ32" s="45" t="str">
        <f t="array" ref="EQ32">IF(DP32="","", INDEX(#REF!,MATCH(CONCATENATE('Respuestas de formulario 1.1'!$B32,DP32),#REF!,0),MATCH('Respuestas de formulario 1.1'!EQ$1,#REF!,0)))</f>
        <v/>
      </c>
      <c r="ER32" s="56" t="str">
        <f t="array" ref="ER32">IF(DQ32="","", INDEX(#REF!,MATCH(CONCATENATE('Respuestas de formulario 1.1'!$B32,DQ32),#REF!,0),MATCH('Respuestas de formulario 1.1'!ER$1,#REF!,0)))</f>
        <v/>
      </c>
      <c r="ES32" s="56" t="str">
        <f t="array" ref="ES32">IF(DR32="","", INDEX(#REF!,MATCH(CONCATENATE('Respuestas de formulario 1.1'!$B32,DR32),#REF!,0),MATCH('Respuestas de formulario 1.1'!ES$1,#REF!,0)))</f>
        <v/>
      </c>
      <c r="ET32" s="56" t="str">
        <f t="array" ref="ET32">IF(DS32="","", INDEX(#REF!,MATCH(CONCATENATE('Respuestas de formulario 1.1'!$B32,DS32),#REF!,0),MATCH('Respuestas de formulario 1.1'!ET$1,#REF!,0)))</f>
        <v/>
      </c>
      <c r="EU32" s="56" t="str">
        <f t="array" ref="EU32">IF(DT32="","", INDEX(#REF!,MATCH(CONCATENATE('Respuestas de formulario 1.1'!$B32,DT32),#REF!,0),MATCH('Respuestas de formulario 1.1'!EU$1,#REF!,0)))</f>
        <v/>
      </c>
      <c r="EV32" s="56" t="str">
        <f t="array" ref="EV32">IF(DU32="","", INDEX(#REF!,MATCH(CONCATENATE('Respuestas de formulario 1.1'!$B32,DU32),#REF!,0),MATCH('Respuestas de formulario 1.1'!EV$1,#REF!,0)))</f>
        <v/>
      </c>
      <c r="EW32" s="45" t="str">
        <f t="array" ref="EW32">IF(DV32="","", INDEX(#REF!,MATCH(CONCATENATE('Respuestas de formulario 1.1'!$B32,DV32),#REF!,0),MATCH('Respuestas de formulario 1.1'!EW$1,#REF!,0)))</f>
        <v/>
      </c>
      <c r="EX32" s="45" t="str">
        <f t="array" ref="EX32">IF($DQ32="","", INDEX(#REF!,MATCH(CONCATENATE('Respuestas de formulario 1.1'!$B32,$DQ32),#REF!,0),MATCH('Respuestas de formulario 1.1'!EX$1,#REF!,0)))</f>
        <v/>
      </c>
      <c r="EY32" s="56" t="str">
        <f t="array" ref="EY32">IF($DQ32="","", INDEX(#REF!,MATCH(CONCATENATE('Respuestas de formulario 1.1'!$B32,$DQ32),#REF!,0),MATCH('Respuestas de formulario 1.1'!EY$1,#REF!,0)))</f>
        <v/>
      </c>
      <c r="EZ32" s="56" t="str">
        <f t="array" ref="EZ32">IF($DQ32="","", INDEX(#REF!,MATCH(CONCATENATE('Respuestas de formulario 1.1'!$B32,$DQ32),#REF!,0),MATCH('Respuestas de formulario 1.1'!EZ$1,#REF!,0)))</f>
        <v/>
      </c>
      <c r="FA32" s="56" t="str">
        <f t="array" ref="FA32">IF($DQ32="","", INDEX(#REF!,MATCH(CONCATENATE('Respuestas de formulario 1.1'!$B32,$DQ32),#REF!,0),MATCH('Respuestas de formulario 1.1'!FA$1,#REF!,0)))</f>
        <v/>
      </c>
      <c r="FB32" s="56" t="str">
        <f t="array" ref="FB32">IF($DQ32="","", INDEX(#REF!,MATCH(CONCATENATE('Respuestas de formulario 1.1'!$B32,$DQ32),#REF!,0),MATCH('Respuestas de formulario 1.1'!FB$1,#REF!,0)))</f>
        <v/>
      </c>
      <c r="FC32" s="56" t="str">
        <f t="array" ref="FC32">IF($DQ32="","", INDEX(#REF!,MATCH(CONCATENATE('Respuestas de formulario 1.1'!$B32,$DQ32),#REF!,0),MATCH('Respuestas de formulario 1.1'!FC$1,#REF!,0)))</f>
        <v/>
      </c>
      <c r="FD32" s="45" t="str">
        <f t="array" ref="FD32">IF($DQ32="","", INDEX(#REF!,MATCH(CONCATENATE('Respuestas de formulario 1.1'!$B32,$DQ32),#REF!,0),MATCH('Respuestas de formulario 1.1'!FD$1,#REF!,0)))</f>
        <v/>
      </c>
      <c r="FE32" s="45" t="str">
        <f t="array" ref="FE32">IF($DR32="","", INDEX(#REF!,MATCH(CONCATENATE(#REF!,$DR32),#REF!,0),MATCH(#REF!,#REF!,0)))</f>
        <v/>
      </c>
      <c r="FF32" s="56" t="str">
        <f t="array" ref="FF32">IF($DR32="","", INDEX(#REF!,MATCH(CONCATENATE(#REF!,$DR32),#REF!,0),MATCH(#REF!,#REF!,0)))</f>
        <v/>
      </c>
      <c r="FG32" s="56" t="str">
        <f t="array" ref="FG32">IF($DR32="","", INDEX(#REF!,MATCH(CONCATENATE(#REF!,$DR32),#REF!,0),MATCH(#REF!,#REF!,0)))</f>
        <v/>
      </c>
      <c r="FH32" s="56" t="str">
        <f t="array" ref="FH32">IF($DR32="","", INDEX(#REF!,MATCH(CONCATENATE(#REF!,$DR32),#REF!,0),MATCH(#REF!,#REF!,0)))</f>
        <v/>
      </c>
      <c r="FI32" s="56" t="str">
        <f t="array" ref="FI32">IF($DR32="","", INDEX(#REF!,MATCH(CONCATENATE(#REF!,$DR32),#REF!,0),MATCH(#REF!,#REF!,0)))</f>
        <v/>
      </c>
      <c r="FJ32" s="56" t="str">
        <f t="array" ref="FJ32">IF($DR32="","", INDEX(#REF!,MATCH(CONCATENATE(#REF!,$DR32),#REF!,0),MATCH(#REF!,#REF!,0)))</f>
        <v/>
      </c>
      <c r="FK32" s="45" t="str">
        <f t="array" ref="FK32">IF($DR32="","", INDEX(#REF!,MATCH(CONCATENATE(#REF!,$DR32),#REF!,0),MATCH(#REF!,#REF!,0)))</f>
        <v/>
      </c>
      <c r="FL32" s="45" t="str">
        <f t="array" ref="FL32">IF($DT32="","", INDEX(#REF!,MATCH(CONCATENATE('Respuestas de formulario 1.1'!$B32,$DS32),#REF!,0),MATCH('Respuestas de formulario 1.1'!FL$1,#REF!,0)))</f>
        <v/>
      </c>
      <c r="FM32" s="56" t="str">
        <f t="array" ref="FM32">IF($DT32="","", INDEX(#REF!,MATCH(CONCATENATE('Respuestas de formulario 1.1'!$B32,$DS32),#REF!,0),MATCH('Respuestas de formulario 1.1'!FM$1,#REF!,0)))</f>
        <v/>
      </c>
      <c r="FN32" s="56" t="str">
        <f t="array" ref="FN32">IF($DT32="","", INDEX(#REF!,MATCH(CONCATENATE('Respuestas de formulario 1.1'!$B32,$DS32),#REF!,0),MATCH('Respuestas de formulario 1.1'!FN$1,#REF!,0)))</f>
        <v/>
      </c>
      <c r="FO32" s="56" t="str">
        <f t="array" ref="FO32">IF($DT32="","", INDEX(#REF!,MATCH(CONCATENATE('Respuestas de formulario 1.1'!$B32,$DS32),#REF!,0),MATCH('Respuestas de formulario 1.1'!FO$1,#REF!,0)))</f>
        <v/>
      </c>
      <c r="FP32" s="56" t="str">
        <f t="array" ref="FP32">IF($DT32="","", INDEX(#REF!,MATCH(CONCATENATE('Respuestas de formulario 1.1'!$B32,$DS32),#REF!,0),MATCH('Respuestas de formulario 1.1'!FP$1,#REF!,0)))</f>
        <v/>
      </c>
      <c r="FQ32" s="56" t="str">
        <f t="array" ref="FQ32">IF($DT32="","", INDEX(#REF!,MATCH(CONCATENATE('Respuestas de formulario 1.1'!$B32,$DS32),#REF!,0),MATCH('Respuestas de formulario 1.1'!FQ$1,#REF!,0)))</f>
        <v/>
      </c>
      <c r="FR32" s="45" t="str">
        <f t="array" ref="FR32">IF($DT32="","", INDEX(#REF!,MATCH(CONCATENATE('Respuestas de formulario 1.1'!$B32,$DS32),#REF!,0),MATCH('Respuestas de formulario 1.1'!FR$1,#REF!,0)))</f>
        <v/>
      </c>
      <c r="FS32" s="45" t="str">
        <f t="array" ref="FS32">IF($DU32="","", INDEX(#REF!,MATCH(CONCATENATE('Respuestas de formulario 1.1'!$B32,$DT32),#REF!,0),MATCH('Respuestas de formulario 1.1'!FS$1,#REF!,0)))</f>
        <v/>
      </c>
      <c r="FT32" s="56" t="str">
        <f t="array" ref="FT32">IF($DU32="","", INDEX(#REF!,MATCH(CONCATENATE('Respuestas de formulario 1.1'!$B32,$DT32),#REF!,0),MATCH('Respuestas de formulario 1.1'!FT$1,#REF!,0)))</f>
        <v/>
      </c>
      <c r="FU32" s="56" t="str">
        <f t="array" ref="FU32">IF($DU32="","", INDEX(#REF!,MATCH(CONCATENATE('Respuestas de formulario 1.1'!$B32,$DT32),#REF!,0),MATCH('Respuestas de formulario 1.1'!FU$1,#REF!,0)))</f>
        <v/>
      </c>
      <c r="FV32" s="56" t="str">
        <f t="array" ref="FV32">IF($DU32="","", INDEX(#REF!,MATCH(CONCATENATE('Respuestas de formulario 1.1'!$B32,$DT32),#REF!,0),MATCH('Respuestas de formulario 1.1'!FV$1,#REF!,0)))</f>
        <v/>
      </c>
      <c r="FW32" s="56" t="str">
        <f t="array" ref="FW32">IF($DU32="","", INDEX(#REF!,MATCH(CONCATENATE('Respuestas de formulario 1.1'!$B32,$DT32),#REF!,0),MATCH('Respuestas de formulario 1.1'!FW$1,#REF!,0)))</f>
        <v/>
      </c>
      <c r="FX32" s="56" t="str">
        <f t="array" ref="FX32">IF($DU32="","", INDEX(#REF!,MATCH(CONCATENATE('Respuestas de formulario 1.1'!$B32,$DT32),#REF!,0),MATCH('Respuestas de formulario 1.1'!FX$1,#REF!,0)))</f>
        <v/>
      </c>
      <c r="FY32" s="45" t="str">
        <f t="array" ref="FY32">IF($DU32="","", INDEX(#REF!,MATCH(CONCATENATE('Respuestas de formulario 1.1'!$B32,$DT32),#REF!,0),MATCH('Respuestas de formulario 1.1'!FY$1,#REF!,0)))</f>
        <v/>
      </c>
      <c r="FZ32" s="3" t="s">
        <v>2860</v>
      </c>
      <c r="GA32" s="1" t="s">
        <v>3359</v>
      </c>
      <c r="GB32" s="5" t="s">
        <v>3360</v>
      </c>
      <c r="GC32" s="4" t="str">
        <f>HYPERLINK("https://drive.google.com/file/d/1f6wg_TpDdc5s5_jo0G_8eDaNYA4k2pBC/view?usp=drivesdk","RUIZ GARCIA GUADALUPE DE  LOS ANGELES Formato de reinscripción y pago 2022-2")</f>
        <v>RUIZ GARCIA GUADALUPE DE  LOS ANGELES Formato de reinscripción y pago 2022-2</v>
      </c>
      <c r="GD32" s="1" t="s">
        <v>3361</v>
      </c>
      <c r="GE32" s="1"/>
      <c r="GF32" s="1"/>
      <c r="GG32" s="1"/>
      <c r="GH32" s="1"/>
      <c r="GI32" s="1" t="s">
        <v>3362</v>
      </c>
      <c r="GJ32" s="5" t="s">
        <v>3363</v>
      </c>
      <c r="GK32" s="5" t="str">
        <f>HYPERLINK("https://drive.google.com/file/d/1k-ePexyd8VmCwNEMR80ogLjJe_AmGKUd/view?usp=drivesdk","RUIZ GARCIA &lt;&lt;Nombre(S)&gt;&gt; Formato de reinscripción y pago 2022-2")</f>
        <v>RUIZ GARCIA &lt;&lt;Nombre(S)&gt;&gt; Formato de reinscripción y pago 2022-2</v>
      </c>
      <c r="GL32" s="1" t="s">
        <v>3364</v>
      </c>
    </row>
    <row r="33" spans="1:194" ht="38.25" x14ac:dyDescent="0.2">
      <c r="A33" s="2">
        <v>45139.775807731479</v>
      </c>
      <c r="B33" s="1" t="s">
        <v>1313</v>
      </c>
      <c r="C33" s="1" t="s">
        <v>585</v>
      </c>
      <c r="D33" s="1" t="s">
        <v>244</v>
      </c>
      <c r="E33" s="1" t="s">
        <v>3365</v>
      </c>
      <c r="F33" s="1" t="s">
        <v>223</v>
      </c>
      <c r="G33" s="5" t="s">
        <v>3366</v>
      </c>
      <c r="H33" s="41">
        <v>39075</v>
      </c>
      <c r="I33" s="1">
        <v>16</v>
      </c>
      <c r="J33" s="1">
        <v>5530562849</v>
      </c>
      <c r="K33" s="1">
        <v>5577061342</v>
      </c>
      <c r="L33" s="1" t="s">
        <v>1314</v>
      </c>
      <c r="M33" s="1">
        <v>21309060570327</v>
      </c>
      <c r="N33" s="1" t="s">
        <v>1108</v>
      </c>
      <c r="O33" s="1" t="s">
        <v>247</v>
      </c>
      <c r="P33" s="1" t="s">
        <v>226</v>
      </c>
      <c r="Q33" s="1" t="s">
        <v>227</v>
      </c>
      <c r="R33" s="1" t="s">
        <v>236</v>
      </c>
      <c r="S33" s="1" t="s">
        <v>228</v>
      </c>
      <c r="T33" s="1" t="s">
        <v>229</v>
      </c>
      <c r="U33" s="1" t="s">
        <v>249</v>
      </c>
      <c r="V33" s="1" t="s">
        <v>228</v>
      </c>
      <c r="W33" s="1" t="s">
        <v>3367</v>
      </c>
      <c r="X33" s="1" t="s">
        <v>393</v>
      </c>
      <c r="Y33" s="1" t="s">
        <v>708</v>
      </c>
      <c r="Z33" s="1" t="s">
        <v>240</v>
      </c>
      <c r="AA33" s="44" t="s">
        <v>707</v>
      </c>
      <c r="AB33" s="1">
        <v>11</v>
      </c>
      <c r="AC33" s="1">
        <v>2</v>
      </c>
      <c r="AD33" s="1" t="s">
        <v>3368</v>
      </c>
      <c r="AE33" s="1" t="s">
        <v>3369</v>
      </c>
      <c r="AF33" s="1" t="s">
        <v>461</v>
      </c>
      <c r="AG33" s="1">
        <v>38</v>
      </c>
      <c r="AH33" s="5" t="s">
        <v>3370</v>
      </c>
      <c r="AI33" s="1">
        <v>5571976097</v>
      </c>
      <c r="AJ33" s="1">
        <v>5577061342</v>
      </c>
      <c r="AK33" s="1" t="s">
        <v>3371</v>
      </c>
      <c r="AL33" s="1" t="s">
        <v>585</v>
      </c>
      <c r="AM33" s="1" t="s">
        <v>392</v>
      </c>
      <c r="AN33" s="1" t="s">
        <v>2063</v>
      </c>
      <c r="AO33" s="1" t="s">
        <v>488</v>
      </c>
      <c r="AP33" s="1">
        <v>19</v>
      </c>
      <c r="AQ33" s="1" t="s">
        <v>1536</v>
      </c>
      <c r="AR33" s="42">
        <v>0.45833333333575865</v>
      </c>
      <c r="AS33" s="42">
        <v>0.20833333333575865</v>
      </c>
      <c r="AT33" s="1">
        <v>5615312439</v>
      </c>
      <c r="AU33" s="1">
        <v>5577061342</v>
      </c>
      <c r="AV33" s="1"/>
      <c r="AW33" s="5" t="s">
        <v>3372</v>
      </c>
      <c r="AX33" s="1" t="s">
        <v>585</v>
      </c>
      <c r="AY33" s="1" t="s">
        <v>244</v>
      </c>
      <c r="AZ33" s="1" t="s">
        <v>399</v>
      </c>
      <c r="BA33" s="1" t="s">
        <v>420</v>
      </c>
      <c r="BB33" s="1">
        <v>40</v>
      </c>
      <c r="BC33" s="1" t="s">
        <v>1536</v>
      </c>
      <c r="BD33" s="43">
        <v>0.20833333333575865</v>
      </c>
      <c r="BE33" s="43">
        <v>0.20833333333575865</v>
      </c>
      <c r="BF33" s="1">
        <v>5610847505</v>
      </c>
      <c r="BG33" s="1">
        <v>5577061342</v>
      </c>
      <c r="BH33" s="1"/>
      <c r="BI33" s="5" t="s">
        <v>3373</v>
      </c>
      <c r="BJ33" s="1" t="s">
        <v>236</v>
      </c>
      <c r="BL33" s="1">
        <v>156</v>
      </c>
      <c r="BM33" s="1">
        <v>50</v>
      </c>
      <c r="BN33" s="1" t="s">
        <v>236</v>
      </c>
      <c r="BO33" s="1" t="s">
        <v>228</v>
      </c>
      <c r="BQ33" s="1" t="s">
        <v>236</v>
      </c>
      <c r="BR33" s="1" t="s">
        <v>348</v>
      </c>
      <c r="BS33" s="1" t="s">
        <v>228</v>
      </c>
      <c r="BT33" s="1" t="s">
        <v>237</v>
      </c>
      <c r="BU33" s="1" t="s">
        <v>228</v>
      </c>
      <c r="BW33" s="1" t="s">
        <v>349</v>
      </c>
      <c r="BX33" s="1">
        <v>1</v>
      </c>
      <c r="BY33" s="1">
        <v>120</v>
      </c>
      <c r="BZ33" s="1" t="s">
        <v>2254</v>
      </c>
      <c r="CA33" s="1" t="s">
        <v>237</v>
      </c>
      <c r="CB33" s="1" t="s">
        <v>231</v>
      </c>
      <c r="CC33" s="1" t="s">
        <v>763</v>
      </c>
      <c r="CD33" s="1">
        <v>400</v>
      </c>
      <c r="CE33" s="1">
        <v>1600</v>
      </c>
      <c r="CF33" s="1" t="s">
        <v>236</v>
      </c>
      <c r="CG33" s="1" t="s">
        <v>242</v>
      </c>
      <c r="CH33" s="1" t="s">
        <v>243</v>
      </c>
      <c r="CI33" s="1" t="s">
        <v>243</v>
      </c>
      <c r="CJ33" s="1" t="s">
        <v>2848</v>
      </c>
      <c r="CL33" s="5" t="s">
        <v>3374</v>
      </c>
      <c r="CM33" s="1">
        <v>15210680227</v>
      </c>
      <c r="CN33" s="1" t="s">
        <v>228</v>
      </c>
      <c r="CQ33" s="42">
        <v>0.29166666666424135</v>
      </c>
      <c r="CR33" s="42">
        <v>0.16666666666424135</v>
      </c>
      <c r="CT33" s="45" t="str">
        <f t="array" ref="CT33">IFERROR(INDEX(#REF!,MATCH('Respuestas de formulario 1.1'!$B33,#REF!,0),MATCH('Respuestas de formulario 1.1'!CT$1,#REF!,0)),"")</f>
        <v/>
      </c>
      <c r="CU33" s="56" t="str">
        <f t="array" ref="CU33">IFERROR(INDEX(#REF!,MATCH('Respuestas de formulario 1.1'!$B33,#REF!,0),MATCH('Respuestas de formulario 1.1'!CU$1,#REF!,0)),"")</f>
        <v/>
      </c>
      <c r="CV33" s="56" t="str">
        <f t="array" ref="CV33">IFERROR(INDEX(#REF!,MATCH('Respuestas de formulario 1.1'!$B33,#REF!,0),MATCH('Respuestas de formulario 1.1'!CV$1,#REF!,0)),"")</f>
        <v/>
      </c>
      <c r="CW33" s="56" t="str">
        <f t="array" ref="CW33">IFERROR(INDEX(#REF!,MATCH('Respuestas de formulario 1.1'!$B33,#REF!,0),MATCH('Respuestas de formulario 1.1'!CW$1,#REF!,0)),"")</f>
        <v/>
      </c>
      <c r="CX33" s="56" t="str">
        <f t="array" ref="CX33">IFERROR(INDEX(#REF!,MATCH('Respuestas de formulario 1.1'!$B33,#REF!,0),MATCH('Respuestas de formulario 1.1'!CX$1,#REF!,0)),"")</f>
        <v/>
      </c>
      <c r="CY33" s="56" t="str">
        <f t="array" ref="CY33">IFERROR(INDEX(#REF!,MATCH('Respuestas de formulario 1.1'!$B33,#REF!,0),MATCH('Respuestas de formulario 1.1'!CY$1,#REF!,0)),"")</f>
        <v/>
      </c>
      <c r="CZ33" s="57" t="str">
        <f t="array" ref="CZ33">IFERROR(INDEX(#REF!,MATCH('Respuestas de formulario 1.1'!$B33,#REF!,0),MATCH('Respuestas de formulario 1.1'!CZ$1,#REF!,0)),"")</f>
        <v/>
      </c>
      <c r="DA33" s="45" t="e">
        <f t="array" ref="DA33">INDEX(#REF!,MATCH('Respuestas de formulario 1.1'!$B33,#REF!,0),MATCH('Respuestas de formulario 1.1'!DA$1,#REF!,0))</f>
        <v>#REF!</v>
      </c>
      <c r="DB33" s="45" t="e">
        <f t="array" ref="DB33">INDEX(#REF!,MATCH('Respuestas de formulario 1.1'!$B33,#REF!,0),MATCH('Respuestas de formulario 1.1'!DB$1,#REF!,0))</f>
        <v>#REF!</v>
      </c>
      <c r="DC33" s="45" t="e">
        <f t="array" ref="DC33">INDEX(#REF!,MATCH('Respuestas de formulario 1.1'!$B33,#REF!,0),MATCH('Respuestas de formulario 1.1'!DC$1,#REF!,0))</f>
        <v>#REF!</v>
      </c>
      <c r="DD33" s="45" t="e">
        <f t="array" ref="DD33">INDEX(#REF!,MATCH('Respuestas de formulario 1.1'!$B33,#REF!,0),MATCH('Respuestas de formulario 1.1'!DD$1,#REF!,0))</f>
        <v>#REF!</v>
      </c>
      <c r="DE33" s="45" t="e">
        <f t="array" ref="DE33">INDEX(#REF!,MATCH('Respuestas de formulario 1.1'!$B33,#REF!,0),MATCH('Respuestas de formulario 1.1'!DE$1,#REF!,0))</f>
        <v>#REF!</v>
      </c>
      <c r="DF33" s="45" t="e">
        <f t="array" ref="DF33">INDEX(#REF!,MATCH('Respuestas de formulario 1.1'!$B33,#REF!,0),MATCH('Respuestas de formulario 1.1'!DF$1,#REF!,0))</f>
        <v>#REF!</v>
      </c>
      <c r="DG33" s="45" t="e">
        <f t="array" ref="DG33">INDEX(#REF!,MATCH('Respuestas de formulario 1.1'!$B33,#REF!,0),MATCH('Respuestas de formulario 1.1'!DG$1,#REF!,0))</f>
        <v>#REF!</v>
      </c>
      <c r="DH33" s="45" t="e">
        <f t="array" ref="DH33">INDEX(#REF!,MATCH('Respuestas de formulario 1.1'!$B33,#REF!,0),MATCH('Respuestas de formulario 1.1'!DH$1,#REF!,0))</f>
        <v>#REF!</v>
      </c>
      <c r="DI33" s="48" t="e">
        <f>VLOOKUP(CONCATENATE($DF33," TUTO ",$DC33),#REF!,3,0)</f>
        <v>#REF!</v>
      </c>
      <c r="DJ33" s="48" t="e">
        <f t="array" ref="DJ33">IF('Respuestas de formulario 1.1'!A33="","",INDEX(#REF!,MATCH('Respuestas de formulario 1.1'!B33,#REF!,0),MATCH('Respuestas de formulario 1.1'!$DH$1,#REF!,0)))</f>
        <v>#REF!</v>
      </c>
      <c r="DK33" s="52" t="str">
        <f>CONCATENATE("http://doc.google.com/uc?id=",MID('Respuestas de formulario 1.1'!G33,34,33))</f>
        <v>http://doc.google.com/uc?id=1djWR34DUW3iim2h1L0BPdQJseQsw_-o5</v>
      </c>
      <c r="DL33" s="49" t="str">
        <f>CONCATENATE("http://doc.google.com/uc?id=",MID('Respuestas de formulario 1.1'!AH33,34,33))</f>
        <v>http://doc.google.com/uc?id=1C71dNXoblbKnJ7pAnZE8OIc12Oc4PGi0</v>
      </c>
      <c r="DM33" s="50" t="str">
        <f>CONCATENATE("http://doc.google.com/uc?id=",MID('Respuestas de formulario 1.1'!AW33,34,33))</f>
        <v>http://doc.google.com/uc?id=1AIzk0G0wz6RK69NcLp6dy6U_m7_kVBuA</v>
      </c>
      <c r="DN33" s="53" t="str">
        <f>CONCATENATE("http://doc.google.com/uc?id=",MID('Respuestas de formulario 1.1'!$BI33,34,33))</f>
        <v>http://doc.google.com/uc?id=1KGjvXaru8hDlgU3F8rc0N56cQSCQwMFE</v>
      </c>
      <c r="DO33" s="45" t="str">
        <f>IFERROR(VLOOKUP(CONCATENATE('Respuestas de formulario 1.1'!$B33,MID('Respuestas de formulario 1.1'!DO$1,2,1)),#REF!,12,0),"")</f>
        <v/>
      </c>
      <c r="DP33" s="45" t="str">
        <f>IFERROR(VLOOKUP(CONCATENATE('Respuestas de formulario 1.1'!$B33,MID('Respuestas de formulario 1.1'!DP$1,2,1)),#REF!,12,0),"")</f>
        <v/>
      </c>
      <c r="DQ33" s="45" t="str">
        <f>IFERROR(VLOOKUP(CONCATENATE('Respuestas de formulario 1.1'!$B33,MID('Respuestas de formulario 1.1'!DQ$1,2,1)),#REF!,12,0),"")</f>
        <v/>
      </c>
      <c r="DR33" s="45" t="str">
        <f>IFERROR(VLOOKUP(CONCATENATE('Respuestas de formulario 1.1'!$B33,MID('Respuestas de formulario 1.1'!DR$1,2,1)),#REF!,12,0),"")</f>
        <v/>
      </c>
      <c r="DS33" s="45" t="str">
        <f>IFERROR(VLOOKUP(CONCATENATE('Respuestas de formulario 1.1'!$B33,MID('Respuestas de formulario 1.1'!DS$1,2,1)),#REF!,12,0),"")</f>
        <v/>
      </c>
      <c r="DT33" s="45" t="str">
        <f>IFERROR(VLOOKUP(CONCATENATE('Respuestas de formulario 1.1'!$B33,MID('Respuestas de formulario 1.1'!DT$1,2,1)),#REF!,12,0),"")</f>
        <v/>
      </c>
      <c r="DU33" s="45" t="str">
        <f>IFERROR(VLOOKUP(CONCATENATE('Respuestas de formulario 1.1'!$B33,MID('Respuestas de formulario 1.1'!DU$1,2,1)),#REF!,12,0),"")</f>
        <v/>
      </c>
      <c r="DV33" s="45" t="str">
        <f>IFERROR(VLOOKUP(CONCATENATE('Respuestas de formulario 1.1'!$B33,MID('Respuestas de formulario 1.1'!DV$1,2,1)),#REF!,12,0),"")</f>
        <v/>
      </c>
      <c r="DW33" s="45" t="str">
        <f>IFERROR(VLOOKUP(CONCATENATE('Respuestas de formulario 1.1'!$B33,MID('Respuestas de formulario 1.1'!DW$1,2,1)),#REF!,12,0),"")</f>
        <v/>
      </c>
      <c r="DX33" s="45" t="str">
        <f>IFERROR(VLOOKUP(CONCATENATE('Respuestas de formulario 1.1'!$B33,MID('Respuestas de formulario 1.1'!DX$1,2,1)),#REF!,12,0),"")</f>
        <v/>
      </c>
      <c r="DY33" s="45" t="str">
        <f>IFERROR(VLOOKUP(CONCATENATE('Respuestas de formulario 1.1'!$B33,MID('Respuestas de formulario 1.1'!DY$1,2,1)),#REF!,12,0),"")</f>
        <v/>
      </c>
      <c r="DZ33" s="45" t="str">
        <f>IFERROR(VLOOKUP(CONCATENATE('Respuestas de formulario 1.1'!$B33,MID('Respuestas de formulario 1.1'!DZ$1,2,1)),#REF!,12,0),"")</f>
        <v/>
      </c>
      <c r="EA33" s="45" t="str">
        <f>IFERROR(VLOOKUP(CONCATENATE('Respuestas de formulario 1.1'!$B33,MID('Respuestas de formulario 1.1'!EA$1,2,1)),#REF!,12,0),"")</f>
        <v/>
      </c>
      <c r="EB33" s="45" t="str">
        <f>IFERROR(VLOOKUP(CONCATENATE('Respuestas de formulario 1.1'!$B33,MID('Respuestas de formulario 1.1'!EB$1,2,1)),#REF!,12,0),"")</f>
        <v/>
      </c>
      <c r="EC33" s="45" t="str">
        <f>IFERROR(VLOOKUP(CONCATENATE('Respuestas de formulario 1.1'!$B33,MID('Respuestas de formulario 1.1'!EC$1,2,1)),#REF!,12,0),"")</f>
        <v/>
      </c>
      <c r="ED33" s="45" t="str">
        <f>IFERROR(VLOOKUP(CONCATENATE('Respuestas de formulario 1.1'!$B33,MID('Respuestas de formulario 1.1'!ED$1,2,1)),#REF!,12,0),"")</f>
        <v/>
      </c>
      <c r="EE33" s="45" t="str">
        <f>IFERROR(VLOOKUP(CONCATENATE('Respuestas de formulario 1.1'!$B33,MID('Respuestas de formulario 1.1'!EE$1,2,1)),#REF!,12,0),"")</f>
        <v/>
      </c>
      <c r="EF33" s="45" t="str">
        <f>IFERROR(VLOOKUP(CONCATENATE('Respuestas de formulario 1.1'!$B33,MID('Respuestas de formulario 1.1'!EF$1,2,1)),#REF!,12,0),"")</f>
        <v/>
      </c>
      <c r="EG33" s="45" t="str">
        <f>IFERROR(VLOOKUP(CONCATENATE('Respuestas de formulario 1.1'!$B33,MID('Respuestas de formulario 1.1'!EG$1,2,1)),#REF!,12,0),"")</f>
        <v/>
      </c>
      <c r="EH33" s="45" t="str">
        <f>IFERROR(VLOOKUP(CONCATENATE('Respuestas de formulario 1.1'!$B33,MID('Respuestas de formulario 1.1'!EH$1,2,1)),#REF!,12,0),"")</f>
        <v/>
      </c>
      <c r="EI33" s="45" t="str">
        <f>IFERROR(VLOOKUP(CONCATENATE('Respuestas de formulario 1.1'!$B33,MID('Respuestas de formulario 1.1'!EI$1,2,1)),#REF!,12,0),"")</f>
        <v/>
      </c>
      <c r="EJ33" s="45" t="str">
        <f t="array" ref="EJ33">IF(DO33="","", INDEX(#REF!,MATCH(CONCATENATE('Respuestas de formulario 1.1'!$B33,DO33),#REF!,0),MATCH('Respuestas de formulario 1.1'!EJ$1,#REF!,0)))</f>
        <v/>
      </c>
      <c r="EK33" s="56" t="str">
        <f t="array" ref="EK33">IF(DP33="","", INDEX(#REF!,MATCH(CONCATENATE('Respuestas de formulario 1.1'!$B33,DP33),#REF!,0),MATCH('Respuestas de formulario 1.1'!EK$1,#REF!,0)))</f>
        <v/>
      </c>
      <c r="EL33" s="56" t="str">
        <f t="array" ref="EL33">IF(DQ33="","", INDEX(#REF!,MATCH(CONCATENATE('Respuestas de formulario 1.1'!$B33,DQ33),#REF!,0),MATCH('Respuestas de formulario 1.1'!EL$1,#REF!,0)))</f>
        <v/>
      </c>
      <c r="EM33" s="56" t="str">
        <f t="array" ref="EM33">IF(DR33="","", INDEX(#REF!,MATCH(CONCATENATE('Respuestas de formulario 1.1'!$B33,DR33),#REF!,0),MATCH('Respuestas de formulario 1.1'!EM$1,#REF!,0)))</f>
        <v/>
      </c>
      <c r="EN33" s="56" t="str">
        <f t="array" ref="EN33">IF(DS33="","", INDEX(#REF!,MATCH(CONCATENATE('Respuestas de formulario 1.1'!$B33,DS33),#REF!,0),MATCH('Respuestas de formulario 1.1'!EN$1,#REF!,0)))</f>
        <v/>
      </c>
      <c r="EO33" s="56" t="str">
        <f t="array" ref="EO33">IF(DT33="","", INDEX(#REF!,MATCH(CONCATENATE('Respuestas de formulario 1.1'!$B33,DT33),#REF!,0),MATCH('Respuestas de formulario 1.1'!EO$1,#REF!,0)))</f>
        <v/>
      </c>
      <c r="EP33" s="45" t="str">
        <f t="array" ref="EP33">IF(DU33="","", INDEX(#REF!,MATCH(CONCATENATE('Respuestas de formulario 1.1'!$B33,DU33),#REF!,0),MATCH('Respuestas de formulario 1.1'!EP$1,#REF!,0)))</f>
        <v/>
      </c>
      <c r="EQ33" s="45" t="str">
        <f t="array" ref="EQ33">IF(DP33="","", INDEX(#REF!,MATCH(CONCATENATE('Respuestas de formulario 1.1'!$B33,DP33),#REF!,0),MATCH('Respuestas de formulario 1.1'!EQ$1,#REF!,0)))</f>
        <v/>
      </c>
      <c r="ER33" s="56" t="str">
        <f t="array" ref="ER33">IF(DQ33="","", INDEX(#REF!,MATCH(CONCATENATE('Respuestas de formulario 1.1'!$B33,DQ33),#REF!,0),MATCH('Respuestas de formulario 1.1'!ER$1,#REF!,0)))</f>
        <v/>
      </c>
      <c r="ES33" s="56" t="str">
        <f t="array" ref="ES33">IF(DR33="","", INDEX(#REF!,MATCH(CONCATENATE('Respuestas de formulario 1.1'!$B33,DR33),#REF!,0),MATCH('Respuestas de formulario 1.1'!ES$1,#REF!,0)))</f>
        <v/>
      </c>
      <c r="ET33" s="56" t="str">
        <f t="array" ref="ET33">IF(DS33="","", INDEX(#REF!,MATCH(CONCATENATE('Respuestas de formulario 1.1'!$B33,DS33),#REF!,0),MATCH('Respuestas de formulario 1.1'!ET$1,#REF!,0)))</f>
        <v/>
      </c>
      <c r="EU33" s="56" t="str">
        <f t="array" ref="EU33">IF(DT33="","", INDEX(#REF!,MATCH(CONCATENATE('Respuestas de formulario 1.1'!$B33,DT33),#REF!,0),MATCH('Respuestas de formulario 1.1'!EU$1,#REF!,0)))</f>
        <v/>
      </c>
      <c r="EV33" s="56" t="str">
        <f t="array" ref="EV33">IF(DU33="","", INDEX(#REF!,MATCH(CONCATENATE('Respuestas de formulario 1.1'!$B33,DU33),#REF!,0),MATCH('Respuestas de formulario 1.1'!EV$1,#REF!,0)))</f>
        <v/>
      </c>
      <c r="EW33" s="45" t="str">
        <f t="array" ref="EW33">IF(DV33="","", INDEX(#REF!,MATCH(CONCATENATE('Respuestas de formulario 1.1'!$B33,DV33),#REF!,0),MATCH('Respuestas de formulario 1.1'!EW$1,#REF!,0)))</f>
        <v/>
      </c>
      <c r="EX33" s="45" t="str">
        <f t="array" ref="EX33">IF($DQ33="","", INDEX(#REF!,MATCH(CONCATENATE('Respuestas de formulario 1.1'!$B33,$DQ33),#REF!,0),MATCH('Respuestas de formulario 1.1'!EX$1,#REF!,0)))</f>
        <v/>
      </c>
      <c r="EY33" s="56" t="str">
        <f t="array" ref="EY33">IF($DQ33="","", INDEX(#REF!,MATCH(CONCATENATE('Respuestas de formulario 1.1'!$B33,$DQ33),#REF!,0),MATCH('Respuestas de formulario 1.1'!EY$1,#REF!,0)))</f>
        <v/>
      </c>
      <c r="EZ33" s="56" t="str">
        <f t="array" ref="EZ33">IF($DQ33="","", INDEX(#REF!,MATCH(CONCATENATE('Respuestas de formulario 1.1'!$B33,$DQ33),#REF!,0),MATCH('Respuestas de formulario 1.1'!EZ$1,#REF!,0)))</f>
        <v/>
      </c>
      <c r="FA33" s="56" t="str">
        <f t="array" ref="FA33">IF($DQ33="","", INDEX(#REF!,MATCH(CONCATENATE('Respuestas de formulario 1.1'!$B33,$DQ33),#REF!,0),MATCH('Respuestas de formulario 1.1'!FA$1,#REF!,0)))</f>
        <v/>
      </c>
      <c r="FB33" s="56" t="str">
        <f t="array" ref="FB33">IF($DQ33="","", INDEX(#REF!,MATCH(CONCATENATE('Respuestas de formulario 1.1'!$B33,$DQ33),#REF!,0),MATCH('Respuestas de formulario 1.1'!FB$1,#REF!,0)))</f>
        <v/>
      </c>
      <c r="FC33" s="56" t="str">
        <f t="array" ref="FC33">IF($DQ33="","", INDEX(#REF!,MATCH(CONCATENATE('Respuestas de formulario 1.1'!$B33,$DQ33),#REF!,0),MATCH('Respuestas de formulario 1.1'!FC$1,#REF!,0)))</f>
        <v/>
      </c>
      <c r="FD33" s="45" t="str">
        <f t="array" ref="FD33">IF($DQ33="","", INDEX(#REF!,MATCH(CONCATENATE('Respuestas de formulario 1.1'!$B33,$DQ33),#REF!,0),MATCH('Respuestas de formulario 1.1'!FD$1,#REF!,0)))</f>
        <v/>
      </c>
      <c r="FE33" s="45" t="str">
        <f t="array" ref="FE33">IF($DR33="","", INDEX(#REF!,MATCH(CONCATENATE(#REF!,$DR33),#REF!,0),MATCH(#REF!,#REF!,0)))</f>
        <v/>
      </c>
      <c r="FF33" s="56" t="str">
        <f t="array" ref="FF33">IF($DR33="","", INDEX(#REF!,MATCH(CONCATENATE(#REF!,$DR33),#REF!,0),MATCH(#REF!,#REF!,0)))</f>
        <v/>
      </c>
      <c r="FG33" s="56" t="str">
        <f t="array" ref="FG33">IF($DR33="","", INDEX(#REF!,MATCH(CONCATENATE(#REF!,$DR33),#REF!,0),MATCH(#REF!,#REF!,0)))</f>
        <v/>
      </c>
      <c r="FH33" s="56" t="str">
        <f t="array" ref="FH33">IF($DR33="","", INDEX(#REF!,MATCH(CONCATENATE(#REF!,$DR33),#REF!,0),MATCH(#REF!,#REF!,0)))</f>
        <v/>
      </c>
      <c r="FI33" s="56" t="str">
        <f t="array" ref="FI33">IF($DR33="","", INDEX(#REF!,MATCH(CONCATENATE(#REF!,$DR33),#REF!,0),MATCH(#REF!,#REF!,0)))</f>
        <v/>
      </c>
      <c r="FJ33" s="56" t="str">
        <f t="array" ref="FJ33">IF($DR33="","", INDEX(#REF!,MATCH(CONCATENATE(#REF!,$DR33),#REF!,0),MATCH(#REF!,#REF!,0)))</f>
        <v/>
      </c>
      <c r="FK33" s="45" t="str">
        <f t="array" ref="FK33">IF($DR33="","", INDEX(#REF!,MATCH(CONCATENATE(#REF!,$DR33),#REF!,0),MATCH(#REF!,#REF!,0)))</f>
        <v/>
      </c>
      <c r="FL33" s="45" t="str">
        <f t="array" ref="FL33">IF($DT33="","", INDEX(#REF!,MATCH(CONCATENATE('Respuestas de formulario 1.1'!$B33,$DS33),#REF!,0),MATCH('Respuestas de formulario 1.1'!FL$1,#REF!,0)))</f>
        <v/>
      </c>
      <c r="FM33" s="56" t="str">
        <f t="array" ref="FM33">IF($DT33="","", INDEX(#REF!,MATCH(CONCATENATE('Respuestas de formulario 1.1'!$B33,$DS33),#REF!,0),MATCH('Respuestas de formulario 1.1'!FM$1,#REF!,0)))</f>
        <v/>
      </c>
      <c r="FN33" s="56" t="str">
        <f t="array" ref="FN33">IF($DT33="","", INDEX(#REF!,MATCH(CONCATENATE('Respuestas de formulario 1.1'!$B33,$DS33),#REF!,0),MATCH('Respuestas de formulario 1.1'!FN$1,#REF!,0)))</f>
        <v/>
      </c>
      <c r="FO33" s="56" t="str">
        <f t="array" ref="FO33">IF($DT33="","", INDEX(#REF!,MATCH(CONCATENATE('Respuestas de formulario 1.1'!$B33,$DS33),#REF!,0),MATCH('Respuestas de formulario 1.1'!FO$1,#REF!,0)))</f>
        <v/>
      </c>
      <c r="FP33" s="56" t="str">
        <f t="array" ref="FP33">IF($DT33="","", INDEX(#REF!,MATCH(CONCATENATE('Respuestas de formulario 1.1'!$B33,$DS33),#REF!,0),MATCH('Respuestas de formulario 1.1'!FP$1,#REF!,0)))</f>
        <v/>
      </c>
      <c r="FQ33" s="56" t="str">
        <f t="array" ref="FQ33">IF($DT33="","", INDEX(#REF!,MATCH(CONCATENATE('Respuestas de formulario 1.1'!$B33,$DS33),#REF!,0),MATCH('Respuestas de formulario 1.1'!FQ$1,#REF!,0)))</f>
        <v/>
      </c>
      <c r="FR33" s="45" t="str">
        <f t="array" ref="FR33">IF($DT33="","", INDEX(#REF!,MATCH(CONCATENATE('Respuestas de formulario 1.1'!$B33,$DS33),#REF!,0),MATCH('Respuestas de formulario 1.1'!FR$1,#REF!,0)))</f>
        <v/>
      </c>
      <c r="FS33" s="45" t="str">
        <f t="array" ref="FS33">IF($DU33="","", INDEX(#REF!,MATCH(CONCATENATE('Respuestas de formulario 1.1'!$B33,$DT33),#REF!,0),MATCH('Respuestas de formulario 1.1'!FS$1,#REF!,0)))</f>
        <v/>
      </c>
      <c r="FT33" s="56" t="str">
        <f t="array" ref="FT33">IF($DU33="","", INDEX(#REF!,MATCH(CONCATENATE('Respuestas de formulario 1.1'!$B33,$DT33),#REF!,0),MATCH('Respuestas de formulario 1.1'!FT$1,#REF!,0)))</f>
        <v/>
      </c>
      <c r="FU33" s="56" t="str">
        <f t="array" ref="FU33">IF($DU33="","", INDEX(#REF!,MATCH(CONCATENATE('Respuestas de formulario 1.1'!$B33,$DT33),#REF!,0),MATCH('Respuestas de formulario 1.1'!FU$1,#REF!,0)))</f>
        <v/>
      </c>
      <c r="FV33" s="56" t="str">
        <f t="array" ref="FV33">IF($DU33="","", INDEX(#REF!,MATCH(CONCATENATE('Respuestas de formulario 1.1'!$B33,$DT33),#REF!,0),MATCH('Respuestas de formulario 1.1'!FV$1,#REF!,0)))</f>
        <v/>
      </c>
      <c r="FW33" s="56" t="str">
        <f t="array" ref="FW33">IF($DU33="","", INDEX(#REF!,MATCH(CONCATENATE('Respuestas de formulario 1.1'!$B33,$DT33),#REF!,0),MATCH('Respuestas de formulario 1.1'!FW$1,#REF!,0)))</f>
        <v/>
      </c>
      <c r="FX33" s="56" t="str">
        <f t="array" ref="FX33">IF($DU33="","", INDEX(#REF!,MATCH(CONCATENATE('Respuestas de formulario 1.1'!$B33,$DT33),#REF!,0),MATCH('Respuestas de formulario 1.1'!FX$1,#REF!,0)))</f>
        <v/>
      </c>
      <c r="FY33" s="45" t="str">
        <f t="array" ref="FY33">IF($DU33="","", INDEX(#REF!,MATCH(CONCATENATE('Respuestas de formulario 1.1'!$B33,$DT33),#REF!,0),MATCH('Respuestas de formulario 1.1'!FY$1,#REF!,0)))</f>
        <v/>
      </c>
      <c r="FZ33" s="3" t="s">
        <v>2860</v>
      </c>
      <c r="GA33" s="1" t="s">
        <v>3375</v>
      </c>
      <c r="GB33" s="5" t="s">
        <v>3376</v>
      </c>
      <c r="GC33" s="4" t="str">
        <f>HYPERLINK("https://drive.google.com/file/d/1XmFm0Qv8knyGUp50idkQ2ncH6jWWOyiU/view?usp=drivesdk","SANCHEZ HERNANDEZ NICOLE Formato de reinscripción y pago 2022-2")</f>
        <v>SANCHEZ HERNANDEZ NICOLE Formato de reinscripción y pago 2022-2</v>
      </c>
      <c r="GD33" s="1" t="s">
        <v>3377</v>
      </c>
      <c r="GE33" s="1"/>
      <c r="GF33" s="1"/>
      <c r="GG33" s="1"/>
      <c r="GH33" s="1"/>
      <c r="GI33" s="1" t="s">
        <v>3378</v>
      </c>
      <c r="GJ33" s="5" t="s">
        <v>3379</v>
      </c>
      <c r="GK33" s="5" t="str">
        <f>HYPERLINK("https://drive.google.com/file/d/10lrzXxHhVf79OGUWwsc1FEnI7dPRuiVa/view?usp=drivesdk","SANCHEZ HERNANDEZ &lt;&lt;Nombre(S)&gt;&gt; Formato de reinscripción y pago 2022-2")</f>
        <v>SANCHEZ HERNANDEZ &lt;&lt;Nombre(S)&gt;&gt; Formato de reinscripción y pago 2022-2</v>
      </c>
      <c r="GL33" s="1" t="s">
        <v>3380</v>
      </c>
    </row>
    <row r="34" spans="1:194" ht="38.25" x14ac:dyDescent="0.2">
      <c r="A34" s="2">
        <v>45141.659403784724</v>
      </c>
      <c r="B34" s="1" t="s">
        <v>21</v>
      </c>
      <c r="C34" s="1" t="s">
        <v>587</v>
      </c>
      <c r="D34" s="1" t="s">
        <v>978</v>
      </c>
      <c r="E34" s="1" t="s">
        <v>1929</v>
      </c>
      <c r="F34" s="1" t="s">
        <v>262</v>
      </c>
      <c r="G34" s="5" t="s">
        <v>3381</v>
      </c>
      <c r="H34" s="41">
        <v>39431</v>
      </c>
      <c r="I34" s="1">
        <v>15</v>
      </c>
      <c r="J34" s="1">
        <v>5580327119</v>
      </c>
      <c r="K34" s="1">
        <v>5593679365</v>
      </c>
      <c r="L34" s="1" t="s">
        <v>3382</v>
      </c>
      <c r="M34" s="1">
        <v>22309060570976</v>
      </c>
      <c r="N34" s="1" t="s">
        <v>562</v>
      </c>
      <c r="O34" s="1" t="s">
        <v>225</v>
      </c>
      <c r="P34" s="1" t="s">
        <v>226</v>
      </c>
      <c r="Q34" s="1" t="s">
        <v>227</v>
      </c>
      <c r="R34" s="1" t="s">
        <v>236</v>
      </c>
      <c r="S34" s="1" t="s">
        <v>228</v>
      </c>
      <c r="T34" s="1" t="s">
        <v>411</v>
      </c>
      <c r="U34" s="1" t="s">
        <v>249</v>
      </c>
      <c r="V34" s="1" t="s">
        <v>228</v>
      </c>
      <c r="W34" s="1" t="s">
        <v>684</v>
      </c>
      <c r="X34" s="1" t="s">
        <v>249</v>
      </c>
      <c r="Y34" s="1" t="s">
        <v>684</v>
      </c>
      <c r="Z34" s="1" t="s">
        <v>240</v>
      </c>
      <c r="AA34" s="44" t="s">
        <v>681</v>
      </c>
      <c r="AB34" s="1" t="s">
        <v>632</v>
      </c>
      <c r="AC34" s="1" t="s">
        <v>2777</v>
      </c>
      <c r="AD34" s="1" t="s">
        <v>3383</v>
      </c>
      <c r="AE34" s="1" t="s">
        <v>3384</v>
      </c>
      <c r="AF34" s="1" t="s">
        <v>461</v>
      </c>
      <c r="AG34" s="1">
        <v>34</v>
      </c>
      <c r="AH34" s="5" t="s">
        <v>3385</v>
      </c>
      <c r="AI34" s="1">
        <v>5511230897</v>
      </c>
      <c r="AJ34" s="1">
        <v>5593679365</v>
      </c>
      <c r="AK34" s="1" t="s">
        <v>3386</v>
      </c>
      <c r="AL34" s="1" t="s">
        <v>587</v>
      </c>
      <c r="AM34" s="1" t="s">
        <v>727</v>
      </c>
      <c r="AN34" s="1" t="s">
        <v>1931</v>
      </c>
      <c r="AO34" s="1" t="s">
        <v>420</v>
      </c>
      <c r="AP34" s="1">
        <v>34</v>
      </c>
      <c r="AQ34" s="1" t="s">
        <v>306</v>
      </c>
      <c r="AR34" s="42">
        <v>0</v>
      </c>
      <c r="AS34" s="42">
        <v>0</v>
      </c>
      <c r="AT34" s="1">
        <v>5517715384</v>
      </c>
      <c r="AU34" s="1">
        <v>5593679365</v>
      </c>
      <c r="AV34" s="1" t="s">
        <v>3386</v>
      </c>
      <c r="AW34" s="5" t="s">
        <v>3387</v>
      </c>
      <c r="AX34" s="1" t="s">
        <v>1930</v>
      </c>
      <c r="AY34" s="1" t="s">
        <v>560</v>
      </c>
      <c r="AZ34" s="1" t="s">
        <v>1738</v>
      </c>
      <c r="BA34" s="1" t="s">
        <v>968</v>
      </c>
      <c r="BB34" s="1">
        <v>62</v>
      </c>
      <c r="BC34" s="1" t="s">
        <v>454</v>
      </c>
      <c r="BD34" s="43">
        <v>0</v>
      </c>
      <c r="BE34" s="43">
        <v>0</v>
      </c>
      <c r="BF34" s="1">
        <v>4271198948</v>
      </c>
      <c r="BG34" s="1">
        <v>4271198948</v>
      </c>
      <c r="BH34" s="1" t="s">
        <v>3388</v>
      </c>
      <c r="BI34" s="5" t="s">
        <v>3389</v>
      </c>
      <c r="BJ34" s="1" t="s">
        <v>236</v>
      </c>
      <c r="BL34" s="1">
        <v>1.73</v>
      </c>
      <c r="BM34" s="1">
        <v>73</v>
      </c>
      <c r="BN34" s="1" t="s">
        <v>236</v>
      </c>
      <c r="BO34" s="1" t="s">
        <v>228</v>
      </c>
      <c r="BP34" s="1"/>
      <c r="BQ34" s="1" t="s">
        <v>236</v>
      </c>
      <c r="BR34" s="1" t="s">
        <v>348</v>
      </c>
      <c r="BS34" s="1" t="s">
        <v>236</v>
      </c>
      <c r="BT34" s="1" t="s">
        <v>331</v>
      </c>
      <c r="BU34" s="1" t="s">
        <v>228</v>
      </c>
      <c r="BW34" s="1" t="s">
        <v>238</v>
      </c>
      <c r="BX34" s="1">
        <v>120</v>
      </c>
      <c r="BY34" s="1">
        <v>200</v>
      </c>
      <c r="BZ34" s="1" t="s">
        <v>284</v>
      </c>
      <c r="CA34" s="1" t="s">
        <v>933</v>
      </c>
      <c r="CB34" s="1" t="s">
        <v>240</v>
      </c>
      <c r="CC34" s="1" t="s">
        <v>581</v>
      </c>
      <c r="CD34" s="1">
        <v>5000</v>
      </c>
      <c r="CE34" s="1">
        <v>5000</v>
      </c>
      <c r="CF34" s="1" t="s">
        <v>228</v>
      </c>
      <c r="CG34" s="1" t="s">
        <v>242</v>
      </c>
      <c r="CH34" s="1" t="s">
        <v>243</v>
      </c>
      <c r="CI34" s="1" t="s">
        <v>243</v>
      </c>
      <c r="CJ34" s="1" t="s">
        <v>2848</v>
      </c>
      <c r="CL34" s="5" t="s">
        <v>3390</v>
      </c>
      <c r="CM34" s="1">
        <v>16220782771</v>
      </c>
      <c r="CN34" s="1" t="s">
        <v>228</v>
      </c>
      <c r="CQ34" s="42">
        <v>0</v>
      </c>
      <c r="CR34" s="42">
        <v>0</v>
      </c>
      <c r="CT34" s="45" t="str">
        <f t="array" ref="CT34">IFERROR(INDEX(#REF!,MATCH('Respuestas de formulario 1.1'!$B34,#REF!,0),MATCH('Respuestas de formulario 1.1'!CT$1,#REF!,0)),"")</f>
        <v/>
      </c>
      <c r="CU34" s="56" t="str">
        <f t="array" ref="CU34">IFERROR(INDEX(#REF!,MATCH('Respuestas de formulario 1.1'!$B34,#REF!,0),MATCH('Respuestas de formulario 1.1'!CU$1,#REF!,0)),"")</f>
        <v/>
      </c>
      <c r="CV34" s="56" t="str">
        <f t="array" ref="CV34">IFERROR(INDEX(#REF!,MATCH('Respuestas de formulario 1.1'!$B34,#REF!,0),MATCH('Respuestas de formulario 1.1'!CV$1,#REF!,0)),"")</f>
        <v/>
      </c>
      <c r="CW34" s="56" t="str">
        <f t="array" ref="CW34">IFERROR(INDEX(#REF!,MATCH('Respuestas de formulario 1.1'!$B34,#REF!,0),MATCH('Respuestas de formulario 1.1'!CW$1,#REF!,0)),"")</f>
        <v/>
      </c>
      <c r="CX34" s="56" t="str">
        <f t="array" ref="CX34">IFERROR(INDEX(#REF!,MATCH('Respuestas de formulario 1.1'!$B34,#REF!,0),MATCH('Respuestas de formulario 1.1'!CX$1,#REF!,0)),"")</f>
        <v/>
      </c>
      <c r="CY34" s="56" t="str">
        <f t="array" ref="CY34">IFERROR(INDEX(#REF!,MATCH('Respuestas de formulario 1.1'!$B34,#REF!,0),MATCH('Respuestas de formulario 1.1'!CY$1,#REF!,0)),"")</f>
        <v/>
      </c>
      <c r="CZ34" s="57" t="str">
        <f t="array" ref="CZ34">IFERROR(INDEX(#REF!,MATCH('Respuestas de formulario 1.1'!$B34,#REF!,0),MATCH('Respuestas de formulario 1.1'!CZ$1,#REF!,0)),"")</f>
        <v/>
      </c>
      <c r="DA34" s="45" t="e">
        <f t="array" ref="DA34">INDEX(#REF!,MATCH('Respuestas de formulario 1.1'!$B34,#REF!,0),MATCH('Respuestas de formulario 1.1'!DA$1,#REF!,0))</f>
        <v>#REF!</v>
      </c>
      <c r="DB34" s="45" t="e">
        <f t="array" ref="DB34">INDEX(#REF!,MATCH('Respuestas de formulario 1.1'!$B34,#REF!,0),MATCH('Respuestas de formulario 1.1'!DB$1,#REF!,0))</f>
        <v>#REF!</v>
      </c>
      <c r="DC34" s="45" t="e">
        <f t="array" ref="DC34">INDEX(#REF!,MATCH('Respuestas de formulario 1.1'!$B34,#REF!,0),MATCH('Respuestas de formulario 1.1'!DC$1,#REF!,0))</f>
        <v>#REF!</v>
      </c>
      <c r="DD34" s="45" t="e">
        <f t="array" ref="DD34">INDEX(#REF!,MATCH('Respuestas de formulario 1.1'!$B34,#REF!,0),MATCH('Respuestas de formulario 1.1'!DD$1,#REF!,0))</f>
        <v>#REF!</v>
      </c>
      <c r="DE34" s="45" t="e">
        <f t="array" ref="DE34">INDEX(#REF!,MATCH('Respuestas de formulario 1.1'!$B34,#REF!,0),MATCH('Respuestas de formulario 1.1'!DE$1,#REF!,0))</f>
        <v>#REF!</v>
      </c>
      <c r="DF34" s="45" t="e">
        <f t="array" ref="DF34">INDEX(#REF!,MATCH('Respuestas de formulario 1.1'!$B34,#REF!,0),MATCH('Respuestas de formulario 1.1'!DF$1,#REF!,0))</f>
        <v>#REF!</v>
      </c>
      <c r="DG34" s="45" t="e">
        <f t="array" ref="DG34">INDEX(#REF!,MATCH('Respuestas de formulario 1.1'!$B34,#REF!,0),MATCH('Respuestas de formulario 1.1'!DG$1,#REF!,0))</f>
        <v>#REF!</v>
      </c>
      <c r="DH34" s="45" t="e">
        <f t="array" ref="DH34">INDEX(#REF!,MATCH('Respuestas de formulario 1.1'!$B34,#REF!,0),MATCH('Respuestas de formulario 1.1'!DH$1,#REF!,0))</f>
        <v>#REF!</v>
      </c>
      <c r="DI34" s="48" t="e">
        <f>VLOOKUP(CONCATENATE($DF34," TUTO ",$DC34),#REF!,3,0)</f>
        <v>#REF!</v>
      </c>
      <c r="DJ34" s="48" t="e">
        <f t="array" ref="DJ34">IF('Respuestas de formulario 1.1'!A34="","",INDEX(#REF!,MATCH('Respuestas de formulario 1.1'!B34,#REF!,0),MATCH('Respuestas de formulario 1.1'!$DH$1,#REF!,0)))</f>
        <v>#REF!</v>
      </c>
      <c r="DK34" s="52" t="str">
        <f>CONCATENATE("http://doc.google.com/uc?id=",MID('Respuestas de formulario 1.1'!G34,34,33))</f>
        <v>http://doc.google.com/uc?id=1jCctQ4lY3b6UtpVV2UjdZLWjT_HlRJM8</v>
      </c>
      <c r="DL34" s="49" t="str">
        <f>CONCATENATE("http://doc.google.com/uc?id=",MID('Respuestas de formulario 1.1'!AH34,34,33))</f>
        <v>http://doc.google.com/uc?id=1aNRHjTHlkRDjywpkgDhesA0HeV9HYgf4</v>
      </c>
      <c r="DM34" s="50" t="str">
        <f>CONCATENATE("http://doc.google.com/uc?id=",MID('Respuestas de formulario 1.1'!AW34,34,33))</f>
        <v>http://doc.google.com/uc?id=1TflvZHUNWvRUaVrtF43lE13z3GH192Yk</v>
      </c>
      <c r="DN34" s="53" t="str">
        <f>CONCATENATE("http://doc.google.com/uc?id=",MID('Respuestas de formulario 1.1'!$BI34,34,33))</f>
        <v>http://doc.google.com/uc?id=18I8icc0OO5gqOZugVzwaFeLZNH3-y_zu</v>
      </c>
      <c r="DO34" s="45" t="str">
        <f>IFERROR(VLOOKUP(CONCATENATE('Respuestas de formulario 1.1'!$B34,MID('Respuestas de formulario 1.1'!DO$1,2,1)),#REF!,12,0),"")</f>
        <v/>
      </c>
      <c r="DP34" s="45" t="str">
        <f>IFERROR(VLOOKUP(CONCATENATE('Respuestas de formulario 1.1'!$B34,MID('Respuestas de formulario 1.1'!DP$1,2,1)),#REF!,12,0),"")</f>
        <v/>
      </c>
      <c r="DQ34" s="45" t="str">
        <f>IFERROR(VLOOKUP(CONCATENATE('Respuestas de formulario 1.1'!$B34,MID('Respuestas de formulario 1.1'!DQ$1,2,1)),#REF!,12,0),"")</f>
        <v/>
      </c>
      <c r="DR34" s="45" t="str">
        <f>IFERROR(VLOOKUP(CONCATENATE('Respuestas de formulario 1.1'!$B34,MID('Respuestas de formulario 1.1'!DR$1,2,1)),#REF!,12,0),"")</f>
        <v/>
      </c>
      <c r="DS34" s="45" t="str">
        <f>IFERROR(VLOOKUP(CONCATENATE('Respuestas de formulario 1.1'!$B34,MID('Respuestas de formulario 1.1'!DS$1,2,1)),#REF!,12,0),"")</f>
        <v/>
      </c>
      <c r="DT34" s="45" t="str">
        <f>IFERROR(VLOOKUP(CONCATENATE('Respuestas de formulario 1.1'!$B34,MID('Respuestas de formulario 1.1'!DT$1,2,1)),#REF!,12,0),"")</f>
        <v/>
      </c>
      <c r="DU34" s="45" t="str">
        <f>IFERROR(VLOOKUP(CONCATENATE('Respuestas de formulario 1.1'!$B34,MID('Respuestas de formulario 1.1'!DU$1,2,1)),#REF!,12,0),"")</f>
        <v/>
      </c>
      <c r="DV34" s="45" t="str">
        <f>IFERROR(VLOOKUP(CONCATENATE('Respuestas de formulario 1.1'!$B34,MID('Respuestas de formulario 1.1'!DV$1,2,1)),#REF!,12,0),"")</f>
        <v/>
      </c>
      <c r="DW34" s="45" t="str">
        <f>IFERROR(VLOOKUP(CONCATENATE('Respuestas de formulario 1.1'!$B34,MID('Respuestas de formulario 1.1'!DW$1,2,1)),#REF!,12,0),"")</f>
        <v/>
      </c>
      <c r="DX34" s="45" t="str">
        <f>IFERROR(VLOOKUP(CONCATENATE('Respuestas de formulario 1.1'!$B34,MID('Respuestas de formulario 1.1'!DX$1,2,1)),#REF!,12,0),"")</f>
        <v/>
      </c>
      <c r="DY34" s="45" t="str">
        <f>IFERROR(VLOOKUP(CONCATENATE('Respuestas de formulario 1.1'!$B34,MID('Respuestas de formulario 1.1'!DY$1,2,1)),#REF!,12,0),"")</f>
        <v/>
      </c>
      <c r="DZ34" s="45" t="str">
        <f>IFERROR(VLOOKUP(CONCATENATE('Respuestas de formulario 1.1'!$B34,MID('Respuestas de formulario 1.1'!DZ$1,2,1)),#REF!,12,0),"")</f>
        <v/>
      </c>
      <c r="EA34" s="45" t="str">
        <f>IFERROR(VLOOKUP(CONCATENATE('Respuestas de formulario 1.1'!$B34,MID('Respuestas de formulario 1.1'!EA$1,2,1)),#REF!,12,0),"")</f>
        <v/>
      </c>
      <c r="EB34" s="45" t="str">
        <f>IFERROR(VLOOKUP(CONCATENATE('Respuestas de formulario 1.1'!$B34,MID('Respuestas de formulario 1.1'!EB$1,2,1)),#REF!,12,0),"")</f>
        <v/>
      </c>
      <c r="EC34" s="45" t="str">
        <f>IFERROR(VLOOKUP(CONCATENATE('Respuestas de formulario 1.1'!$B34,MID('Respuestas de formulario 1.1'!EC$1,2,1)),#REF!,12,0),"")</f>
        <v/>
      </c>
      <c r="ED34" s="45" t="str">
        <f>IFERROR(VLOOKUP(CONCATENATE('Respuestas de formulario 1.1'!$B34,MID('Respuestas de formulario 1.1'!ED$1,2,1)),#REF!,12,0),"")</f>
        <v/>
      </c>
      <c r="EE34" s="45" t="str">
        <f>IFERROR(VLOOKUP(CONCATENATE('Respuestas de formulario 1.1'!$B34,MID('Respuestas de formulario 1.1'!EE$1,2,1)),#REF!,12,0),"")</f>
        <v/>
      </c>
      <c r="EF34" s="45" t="str">
        <f>IFERROR(VLOOKUP(CONCATENATE('Respuestas de formulario 1.1'!$B34,MID('Respuestas de formulario 1.1'!EF$1,2,1)),#REF!,12,0),"")</f>
        <v/>
      </c>
      <c r="EG34" s="45" t="str">
        <f>IFERROR(VLOOKUP(CONCATENATE('Respuestas de formulario 1.1'!$B34,MID('Respuestas de formulario 1.1'!EG$1,2,1)),#REF!,12,0),"")</f>
        <v/>
      </c>
      <c r="EH34" s="45" t="str">
        <f>IFERROR(VLOOKUP(CONCATENATE('Respuestas de formulario 1.1'!$B34,MID('Respuestas de formulario 1.1'!EH$1,2,1)),#REF!,12,0),"")</f>
        <v/>
      </c>
      <c r="EI34" s="45" t="str">
        <f>IFERROR(VLOOKUP(CONCATENATE('Respuestas de formulario 1.1'!$B34,MID('Respuestas de formulario 1.1'!EI$1,2,1)),#REF!,12,0),"")</f>
        <v/>
      </c>
      <c r="EJ34" s="45" t="str">
        <f t="array" ref="EJ34">IF(DO34="","", INDEX(#REF!,MATCH(CONCATENATE('Respuestas de formulario 1.1'!$B34,DO34),#REF!,0),MATCH('Respuestas de formulario 1.1'!EJ$1,#REF!,0)))</f>
        <v/>
      </c>
      <c r="EK34" s="56" t="str">
        <f t="array" ref="EK34">IF(DP34="","", INDEX(#REF!,MATCH(CONCATENATE('Respuestas de formulario 1.1'!$B34,DP34),#REF!,0),MATCH('Respuestas de formulario 1.1'!EK$1,#REF!,0)))</f>
        <v/>
      </c>
      <c r="EL34" s="56" t="str">
        <f t="array" ref="EL34">IF(DQ34="","", INDEX(#REF!,MATCH(CONCATENATE('Respuestas de formulario 1.1'!$B34,DQ34),#REF!,0),MATCH('Respuestas de formulario 1.1'!EL$1,#REF!,0)))</f>
        <v/>
      </c>
      <c r="EM34" s="56" t="str">
        <f t="array" ref="EM34">IF(DR34="","", INDEX(#REF!,MATCH(CONCATENATE('Respuestas de formulario 1.1'!$B34,DR34),#REF!,0),MATCH('Respuestas de formulario 1.1'!EM$1,#REF!,0)))</f>
        <v/>
      </c>
      <c r="EN34" s="56" t="str">
        <f t="array" ref="EN34">IF(DS34="","", INDEX(#REF!,MATCH(CONCATENATE('Respuestas de formulario 1.1'!$B34,DS34),#REF!,0),MATCH('Respuestas de formulario 1.1'!EN$1,#REF!,0)))</f>
        <v/>
      </c>
      <c r="EO34" s="56" t="str">
        <f t="array" ref="EO34">IF(DT34="","", INDEX(#REF!,MATCH(CONCATENATE('Respuestas de formulario 1.1'!$B34,DT34),#REF!,0),MATCH('Respuestas de formulario 1.1'!EO$1,#REF!,0)))</f>
        <v/>
      </c>
      <c r="EP34" s="45" t="str">
        <f t="array" ref="EP34">IF(DU34="","", INDEX(#REF!,MATCH(CONCATENATE('Respuestas de formulario 1.1'!$B34,DU34),#REF!,0),MATCH('Respuestas de formulario 1.1'!EP$1,#REF!,0)))</f>
        <v/>
      </c>
      <c r="EQ34" s="45" t="str">
        <f t="array" ref="EQ34">IF(DP34="","", INDEX(#REF!,MATCH(CONCATENATE('Respuestas de formulario 1.1'!$B34,DP34),#REF!,0),MATCH('Respuestas de formulario 1.1'!EQ$1,#REF!,0)))</f>
        <v/>
      </c>
      <c r="ER34" s="56" t="str">
        <f t="array" ref="ER34">IF(DQ34="","", INDEX(#REF!,MATCH(CONCATENATE('Respuestas de formulario 1.1'!$B34,DQ34),#REF!,0),MATCH('Respuestas de formulario 1.1'!ER$1,#REF!,0)))</f>
        <v/>
      </c>
      <c r="ES34" s="56" t="str">
        <f t="array" ref="ES34">IF(DR34="","", INDEX(#REF!,MATCH(CONCATENATE('Respuestas de formulario 1.1'!$B34,DR34),#REF!,0),MATCH('Respuestas de formulario 1.1'!ES$1,#REF!,0)))</f>
        <v/>
      </c>
      <c r="ET34" s="56" t="str">
        <f t="array" ref="ET34">IF(DS34="","", INDEX(#REF!,MATCH(CONCATENATE('Respuestas de formulario 1.1'!$B34,DS34),#REF!,0),MATCH('Respuestas de formulario 1.1'!ET$1,#REF!,0)))</f>
        <v/>
      </c>
      <c r="EU34" s="56" t="str">
        <f t="array" ref="EU34">IF(DT34="","", INDEX(#REF!,MATCH(CONCATENATE('Respuestas de formulario 1.1'!$B34,DT34),#REF!,0),MATCH('Respuestas de formulario 1.1'!EU$1,#REF!,0)))</f>
        <v/>
      </c>
      <c r="EV34" s="56" t="str">
        <f t="array" ref="EV34">IF(DU34="","", INDEX(#REF!,MATCH(CONCATENATE('Respuestas de formulario 1.1'!$B34,DU34),#REF!,0),MATCH('Respuestas de formulario 1.1'!EV$1,#REF!,0)))</f>
        <v/>
      </c>
      <c r="EW34" s="45" t="str">
        <f t="array" ref="EW34">IF(DV34="","", INDEX(#REF!,MATCH(CONCATENATE('Respuestas de formulario 1.1'!$B34,DV34),#REF!,0),MATCH('Respuestas de formulario 1.1'!EW$1,#REF!,0)))</f>
        <v/>
      </c>
      <c r="EX34" s="45" t="str">
        <f t="array" ref="EX34">IF($DQ34="","", INDEX(#REF!,MATCH(CONCATENATE('Respuestas de formulario 1.1'!$B34,$DQ34),#REF!,0),MATCH('Respuestas de formulario 1.1'!EX$1,#REF!,0)))</f>
        <v/>
      </c>
      <c r="EY34" s="56" t="str">
        <f t="array" ref="EY34">IF($DQ34="","", INDEX(#REF!,MATCH(CONCATENATE('Respuestas de formulario 1.1'!$B34,$DQ34),#REF!,0),MATCH('Respuestas de formulario 1.1'!EY$1,#REF!,0)))</f>
        <v/>
      </c>
      <c r="EZ34" s="56" t="str">
        <f t="array" ref="EZ34">IF($DQ34="","", INDEX(#REF!,MATCH(CONCATENATE('Respuestas de formulario 1.1'!$B34,$DQ34),#REF!,0),MATCH('Respuestas de formulario 1.1'!EZ$1,#REF!,0)))</f>
        <v/>
      </c>
      <c r="FA34" s="56" t="str">
        <f t="array" ref="FA34">IF($DQ34="","", INDEX(#REF!,MATCH(CONCATENATE('Respuestas de formulario 1.1'!$B34,$DQ34),#REF!,0),MATCH('Respuestas de formulario 1.1'!FA$1,#REF!,0)))</f>
        <v/>
      </c>
      <c r="FB34" s="56" t="str">
        <f t="array" ref="FB34">IF($DQ34="","", INDEX(#REF!,MATCH(CONCATENATE('Respuestas de formulario 1.1'!$B34,$DQ34),#REF!,0),MATCH('Respuestas de formulario 1.1'!FB$1,#REF!,0)))</f>
        <v/>
      </c>
      <c r="FC34" s="56" t="str">
        <f t="array" ref="FC34">IF($DQ34="","", INDEX(#REF!,MATCH(CONCATENATE('Respuestas de formulario 1.1'!$B34,$DQ34),#REF!,0),MATCH('Respuestas de formulario 1.1'!FC$1,#REF!,0)))</f>
        <v/>
      </c>
      <c r="FD34" s="45" t="str">
        <f t="array" ref="FD34">IF($DQ34="","", INDEX(#REF!,MATCH(CONCATENATE('Respuestas de formulario 1.1'!$B34,$DQ34),#REF!,0),MATCH('Respuestas de formulario 1.1'!FD$1,#REF!,0)))</f>
        <v/>
      </c>
      <c r="FE34" s="45" t="str">
        <f t="array" ref="FE34">IF($DR34="","", INDEX(#REF!,MATCH(CONCATENATE(#REF!,$DR34),#REF!,0),MATCH(#REF!,#REF!,0)))</f>
        <v/>
      </c>
      <c r="FF34" s="56" t="str">
        <f t="array" ref="FF34">IF($DR34="","", INDEX(#REF!,MATCH(CONCATENATE(#REF!,$DR34),#REF!,0),MATCH(#REF!,#REF!,0)))</f>
        <v/>
      </c>
      <c r="FG34" s="56" t="str">
        <f t="array" ref="FG34">IF($DR34="","", INDEX(#REF!,MATCH(CONCATENATE(#REF!,$DR34),#REF!,0),MATCH(#REF!,#REF!,0)))</f>
        <v/>
      </c>
      <c r="FH34" s="56" t="str">
        <f t="array" ref="FH34">IF($DR34="","", INDEX(#REF!,MATCH(CONCATENATE(#REF!,$DR34),#REF!,0),MATCH(#REF!,#REF!,0)))</f>
        <v/>
      </c>
      <c r="FI34" s="56" t="str">
        <f t="array" ref="FI34">IF($DR34="","", INDEX(#REF!,MATCH(CONCATENATE(#REF!,$DR34),#REF!,0),MATCH(#REF!,#REF!,0)))</f>
        <v/>
      </c>
      <c r="FJ34" s="56" t="str">
        <f t="array" ref="FJ34">IF($DR34="","", INDEX(#REF!,MATCH(CONCATENATE(#REF!,$DR34),#REF!,0),MATCH(#REF!,#REF!,0)))</f>
        <v/>
      </c>
      <c r="FK34" s="45" t="str">
        <f t="array" ref="FK34">IF($DR34="","", INDEX(#REF!,MATCH(CONCATENATE(#REF!,$DR34),#REF!,0),MATCH(#REF!,#REF!,0)))</f>
        <v/>
      </c>
      <c r="FL34" s="45" t="str">
        <f t="array" ref="FL34">IF($DT34="","", INDEX(#REF!,MATCH(CONCATENATE('Respuestas de formulario 1.1'!$B34,$DS34),#REF!,0),MATCH('Respuestas de formulario 1.1'!FL$1,#REF!,0)))</f>
        <v/>
      </c>
      <c r="FM34" s="56" t="str">
        <f t="array" ref="FM34">IF($DT34="","", INDEX(#REF!,MATCH(CONCATENATE('Respuestas de formulario 1.1'!$B34,$DS34),#REF!,0),MATCH('Respuestas de formulario 1.1'!FM$1,#REF!,0)))</f>
        <v/>
      </c>
      <c r="FN34" s="56" t="str">
        <f t="array" ref="FN34">IF($DT34="","", INDEX(#REF!,MATCH(CONCATENATE('Respuestas de formulario 1.1'!$B34,$DS34),#REF!,0),MATCH('Respuestas de formulario 1.1'!FN$1,#REF!,0)))</f>
        <v/>
      </c>
      <c r="FO34" s="56" t="str">
        <f t="array" ref="FO34">IF($DT34="","", INDEX(#REF!,MATCH(CONCATENATE('Respuestas de formulario 1.1'!$B34,$DS34),#REF!,0),MATCH('Respuestas de formulario 1.1'!FO$1,#REF!,0)))</f>
        <v/>
      </c>
      <c r="FP34" s="56" t="str">
        <f t="array" ref="FP34">IF($DT34="","", INDEX(#REF!,MATCH(CONCATENATE('Respuestas de formulario 1.1'!$B34,$DS34),#REF!,0),MATCH('Respuestas de formulario 1.1'!FP$1,#REF!,0)))</f>
        <v/>
      </c>
      <c r="FQ34" s="56" t="str">
        <f t="array" ref="FQ34">IF($DT34="","", INDEX(#REF!,MATCH(CONCATENATE('Respuestas de formulario 1.1'!$B34,$DS34),#REF!,0),MATCH('Respuestas de formulario 1.1'!FQ$1,#REF!,0)))</f>
        <v/>
      </c>
      <c r="FR34" s="45" t="str">
        <f t="array" ref="FR34">IF($DT34="","", INDEX(#REF!,MATCH(CONCATENATE('Respuestas de formulario 1.1'!$B34,$DS34),#REF!,0),MATCH('Respuestas de formulario 1.1'!FR$1,#REF!,0)))</f>
        <v/>
      </c>
      <c r="FS34" s="45" t="str">
        <f t="array" ref="FS34">IF($DU34="","", INDEX(#REF!,MATCH(CONCATENATE('Respuestas de formulario 1.1'!$B34,$DT34),#REF!,0),MATCH('Respuestas de formulario 1.1'!FS$1,#REF!,0)))</f>
        <v/>
      </c>
      <c r="FT34" s="56" t="str">
        <f t="array" ref="FT34">IF($DU34="","", INDEX(#REF!,MATCH(CONCATENATE('Respuestas de formulario 1.1'!$B34,$DT34),#REF!,0),MATCH('Respuestas de formulario 1.1'!FT$1,#REF!,0)))</f>
        <v/>
      </c>
      <c r="FU34" s="56" t="str">
        <f t="array" ref="FU34">IF($DU34="","", INDEX(#REF!,MATCH(CONCATENATE('Respuestas de formulario 1.1'!$B34,$DT34),#REF!,0),MATCH('Respuestas de formulario 1.1'!FU$1,#REF!,0)))</f>
        <v/>
      </c>
      <c r="FV34" s="56" t="str">
        <f t="array" ref="FV34">IF($DU34="","", INDEX(#REF!,MATCH(CONCATENATE('Respuestas de formulario 1.1'!$B34,$DT34),#REF!,0),MATCH('Respuestas de formulario 1.1'!FV$1,#REF!,0)))</f>
        <v/>
      </c>
      <c r="FW34" s="56" t="str">
        <f t="array" ref="FW34">IF($DU34="","", INDEX(#REF!,MATCH(CONCATENATE('Respuestas de formulario 1.1'!$B34,$DT34),#REF!,0),MATCH('Respuestas de formulario 1.1'!FW$1,#REF!,0)))</f>
        <v/>
      </c>
      <c r="FX34" s="56" t="str">
        <f t="array" ref="FX34">IF($DU34="","", INDEX(#REF!,MATCH(CONCATENATE('Respuestas de formulario 1.1'!$B34,$DT34),#REF!,0),MATCH('Respuestas de formulario 1.1'!FX$1,#REF!,0)))</f>
        <v/>
      </c>
      <c r="FY34" s="45" t="str">
        <f t="array" ref="FY34">IF($DU34="","", INDEX(#REF!,MATCH(CONCATENATE('Respuestas de formulario 1.1'!$B34,$DT34),#REF!,0),MATCH('Respuestas de formulario 1.1'!FY$1,#REF!,0)))</f>
        <v/>
      </c>
      <c r="FZ34" s="3" t="s">
        <v>2860</v>
      </c>
      <c r="GA34" s="1" t="s">
        <v>3391</v>
      </c>
      <c r="GB34" s="5" t="s">
        <v>3392</v>
      </c>
      <c r="GC34" s="4" t="str">
        <f>HYPERLINK("https://drive.google.com/file/d/1N3OGYx1Y0Si_fbSUomxJnc0xVpoL_XGY/view?usp=drivesdk","SANCHEZ  VELAZQUEZ BRANDON YUBEG  Formato de reinscripción y pago 2022-2")</f>
        <v>SANCHEZ  VELAZQUEZ BRANDON YUBEG  Formato de reinscripción y pago 2022-2</v>
      </c>
      <c r="GD34" s="1" t="s">
        <v>3393</v>
      </c>
      <c r="GE34" s="1"/>
      <c r="GF34" s="1"/>
      <c r="GG34" s="1"/>
      <c r="GH34" s="1"/>
      <c r="GI34" s="1" t="s">
        <v>3394</v>
      </c>
      <c r="GJ34" s="5" t="s">
        <v>3395</v>
      </c>
      <c r="GK34" s="5" t="str">
        <f>HYPERLINK("https://drive.google.com/file/d/178-bCVdkCNkQfE2mpqL5qvsZuzpaXrvb/view?usp=drivesdk","SANCHEZ  VELAZQUEZ  &lt;&lt;Nombre(S)&gt;&gt; Formato de reinscripción y pago 2022-2")</f>
        <v>SANCHEZ  VELAZQUEZ  &lt;&lt;Nombre(S)&gt;&gt; Formato de reinscripción y pago 2022-2</v>
      </c>
      <c r="GL34" s="1" t="s">
        <v>3396</v>
      </c>
    </row>
    <row r="35" spans="1:194" ht="38.25" x14ac:dyDescent="0.2">
      <c r="A35" s="2">
        <v>45139.049696469912</v>
      </c>
      <c r="B35" s="1" t="s">
        <v>2517</v>
      </c>
      <c r="C35" s="1" t="s">
        <v>727</v>
      </c>
      <c r="D35" s="1" t="s">
        <v>486</v>
      </c>
      <c r="E35" s="1" t="s">
        <v>3397</v>
      </c>
      <c r="F35" s="1" t="s">
        <v>223</v>
      </c>
      <c r="G35" s="5" t="s">
        <v>3398</v>
      </c>
      <c r="H35" s="41">
        <v>39149</v>
      </c>
      <c r="I35" s="1">
        <v>16</v>
      </c>
      <c r="J35" s="1">
        <v>5517268370</v>
      </c>
      <c r="K35" s="1">
        <v>5565855078</v>
      </c>
      <c r="L35" s="1" t="s">
        <v>2518</v>
      </c>
      <c r="M35" s="1">
        <v>309060570112</v>
      </c>
      <c r="N35" s="1" t="s">
        <v>562</v>
      </c>
      <c r="O35" s="1" t="s">
        <v>247</v>
      </c>
      <c r="P35" s="1" t="s">
        <v>278</v>
      </c>
      <c r="Q35" s="1" t="s">
        <v>315</v>
      </c>
      <c r="R35" s="1" t="s">
        <v>236</v>
      </c>
      <c r="S35" s="1" t="s">
        <v>228</v>
      </c>
      <c r="T35" s="1" t="s">
        <v>686</v>
      </c>
      <c r="U35" s="1" t="s">
        <v>264</v>
      </c>
      <c r="V35" s="1" t="s">
        <v>228</v>
      </c>
      <c r="W35" s="1" t="s">
        <v>3399</v>
      </c>
      <c r="X35" s="1" t="s">
        <v>264</v>
      </c>
      <c r="Y35" s="1" t="s">
        <v>665</v>
      </c>
      <c r="Z35" s="1" t="s">
        <v>231</v>
      </c>
      <c r="AA35" s="1">
        <v>57500</v>
      </c>
      <c r="AB35" s="1">
        <v>90</v>
      </c>
      <c r="AC35" s="1">
        <v>2</v>
      </c>
      <c r="AD35" s="1" t="s">
        <v>3400</v>
      </c>
      <c r="AE35" s="1" t="s">
        <v>3401</v>
      </c>
      <c r="AF35" s="1" t="s">
        <v>461</v>
      </c>
      <c r="AG35" s="1">
        <v>37</v>
      </c>
      <c r="AH35" s="5" t="s">
        <v>3402</v>
      </c>
      <c r="AI35" s="1">
        <v>5632678281</v>
      </c>
      <c r="AJ35" s="1">
        <v>5565855078</v>
      </c>
      <c r="AK35" s="1"/>
      <c r="AL35" s="1" t="s">
        <v>2578</v>
      </c>
      <c r="AM35" s="1" t="s">
        <v>390</v>
      </c>
      <c r="AN35" s="1" t="s">
        <v>702</v>
      </c>
      <c r="AO35" s="1" t="s">
        <v>420</v>
      </c>
      <c r="AP35" s="1">
        <v>50</v>
      </c>
      <c r="AQ35" s="1" t="s">
        <v>3403</v>
      </c>
      <c r="AR35" s="42">
        <v>0.20833333333575865</v>
      </c>
      <c r="AS35" s="42">
        <v>0.16666666666424135</v>
      </c>
      <c r="AT35" s="1">
        <v>5512641497</v>
      </c>
      <c r="AU35" s="1">
        <v>5565855078</v>
      </c>
      <c r="AV35" s="1"/>
      <c r="AW35" s="5" t="s">
        <v>3404</v>
      </c>
      <c r="AX35" s="1" t="s">
        <v>727</v>
      </c>
      <c r="AY35" s="1" t="s">
        <v>486</v>
      </c>
      <c r="AZ35" s="1" t="s">
        <v>3405</v>
      </c>
      <c r="BA35" s="1" t="s">
        <v>758</v>
      </c>
      <c r="BB35" s="1">
        <v>21</v>
      </c>
      <c r="BC35" s="1" t="s">
        <v>1152</v>
      </c>
      <c r="BD35" s="43">
        <v>4.1666666664241347E-2</v>
      </c>
      <c r="BE35" s="43">
        <v>0.41666666666424135</v>
      </c>
      <c r="BF35" s="1">
        <v>5632636247</v>
      </c>
      <c r="BG35" s="1">
        <v>5565855078</v>
      </c>
      <c r="BH35" s="1"/>
      <c r="BI35" s="5" t="s">
        <v>3406</v>
      </c>
      <c r="BJ35" s="1" t="s">
        <v>236</v>
      </c>
      <c r="BL35" s="1">
        <v>163</v>
      </c>
      <c r="BM35" s="1">
        <v>61.2</v>
      </c>
      <c r="BN35" s="1" t="s">
        <v>228</v>
      </c>
      <c r="BO35" s="1" t="s">
        <v>228</v>
      </c>
      <c r="BQ35" s="1" t="s">
        <v>236</v>
      </c>
      <c r="BR35" s="1" t="s">
        <v>348</v>
      </c>
      <c r="BS35" s="1" t="s">
        <v>228</v>
      </c>
      <c r="BT35" s="1" t="s">
        <v>237</v>
      </c>
      <c r="BU35" s="1" t="s">
        <v>228</v>
      </c>
      <c r="BW35" s="1" t="s">
        <v>238</v>
      </c>
      <c r="BX35" s="1">
        <v>40</v>
      </c>
      <c r="BY35" s="1">
        <v>100</v>
      </c>
      <c r="BZ35" s="1" t="s">
        <v>253</v>
      </c>
      <c r="CA35" s="1" t="s">
        <v>237</v>
      </c>
      <c r="CB35" s="1" t="s">
        <v>231</v>
      </c>
      <c r="CC35" s="1" t="s">
        <v>1442</v>
      </c>
      <c r="CD35" s="1">
        <v>500</v>
      </c>
      <c r="CE35" s="1">
        <v>2000</v>
      </c>
      <c r="CF35" s="1" t="s">
        <v>228</v>
      </c>
      <c r="CG35" s="1" t="s">
        <v>242</v>
      </c>
      <c r="CH35" s="1" t="s">
        <v>243</v>
      </c>
      <c r="CI35" s="1" t="s">
        <v>243</v>
      </c>
      <c r="CJ35" s="1" t="s">
        <v>2848</v>
      </c>
      <c r="CL35" s="5" t="s">
        <v>3407</v>
      </c>
      <c r="CM35" s="44" t="s">
        <v>2519</v>
      </c>
      <c r="CN35" s="1" t="s">
        <v>228</v>
      </c>
      <c r="CQ35" s="42">
        <v>0.41666666666424135</v>
      </c>
      <c r="CR35" s="42">
        <v>0.5</v>
      </c>
      <c r="CT35" s="45" t="str">
        <f t="array" ref="CT35">IFERROR(INDEX(#REF!,MATCH('Respuestas de formulario 1.1'!$B35,#REF!,0),MATCH('Respuestas de formulario 1.1'!CT$1,#REF!,0)),"")</f>
        <v/>
      </c>
      <c r="CU35" s="56" t="str">
        <f t="array" ref="CU35">IFERROR(INDEX(#REF!,MATCH('Respuestas de formulario 1.1'!$B35,#REF!,0),MATCH('Respuestas de formulario 1.1'!CU$1,#REF!,0)),"")</f>
        <v/>
      </c>
      <c r="CV35" s="56" t="str">
        <f t="array" ref="CV35">IFERROR(INDEX(#REF!,MATCH('Respuestas de formulario 1.1'!$B35,#REF!,0),MATCH('Respuestas de formulario 1.1'!CV$1,#REF!,0)),"")</f>
        <v/>
      </c>
      <c r="CW35" s="56" t="str">
        <f t="array" ref="CW35">IFERROR(INDEX(#REF!,MATCH('Respuestas de formulario 1.1'!$B35,#REF!,0),MATCH('Respuestas de formulario 1.1'!CW$1,#REF!,0)),"")</f>
        <v/>
      </c>
      <c r="CX35" s="56" t="str">
        <f t="array" ref="CX35">IFERROR(INDEX(#REF!,MATCH('Respuestas de formulario 1.1'!$B35,#REF!,0),MATCH('Respuestas de formulario 1.1'!CX$1,#REF!,0)),"")</f>
        <v/>
      </c>
      <c r="CY35" s="56" t="str">
        <f t="array" ref="CY35">IFERROR(INDEX(#REF!,MATCH('Respuestas de formulario 1.1'!$B35,#REF!,0),MATCH('Respuestas de formulario 1.1'!CY$1,#REF!,0)),"")</f>
        <v/>
      </c>
      <c r="CZ35" s="57" t="str">
        <f t="array" ref="CZ35">IFERROR(INDEX(#REF!,MATCH('Respuestas de formulario 1.1'!$B35,#REF!,0),MATCH('Respuestas de formulario 1.1'!CZ$1,#REF!,0)),"")</f>
        <v/>
      </c>
      <c r="DA35" s="45" t="e">
        <f t="array" ref="DA35">INDEX(#REF!,MATCH('Respuestas de formulario 1.1'!$B35,#REF!,0),MATCH('Respuestas de formulario 1.1'!DA$1,#REF!,0))</f>
        <v>#REF!</v>
      </c>
      <c r="DB35" s="45" t="e">
        <f t="array" ref="DB35">INDEX(#REF!,MATCH('Respuestas de formulario 1.1'!$B35,#REF!,0),MATCH('Respuestas de formulario 1.1'!DB$1,#REF!,0))</f>
        <v>#REF!</v>
      </c>
      <c r="DC35" s="45" t="e">
        <f t="array" ref="DC35">INDEX(#REF!,MATCH('Respuestas de formulario 1.1'!$B35,#REF!,0),MATCH('Respuestas de formulario 1.1'!DC$1,#REF!,0))</f>
        <v>#REF!</v>
      </c>
      <c r="DD35" s="45" t="e">
        <f t="array" ref="DD35">INDEX(#REF!,MATCH('Respuestas de formulario 1.1'!$B35,#REF!,0),MATCH('Respuestas de formulario 1.1'!DD$1,#REF!,0))</f>
        <v>#REF!</v>
      </c>
      <c r="DE35" s="45" t="e">
        <f t="array" ref="DE35">INDEX(#REF!,MATCH('Respuestas de formulario 1.1'!$B35,#REF!,0),MATCH('Respuestas de formulario 1.1'!DE$1,#REF!,0))</f>
        <v>#REF!</v>
      </c>
      <c r="DF35" s="45" t="e">
        <f t="array" ref="DF35">INDEX(#REF!,MATCH('Respuestas de formulario 1.1'!$B35,#REF!,0),MATCH('Respuestas de formulario 1.1'!DF$1,#REF!,0))</f>
        <v>#REF!</v>
      </c>
      <c r="DG35" s="45" t="e">
        <f t="array" ref="DG35">INDEX(#REF!,MATCH('Respuestas de formulario 1.1'!$B35,#REF!,0),MATCH('Respuestas de formulario 1.1'!DG$1,#REF!,0))</f>
        <v>#REF!</v>
      </c>
      <c r="DH35" s="45" t="e">
        <f t="array" ref="DH35">INDEX(#REF!,MATCH('Respuestas de formulario 1.1'!$B35,#REF!,0),MATCH('Respuestas de formulario 1.1'!DH$1,#REF!,0))</f>
        <v>#REF!</v>
      </c>
      <c r="DI35" s="48" t="e">
        <f>VLOOKUP(CONCATENATE($DF35," TUTO ",$DC35),#REF!,3,0)</f>
        <v>#REF!</v>
      </c>
      <c r="DJ35" s="48" t="e">
        <f t="array" ref="DJ35">IF('Respuestas de formulario 1.1'!A35="","",INDEX(#REF!,MATCH('Respuestas de formulario 1.1'!B35,#REF!,0),MATCH('Respuestas de formulario 1.1'!$DH$1,#REF!,0)))</f>
        <v>#REF!</v>
      </c>
      <c r="DK35" s="52" t="str">
        <f>CONCATENATE("http://doc.google.com/uc?id=",MID('Respuestas de formulario 1.1'!G35,34,33))</f>
        <v>http://doc.google.com/uc?id=1n0jgVi5wrXwGRazcRB7lfYgqY8aBIIlh</v>
      </c>
      <c r="DL35" s="49" t="str">
        <f>CONCATENATE("http://doc.google.com/uc?id=",MID('Respuestas de formulario 1.1'!AH35,34,33))</f>
        <v>http://doc.google.com/uc?id=1Ok3a-E3vjTmzcVbAEPAbv_LpvK-HNiqr</v>
      </c>
      <c r="DM35" s="50" t="str">
        <f>CONCATENATE("http://doc.google.com/uc?id=",MID('Respuestas de formulario 1.1'!AW35,34,33))</f>
        <v>http://doc.google.com/uc?id=1Gk1Kb72wKnY9lsOSRHKUn3kAEDpsFSUd</v>
      </c>
      <c r="DN35" s="53" t="str">
        <f>CONCATENATE("http://doc.google.com/uc?id=",MID('Respuestas de formulario 1.1'!$BI35,34,33))</f>
        <v>http://doc.google.com/uc?id=13Kp47pzjS6i-0XxRDRNjRz4N9V33KeXL</v>
      </c>
      <c r="DO35" s="45" t="str">
        <f>IFERROR(VLOOKUP(CONCATENATE('Respuestas de formulario 1.1'!$B35,MID('Respuestas de formulario 1.1'!DO$1,2,1)),#REF!,12,0),"")</f>
        <v/>
      </c>
      <c r="DP35" s="45" t="str">
        <f>IFERROR(VLOOKUP(CONCATENATE('Respuestas de formulario 1.1'!$B35,MID('Respuestas de formulario 1.1'!DP$1,2,1)),#REF!,12,0),"")</f>
        <v/>
      </c>
      <c r="DQ35" s="45" t="str">
        <f>IFERROR(VLOOKUP(CONCATENATE('Respuestas de formulario 1.1'!$B35,MID('Respuestas de formulario 1.1'!DQ$1,2,1)),#REF!,12,0),"")</f>
        <v/>
      </c>
      <c r="DR35" s="45" t="str">
        <f>IFERROR(VLOOKUP(CONCATENATE('Respuestas de formulario 1.1'!$B35,MID('Respuestas de formulario 1.1'!DR$1,2,1)),#REF!,12,0),"")</f>
        <v/>
      </c>
      <c r="DS35" s="45" t="str">
        <f>IFERROR(VLOOKUP(CONCATENATE('Respuestas de formulario 1.1'!$B35,MID('Respuestas de formulario 1.1'!DS$1,2,1)),#REF!,12,0),"")</f>
        <v/>
      </c>
      <c r="DT35" s="45" t="str">
        <f>IFERROR(VLOOKUP(CONCATENATE('Respuestas de formulario 1.1'!$B35,MID('Respuestas de formulario 1.1'!DT$1,2,1)),#REF!,12,0),"")</f>
        <v/>
      </c>
      <c r="DU35" s="45" t="str">
        <f>IFERROR(VLOOKUP(CONCATENATE('Respuestas de formulario 1.1'!$B35,MID('Respuestas de formulario 1.1'!DU$1,2,1)),#REF!,12,0),"")</f>
        <v/>
      </c>
      <c r="DV35" s="45" t="str">
        <f>IFERROR(VLOOKUP(CONCATENATE('Respuestas de formulario 1.1'!$B35,MID('Respuestas de formulario 1.1'!DV$1,2,1)),#REF!,12,0),"")</f>
        <v/>
      </c>
      <c r="DW35" s="45" t="str">
        <f>IFERROR(VLOOKUP(CONCATENATE('Respuestas de formulario 1.1'!$B35,MID('Respuestas de formulario 1.1'!DW$1,2,1)),#REF!,12,0),"")</f>
        <v/>
      </c>
      <c r="DX35" s="45" t="str">
        <f>IFERROR(VLOOKUP(CONCATENATE('Respuestas de formulario 1.1'!$B35,MID('Respuestas de formulario 1.1'!DX$1,2,1)),#REF!,12,0),"")</f>
        <v/>
      </c>
      <c r="DY35" s="45" t="str">
        <f>IFERROR(VLOOKUP(CONCATENATE('Respuestas de formulario 1.1'!$B35,MID('Respuestas de formulario 1.1'!DY$1,2,1)),#REF!,12,0),"")</f>
        <v/>
      </c>
      <c r="DZ35" s="45" t="str">
        <f>IFERROR(VLOOKUP(CONCATENATE('Respuestas de formulario 1.1'!$B35,MID('Respuestas de formulario 1.1'!DZ$1,2,1)),#REF!,12,0),"")</f>
        <v/>
      </c>
      <c r="EA35" s="45" t="str">
        <f>IFERROR(VLOOKUP(CONCATENATE('Respuestas de formulario 1.1'!$B35,MID('Respuestas de formulario 1.1'!EA$1,2,1)),#REF!,12,0),"")</f>
        <v/>
      </c>
      <c r="EB35" s="45" t="str">
        <f>IFERROR(VLOOKUP(CONCATENATE('Respuestas de formulario 1.1'!$B35,MID('Respuestas de formulario 1.1'!EB$1,2,1)),#REF!,12,0),"")</f>
        <v/>
      </c>
      <c r="EC35" s="45" t="str">
        <f>IFERROR(VLOOKUP(CONCATENATE('Respuestas de formulario 1.1'!$B35,MID('Respuestas de formulario 1.1'!EC$1,2,1)),#REF!,12,0),"")</f>
        <v/>
      </c>
      <c r="ED35" s="45" t="str">
        <f>IFERROR(VLOOKUP(CONCATENATE('Respuestas de formulario 1.1'!$B35,MID('Respuestas de formulario 1.1'!ED$1,2,1)),#REF!,12,0),"")</f>
        <v/>
      </c>
      <c r="EE35" s="45" t="str">
        <f>IFERROR(VLOOKUP(CONCATENATE('Respuestas de formulario 1.1'!$B35,MID('Respuestas de formulario 1.1'!EE$1,2,1)),#REF!,12,0),"")</f>
        <v/>
      </c>
      <c r="EF35" s="45" t="str">
        <f>IFERROR(VLOOKUP(CONCATENATE('Respuestas de formulario 1.1'!$B35,MID('Respuestas de formulario 1.1'!EF$1,2,1)),#REF!,12,0),"")</f>
        <v/>
      </c>
      <c r="EG35" s="45" t="str">
        <f>IFERROR(VLOOKUP(CONCATENATE('Respuestas de formulario 1.1'!$B35,MID('Respuestas de formulario 1.1'!EG$1,2,1)),#REF!,12,0),"")</f>
        <v/>
      </c>
      <c r="EH35" s="45" t="str">
        <f>IFERROR(VLOOKUP(CONCATENATE('Respuestas de formulario 1.1'!$B35,MID('Respuestas de formulario 1.1'!EH$1,2,1)),#REF!,12,0),"")</f>
        <v/>
      </c>
      <c r="EI35" s="45" t="str">
        <f>IFERROR(VLOOKUP(CONCATENATE('Respuestas de formulario 1.1'!$B35,MID('Respuestas de formulario 1.1'!EI$1,2,1)),#REF!,12,0),"")</f>
        <v/>
      </c>
      <c r="EJ35" s="45" t="str">
        <f t="array" ref="EJ35">IF(DO35="","", INDEX(#REF!,MATCH(CONCATENATE('Respuestas de formulario 1.1'!$B35,DO35),#REF!,0),MATCH('Respuestas de formulario 1.1'!EJ$1,#REF!,0)))</f>
        <v/>
      </c>
      <c r="EK35" s="56" t="str">
        <f t="array" ref="EK35">IF(DP35="","", INDEX(#REF!,MATCH(CONCATENATE('Respuestas de formulario 1.1'!$B35,DP35),#REF!,0),MATCH('Respuestas de formulario 1.1'!EK$1,#REF!,0)))</f>
        <v/>
      </c>
      <c r="EL35" s="56" t="str">
        <f t="array" ref="EL35">IF(DQ35="","", INDEX(#REF!,MATCH(CONCATENATE('Respuestas de formulario 1.1'!$B35,DQ35),#REF!,0),MATCH('Respuestas de formulario 1.1'!EL$1,#REF!,0)))</f>
        <v/>
      </c>
      <c r="EM35" s="56" t="str">
        <f t="array" ref="EM35">IF(DR35="","", INDEX(#REF!,MATCH(CONCATENATE('Respuestas de formulario 1.1'!$B35,DR35),#REF!,0),MATCH('Respuestas de formulario 1.1'!EM$1,#REF!,0)))</f>
        <v/>
      </c>
      <c r="EN35" s="56" t="str">
        <f t="array" ref="EN35">IF(DS35="","", INDEX(#REF!,MATCH(CONCATENATE('Respuestas de formulario 1.1'!$B35,DS35),#REF!,0),MATCH('Respuestas de formulario 1.1'!EN$1,#REF!,0)))</f>
        <v/>
      </c>
      <c r="EO35" s="56" t="str">
        <f t="array" ref="EO35">IF(DT35="","", INDEX(#REF!,MATCH(CONCATENATE('Respuestas de formulario 1.1'!$B35,DT35),#REF!,0),MATCH('Respuestas de formulario 1.1'!EO$1,#REF!,0)))</f>
        <v/>
      </c>
      <c r="EP35" s="45" t="str">
        <f t="array" ref="EP35">IF(DU35="","", INDEX(#REF!,MATCH(CONCATENATE('Respuestas de formulario 1.1'!$B35,DU35),#REF!,0),MATCH('Respuestas de formulario 1.1'!EP$1,#REF!,0)))</f>
        <v/>
      </c>
      <c r="EQ35" s="45" t="str">
        <f t="array" ref="EQ35">IF(DP35="","", INDEX(#REF!,MATCH(CONCATENATE('Respuestas de formulario 1.1'!$B35,DP35),#REF!,0),MATCH('Respuestas de formulario 1.1'!EQ$1,#REF!,0)))</f>
        <v/>
      </c>
      <c r="ER35" s="56" t="str">
        <f t="array" ref="ER35">IF(DQ35="","", INDEX(#REF!,MATCH(CONCATENATE('Respuestas de formulario 1.1'!$B35,DQ35),#REF!,0),MATCH('Respuestas de formulario 1.1'!ER$1,#REF!,0)))</f>
        <v/>
      </c>
      <c r="ES35" s="56" t="str">
        <f t="array" ref="ES35">IF(DR35="","", INDEX(#REF!,MATCH(CONCATENATE('Respuestas de formulario 1.1'!$B35,DR35),#REF!,0),MATCH('Respuestas de formulario 1.1'!ES$1,#REF!,0)))</f>
        <v/>
      </c>
      <c r="ET35" s="56" t="str">
        <f t="array" ref="ET35">IF(DS35="","", INDEX(#REF!,MATCH(CONCATENATE('Respuestas de formulario 1.1'!$B35,DS35),#REF!,0),MATCH('Respuestas de formulario 1.1'!ET$1,#REF!,0)))</f>
        <v/>
      </c>
      <c r="EU35" s="56" t="str">
        <f t="array" ref="EU35">IF(DT35="","", INDEX(#REF!,MATCH(CONCATENATE('Respuestas de formulario 1.1'!$B35,DT35),#REF!,0),MATCH('Respuestas de formulario 1.1'!EU$1,#REF!,0)))</f>
        <v/>
      </c>
      <c r="EV35" s="56" t="str">
        <f t="array" ref="EV35">IF(DU35="","", INDEX(#REF!,MATCH(CONCATENATE('Respuestas de formulario 1.1'!$B35,DU35),#REF!,0),MATCH('Respuestas de formulario 1.1'!EV$1,#REF!,0)))</f>
        <v/>
      </c>
      <c r="EW35" s="45" t="str">
        <f t="array" ref="EW35">IF(DV35="","", INDEX(#REF!,MATCH(CONCATENATE('Respuestas de formulario 1.1'!$B35,DV35),#REF!,0),MATCH('Respuestas de formulario 1.1'!EW$1,#REF!,0)))</f>
        <v/>
      </c>
      <c r="EX35" s="45" t="str">
        <f t="array" ref="EX35">IF($DQ35="","", INDEX(#REF!,MATCH(CONCATENATE('Respuestas de formulario 1.1'!$B35,$DQ35),#REF!,0),MATCH('Respuestas de formulario 1.1'!EX$1,#REF!,0)))</f>
        <v/>
      </c>
      <c r="EY35" s="56" t="str">
        <f t="array" ref="EY35">IF($DQ35="","", INDEX(#REF!,MATCH(CONCATENATE('Respuestas de formulario 1.1'!$B35,$DQ35),#REF!,0),MATCH('Respuestas de formulario 1.1'!EY$1,#REF!,0)))</f>
        <v/>
      </c>
      <c r="EZ35" s="56" t="str">
        <f t="array" ref="EZ35">IF($DQ35="","", INDEX(#REF!,MATCH(CONCATENATE('Respuestas de formulario 1.1'!$B35,$DQ35),#REF!,0),MATCH('Respuestas de formulario 1.1'!EZ$1,#REF!,0)))</f>
        <v/>
      </c>
      <c r="FA35" s="56" t="str">
        <f t="array" ref="FA35">IF($DQ35="","", INDEX(#REF!,MATCH(CONCATENATE('Respuestas de formulario 1.1'!$B35,$DQ35),#REF!,0),MATCH('Respuestas de formulario 1.1'!FA$1,#REF!,0)))</f>
        <v/>
      </c>
      <c r="FB35" s="56" t="str">
        <f t="array" ref="FB35">IF($DQ35="","", INDEX(#REF!,MATCH(CONCATENATE('Respuestas de formulario 1.1'!$B35,$DQ35),#REF!,0),MATCH('Respuestas de formulario 1.1'!FB$1,#REF!,0)))</f>
        <v/>
      </c>
      <c r="FC35" s="56" t="str">
        <f t="array" ref="FC35">IF($DQ35="","", INDEX(#REF!,MATCH(CONCATENATE('Respuestas de formulario 1.1'!$B35,$DQ35),#REF!,0),MATCH('Respuestas de formulario 1.1'!FC$1,#REF!,0)))</f>
        <v/>
      </c>
      <c r="FD35" s="45" t="str">
        <f t="array" ref="FD35">IF($DQ35="","", INDEX(#REF!,MATCH(CONCATENATE('Respuestas de formulario 1.1'!$B35,$DQ35),#REF!,0),MATCH('Respuestas de formulario 1.1'!FD$1,#REF!,0)))</f>
        <v/>
      </c>
      <c r="FE35" s="45" t="str">
        <f t="array" ref="FE35">IF($DR35="","", INDEX(#REF!,MATCH(CONCATENATE(#REF!,$DR35),#REF!,0),MATCH(#REF!,#REF!,0)))</f>
        <v/>
      </c>
      <c r="FF35" s="56" t="str">
        <f t="array" ref="FF35">IF($DR35="","", INDEX(#REF!,MATCH(CONCATENATE(#REF!,$DR35),#REF!,0),MATCH(#REF!,#REF!,0)))</f>
        <v/>
      </c>
      <c r="FG35" s="56" t="str">
        <f t="array" ref="FG35">IF($DR35="","", INDEX(#REF!,MATCH(CONCATENATE(#REF!,$DR35),#REF!,0),MATCH(#REF!,#REF!,0)))</f>
        <v/>
      </c>
      <c r="FH35" s="56" t="str">
        <f t="array" ref="FH35">IF($DR35="","", INDEX(#REF!,MATCH(CONCATENATE(#REF!,$DR35),#REF!,0),MATCH(#REF!,#REF!,0)))</f>
        <v/>
      </c>
      <c r="FI35" s="56" t="str">
        <f t="array" ref="FI35">IF($DR35="","", INDEX(#REF!,MATCH(CONCATENATE(#REF!,$DR35),#REF!,0),MATCH(#REF!,#REF!,0)))</f>
        <v/>
      </c>
      <c r="FJ35" s="56" t="str">
        <f t="array" ref="FJ35">IF($DR35="","", INDEX(#REF!,MATCH(CONCATENATE(#REF!,$DR35),#REF!,0),MATCH(#REF!,#REF!,0)))</f>
        <v/>
      </c>
      <c r="FK35" s="45" t="str">
        <f t="array" ref="FK35">IF($DR35="","", INDEX(#REF!,MATCH(CONCATENATE(#REF!,$DR35),#REF!,0),MATCH(#REF!,#REF!,0)))</f>
        <v/>
      </c>
      <c r="FL35" s="45" t="str">
        <f t="array" ref="FL35">IF($DT35="","", INDEX(#REF!,MATCH(CONCATENATE('Respuestas de formulario 1.1'!$B35,$DS35),#REF!,0),MATCH('Respuestas de formulario 1.1'!FL$1,#REF!,0)))</f>
        <v/>
      </c>
      <c r="FM35" s="56" t="str">
        <f t="array" ref="FM35">IF($DT35="","", INDEX(#REF!,MATCH(CONCATENATE('Respuestas de formulario 1.1'!$B35,$DS35),#REF!,0),MATCH('Respuestas de formulario 1.1'!FM$1,#REF!,0)))</f>
        <v/>
      </c>
      <c r="FN35" s="56" t="str">
        <f t="array" ref="FN35">IF($DT35="","", INDEX(#REF!,MATCH(CONCATENATE('Respuestas de formulario 1.1'!$B35,$DS35),#REF!,0),MATCH('Respuestas de formulario 1.1'!FN$1,#REF!,0)))</f>
        <v/>
      </c>
      <c r="FO35" s="56" t="str">
        <f t="array" ref="FO35">IF($DT35="","", INDEX(#REF!,MATCH(CONCATENATE('Respuestas de formulario 1.1'!$B35,$DS35),#REF!,0),MATCH('Respuestas de formulario 1.1'!FO$1,#REF!,0)))</f>
        <v/>
      </c>
      <c r="FP35" s="56" t="str">
        <f t="array" ref="FP35">IF($DT35="","", INDEX(#REF!,MATCH(CONCATENATE('Respuestas de formulario 1.1'!$B35,$DS35),#REF!,0),MATCH('Respuestas de formulario 1.1'!FP$1,#REF!,0)))</f>
        <v/>
      </c>
      <c r="FQ35" s="56" t="str">
        <f t="array" ref="FQ35">IF($DT35="","", INDEX(#REF!,MATCH(CONCATENATE('Respuestas de formulario 1.1'!$B35,$DS35),#REF!,0),MATCH('Respuestas de formulario 1.1'!FQ$1,#REF!,0)))</f>
        <v/>
      </c>
      <c r="FR35" s="45" t="str">
        <f t="array" ref="FR35">IF($DT35="","", INDEX(#REF!,MATCH(CONCATENATE('Respuestas de formulario 1.1'!$B35,$DS35),#REF!,0),MATCH('Respuestas de formulario 1.1'!FR$1,#REF!,0)))</f>
        <v/>
      </c>
      <c r="FS35" s="45" t="str">
        <f t="array" ref="FS35">IF($DU35="","", INDEX(#REF!,MATCH(CONCATENATE('Respuestas de formulario 1.1'!$B35,$DT35),#REF!,0),MATCH('Respuestas de formulario 1.1'!FS$1,#REF!,0)))</f>
        <v/>
      </c>
      <c r="FT35" s="56" t="str">
        <f t="array" ref="FT35">IF($DU35="","", INDEX(#REF!,MATCH(CONCATENATE('Respuestas de formulario 1.1'!$B35,$DT35),#REF!,0),MATCH('Respuestas de formulario 1.1'!FT$1,#REF!,0)))</f>
        <v/>
      </c>
      <c r="FU35" s="56" t="str">
        <f t="array" ref="FU35">IF($DU35="","", INDEX(#REF!,MATCH(CONCATENATE('Respuestas de formulario 1.1'!$B35,$DT35),#REF!,0),MATCH('Respuestas de formulario 1.1'!FU$1,#REF!,0)))</f>
        <v/>
      </c>
      <c r="FV35" s="56" t="str">
        <f t="array" ref="FV35">IF($DU35="","", INDEX(#REF!,MATCH(CONCATENATE('Respuestas de formulario 1.1'!$B35,$DT35),#REF!,0),MATCH('Respuestas de formulario 1.1'!FV$1,#REF!,0)))</f>
        <v/>
      </c>
      <c r="FW35" s="56" t="str">
        <f t="array" ref="FW35">IF($DU35="","", INDEX(#REF!,MATCH(CONCATENATE('Respuestas de formulario 1.1'!$B35,$DT35),#REF!,0),MATCH('Respuestas de formulario 1.1'!FW$1,#REF!,0)))</f>
        <v/>
      </c>
      <c r="FX35" s="56" t="str">
        <f t="array" ref="FX35">IF($DU35="","", INDEX(#REF!,MATCH(CONCATENATE('Respuestas de formulario 1.1'!$B35,$DT35),#REF!,0),MATCH('Respuestas de formulario 1.1'!FX$1,#REF!,0)))</f>
        <v/>
      </c>
      <c r="FY35" s="45" t="str">
        <f t="array" ref="FY35">IF($DU35="","", INDEX(#REF!,MATCH(CONCATENATE('Respuestas de formulario 1.1'!$B35,$DT35),#REF!,0),MATCH('Respuestas de formulario 1.1'!FY$1,#REF!,0)))</f>
        <v/>
      </c>
      <c r="FZ35" s="3" t="s">
        <v>2860</v>
      </c>
      <c r="GA35" s="1" t="s">
        <v>3408</v>
      </c>
      <c r="GB35" s="5" t="s">
        <v>3409</v>
      </c>
      <c r="GC35" s="4" t="str">
        <f>HYPERLINK("https://drive.google.com/file/d/1CumB7uXMHgdJcIyMTfzpXvf6X3rO7lKq/view?usp=drivesdk","AGUILAR  RODRIGUEZ  JOSEFIN MAYLIN Formato de reinscripción y pago 2022-2")</f>
        <v>AGUILAR  RODRIGUEZ  JOSEFIN MAYLIN Formato de reinscripción y pago 2022-2</v>
      </c>
      <c r="GD35" s="1" t="s">
        <v>3410</v>
      </c>
      <c r="GE35" s="1"/>
      <c r="GF35" s="1"/>
      <c r="GG35" s="1"/>
      <c r="GH35" s="1"/>
      <c r="GI35" s="1" t="s">
        <v>3411</v>
      </c>
      <c r="GJ35" s="5" t="s">
        <v>3412</v>
      </c>
      <c r="GK35" s="5" t="str">
        <f>HYPERLINK("https://drive.google.com/file/d/1yDpjcVZqcZznYlby0DOvPPDLVvn-8Lp6/view?usp=drivesdk","AGUILAR  RODRIGUEZ  &lt;&lt;Nombre(S)&gt;&gt; Formato de reinscripción y pago 2022-2")</f>
        <v>AGUILAR  RODRIGUEZ  &lt;&lt;Nombre(S)&gt;&gt; Formato de reinscripción y pago 2022-2</v>
      </c>
      <c r="GL35" s="1" t="s">
        <v>3413</v>
      </c>
    </row>
    <row r="36" spans="1:194" ht="38.25" x14ac:dyDescent="0.2">
      <c r="A36" s="2">
        <v>45139.61695246528</v>
      </c>
      <c r="B36" s="1" t="s">
        <v>22</v>
      </c>
      <c r="C36" s="1" t="s">
        <v>252</v>
      </c>
      <c r="D36" s="1" t="s">
        <v>244</v>
      </c>
      <c r="E36" s="1" t="s">
        <v>1674</v>
      </c>
      <c r="F36" s="1" t="s">
        <v>223</v>
      </c>
      <c r="G36" s="5" t="s">
        <v>3414</v>
      </c>
      <c r="H36" s="41">
        <v>39267</v>
      </c>
      <c r="I36" s="1">
        <v>16</v>
      </c>
      <c r="J36" s="1">
        <v>5623658090</v>
      </c>
      <c r="K36" s="1">
        <v>5522311592</v>
      </c>
      <c r="L36" s="1" t="s">
        <v>1675</v>
      </c>
      <c r="M36" s="1">
        <v>22309060570694</v>
      </c>
      <c r="N36" s="1" t="s">
        <v>562</v>
      </c>
      <c r="O36" s="1" t="s">
        <v>247</v>
      </c>
      <c r="P36" s="1" t="s">
        <v>278</v>
      </c>
      <c r="Q36" s="1" t="s">
        <v>263</v>
      </c>
      <c r="R36" s="1" t="s">
        <v>236</v>
      </c>
      <c r="S36" s="1" t="s">
        <v>228</v>
      </c>
      <c r="T36" s="1" t="s">
        <v>411</v>
      </c>
      <c r="U36" s="1" t="s">
        <v>249</v>
      </c>
      <c r="V36" s="1" t="s">
        <v>228</v>
      </c>
      <c r="W36" s="1" t="s">
        <v>3415</v>
      </c>
      <c r="X36" s="1" t="s">
        <v>249</v>
      </c>
      <c r="Y36" s="1" t="s">
        <v>1928</v>
      </c>
      <c r="Z36" s="1" t="s">
        <v>240</v>
      </c>
      <c r="AA36" s="44" t="s">
        <v>711</v>
      </c>
      <c r="AB36" s="1">
        <v>299</v>
      </c>
      <c r="AC36" s="1">
        <v>23</v>
      </c>
      <c r="AD36" s="1" t="s">
        <v>3416</v>
      </c>
      <c r="AE36" s="1" t="s">
        <v>3417</v>
      </c>
      <c r="AF36" s="1" t="s">
        <v>265</v>
      </c>
      <c r="AG36" s="1">
        <v>48</v>
      </c>
      <c r="AH36" s="5" t="s">
        <v>3418</v>
      </c>
      <c r="AI36" s="1">
        <v>5510405283</v>
      </c>
      <c r="AJ36" s="1">
        <v>5522311592</v>
      </c>
      <c r="AK36" s="1" t="s">
        <v>1678</v>
      </c>
      <c r="AL36" s="1" t="s">
        <v>244</v>
      </c>
      <c r="AM36" s="1" t="s">
        <v>1677</v>
      </c>
      <c r="AN36" s="1" t="s">
        <v>1679</v>
      </c>
      <c r="AO36" s="1" t="s">
        <v>453</v>
      </c>
      <c r="AP36" s="1">
        <v>51</v>
      </c>
      <c r="AQ36" s="1" t="s">
        <v>3419</v>
      </c>
      <c r="AR36" s="42">
        <v>0.41666666666424135</v>
      </c>
      <c r="AS36" s="42">
        <v>0.41666666666424135</v>
      </c>
      <c r="AT36" s="1">
        <v>5577399266</v>
      </c>
      <c r="AU36" s="1">
        <v>5522311592</v>
      </c>
      <c r="AV36" s="1" t="s">
        <v>1676</v>
      </c>
      <c r="AW36" s="5" t="s">
        <v>3420</v>
      </c>
      <c r="AX36" s="1" t="s">
        <v>244</v>
      </c>
      <c r="AY36" s="1" t="s">
        <v>480</v>
      </c>
      <c r="AZ36" s="1" t="s">
        <v>2524</v>
      </c>
      <c r="BA36" s="1" t="s">
        <v>524</v>
      </c>
      <c r="BB36" s="1">
        <v>80</v>
      </c>
      <c r="BC36" s="1" t="s">
        <v>3419</v>
      </c>
      <c r="BD36" s="43">
        <v>0.31944444444525288</v>
      </c>
      <c r="BE36" s="43">
        <v>0.41666666666424135</v>
      </c>
      <c r="BF36" s="1">
        <v>5522311592</v>
      </c>
      <c r="BG36" s="1">
        <v>5522311592</v>
      </c>
      <c r="BH36" s="1" t="s">
        <v>1676</v>
      </c>
      <c r="BI36" s="5" t="s">
        <v>3421</v>
      </c>
      <c r="BJ36" s="1" t="s">
        <v>236</v>
      </c>
      <c r="BK36" s="1" t="s">
        <v>330</v>
      </c>
      <c r="BL36" s="1">
        <v>163</v>
      </c>
      <c r="BM36" s="1">
        <v>111</v>
      </c>
      <c r="BN36" s="1" t="s">
        <v>236</v>
      </c>
      <c r="BO36" s="1" t="s">
        <v>228</v>
      </c>
      <c r="BP36" s="1" t="s">
        <v>270</v>
      </c>
      <c r="BQ36" s="1" t="s">
        <v>228</v>
      </c>
      <c r="BR36" s="1" t="s">
        <v>237</v>
      </c>
      <c r="BS36" s="1" t="s">
        <v>228</v>
      </c>
      <c r="BT36" s="1" t="s">
        <v>237</v>
      </c>
      <c r="BU36" s="1" t="s">
        <v>228</v>
      </c>
      <c r="BW36" s="1" t="s">
        <v>238</v>
      </c>
      <c r="BX36" s="1">
        <v>160</v>
      </c>
      <c r="BY36" s="1">
        <v>200</v>
      </c>
      <c r="BZ36" s="1" t="s">
        <v>1697</v>
      </c>
      <c r="CA36" s="1" t="s">
        <v>237</v>
      </c>
      <c r="CB36" s="1" t="s">
        <v>240</v>
      </c>
      <c r="CC36" s="1" t="s">
        <v>1697</v>
      </c>
      <c r="CD36" s="1">
        <v>1500</v>
      </c>
      <c r="CE36" s="1">
        <v>1500</v>
      </c>
      <c r="CF36" s="1" t="s">
        <v>236</v>
      </c>
      <c r="CG36" s="1" t="s">
        <v>242</v>
      </c>
      <c r="CH36" s="1" t="s">
        <v>243</v>
      </c>
      <c r="CI36" s="1" t="s">
        <v>243</v>
      </c>
      <c r="CJ36" s="1" t="s">
        <v>2848</v>
      </c>
      <c r="CL36" s="5" t="s">
        <v>3422</v>
      </c>
      <c r="CM36" s="44" t="s">
        <v>1680</v>
      </c>
      <c r="CN36" s="1" t="s">
        <v>228</v>
      </c>
      <c r="CQ36" s="42">
        <v>0.33333333333575865</v>
      </c>
      <c r="CR36" s="42">
        <v>0.29166666666424135</v>
      </c>
      <c r="CT36" s="45" t="str">
        <f t="array" ref="CT36">IFERROR(INDEX(#REF!,MATCH('Respuestas de formulario 1.1'!$B36,#REF!,0),MATCH('Respuestas de formulario 1.1'!CT$1,#REF!,0)),"")</f>
        <v/>
      </c>
      <c r="CU36" s="56" t="str">
        <f t="array" ref="CU36">IFERROR(INDEX(#REF!,MATCH('Respuestas de formulario 1.1'!$B36,#REF!,0),MATCH('Respuestas de formulario 1.1'!CU$1,#REF!,0)),"")</f>
        <v/>
      </c>
      <c r="CV36" s="56" t="str">
        <f t="array" ref="CV36">IFERROR(INDEX(#REF!,MATCH('Respuestas de formulario 1.1'!$B36,#REF!,0),MATCH('Respuestas de formulario 1.1'!CV$1,#REF!,0)),"")</f>
        <v/>
      </c>
      <c r="CW36" s="56" t="str">
        <f t="array" ref="CW36">IFERROR(INDEX(#REF!,MATCH('Respuestas de formulario 1.1'!$B36,#REF!,0),MATCH('Respuestas de formulario 1.1'!CW$1,#REF!,0)),"")</f>
        <v/>
      </c>
      <c r="CX36" s="56" t="str">
        <f t="array" ref="CX36">IFERROR(INDEX(#REF!,MATCH('Respuestas de formulario 1.1'!$B36,#REF!,0),MATCH('Respuestas de formulario 1.1'!CX$1,#REF!,0)),"")</f>
        <v/>
      </c>
      <c r="CY36" s="56" t="str">
        <f t="array" ref="CY36">IFERROR(INDEX(#REF!,MATCH('Respuestas de formulario 1.1'!$B36,#REF!,0),MATCH('Respuestas de formulario 1.1'!CY$1,#REF!,0)),"")</f>
        <v/>
      </c>
      <c r="CZ36" s="57" t="str">
        <f t="array" ref="CZ36">IFERROR(INDEX(#REF!,MATCH('Respuestas de formulario 1.1'!$B36,#REF!,0),MATCH('Respuestas de formulario 1.1'!CZ$1,#REF!,0)),"")</f>
        <v/>
      </c>
      <c r="DA36" s="45" t="e">
        <f t="array" ref="DA36">INDEX(#REF!,MATCH('Respuestas de formulario 1.1'!$B36,#REF!,0),MATCH('Respuestas de formulario 1.1'!DA$1,#REF!,0))</f>
        <v>#REF!</v>
      </c>
      <c r="DB36" s="45" t="e">
        <f t="array" ref="DB36">INDEX(#REF!,MATCH('Respuestas de formulario 1.1'!$B36,#REF!,0),MATCH('Respuestas de formulario 1.1'!DB$1,#REF!,0))</f>
        <v>#REF!</v>
      </c>
      <c r="DC36" s="45" t="e">
        <f t="array" ref="DC36">INDEX(#REF!,MATCH('Respuestas de formulario 1.1'!$B36,#REF!,0),MATCH('Respuestas de formulario 1.1'!DC$1,#REF!,0))</f>
        <v>#REF!</v>
      </c>
      <c r="DD36" s="45" t="e">
        <f t="array" ref="DD36">INDEX(#REF!,MATCH('Respuestas de formulario 1.1'!$B36,#REF!,0),MATCH('Respuestas de formulario 1.1'!DD$1,#REF!,0))</f>
        <v>#REF!</v>
      </c>
      <c r="DE36" s="45" t="e">
        <f t="array" ref="DE36">INDEX(#REF!,MATCH('Respuestas de formulario 1.1'!$B36,#REF!,0),MATCH('Respuestas de formulario 1.1'!DE$1,#REF!,0))</f>
        <v>#REF!</v>
      </c>
      <c r="DF36" s="45" t="e">
        <f t="array" ref="DF36">INDEX(#REF!,MATCH('Respuestas de formulario 1.1'!$B36,#REF!,0),MATCH('Respuestas de formulario 1.1'!DF$1,#REF!,0))</f>
        <v>#REF!</v>
      </c>
      <c r="DG36" s="45" t="e">
        <f t="array" ref="DG36">INDEX(#REF!,MATCH('Respuestas de formulario 1.1'!$B36,#REF!,0),MATCH('Respuestas de formulario 1.1'!DG$1,#REF!,0))</f>
        <v>#REF!</v>
      </c>
      <c r="DH36" s="45" t="e">
        <f t="array" ref="DH36">INDEX(#REF!,MATCH('Respuestas de formulario 1.1'!$B36,#REF!,0),MATCH('Respuestas de formulario 1.1'!DH$1,#REF!,0))</f>
        <v>#REF!</v>
      </c>
      <c r="DI36" s="48" t="e">
        <f>VLOOKUP(CONCATENATE($DF36," TUTO ",$DC36),#REF!,3,0)</f>
        <v>#REF!</v>
      </c>
      <c r="DJ36" s="48" t="e">
        <f t="array" ref="DJ36">IF('Respuestas de formulario 1.1'!A36="","",INDEX(#REF!,MATCH('Respuestas de formulario 1.1'!B36,#REF!,0),MATCH('Respuestas de formulario 1.1'!$DH$1,#REF!,0)))</f>
        <v>#REF!</v>
      </c>
      <c r="DK36" s="52" t="str">
        <f>CONCATENATE("http://doc.google.com/uc?id=",MID('Respuestas de formulario 1.1'!G36,34,33))</f>
        <v>http://doc.google.com/uc?id=10M8TsLwmSafqifw530BDKF9HNZ-DjFdR</v>
      </c>
      <c r="DL36" s="49" t="str">
        <f>CONCATENATE("http://doc.google.com/uc?id=",MID('Respuestas de formulario 1.1'!AH36,34,33))</f>
        <v>http://doc.google.com/uc?id=1M0E8VIgSLkaYH8yIosvNNO8glnm8ap9K</v>
      </c>
      <c r="DM36" s="50" t="str">
        <f>CONCATENATE("http://doc.google.com/uc?id=",MID('Respuestas de formulario 1.1'!AW36,34,33))</f>
        <v>http://doc.google.com/uc?id=1M5vbxRvbw6Uy_CaXYBnOBhHwwoDcm0eb</v>
      </c>
      <c r="DN36" s="53" t="str">
        <f>CONCATENATE("http://doc.google.com/uc?id=",MID('Respuestas de formulario 1.1'!$BI36,34,33))</f>
        <v>http://doc.google.com/uc?id=1f7YLk0VBA6sZzWTte8ia-4PXhwmsk2Sl</v>
      </c>
      <c r="DO36" s="45" t="str">
        <f>IFERROR(VLOOKUP(CONCATENATE('Respuestas de formulario 1.1'!$B36,MID('Respuestas de formulario 1.1'!DO$1,2,1)),#REF!,12,0),"")</f>
        <v/>
      </c>
      <c r="DP36" s="45" t="str">
        <f>IFERROR(VLOOKUP(CONCATENATE('Respuestas de formulario 1.1'!$B36,MID('Respuestas de formulario 1.1'!DP$1,2,1)),#REF!,12,0),"")</f>
        <v/>
      </c>
      <c r="DQ36" s="45" t="str">
        <f>IFERROR(VLOOKUP(CONCATENATE('Respuestas de formulario 1.1'!$B36,MID('Respuestas de formulario 1.1'!DQ$1,2,1)),#REF!,12,0),"")</f>
        <v/>
      </c>
      <c r="DR36" s="45" t="str">
        <f>IFERROR(VLOOKUP(CONCATENATE('Respuestas de formulario 1.1'!$B36,MID('Respuestas de formulario 1.1'!DR$1,2,1)),#REF!,12,0),"")</f>
        <v/>
      </c>
      <c r="DS36" s="45" t="str">
        <f>IFERROR(VLOOKUP(CONCATENATE('Respuestas de formulario 1.1'!$B36,MID('Respuestas de formulario 1.1'!DS$1,2,1)),#REF!,12,0),"")</f>
        <v/>
      </c>
      <c r="DT36" s="45" t="str">
        <f>IFERROR(VLOOKUP(CONCATENATE('Respuestas de formulario 1.1'!$B36,MID('Respuestas de formulario 1.1'!DT$1,2,1)),#REF!,12,0),"")</f>
        <v/>
      </c>
      <c r="DU36" s="45" t="str">
        <f>IFERROR(VLOOKUP(CONCATENATE('Respuestas de formulario 1.1'!$B36,MID('Respuestas de formulario 1.1'!DU$1,2,1)),#REF!,12,0),"")</f>
        <v/>
      </c>
      <c r="DV36" s="45" t="str">
        <f>IFERROR(VLOOKUP(CONCATENATE('Respuestas de formulario 1.1'!$B36,MID('Respuestas de formulario 1.1'!DV$1,2,1)),#REF!,12,0),"")</f>
        <v/>
      </c>
      <c r="DW36" s="45" t="str">
        <f>IFERROR(VLOOKUP(CONCATENATE('Respuestas de formulario 1.1'!$B36,MID('Respuestas de formulario 1.1'!DW$1,2,1)),#REF!,12,0),"")</f>
        <v/>
      </c>
      <c r="DX36" s="45" t="str">
        <f>IFERROR(VLOOKUP(CONCATENATE('Respuestas de formulario 1.1'!$B36,MID('Respuestas de formulario 1.1'!DX$1,2,1)),#REF!,12,0),"")</f>
        <v/>
      </c>
      <c r="DY36" s="45" t="str">
        <f>IFERROR(VLOOKUP(CONCATENATE('Respuestas de formulario 1.1'!$B36,MID('Respuestas de formulario 1.1'!DY$1,2,1)),#REF!,12,0),"")</f>
        <v/>
      </c>
      <c r="DZ36" s="45" t="str">
        <f>IFERROR(VLOOKUP(CONCATENATE('Respuestas de formulario 1.1'!$B36,MID('Respuestas de formulario 1.1'!DZ$1,2,1)),#REF!,12,0),"")</f>
        <v/>
      </c>
      <c r="EA36" s="45" t="str">
        <f>IFERROR(VLOOKUP(CONCATENATE('Respuestas de formulario 1.1'!$B36,MID('Respuestas de formulario 1.1'!EA$1,2,1)),#REF!,12,0),"")</f>
        <v/>
      </c>
      <c r="EB36" s="45" t="str">
        <f>IFERROR(VLOOKUP(CONCATENATE('Respuestas de formulario 1.1'!$B36,MID('Respuestas de formulario 1.1'!EB$1,2,1)),#REF!,12,0),"")</f>
        <v/>
      </c>
      <c r="EC36" s="45" t="str">
        <f>IFERROR(VLOOKUP(CONCATENATE('Respuestas de formulario 1.1'!$B36,MID('Respuestas de formulario 1.1'!EC$1,2,1)),#REF!,12,0),"")</f>
        <v/>
      </c>
      <c r="ED36" s="45" t="str">
        <f>IFERROR(VLOOKUP(CONCATENATE('Respuestas de formulario 1.1'!$B36,MID('Respuestas de formulario 1.1'!ED$1,2,1)),#REF!,12,0),"")</f>
        <v/>
      </c>
      <c r="EE36" s="45" t="str">
        <f>IFERROR(VLOOKUP(CONCATENATE('Respuestas de formulario 1.1'!$B36,MID('Respuestas de formulario 1.1'!EE$1,2,1)),#REF!,12,0),"")</f>
        <v/>
      </c>
      <c r="EF36" s="45" t="str">
        <f>IFERROR(VLOOKUP(CONCATENATE('Respuestas de formulario 1.1'!$B36,MID('Respuestas de formulario 1.1'!EF$1,2,1)),#REF!,12,0),"")</f>
        <v/>
      </c>
      <c r="EG36" s="45" t="str">
        <f>IFERROR(VLOOKUP(CONCATENATE('Respuestas de formulario 1.1'!$B36,MID('Respuestas de formulario 1.1'!EG$1,2,1)),#REF!,12,0),"")</f>
        <v/>
      </c>
      <c r="EH36" s="45" t="str">
        <f>IFERROR(VLOOKUP(CONCATENATE('Respuestas de formulario 1.1'!$B36,MID('Respuestas de formulario 1.1'!EH$1,2,1)),#REF!,12,0),"")</f>
        <v/>
      </c>
      <c r="EI36" s="45" t="str">
        <f>IFERROR(VLOOKUP(CONCATENATE('Respuestas de formulario 1.1'!$B36,MID('Respuestas de formulario 1.1'!EI$1,2,1)),#REF!,12,0),"")</f>
        <v/>
      </c>
      <c r="EJ36" s="45" t="str">
        <f t="array" ref="EJ36">IF(DO36="","", INDEX(#REF!,MATCH(CONCATENATE('Respuestas de formulario 1.1'!$B36,DO36),#REF!,0),MATCH('Respuestas de formulario 1.1'!EJ$1,#REF!,0)))</f>
        <v/>
      </c>
      <c r="EK36" s="56" t="str">
        <f t="array" ref="EK36">IF(DP36="","", INDEX(#REF!,MATCH(CONCATENATE('Respuestas de formulario 1.1'!$B36,DP36),#REF!,0),MATCH('Respuestas de formulario 1.1'!EK$1,#REF!,0)))</f>
        <v/>
      </c>
      <c r="EL36" s="56" t="str">
        <f t="array" ref="EL36">IF(DQ36="","", INDEX(#REF!,MATCH(CONCATENATE('Respuestas de formulario 1.1'!$B36,DQ36),#REF!,0),MATCH('Respuestas de formulario 1.1'!EL$1,#REF!,0)))</f>
        <v/>
      </c>
      <c r="EM36" s="56" t="str">
        <f t="array" ref="EM36">IF(DR36="","", INDEX(#REF!,MATCH(CONCATENATE('Respuestas de formulario 1.1'!$B36,DR36),#REF!,0),MATCH('Respuestas de formulario 1.1'!EM$1,#REF!,0)))</f>
        <v/>
      </c>
      <c r="EN36" s="56" t="str">
        <f t="array" ref="EN36">IF(DS36="","", INDEX(#REF!,MATCH(CONCATENATE('Respuestas de formulario 1.1'!$B36,DS36),#REF!,0),MATCH('Respuestas de formulario 1.1'!EN$1,#REF!,0)))</f>
        <v/>
      </c>
      <c r="EO36" s="56" t="str">
        <f t="array" ref="EO36">IF(DT36="","", INDEX(#REF!,MATCH(CONCATENATE('Respuestas de formulario 1.1'!$B36,DT36),#REF!,0),MATCH('Respuestas de formulario 1.1'!EO$1,#REF!,0)))</f>
        <v/>
      </c>
      <c r="EP36" s="45" t="str">
        <f t="array" ref="EP36">IF(DU36="","", INDEX(#REF!,MATCH(CONCATENATE('Respuestas de formulario 1.1'!$B36,DU36),#REF!,0),MATCH('Respuestas de formulario 1.1'!EP$1,#REF!,0)))</f>
        <v/>
      </c>
      <c r="EQ36" s="45" t="str">
        <f t="array" ref="EQ36">IF(DP36="","", INDEX(#REF!,MATCH(CONCATENATE('Respuestas de formulario 1.1'!$B36,DP36),#REF!,0),MATCH('Respuestas de formulario 1.1'!EQ$1,#REF!,0)))</f>
        <v/>
      </c>
      <c r="ER36" s="56" t="str">
        <f t="array" ref="ER36">IF(DQ36="","", INDEX(#REF!,MATCH(CONCATENATE('Respuestas de formulario 1.1'!$B36,DQ36),#REF!,0),MATCH('Respuestas de formulario 1.1'!ER$1,#REF!,0)))</f>
        <v/>
      </c>
      <c r="ES36" s="56" t="str">
        <f t="array" ref="ES36">IF(DR36="","", INDEX(#REF!,MATCH(CONCATENATE('Respuestas de formulario 1.1'!$B36,DR36),#REF!,0),MATCH('Respuestas de formulario 1.1'!ES$1,#REF!,0)))</f>
        <v/>
      </c>
      <c r="ET36" s="56" t="str">
        <f t="array" ref="ET36">IF(DS36="","", INDEX(#REF!,MATCH(CONCATENATE('Respuestas de formulario 1.1'!$B36,DS36),#REF!,0),MATCH('Respuestas de formulario 1.1'!ET$1,#REF!,0)))</f>
        <v/>
      </c>
      <c r="EU36" s="56" t="str">
        <f t="array" ref="EU36">IF(DT36="","", INDEX(#REF!,MATCH(CONCATENATE('Respuestas de formulario 1.1'!$B36,DT36),#REF!,0),MATCH('Respuestas de formulario 1.1'!EU$1,#REF!,0)))</f>
        <v/>
      </c>
      <c r="EV36" s="56" t="str">
        <f t="array" ref="EV36">IF(DU36="","", INDEX(#REF!,MATCH(CONCATENATE('Respuestas de formulario 1.1'!$B36,DU36),#REF!,0),MATCH('Respuestas de formulario 1.1'!EV$1,#REF!,0)))</f>
        <v/>
      </c>
      <c r="EW36" s="45" t="str">
        <f t="array" ref="EW36">IF(DV36="","", INDEX(#REF!,MATCH(CONCATENATE('Respuestas de formulario 1.1'!$B36,DV36),#REF!,0),MATCH('Respuestas de formulario 1.1'!EW$1,#REF!,0)))</f>
        <v/>
      </c>
      <c r="EX36" s="45" t="str">
        <f t="array" ref="EX36">IF($DQ36="","", INDEX(#REF!,MATCH(CONCATENATE('Respuestas de formulario 1.1'!$B36,$DQ36),#REF!,0),MATCH('Respuestas de formulario 1.1'!EX$1,#REF!,0)))</f>
        <v/>
      </c>
      <c r="EY36" s="56" t="str">
        <f t="array" ref="EY36">IF($DQ36="","", INDEX(#REF!,MATCH(CONCATENATE('Respuestas de formulario 1.1'!$B36,$DQ36),#REF!,0),MATCH('Respuestas de formulario 1.1'!EY$1,#REF!,0)))</f>
        <v/>
      </c>
      <c r="EZ36" s="56" t="str">
        <f t="array" ref="EZ36">IF($DQ36="","", INDEX(#REF!,MATCH(CONCATENATE('Respuestas de formulario 1.1'!$B36,$DQ36),#REF!,0),MATCH('Respuestas de formulario 1.1'!EZ$1,#REF!,0)))</f>
        <v/>
      </c>
      <c r="FA36" s="56" t="str">
        <f t="array" ref="FA36">IF($DQ36="","", INDEX(#REF!,MATCH(CONCATENATE('Respuestas de formulario 1.1'!$B36,$DQ36),#REF!,0),MATCH('Respuestas de formulario 1.1'!FA$1,#REF!,0)))</f>
        <v/>
      </c>
      <c r="FB36" s="56" t="str">
        <f t="array" ref="FB36">IF($DQ36="","", INDEX(#REF!,MATCH(CONCATENATE('Respuestas de formulario 1.1'!$B36,$DQ36),#REF!,0),MATCH('Respuestas de formulario 1.1'!FB$1,#REF!,0)))</f>
        <v/>
      </c>
      <c r="FC36" s="56" t="str">
        <f t="array" ref="FC36">IF($DQ36="","", INDEX(#REF!,MATCH(CONCATENATE('Respuestas de formulario 1.1'!$B36,$DQ36),#REF!,0),MATCH('Respuestas de formulario 1.1'!FC$1,#REF!,0)))</f>
        <v/>
      </c>
      <c r="FD36" s="45" t="str">
        <f t="array" ref="FD36">IF($DQ36="","", INDEX(#REF!,MATCH(CONCATENATE('Respuestas de formulario 1.1'!$B36,$DQ36),#REF!,0),MATCH('Respuestas de formulario 1.1'!FD$1,#REF!,0)))</f>
        <v/>
      </c>
      <c r="FE36" s="45" t="str">
        <f t="array" ref="FE36">IF($DR36="","", INDEX(#REF!,MATCH(CONCATENATE(#REF!,$DR36),#REF!,0),MATCH(#REF!,#REF!,0)))</f>
        <v/>
      </c>
      <c r="FF36" s="56" t="str">
        <f t="array" ref="FF36">IF($DR36="","", INDEX(#REF!,MATCH(CONCATENATE(#REF!,$DR36),#REF!,0),MATCH(#REF!,#REF!,0)))</f>
        <v/>
      </c>
      <c r="FG36" s="56" t="str">
        <f t="array" ref="FG36">IF($DR36="","", INDEX(#REF!,MATCH(CONCATENATE(#REF!,$DR36),#REF!,0),MATCH(#REF!,#REF!,0)))</f>
        <v/>
      </c>
      <c r="FH36" s="56" t="str">
        <f t="array" ref="FH36">IF($DR36="","", INDEX(#REF!,MATCH(CONCATENATE(#REF!,$DR36),#REF!,0),MATCH(#REF!,#REF!,0)))</f>
        <v/>
      </c>
      <c r="FI36" s="56" t="str">
        <f t="array" ref="FI36">IF($DR36="","", INDEX(#REF!,MATCH(CONCATENATE(#REF!,$DR36),#REF!,0),MATCH(#REF!,#REF!,0)))</f>
        <v/>
      </c>
      <c r="FJ36" s="56" t="str">
        <f t="array" ref="FJ36">IF($DR36="","", INDEX(#REF!,MATCH(CONCATENATE(#REF!,$DR36),#REF!,0),MATCH(#REF!,#REF!,0)))</f>
        <v/>
      </c>
      <c r="FK36" s="45" t="str">
        <f t="array" ref="FK36">IF($DR36="","", INDEX(#REF!,MATCH(CONCATENATE(#REF!,$DR36),#REF!,0),MATCH(#REF!,#REF!,0)))</f>
        <v/>
      </c>
      <c r="FL36" s="45" t="str">
        <f t="array" ref="FL36">IF($DT36="","", INDEX(#REF!,MATCH(CONCATENATE('Respuestas de formulario 1.1'!$B36,$DS36),#REF!,0),MATCH('Respuestas de formulario 1.1'!FL$1,#REF!,0)))</f>
        <v/>
      </c>
      <c r="FM36" s="56" t="str">
        <f t="array" ref="FM36">IF($DT36="","", INDEX(#REF!,MATCH(CONCATENATE('Respuestas de formulario 1.1'!$B36,$DS36),#REF!,0),MATCH('Respuestas de formulario 1.1'!FM$1,#REF!,0)))</f>
        <v/>
      </c>
      <c r="FN36" s="56" t="str">
        <f t="array" ref="FN36">IF($DT36="","", INDEX(#REF!,MATCH(CONCATENATE('Respuestas de formulario 1.1'!$B36,$DS36),#REF!,0),MATCH('Respuestas de formulario 1.1'!FN$1,#REF!,0)))</f>
        <v/>
      </c>
      <c r="FO36" s="56" t="str">
        <f t="array" ref="FO36">IF($DT36="","", INDEX(#REF!,MATCH(CONCATENATE('Respuestas de formulario 1.1'!$B36,$DS36),#REF!,0),MATCH('Respuestas de formulario 1.1'!FO$1,#REF!,0)))</f>
        <v/>
      </c>
      <c r="FP36" s="56" t="str">
        <f t="array" ref="FP36">IF($DT36="","", INDEX(#REF!,MATCH(CONCATENATE('Respuestas de formulario 1.1'!$B36,$DS36),#REF!,0),MATCH('Respuestas de formulario 1.1'!FP$1,#REF!,0)))</f>
        <v/>
      </c>
      <c r="FQ36" s="56" t="str">
        <f t="array" ref="FQ36">IF($DT36="","", INDEX(#REF!,MATCH(CONCATENATE('Respuestas de formulario 1.1'!$B36,$DS36),#REF!,0),MATCH('Respuestas de formulario 1.1'!FQ$1,#REF!,0)))</f>
        <v/>
      </c>
      <c r="FR36" s="45" t="str">
        <f t="array" ref="FR36">IF($DT36="","", INDEX(#REF!,MATCH(CONCATENATE('Respuestas de formulario 1.1'!$B36,$DS36),#REF!,0),MATCH('Respuestas de formulario 1.1'!FR$1,#REF!,0)))</f>
        <v/>
      </c>
      <c r="FS36" s="45" t="str">
        <f t="array" ref="FS36">IF($DU36="","", INDEX(#REF!,MATCH(CONCATENATE('Respuestas de formulario 1.1'!$B36,$DT36),#REF!,0),MATCH('Respuestas de formulario 1.1'!FS$1,#REF!,0)))</f>
        <v/>
      </c>
      <c r="FT36" s="56" t="str">
        <f t="array" ref="FT36">IF($DU36="","", INDEX(#REF!,MATCH(CONCATENATE('Respuestas de formulario 1.1'!$B36,$DT36),#REF!,0),MATCH('Respuestas de formulario 1.1'!FT$1,#REF!,0)))</f>
        <v/>
      </c>
      <c r="FU36" s="56" t="str">
        <f t="array" ref="FU36">IF($DU36="","", INDEX(#REF!,MATCH(CONCATENATE('Respuestas de formulario 1.1'!$B36,$DT36),#REF!,0),MATCH('Respuestas de formulario 1.1'!FU$1,#REF!,0)))</f>
        <v/>
      </c>
      <c r="FV36" s="56" t="str">
        <f t="array" ref="FV36">IF($DU36="","", INDEX(#REF!,MATCH(CONCATENATE('Respuestas de formulario 1.1'!$B36,$DT36),#REF!,0),MATCH('Respuestas de formulario 1.1'!FV$1,#REF!,0)))</f>
        <v/>
      </c>
      <c r="FW36" s="56" t="str">
        <f t="array" ref="FW36">IF($DU36="","", INDEX(#REF!,MATCH(CONCATENATE('Respuestas de formulario 1.1'!$B36,$DT36),#REF!,0),MATCH('Respuestas de formulario 1.1'!FW$1,#REF!,0)))</f>
        <v/>
      </c>
      <c r="FX36" s="56" t="str">
        <f t="array" ref="FX36">IF($DU36="","", INDEX(#REF!,MATCH(CONCATENATE('Respuestas de formulario 1.1'!$B36,$DT36),#REF!,0),MATCH('Respuestas de formulario 1.1'!FX$1,#REF!,0)))</f>
        <v/>
      </c>
      <c r="FY36" s="45" t="str">
        <f t="array" ref="FY36">IF($DU36="","", INDEX(#REF!,MATCH(CONCATENATE('Respuestas de formulario 1.1'!$B36,$DT36),#REF!,0),MATCH('Respuestas de formulario 1.1'!FY$1,#REF!,0)))</f>
        <v/>
      </c>
      <c r="FZ36" s="3" t="s">
        <v>2860</v>
      </c>
      <c r="GA36" s="1" t="s">
        <v>3423</v>
      </c>
      <c r="GB36" s="5" t="s">
        <v>3424</v>
      </c>
      <c r="GC36" s="4" t="str">
        <f>HYPERLINK("https://drive.google.com/file/d/1eSUj-L0QAVOiPKuv4VzskK7Tbl3APcR9/view?usp=drivesdk","PEREZ HERNANDEZ VERONICA ITZEL Formato de reinscripción y pago 2022-2")</f>
        <v>PEREZ HERNANDEZ VERONICA ITZEL Formato de reinscripción y pago 2022-2</v>
      </c>
      <c r="GD36" s="1" t="s">
        <v>3425</v>
      </c>
      <c r="GE36" s="1"/>
      <c r="GF36" s="1"/>
      <c r="GG36" s="1"/>
      <c r="GH36" s="1"/>
      <c r="GI36" s="1" t="s">
        <v>3426</v>
      </c>
      <c r="GJ36" s="5" t="s">
        <v>3427</v>
      </c>
      <c r="GK36" s="5" t="str">
        <f>HYPERLINK("https://drive.google.com/file/d/1LfWpsec5NcFcUzLCNqzPnN2cyPS1EChH/view?usp=drivesdk","PEREZ HERNANDEZ &lt;&lt;Nombre(S)&gt;&gt; Formato de reinscripción y pago 2022-2")</f>
        <v>PEREZ HERNANDEZ &lt;&lt;Nombre(S)&gt;&gt; Formato de reinscripción y pago 2022-2</v>
      </c>
      <c r="GL36" s="1" t="s">
        <v>3428</v>
      </c>
    </row>
    <row r="37" spans="1:194" ht="38.25" x14ac:dyDescent="0.2">
      <c r="A37" s="2">
        <v>45139.051889953698</v>
      </c>
      <c r="B37" s="1" t="s">
        <v>1172</v>
      </c>
      <c r="C37" s="1" t="s">
        <v>245</v>
      </c>
      <c r="D37" s="1" t="s">
        <v>392</v>
      </c>
      <c r="E37" s="1" t="s">
        <v>1173</v>
      </c>
      <c r="F37" s="1" t="s">
        <v>223</v>
      </c>
      <c r="G37" s="5" t="s">
        <v>3429</v>
      </c>
      <c r="H37" s="41">
        <v>38863</v>
      </c>
      <c r="I37" s="1">
        <v>17</v>
      </c>
      <c r="J37" s="1">
        <v>5581276354</v>
      </c>
      <c r="K37" s="1">
        <v>5560324011</v>
      </c>
      <c r="L37" s="1" t="s">
        <v>1174</v>
      </c>
      <c r="M37" s="1">
        <v>213090605702</v>
      </c>
      <c r="N37" s="1" t="s">
        <v>1108</v>
      </c>
      <c r="O37" s="1" t="s">
        <v>247</v>
      </c>
      <c r="P37" s="1" t="s">
        <v>226</v>
      </c>
      <c r="Q37" s="1" t="s">
        <v>227</v>
      </c>
      <c r="R37" s="1" t="s">
        <v>236</v>
      </c>
      <c r="S37" s="1" t="s">
        <v>228</v>
      </c>
      <c r="T37" s="1" t="s">
        <v>411</v>
      </c>
      <c r="U37" s="1" t="s">
        <v>249</v>
      </c>
      <c r="V37" s="1" t="s">
        <v>228</v>
      </c>
      <c r="W37" s="1" t="s">
        <v>3430</v>
      </c>
      <c r="X37" s="1" t="s">
        <v>393</v>
      </c>
      <c r="Y37" s="1" t="s">
        <v>2693</v>
      </c>
      <c r="Z37" s="1" t="s">
        <v>240</v>
      </c>
      <c r="AA37" s="44" t="s">
        <v>1175</v>
      </c>
      <c r="AB37" s="1">
        <v>55</v>
      </c>
      <c r="AC37" s="1">
        <v>3</v>
      </c>
      <c r="AD37" s="1" t="s">
        <v>3431</v>
      </c>
      <c r="AE37" s="1" t="s">
        <v>1176</v>
      </c>
      <c r="AF37" s="1" t="s">
        <v>265</v>
      </c>
      <c r="AG37" s="1">
        <v>42</v>
      </c>
      <c r="AH37" s="5" t="s">
        <v>3432</v>
      </c>
      <c r="AI37" s="1">
        <v>5560324011</v>
      </c>
      <c r="AJ37" s="1">
        <v>5560324011</v>
      </c>
      <c r="AK37" s="1" t="s">
        <v>1177</v>
      </c>
      <c r="AL37" s="1" t="s">
        <v>245</v>
      </c>
      <c r="AM37" s="1" t="s">
        <v>392</v>
      </c>
      <c r="AN37" s="1" t="s">
        <v>3433</v>
      </c>
      <c r="AO37" s="1" t="s">
        <v>758</v>
      </c>
      <c r="AP37" s="1">
        <v>23</v>
      </c>
      <c r="AQ37" s="1" t="s">
        <v>517</v>
      </c>
      <c r="AR37" s="42">
        <v>0.375</v>
      </c>
      <c r="AS37" s="42">
        <v>0.875</v>
      </c>
      <c r="AT37" s="1">
        <v>5585669046</v>
      </c>
      <c r="AU37" s="1">
        <v>5585669046</v>
      </c>
      <c r="AV37" s="1" t="s">
        <v>1178</v>
      </c>
      <c r="AW37" s="5" t="s">
        <v>3434</v>
      </c>
      <c r="AX37" s="1" t="s">
        <v>504</v>
      </c>
      <c r="AY37" s="1" t="s">
        <v>369</v>
      </c>
      <c r="AZ37" s="1" t="s">
        <v>2233</v>
      </c>
      <c r="BA37" s="1" t="s">
        <v>359</v>
      </c>
      <c r="BB37" s="1">
        <v>62</v>
      </c>
      <c r="BC37" s="1" t="s">
        <v>2062</v>
      </c>
      <c r="BD37" s="43">
        <v>0</v>
      </c>
      <c r="BE37" s="43">
        <v>0</v>
      </c>
      <c r="BF37" s="1">
        <v>5536299592</v>
      </c>
      <c r="BG37" s="1">
        <v>5536299592</v>
      </c>
      <c r="BH37" s="1"/>
      <c r="BI37" s="5" t="s">
        <v>3435</v>
      </c>
      <c r="BJ37" s="1" t="s">
        <v>236</v>
      </c>
      <c r="BL37" s="1">
        <v>1.66</v>
      </c>
      <c r="BM37" s="1">
        <v>63</v>
      </c>
      <c r="BN37" s="1" t="s">
        <v>236</v>
      </c>
      <c r="BO37" s="1" t="s">
        <v>228</v>
      </c>
      <c r="BQ37" s="1" t="s">
        <v>228</v>
      </c>
      <c r="BR37" s="1" t="s">
        <v>237</v>
      </c>
      <c r="BS37" s="1" t="s">
        <v>236</v>
      </c>
      <c r="BT37" s="1" t="s">
        <v>457</v>
      </c>
      <c r="BU37" s="1" t="s">
        <v>228</v>
      </c>
      <c r="BW37" s="1" t="s">
        <v>349</v>
      </c>
      <c r="BX37" s="1">
        <v>100</v>
      </c>
      <c r="BY37" s="1">
        <v>60</v>
      </c>
      <c r="BZ37" s="1" t="s">
        <v>3436</v>
      </c>
      <c r="CA37" s="1" t="s">
        <v>3437</v>
      </c>
      <c r="CB37" s="1" t="s">
        <v>240</v>
      </c>
      <c r="CC37" s="1" t="s">
        <v>300</v>
      </c>
      <c r="CD37" s="1">
        <v>2000</v>
      </c>
      <c r="CE37" s="1">
        <v>500</v>
      </c>
      <c r="CF37" s="1" t="s">
        <v>236</v>
      </c>
      <c r="CG37" s="1" t="s">
        <v>256</v>
      </c>
      <c r="CH37" s="1" t="s">
        <v>243</v>
      </c>
      <c r="CI37" s="1" t="s">
        <v>243</v>
      </c>
      <c r="CJ37" s="1" t="s">
        <v>2848</v>
      </c>
      <c r="CL37" s="5" t="s">
        <v>3438</v>
      </c>
      <c r="CM37" s="1">
        <v>60210624742</v>
      </c>
      <c r="CN37" s="1" t="s">
        <v>228</v>
      </c>
      <c r="CQ37" s="42">
        <v>0</v>
      </c>
      <c r="CR37" s="42">
        <v>0</v>
      </c>
      <c r="CT37" s="45" t="str">
        <f t="array" ref="CT37">IFERROR(INDEX(#REF!,MATCH('Respuestas de formulario 1.1'!$B37,#REF!,0),MATCH('Respuestas de formulario 1.1'!CT$1,#REF!,0)),"")</f>
        <v/>
      </c>
      <c r="CU37" s="56" t="str">
        <f t="array" ref="CU37">IFERROR(INDEX(#REF!,MATCH('Respuestas de formulario 1.1'!$B37,#REF!,0),MATCH('Respuestas de formulario 1.1'!CU$1,#REF!,0)),"")</f>
        <v/>
      </c>
      <c r="CV37" s="56" t="str">
        <f t="array" ref="CV37">IFERROR(INDEX(#REF!,MATCH('Respuestas de formulario 1.1'!$B37,#REF!,0),MATCH('Respuestas de formulario 1.1'!CV$1,#REF!,0)),"")</f>
        <v/>
      </c>
      <c r="CW37" s="56" t="str">
        <f t="array" ref="CW37">IFERROR(INDEX(#REF!,MATCH('Respuestas de formulario 1.1'!$B37,#REF!,0),MATCH('Respuestas de formulario 1.1'!CW$1,#REF!,0)),"")</f>
        <v/>
      </c>
      <c r="CX37" s="56" t="str">
        <f t="array" ref="CX37">IFERROR(INDEX(#REF!,MATCH('Respuestas de formulario 1.1'!$B37,#REF!,0),MATCH('Respuestas de formulario 1.1'!CX$1,#REF!,0)),"")</f>
        <v/>
      </c>
      <c r="CY37" s="56" t="str">
        <f t="array" ref="CY37">IFERROR(INDEX(#REF!,MATCH('Respuestas de formulario 1.1'!$B37,#REF!,0),MATCH('Respuestas de formulario 1.1'!CY$1,#REF!,0)),"")</f>
        <v/>
      </c>
      <c r="CZ37" s="57" t="str">
        <f t="array" ref="CZ37">IFERROR(INDEX(#REF!,MATCH('Respuestas de formulario 1.1'!$B37,#REF!,0),MATCH('Respuestas de formulario 1.1'!CZ$1,#REF!,0)),"")</f>
        <v/>
      </c>
      <c r="DA37" s="45" t="e">
        <f t="array" ref="DA37">INDEX(#REF!,MATCH('Respuestas de formulario 1.1'!$B37,#REF!,0),MATCH('Respuestas de formulario 1.1'!DA$1,#REF!,0))</f>
        <v>#REF!</v>
      </c>
      <c r="DB37" s="45" t="e">
        <f t="array" ref="DB37">INDEX(#REF!,MATCH('Respuestas de formulario 1.1'!$B37,#REF!,0),MATCH('Respuestas de formulario 1.1'!DB$1,#REF!,0))</f>
        <v>#REF!</v>
      </c>
      <c r="DC37" s="45" t="e">
        <f t="array" ref="DC37">INDEX(#REF!,MATCH('Respuestas de formulario 1.1'!$B37,#REF!,0),MATCH('Respuestas de formulario 1.1'!DC$1,#REF!,0))</f>
        <v>#REF!</v>
      </c>
      <c r="DD37" s="45" t="e">
        <f t="array" ref="DD37">INDEX(#REF!,MATCH('Respuestas de formulario 1.1'!$B37,#REF!,0),MATCH('Respuestas de formulario 1.1'!DD$1,#REF!,0))</f>
        <v>#REF!</v>
      </c>
      <c r="DE37" s="45" t="e">
        <f t="array" ref="DE37">INDEX(#REF!,MATCH('Respuestas de formulario 1.1'!$B37,#REF!,0),MATCH('Respuestas de formulario 1.1'!DE$1,#REF!,0))</f>
        <v>#REF!</v>
      </c>
      <c r="DF37" s="45" t="e">
        <f t="array" ref="DF37">INDEX(#REF!,MATCH('Respuestas de formulario 1.1'!$B37,#REF!,0),MATCH('Respuestas de formulario 1.1'!DF$1,#REF!,0))</f>
        <v>#REF!</v>
      </c>
      <c r="DG37" s="45" t="e">
        <f t="array" ref="DG37">INDEX(#REF!,MATCH('Respuestas de formulario 1.1'!$B37,#REF!,0),MATCH('Respuestas de formulario 1.1'!DG$1,#REF!,0))</f>
        <v>#REF!</v>
      </c>
      <c r="DH37" s="45" t="e">
        <f t="array" ref="DH37">INDEX(#REF!,MATCH('Respuestas de formulario 1.1'!$B37,#REF!,0),MATCH('Respuestas de formulario 1.1'!DH$1,#REF!,0))</f>
        <v>#REF!</v>
      </c>
      <c r="DI37" s="48" t="e">
        <f>VLOOKUP(CONCATENATE($DF37," TUTO ",$DC37),#REF!,3,0)</f>
        <v>#REF!</v>
      </c>
      <c r="DJ37" s="48" t="e">
        <f t="array" ref="DJ37">IF('Respuestas de formulario 1.1'!A37="","",INDEX(#REF!,MATCH('Respuestas de formulario 1.1'!B37,#REF!,0),MATCH('Respuestas de formulario 1.1'!$DH$1,#REF!,0)))</f>
        <v>#REF!</v>
      </c>
      <c r="DK37" s="52" t="str">
        <f>CONCATENATE("http://doc.google.com/uc?id=",MID('Respuestas de formulario 1.1'!G37,34,33))</f>
        <v>http://doc.google.com/uc?id=1vjXJMTTfOVfEN4sEmcawF4uEALI0JT44</v>
      </c>
      <c r="DL37" s="49" t="str">
        <f>CONCATENATE("http://doc.google.com/uc?id=",MID('Respuestas de formulario 1.1'!AH37,34,33))</f>
        <v>http://doc.google.com/uc?id=1Vd6jAaOkGxgl7Jzi-FLby4C01cXUDwr2</v>
      </c>
      <c r="DM37" s="50" t="str">
        <f>CONCATENATE("http://doc.google.com/uc?id=",MID('Respuestas de formulario 1.1'!AW37,34,33))</f>
        <v>http://doc.google.com/uc?id=1Pfa6bkHMkmIbLIcAyghigD4MLkDDS2RJ</v>
      </c>
      <c r="DN37" s="53" t="str">
        <f>CONCATENATE("http://doc.google.com/uc?id=",MID('Respuestas de formulario 1.1'!$BI37,34,33))</f>
        <v>http://doc.google.com/uc?id=1tqqJDWHzZk_jL4UG0u84ay-lvaXn_iBU</v>
      </c>
      <c r="DO37" s="45" t="str">
        <f>IFERROR(VLOOKUP(CONCATENATE('Respuestas de formulario 1.1'!$B37,MID('Respuestas de formulario 1.1'!DO$1,2,1)),#REF!,12,0),"")</f>
        <v/>
      </c>
      <c r="DP37" s="45" t="str">
        <f>IFERROR(VLOOKUP(CONCATENATE('Respuestas de formulario 1.1'!$B37,MID('Respuestas de formulario 1.1'!DP$1,2,1)),#REF!,12,0),"")</f>
        <v/>
      </c>
      <c r="DQ37" s="45" t="str">
        <f>IFERROR(VLOOKUP(CONCATENATE('Respuestas de formulario 1.1'!$B37,MID('Respuestas de formulario 1.1'!DQ$1,2,1)),#REF!,12,0),"")</f>
        <v/>
      </c>
      <c r="DR37" s="45" t="str">
        <f>IFERROR(VLOOKUP(CONCATENATE('Respuestas de formulario 1.1'!$B37,MID('Respuestas de formulario 1.1'!DR$1,2,1)),#REF!,12,0),"")</f>
        <v/>
      </c>
      <c r="DS37" s="45" t="str">
        <f>IFERROR(VLOOKUP(CONCATENATE('Respuestas de formulario 1.1'!$B37,MID('Respuestas de formulario 1.1'!DS$1,2,1)),#REF!,12,0),"")</f>
        <v/>
      </c>
      <c r="DT37" s="45" t="str">
        <f>IFERROR(VLOOKUP(CONCATENATE('Respuestas de formulario 1.1'!$B37,MID('Respuestas de formulario 1.1'!DT$1,2,1)),#REF!,12,0),"")</f>
        <v/>
      </c>
      <c r="DU37" s="45" t="str">
        <f>IFERROR(VLOOKUP(CONCATENATE('Respuestas de formulario 1.1'!$B37,MID('Respuestas de formulario 1.1'!DU$1,2,1)),#REF!,12,0),"")</f>
        <v/>
      </c>
      <c r="DV37" s="45" t="str">
        <f>IFERROR(VLOOKUP(CONCATENATE('Respuestas de formulario 1.1'!$B37,MID('Respuestas de formulario 1.1'!DV$1,2,1)),#REF!,12,0),"")</f>
        <v/>
      </c>
      <c r="DW37" s="45" t="str">
        <f>IFERROR(VLOOKUP(CONCATENATE('Respuestas de formulario 1.1'!$B37,MID('Respuestas de formulario 1.1'!DW$1,2,1)),#REF!,12,0),"")</f>
        <v/>
      </c>
      <c r="DX37" s="45" t="str">
        <f>IFERROR(VLOOKUP(CONCATENATE('Respuestas de formulario 1.1'!$B37,MID('Respuestas de formulario 1.1'!DX$1,2,1)),#REF!,12,0),"")</f>
        <v/>
      </c>
      <c r="DY37" s="45" t="str">
        <f>IFERROR(VLOOKUP(CONCATENATE('Respuestas de formulario 1.1'!$B37,MID('Respuestas de formulario 1.1'!DY$1,2,1)),#REF!,12,0),"")</f>
        <v/>
      </c>
      <c r="DZ37" s="45" t="str">
        <f>IFERROR(VLOOKUP(CONCATENATE('Respuestas de formulario 1.1'!$B37,MID('Respuestas de formulario 1.1'!DZ$1,2,1)),#REF!,12,0),"")</f>
        <v/>
      </c>
      <c r="EA37" s="45" t="str">
        <f>IFERROR(VLOOKUP(CONCATENATE('Respuestas de formulario 1.1'!$B37,MID('Respuestas de formulario 1.1'!EA$1,2,1)),#REF!,12,0),"")</f>
        <v/>
      </c>
      <c r="EB37" s="45" t="str">
        <f>IFERROR(VLOOKUP(CONCATENATE('Respuestas de formulario 1.1'!$B37,MID('Respuestas de formulario 1.1'!EB$1,2,1)),#REF!,12,0),"")</f>
        <v/>
      </c>
      <c r="EC37" s="45" t="str">
        <f>IFERROR(VLOOKUP(CONCATENATE('Respuestas de formulario 1.1'!$B37,MID('Respuestas de formulario 1.1'!EC$1,2,1)),#REF!,12,0),"")</f>
        <v/>
      </c>
      <c r="ED37" s="45" t="str">
        <f>IFERROR(VLOOKUP(CONCATENATE('Respuestas de formulario 1.1'!$B37,MID('Respuestas de formulario 1.1'!ED$1,2,1)),#REF!,12,0),"")</f>
        <v/>
      </c>
      <c r="EE37" s="45" t="str">
        <f>IFERROR(VLOOKUP(CONCATENATE('Respuestas de formulario 1.1'!$B37,MID('Respuestas de formulario 1.1'!EE$1,2,1)),#REF!,12,0),"")</f>
        <v/>
      </c>
      <c r="EF37" s="45" t="str">
        <f>IFERROR(VLOOKUP(CONCATENATE('Respuestas de formulario 1.1'!$B37,MID('Respuestas de formulario 1.1'!EF$1,2,1)),#REF!,12,0),"")</f>
        <v/>
      </c>
      <c r="EG37" s="45" t="str">
        <f>IFERROR(VLOOKUP(CONCATENATE('Respuestas de formulario 1.1'!$B37,MID('Respuestas de formulario 1.1'!EG$1,2,1)),#REF!,12,0),"")</f>
        <v/>
      </c>
      <c r="EH37" s="45" t="str">
        <f>IFERROR(VLOOKUP(CONCATENATE('Respuestas de formulario 1.1'!$B37,MID('Respuestas de formulario 1.1'!EH$1,2,1)),#REF!,12,0),"")</f>
        <v/>
      </c>
      <c r="EI37" s="45" t="str">
        <f>IFERROR(VLOOKUP(CONCATENATE('Respuestas de formulario 1.1'!$B37,MID('Respuestas de formulario 1.1'!EI$1,2,1)),#REF!,12,0),"")</f>
        <v/>
      </c>
      <c r="EJ37" s="45" t="str">
        <f t="array" ref="EJ37">IF(DO37="","", INDEX(#REF!,MATCH(CONCATENATE('Respuestas de formulario 1.1'!$B37,DO37),#REF!,0),MATCH('Respuestas de formulario 1.1'!EJ$1,#REF!,0)))</f>
        <v/>
      </c>
      <c r="EK37" s="56" t="str">
        <f t="array" ref="EK37">IF(DP37="","", INDEX(#REF!,MATCH(CONCATENATE('Respuestas de formulario 1.1'!$B37,DP37),#REF!,0),MATCH('Respuestas de formulario 1.1'!EK$1,#REF!,0)))</f>
        <v/>
      </c>
      <c r="EL37" s="56" t="str">
        <f t="array" ref="EL37">IF(DQ37="","", INDEX(#REF!,MATCH(CONCATENATE('Respuestas de formulario 1.1'!$B37,DQ37),#REF!,0),MATCH('Respuestas de formulario 1.1'!EL$1,#REF!,0)))</f>
        <v/>
      </c>
      <c r="EM37" s="56" t="str">
        <f t="array" ref="EM37">IF(DR37="","", INDEX(#REF!,MATCH(CONCATENATE('Respuestas de formulario 1.1'!$B37,DR37),#REF!,0),MATCH('Respuestas de formulario 1.1'!EM$1,#REF!,0)))</f>
        <v/>
      </c>
      <c r="EN37" s="56" t="str">
        <f t="array" ref="EN37">IF(DS37="","", INDEX(#REF!,MATCH(CONCATENATE('Respuestas de formulario 1.1'!$B37,DS37),#REF!,0),MATCH('Respuestas de formulario 1.1'!EN$1,#REF!,0)))</f>
        <v/>
      </c>
      <c r="EO37" s="56" t="str">
        <f t="array" ref="EO37">IF(DT37="","", INDEX(#REF!,MATCH(CONCATENATE('Respuestas de formulario 1.1'!$B37,DT37),#REF!,0),MATCH('Respuestas de formulario 1.1'!EO$1,#REF!,0)))</f>
        <v/>
      </c>
      <c r="EP37" s="45" t="str">
        <f t="array" ref="EP37">IF(DU37="","", INDEX(#REF!,MATCH(CONCATENATE('Respuestas de formulario 1.1'!$B37,DU37),#REF!,0),MATCH('Respuestas de formulario 1.1'!EP$1,#REF!,0)))</f>
        <v/>
      </c>
      <c r="EQ37" s="45" t="str">
        <f t="array" ref="EQ37">IF(DP37="","", INDEX(#REF!,MATCH(CONCATENATE('Respuestas de formulario 1.1'!$B37,DP37),#REF!,0),MATCH('Respuestas de formulario 1.1'!EQ$1,#REF!,0)))</f>
        <v/>
      </c>
      <c r="ER37" s="56" t="str">
        <f t="array" ref="ER37">IF(DQ37="","", INDEX(#REF!,MATCH(CONCATENATE('Respuestas de formulario 1.1'!$B37,DQ37),#REF!,0),MATCH('Respuestas de formulario 1.1'!ER$1,#REF!,0)))</f>
        <v/>
      </c>
      <c r="ES37" s="56" t="str">
        <f t="array" ref="ES37">IF(DR37="","", INDEX(#REF!,MATCH(CONCATENATE('Respuestas de formulario 1.1'!$B37,DR37),#REF!,0),MATCH('Respuestas de formulario 1.1'!ES$1,#REF!,0)))</f>
        <v/>
      </c>
      <c r="ET37" s="56" t="str">
        <f t="array" ref="ET37">IF(DS37="","", INDEX(#REF!,MATCH(CONCATENATE('Respuestas de formulario 1.1'!$B37,DS37),#REF!,0),MATCH('Respuestas de formulario 1.1'!ET$1,#REF!,0)))</f>
        <v/>
      </c>
      <c r="EU37" s="56" t="str">
        <f t="array" ref="EU37">IF(DT37="","", INDEX(#REF!,MATCH(CONCATENATE('Respuestas de formulario 1.1'!$B37,DT37),#REF!,0),MATCH('Respuestas de formulario 1.1'!EU$1,#REF!,0)))</f>
        <v/>
      </c>
      <c r="EV37" s="56" t="str">
        <f t="array" ref="EV37">IF(DU37="","", INDEX(#REF!,MATCH(CONCATENATE('Respuestas de formulario 1.1'!$B37,DU37),#REF!,0),MATCH('Respuestas de formulario 1.1'!EV$1,#REF!,0)))</f>
        <v/>
      </c>
      <c r="EW37" s="45" t="str">
        <f t="array" ref="EW37">IF(DV37="","", INDEX(#REF!,MATCH(CONCATENATE('Respuestas de formulario 1.1'!$B37,DV37),#REF!,0),MATCH('Respuestas de formulario 1.1'!EW$1,#REF!,0)))</f>
        <v/>
      </c>
      <c r="EX37" s="45" t="str">
        <f t="array" ref="EX37">IF($DQ37="","", INDEX(#REF!,MATCH(CONCATENATE('Respuestas de formulario 1.1'!$B37,$DQ37),#REF!,0),MATCH('Respuestas de formulario 1.1'!EX$1,#REF!,0)))</f>
        <v/>
      </c>
      <c r="EY37" s="56" t="str">
        <f t="array" ref="EY37">IF($DQ37="","", INDEX(#REF!,MATCH(CONCATENATE('Respuestas de formulario 1.1'!$B37,$DQ37),#REF!,0),MATCH('Respuestas de formulario 1.1'!EY$1,#REF!,0)))</f>
        <v/>
      </c>
      <c r="EZ37" s="56" t="str">
        <f t="array" ref="EZ37">IF($DQ37="","", INDEX(#REF!,MATCH(CONCATENATE('Respuestas de formulario 1.1'!$B37,$DQ37),#REF!,0),MATCH('Respuestas de formulario 1.1'!EZ$1,#REF!,0)))</f>
        <v/>
      </c>
      <c r="FA37" s="56" t="str">
        <f t="array" ref="FA37">IF($DQ37="","", INDEX(#REF!,MATCH(CONCATENATE('Respuestas de formulario 1.1'!$B37,$DQ37),#REF!,0),MATCH('Respuestas de formulario 1.1'!FA$1,#REF!,0)))</f>
        <v/>
      </c>
      <c r="FB37" s="56" t="str">
        <f t="array" ref="FB37">IF($DQ37="","", INDEX(#REF!,MATCH(CONCATENATE('Respuestas de formulario 1.1'!$B37,$DQ37),#REF!,0),MATCH('Respuestas de formulario 1.1'!FB$1,#REF!,0)))</f>
        <v/>
      </c>
      <c r="FC37" s="56" t="str">
        <f t="array" ref="FC37">IF($DQ37="","", INDEX(#REF!,MATCH(CONCATENATE('Respuestas de formulario 1.1'!$B37,$DQ37),#REF!,0),MATCH('Respuestas de formulario 1.1'!FC$1,#REF!,0)))</f>
        <v/>
      </c>
      <c r="FD37" s="45" t="str">
        <f t="array" ref="FD37">IF($DQ37="","", INDEX(#REF!,MATCH(CONCATENATE('Respuestas de formulario 1.1'!$B37,$DQ37),#REF!,0),MATCH('Respuestas de formulario 1.1'!FD$1,#REF!,0)))</f>
        <v/>
      </c>
      <c r="FE37" s="45" t="str">
        <f t="array" ref="FE37">IF($DR37="","", INDEX(#REF!,MATCH(CONCATENATE(#REF!,$DR37),#REF!,0),MATCH(#REF!,#REF!,0)))</f>
        <v/>
      </c>
      <c r="FF37" s="56" t="str">
        <f t="array" ref="FF37">IF($DR37="","", INDEX(#REF!,MATCH(CONCATENATE(#REF!,$DR37),#REF!,0),MATCH(#REF!,#REF!,0)))</f>
        <v/>
      </c>
      <c r="FG37" s="56" t="str">
        <f t="array" ref="FG37">IF($DR37="","", INDEX(#REF!,MATCH(CONCATENATE(#REF!,$DR37),#REF!,0),MATCH(#REF!,#REF!,0)))</f>
        <v/>
      </c>
      <c r="FH37" s="56" t="str">
        <f t="array" ref="FH37">IF($DR37="","", INDEX(#REF!,MATCH(CONCATENATE(#REF!,$DR37),#REF!,0),MATCH(#REF!,#REF!,0)))</f>
        <v/>
      </c>
      <c r="FI37" s="56" t="str">
        <f t="array" ref="FI37">IF($DR37="","", INDEX(#REF!,MATCH(CONCATENATE(#REF!,$DR37),#REF!,0),MATCH(#REF!,#REF!,0)))</f>
        <v/>
      </c>
      <c r="FJ37" s="56" t="str">
        <f t="array" ref="FJ37">IF($DR37="","", INDEX(#REF!,MATCH(CONCATENATE(#REF!,$DR37),#REF!,0),MATCH(#REF!,#REF!,0)))</f>
        <v/>
      </c>
      <c r="FK37" s="45" t="str">
        <f t="array" ref="FK37">IF($DR37="","", INDEX(#REF!,MATCH(CONCATENATE(#REF!,$DR37),#REF!,0),MATCH(#REF!,#REF!,0)))</f>
        <v/>
      </c>
      <c r="FL37" s="45" t="str">
        <f t="array" ref="FL37">IF($DT37="","", INDEX(#REF!,MATCH(CONCATENATE('Respuestas de formulario 1.1'!$B37,$DS37),#REF!,0),MATCH('Respuestas de formulario 1.1'!FL$1,#REF!,0)))</f>
        <v/>
      </c>
      <c r="FM37" s="56" t="str">
        <f t="array" ref="FM37">IF($DT37="","", INDEX(#REF!,MATCH(CONCATENATE('Respuestas de formulario 1.1'!$B37,$DS37),#REF!,0),MATCH('Respuestas de formulario 1.1'!FM$1,#REF!,0)))</f>
        <v/>
      </c>
      <c r="FN37" s="56" t="str">
        <f t="array" ref="FN37">IF($DT37="","", INDEX(#REF!,MATCH(CONCATENATE('Respuestas de formulario 1.1'!$B37,$DS37),#REF!,0),MATCH('Respuestas de formulario 1.1'!FN$1,#REF!,0)))</f>
        <v/>
      </c>
      <c r="FO37" s="56" t="str">
        <f t="array" ref="FO37">IF($DT37="","", INDEX(#REF!,MATCH(CONCATENATE('Respuestas de formulario 1.1'!$B37,$DS37),#REF!,0),MATCH('Respuestas de formulario 1.1'!FO$1,#REF!,0)))</f>
        <v/>
      </c>
      <c r="FP37" s="56" t="str">
        <f t="array" ref="FP37">IF($DT37="","", INDEX(#REF!,MATCH(CONCATENATE('Respuestas de formulario 1.1'!$B37,$DS37),#REF!,0),MATCH('Respuestas de formulario 1.1'!FP$1,#REF!,0)))</f>
        <v/>
      </c>
      <c r="FQ37" s="56" t="str">
        <f t="array" ref="FQ37">IF($DT37="","", INDEX(#REF!,MATCH(CONCATENATE('Respuestas de formulario 1.1'!$B37,$DS37),#REF!,0),MATCH('Respuestas de formulario 1.1'!FQ$1,#REF!,0)))</f>
        <v/>
      </c>
      <c r="FR37" s="45" t="str">
        <f t="array" ref="FR37">IF($DT37="","", INDEX(#REF!,MATCH(CONCATENATE('Respuestas de formulario 1.1'!$B37,$DS37),#REF!,0),MATCH('Respuestas de formulario 1.1'!FR$1,#REF!,0)))</f>
        <v/>
      </c>
      <c r="FS37" s="45" t="str">
        <f t="array" ref="FS37">IF($DU37="","", INDEX(#REF!,MATCH(CONCATENATE('Respuestas de formulario 1.1'!$B37,$DT37),#REF!,0),MATCH('Respuestas de formulario 1.1'!FS$1,#REF!,0)))</f>
        <v/>
      </c>
      <c r="FT37" s="56" t="str">
        <f t="array" ref="FT37">IF($DU37="","", INDEX(#REF!,MATCH(CONCATENATE('Respuestas de formulario 1.1'!$B37,$DT37),#REF!,0),MATCH('Respuestas de formulario 1.1'!FT$1,#REF!,0)))</f>
        <v/>
      </c>
      <c r="FU37" s="56" t="str">
        <f t="array" ref="FU37">IF($DU37="","", INDEX(#REF!,MATCH(CONCATENATE('Respuestas de formulario 1.1'!$B37,$DT37),#REF!,0),MATCH('Respuestas de formulario 1.1'!FU$1,#REF!,0)))</f>
        <v/>
      </c>
      <c r="FV37" s="56" t="str">
        <f t="array" ref="FV37">IF($DU37="","", INDEX(#REF!,MATCH(CONCATENATE('Respuestas de formulario 1.1'!$B37,$DT37),#REF!,0),MATCH('Respuestas de formulario 1.1'!FV$1,#REF!,0)))</f>
        <v/>
      </c>
      <c r="FW37" s="56" t="str">
        <f t="array" ref="FW37">IF($DU37="","", INDEX(#REF!,MATCH(CONCATENATE('Respuestas de formulario 1.1'!$B37,$DT37),#REF!,0),MATCH('Respuestas de formulario 1.1'!FW$1,#REF!,0)))</f>
        <v/>
      </c>
      <c r="FX37" s="56" t="str">
        <f t="array" ref="FX37">IF($DU37="","", INDEX(#REF!,MATCH(CONCATENATE('Respuestas de formulario 1.1'!$B37,$DT37),#REF!,0),MATCH('Respuestas de formulario 1.1'!FX$1,#REF!,0)))</f>
        <v/>
      </c>
      <c r="FY37" s="45" t="str">
        <f t="array" ref="FY37">IF($DU37="","", INDEX(#REF!,MATCH(CONCATENATE('Respuestas de formulario 1.1'!$B37,$DT37),#REF!,0),MATCH('Respuestas de formulario 1.1'!FY$1,#REF!,0)))</f>
        <v/>
      </c>
      <c r="FZ37" s="3" t="s">
        <v>2860</v>
      </c>
      <c r="GA37" s="1" t="s">
        <v>3439</v>
      </c>
      <c r="GB37" s="5" t="s">
        <v>3440</v>
      </c>
      <c r="GC37" s="4" t="str">
        <f>HYPERLINK("https://drive.google.com/file/d/1htsRVVZr4SD4ZNLOYIJiqzj1MLaXQOQs/view?usp=drivesdk","LOPEZ HERNANDEZ  FATIMA YAMILETH  Formato de reinscripción y pago 2022-2")</f>
        <v>LOPEZ HERNANDEZ  FATIMA YAMILETH  Formato de reinscripción y pago 2022-2</v>
      </c>
      <c r="GD37" s="1" t="s">
        <v>3441</v>
      </c>
      <c r="GE37" s="1"/>
      <c r="GF37" s="1"/>
      <c r="GG37" s="1"/>
      <c r="GH37" s="1"/>
      <c r="GI37" s="1" t="s">
        <v>3442</v>
      </c>
      <c r="GJ37" s="5" t="s">
        <v>3443</v>
      </c>
      <c r="GK37" s="5" t="str">
        <f>HYPERLINK("https://drive.google.com/file/d/1cmy-5cSv40V_bbWN_IGFcivsVUSOf276/view?usp=drivesdk","LOPEZ HERNANDEZ  &lt;&lt;Nombre(S)&gt;&gt; Formato de reinscripción y pago 2022-2")</f>
        <v>LOPEZ HERNANDEZ  &lt;&lt;Nombre(S)&gt;&gt; Formato de reinscripción y pago 2022-2</v>
      </c>
      <c r="GL37" s="1" t="s">
        <v>3444</v>
      </c>
    </row>
    <row r="38" spans="1:194" ht="38.25" x14ac:dyDescent="0.2">
      <c r="A38" s="2">
        <v>45139.053791076389</v>
      </c>
      <c r="B38" s="1" t="s">
        <v>2732</v>
      </c>
      <c r="C38" s="1" t="s">
        <v>440</v>
      </c>
      <c r="D38" s="1" t="s">
        <v>529</v>
      </c>
      <c r="E38" s="1" t="s">
        <v>2733</v>
      </c>
      <c r="F38" s="1" t="s">
        <v>223</v>
      </c>
      <c r="G38" s="5" t="s">
        <v>3445</v>
      </c>
      <c r="H38" s="41">
        <v>38774</v>
      </c>
      <c r="I38" s="1">
        <v>17</v>
      </c>
      <c r="J38" s="1">
        <v>5539873238</v>
      </c>
      <c r="K38" s="1">
        <v>5526350597</v>
      </c>
      <c r="L38" s="1" t="s">
        <v>2734</v>
      </c>
      <c r="M38" s="1">
        <v>213090605708</v>
      </c>
      <c r="N38" s="1" t="s">
        <v>1108</v>
      </c>
      <c r="O38" s="1" t="s">
        <v>225</v>
      </c>
      <c r="P38" s="1" t="s">
        <v>278</v>
      </c>
      <c r="Q38" s="1" t="s">
        <v>315</v>
      </c>
      <c r="R38" s="1" t="s">
        <v>236</v>
      </c>
      <c r="S38" s="1" t="s">
        <v>228</v>
      </c>
      <c r="T38" s="1" t="s">
        <v>229</v>
      </c>
      <c r="U38" s="1" t="s">
        <v>249</v>
      </c>
      <c r="V38" s="1" t="s">
        <v>228</v>
      </c>
      <c r="W38" s="1" t="s">
        <v>3446</v>
      </c>
      <c r="X38" s="1" t="s">
        <v>249</v>
      </c>
      <c r="Y38" s="1" t="s">
        <v>3447</v>
      </c>
      <c r="Z38" s="1" t="s">
        <v>240</v>
      </c>
      <c r="AA38" s="44" t="s">
        <v>1118</v>
      </c>
      <c r="AB38" s="1" t="s">
        <v>1068</v>
      </c>
      <c r="AC38" s="1" t="s">
        <v>1458</v>
      </c>
      <c r="AD38" s="1" t="s">
        <v>3448</v>
      </c>
      <c r="AE38" s="1" t="s">
        <v>2735</v>
      </c>
      <c r="AF38" s="1" t="s">
        <v>445</v>
      </c>
      <c r="AG38" s="1">
        <v>46</v>
      </c>
      <c r="AH38" s="5" t="s">
        <v>3449</v>
      </c>
      <c r="AI38" s="1">
        <v>5545832057</v>
      </c>
      <c r="AJ38" s="1">
        <v>5526350597</v>
      </c>
      <c r="AK38" s="1" t="s">
        <v>3450</v>
      </c>
      <c r="AL38" s="1" t="s">
        <v>525</v>
      </c>
      <c r="AM38" s="1" t="s">
        <v>727</v>
      </c>
      <c r="AN38" s="1" t="s">
        <v>1574</v>
      </c>
      <c r="AO38" s="1" t="s">
        <v>650</v>
      </c>
      <c r="AP38" s="1">
        <v>47</v>
      </c>
      <c r="AQ38" s="1" t="s">
        <v>3451</v>
      </c>
      <c r="AR38" s="42">
        <v>0.29166666666424135</v>
      </c>
      <c r="AS38" s="42">
        <v>0.29166666666424135</v>
      </c>
      <c r="AT38" s="1">
        <v>5516529505</v>
      </c>
      <c r="AU38" s="1">
        <v>5526350597</v>
      </c>
      <c r="AV38" s="1" t="s">
        <v>3452</v>
      </c>
      <c r="AW38" s="5" t="s">
        <v>3453</v>
      </c>
      <c r="AX38" s="1" t="s">
        <v>3454</v>
      </c>
      <c r="AY38" s="1" t="s">
        <v>503</v>
      </c>
      <c r="AZ38" s="1" t="s">
        <v>3455</v>
      </c>
      <c r="BA38" s="1" t="s">
        <v>403</v>
      </c>
      <c r="BB38" s="1">
        <v>22</v>
      </c>
      <c r="BC38" s="1" t="s">
        <v>729</v>
      </c>
      <c r="BD38" s="43">
        <v>0</v>
      </c>
      <c r="BE38" s="43">
        <v>0</v>
      </c>
      <c r="BF38" s="1">
        <v>5535671628</v>
      </c>
      <c r="BG38" s="1">
        <v>5526350597</v>
      </c>
      <c r="BH38" s="1" t="s">
        <v>3452</v>
      </c>
      <c r="BI38" s="5" t="s">
        <v>3456</v>
      </c>
      <c r="BJ38" s="1" t="s">
        <v>236</v>
      </c>
      <c r="BL38" s="1">
        <v>1.5</v>
      </c>
      <c r="BM38" s="1">
        <v>42</v>
      </c>
      <c r="BN38" s="1" t="s">
        <v>236</v>
      </c>
      <c r="BO38" s="1" t="s">
        <v>228</v>
      </c>
      <c r="BQ38" s="1" t="s">
        <v>228</v>
      </c>
      <c r="BR38" s="1" t="s">
        <v>237</v>
      </c>
      <c r="BS38" s="1" t="s">
        <v>228</v>
      </c>
      <c r="BT38" s="1" t="s">
        <v>237</v>
      </c>
      <c r="BU38" s="1" t="s">
        <v>228</v>
      </c>
      <c r="BW38" s="1" t="s">
        <v>272</v>
      </c>
      <c r="BX38" s="1">
        <v>60</v>
      </c>
      <c r="BY38" s="1">
        <v>46</v>
      </c>
      <c r="BZ38" s="1" t="s">
        <v>284</v>
      </c>
      <c r="CA38" s="1" t="s">
        <v>777</v>
      </c>
      <c r="CB38" s="1" t="s">
        <v>240</v>
      </c>
      <c r="CC38" s="1" t="s">
        <v>274</v>
      </c>
      <c r="CD38" s="1">
        <v>3000</v>
      </c>
      <c r="CE38" s="1">
        <v>3000</v>
      </c>
      <c r="CF38" s="1" t="s">
        <v>236</v>
      </c>
      <c r="CG38" s="1" t="s">
        <v>256</v>
      </c>
      <c r="CH38" s="1" t="s">
        <v>243</v>
      </c>
      <c r="CI38" s="1" t="s">
        <v>243</v>
      </c>
      <c r="CJ38" s="1" t="s">
        <v>2848</v>
      </c>
      <c r="CL38" s="5" t="s">
        <v>3457</v>
      </c>
      <c r="CM38" s="44" t="s">
        <v>2736</v>
      </c>
      <c r="CN38" s="1" t="s">
        <v>228</v>
      </c>
      <c r="CQ38" s="42">
        <v>0.29166666666424135</v>
      </c>
      <c r="CR38" s="42">
        <v>0.20833333333575865</v>
      </c>
      <c r="CT38" s="45" t="str">
        <f t="array" ref="CT38">IFERROR(INDEX(#REF!,MATCH('Respuestas de formulario 1.1'!$B38,#REF!,0),MATCH('Respuestas de formulario 1.1'!CT$1,#REF!,0)),"")</f>
        <v/>
      </c>
      <c r="CU38" s="56" t="str">
        <f t="array" ref="CU38">IFERROR(INDEX(#REF!,MATCH('Respuestas de formulario 1.1'!$B38,#REF!,0),MATCH('Respuestas de formulario 1.1'!CU$1,#REF!,0)),"")</f>
        <v/>
      </c>
      <c r="CV38" s="56" t="str">
        <f t="array" ref="CV38">IFERROR(INDEX(#REF!,MATCH('Respuestas de formulario 1.1'!$B38,#REF!,0),MATCH('Respuestas de formulario 1.1'!CV$1,#REF!,0)),"")</f>
        <v/>
      </c>
      <c r="CW38" s="56" t="str">
        <f t="array" ref="CW38">IFERROR(INDEX(#REF!,MATCH('Respuestas de formulario 1.1'!$B38,#REF!,0),MATCH('Respuestas de formulario 1.1'!CW$1,#REF!,0)),"")</f>
        <v/>
      </c>
      <c r="CX38" s="56" t="str">
        <f t="array" ref="CX38">IFERROR(INDEX(#REF!,MATCH('Respuestas de formulario 1.1'!$B38,#REF!,0),MATCH('Respuestas de formulario 1.1'!CX$1,#REF!,0)),"")</f>
        <v/>
      </c>
      <c r="CY38" s="56" t="str">
        <f t="array" ref="CY38">IFERROR(INDEX(#REF!,MATCH('Respuestas de formulario 1.1'!$B38,#REF!,0),MATCH('Respuestas de formulario 1.1'!CY$1,#REF!,0)),"")</f>
        <v/>
      </c>
      <c r="CZ38" s="57" t="str">
        <f t="array" ref="CZ38">IFERROR(INDEX(#REF!,MATCH('Respuestas de formulario 1.1'!$B38,#REF!,0),MATCH('Respuestas de formulario 1.1'!CZ$1,#REF!,0)),"")</f>
        <v/>
      </c>
      <c r="DA38" s="45" t="e">
        <f t="array" ref="DA38">INDEX(#REF!,MATCH('Respuestas de formulario 1.1'!$B38,#REF!,0),MATCH('Respuestas de formulario 1.1'!DA$1,#REF!,0))</f>
        <v>#REF!</v>
      </c>
      <c r="DB38" s="45" t="e">
        <f t="array" ref="DB38">INDEX(#REF!,MATCH('Respuestas de formulario 1.1'!$B38,#REF!,0),MATCH('Respuestas de formulario 1.1'!DB$1,#REF!,0))</f>
        <v>#REF!</v>
      </c>
      <c r="DC38" s="45" t="e">
        <f t="array" ref="DC38">INDEX(#REF!,MATCH('Respuestas de formulario 1.1'!$B38,#REF!,0),MATCH('Respuestas de formulario 1.1'!DC$1,#REF!,0))</f>
        <v>#REF!</v>
      </c>
      <c r="DD38" s="45" t="e">
        <f t="array" ref="DD38">INDEX(#REF!,MATCH('Respuestas de formulario 1.1'!$B38,#REF!,0),MATCH('Respuestas de formulario 1.1'!DD$1,#REF!,0))</f>
        <v>#REF!</v>
      </c>
      <c r="DE38" s="45" t="e">
        <f t="array" ref="DE38">INDEX(#REF!,MATCH('Respuestas de formulario 1.1'!$B38,#REF!,0),MATCH('Respuestas de formulario 1.1'!DE$1,#REF!,0))</f>
        <v>#REF!</v>
      </c>
      <c r="DF38" s="45" t="e">
        <f t="array" ref="DF38">INDEX(#REF!,MATCH('Respuestas de formulario 1.1'!$B38,#REF!,0),MATCH('Respuestas de formulario 1.1'!DF$1,#REF!,0))</f>
        <v>#REF!</v>
      </c>
      <c r="DG38" s="45" t="e">
        <f t="array" ref="DG38">INDEX(#REF!,MATCH('Respuestas de formulario 1.1'!$B38,#REF!,0),MATCH('Respuestas de formulario 1.1'!DG$1,#REF!,0))</f>
        <v>#REF!</v>
      </c>
      <c r="DH38" s="45" t="e">
        <f t="array" ref="DH38">INDEX(#REF!,MATCH('Respuestas de formulario 1.1'!$B38,#REF!,0),MATCH('Respuestas de formulario 1.1'!DH$1,#REF!,0))</f>
        <v>#REF!</v>
      </c>
      <c r="DI38" s="48" t="e">
        <f>VLOOKUP(CONCATENATE($DF38," TUTO ",$DC38),#REF!,3,0)</f>
        <v>#REF!</v>
      </c>
      <c r="DJ38" s="48" t="e">
        <f t="array" ref="DJ38">IF('Respuestas de formulario 1.1'!A38="","",INDEX(#REF!,MATCH('Respuestas de formulario 1.1'!B38,#REF!,0),MATCH('Respuestas de formulario 1.1'!$DH$1,#REF!,0)))</f>
        <v>#REF!</v>
      </c>
      <c r="DK38" s="52" t="str">
        <f>CONCATENATE("http://doc.google.com/uc?id=",MID('Respuestas de formulario 1.1'!G38,34,33))</f>
        <v>http://doc.google.com/uc?id=1Ntly1OlyCfiMdVvnSz6tvbBkiusf1tqA</v>
      </c>
      <c r="DL38" s="49" t="str">
        <f>CONCATENATE("http://doc.google.com/uc?id=",MID('Respuestas de formulario 1.1'!AH38,34,33))</f>
        <v>http://doc.google.com/uc?id=1sH1R0H0zVoslwNZEAQhpqyvetQzgLCJk</v>
      </c>
      <c r="DM38" s="50" t="str">
        <f>CONCATENATE("http://doc.google.com/uc?id=",MID('Respuestas de formulario 1.1'!AW38,34,33))</f>
        <v>http://doc.google.com/uc?id=1j54GcmDQVePD_m72QH1uQXkXu7Fw8gD2</v>
      </c>
      <c r="DN38" s="53" t="str">
        <f>CONCATENATE("http://doc.google.com/uc?id=",MID('Respuestas de formulario 1.1'!$BI38,34,33))</f>
        <v>http://doc.google.com/uc?id=1EUQiDNrhtLhFbPTpoQf4u0yrAMKx1RBu</v>
      </c>
      <c r="DO38" s="45" t="str">
        <f>IFERROR(VLOOKUP(CONCATENATE('Respuestas de formulario 1.1'!$B38,MID('Respuestas de formulario 1.1'!DO$1,2,1)),#REF!,12,0),"")</f>
        <v/>
      </c>
      <c r="DP38" s="45" t="str">
        <f>IFERROR(VLOOKUP(CONCATENATE('Respuestas de formulario 1.1'!$B38,MID('Respuestas de formulario 1.1'!DP$1,2,1)),#REF!,12,0),"")</f>
        <v/>
      </c>
      <c r="DQ38" s="45" t="str">
        <f>IFERROR(VLOOKUP(CONCATENATE('Respuestas de formulario 1.1'!$B38,MID('Respuestas de formulario 1.1'!DQ$1,2,1)),#REF!,12,0),"")</f>
        <v/>
      </c>
      <c r="DR38" s="45" t="str">
        <f>IFERROR(VLOOKUP(CONCATENATE('Respuestas de formulario 1.1'!$B38,MID('Respuestas de formulario 1.1'!DR$1,2,1)),#REF!,12,0),"")</f>
        <v/>
      </c>
      <c r="DS38" s="45" t="str">
        <f>IFERROR(VLOOKUP(CONCATENATE('Respuestas de formulario 1.1'!$B38,MID('Respuestas de formulario 1.1'!DS$1,2,1)),#REF!,12,0),"")</f>
        <v/>
      </c>
      <c r="DT38" s="45" t="str">
        <f>IFERROR(VLOOKUP(CONCATENATE('Respuestas de formulario 1.1'!$B38,MID('Respuestas de formulario 1.1'!DT$1,2,1)),#REF!,12,0),"")</f>
        <v/>
      </c>
      <c r="DU38" s="45" t="str">
        <f>IFERROR(VLOOKUP(CONCATENATE('Respuestas de formulario 1.1'!$B38,MID('Respuestas de formulario 1.1'!DU$1,2,1)),#REF!,12,0),"")</f>
        <v/>
      </c>
      <c r="DV38" s="45" t="str">
        <f>IFERROR(VLOOKUP(CONCATENATE('Respuestas de formulario 1.1'!$B38,MID('Respuestas de formulario 1.1'!DV$1,2,1)),#REF!,12,0),"")</f>
        <v/>
      </c>
      <c r="DW38" s="45" t="str">
        <f>IFERROR(VLOOKUP(CONCATENATE('Respuestas de formulario 1.1'!$B38,MID('Respuestas de formulario 1.1'!DW$1,2,1)),#REF!,12,0),"")</f>
        <v/>
      </c>
      <c r="DX38" s="45" t="str">
        <f>IFERROR(VLOOKUP(CONCATENATE('Respuestas de formulario 1.1'!$B38,MID('Respuestas de formulario 1.1'!DX$1,2,1)),#REF!,12,0),"")</f>
        <v/>
      </c>
      <c r="DY38" s="45" t="str">
        <f>IFERROR(VLOOKUP(CONCATENATE('Respuestas de formulario 1.1'!$B38,MID('Respuestas de formulario 1.1'!DY$1,2,1)),#REF!,12,0),"")</f>
        <v/>
      </c>
      <c r="DZ38" s="45" t="str">
        <f>IFERROR(VLOOKUP(CONCATENATE('Respuestas de formulario 1.1'!$B38,MID('Respuestas de formulario 1.1'!DZ$1,2,1)),#REF!,12,0),"")</f>
        <v/>
      </c>
      <c r="EA38" s="45" t="str">
        <f>IFERROR(VLOOKUP(CONCATENATE('Respuestas de formulario 1.1'!$B38,MID('Respuestas de formulario 1.1'!EA$1,2,1)),#REF!,12,0),"")</f>
        <v/>
      </c>
      <c r="EB38" s="45" t="str">
        <f>IFERROR(VLOOKUP(CONCATENATE('Respuestas de formulario 1.1'!$B38,MID('Respuestas de formulario 1.1'!EB$1,2,1)),#REF!,12,0),"")</f>
        <v/>
      </c>
      <c r="EC38" s="45" t="str">
        <f>IFERROR(VLOOKUP(CONCATENATE('Respuestas de formulario 1.1'!$B38,MID('Respuestas de formulario 1.1'!EC$1,2,1)),#REF!,12,0),"")</f>
        <v/>
      </c>
      <c r="ED38" s="45" t="str">
        <f>IFERROR(VLOOKUP(CONCATENATE('Respuestas de formulario 1.1'!$B38,MID('Respuestas de formulario 1.1'!ED$1,2,1)),#REF!,12,0),"")</f>
        <v/>
      </c>
      <c r="EE38" s="45" t="str">
        <f>IFERROR(VLOOKUP(CONCATENATE('Respuestas de formulario 1.1'!$B38,MID('Respuestas de formulario 1.1'!EE$1,2,1)),#REF!,12,0),"")</f>
        <v/>
      </c>
      <c r="EF38" s="45" t="str">
        <f>IFERROR(VLOOKUP(CONCATENATE('Respuestas de formulario 1.1'!$B38,MID('Respuestas de formulario 1.1'!EF$1,2,1)),#REF!,12,0),"")</f>
        <v/>
      </c>
      <c r="EG38" s="45" t="str">
        <f>IFERROR(VLOOKUP(CONCATENATE('Respuestas de formulario 1.1'!$B38,MID('Respuestas de formulario 1.1'!EG$1,2,1)),#REF!,12,0),"")</f>
        <v/>
      </c>
      <c r="EH38" s="45" t="str">
        <f>IFERROR(VLOOKUP(CONCATENATE('Respuestas de formulario 1.1'!$B38,MID('Respuestas de formulario 1.1'!EH$1,2,1)),#REF!,12,0),"")</f>
        <v/>
      </c>
      <c r="EI38" s="45" t="str">
        <f>IFERROR(VLOOKUP(CONCATENATE('Respuestas de formulario 1.1'!$B38,MID('Respuestas de formulario 1.1'!EI$1,2,1)),#REF!,12,0),"")</f>
        <v/>
      </c>
      <c r="EJ38" s="45" t="str">
        <f t="array" ref="EJ38">IF(DO38="","", INDEX(#REF!,MATCH(CONCATENATE('Respuestas de formulario 1.1'!$B38,DO38),#REF!,0),MATCH('Respuestas de formulario 1.1'!EJ$1,#REF!,0)))</f>
        <v/>
      </c>
      <c r="EK38" s="56" t="str">
        <f t="array" ref="EK38">IF(DP38="","", INDEX(#REF!,MATCH(CONCATENATE('Respuestas de formulario 1.1'!$B38,DP38),#REF!,0),MATCH('Respuestas de formulario 1.1'!EK$1,#REF!,0)))</f>
        <v/>
      </c>
      <c r="EL38" s="56" t="str">
        <f t="array" ref="EL38">IF(DQ38="","", INDEX(#REF!,MATCH(CONCATENATE('Respuestas de formulario 1.1'!$B38,DQ38),#REF!,0),MATCH('Respuestas de formulario 1.1'!EL$1,#REF!,0)))</f>
        <v/>
      </c>
      <c r="EM38" s="56" t="str">
        <f t="array" ref="EM38">IF(DR38="","", INDEX(#REF!,MATCH(CONCATENATE('Respuestas de formulario 1.1'!$B38,DR38),#REF!,0),MATCH('Respuestas de formulario 1.1'!EM$1,#REF!,0)))</f>
        <v/>
      </c>
      <c r="EN38" s="56" t="str">
        <f t="array" ref="EN38">IF(DS38="","", INDEX(#REF!,MATCH(CONCATENATE('Respuestas de formulario 1.1'!$B38,DS38),#REF!,0),MATCH('Respuestas de formulario 1.1'!EN$1,#REF!,0)))</f>
        <v/>
      </c>
      <c r="EO38" s="56" t="str">
        <f t="array" ref="EO38">IF(DT38="","", INDEX(#REF!,MATCH(CONCATENATE('Respuestas de formulario 1.1'!$B38,DT38),#REF!,0),MATCH('Respuestas de formulario 1.1'!EO$1,#REF!,0)))</f>
        <v/>
      </c>
      <c r="EP38" s="45" t="str">
        <f t="array" ref="EP38">IF(DU38="","", INDEX(#REF!,MATCH(CONCATENATE('Respuestas de formulario 1.1'!$B38,DU38),#REF!,0),MATCH('Respuestas de formulario 1.1'!EP$1,#REF!,0)))</f>
        <v/>
      </c>
      <c r="EQ38" s="45" t="str">
        <f t="array" ref="EQ38">IF(DP38="","", INDEX(#REF!,MATCH(CONCATENATE('Respuestas de formulario 1.1'!$B38,DP38),#REF!,0),MATCH('Respuestas de formulario 1.1'!EQ$1,#REF!,0)))</f>
        <v/>
      </c>
      <c r="ER38" s="56" t="str">
        <f t="array" ref="ER38">IF(DQ38="","", INDEX(#REF!,MATCH(CONCATENATE('Respuestas de formulario 1.1'!$B38,DQ38),#REF!,0),MATCH('Respuestas de formulario 1.1'!ER$1,#REF!,0)))</f>
        <v/>
      </c>
      <c r="ES38" s="56" t="str">
        <f t="array" ref="ES38">IF(DR38="","", INDEX(#REF!,MATCH(CONCATENATE('Respuestas de formulario 1.1'!$B38,DR38),#REF!,0),MATCH('Respuestas de formulario 1.1'!ES$1,#REF!,0)))</f>
        <v/>
      </c>
      <c r="ET38" s="56" t="str">
        <f t="array" ref="ET38">IF(DS38="","", INDEX(#REF!,MATCH(CONCATENATE('Respuestas de formulario 1.1'!$B38,DS38),#REF!,0),MATCH('Respuestas de formulario 1.1'!ET$1,#REF!,0)))</f>
        <v/>
      </c>
      <c r="EU38" s="56" t="str">
        <f t="array" ref="EU38">IF(DT38="","", INDEX(#REF!,MATCH(CONCATENATE('Respuestas de formulario 1.1'!$B38,DT38),#REF!,0),MATCH('Respuestas de formulario 1.1'!EU$1,#REF!,0)))</f>
        <v/>
      </c>
      <c r="EV38" s="56" t="str">
        <f t="array" ref="EV38">IF(DU38="","", INDEX(#REF!,MATCH(CONCATENATE('Respuestas de formulario 1.1'!$B38,DU38),#REF!,0),MATCH('Respuestas de formulario 1.1'!EV$1,#REF!,0)))</f>
        <v/>
      </c>
      <c r="EW38" s="45" t="str">
        <f t="array" ref="EW38">IF(DV38="","", INDEX(#REF!,MATCH(CONCATENATE('Respuestas de formulario 1.1'!$B38,DV38),#REF!,0),MATCH('Respuestas de formulario 1.1'!EW$1,#REF!,0)))</f>
        <v/>
      </c>
      <c r="EX38" s="45" t="str">
        <f t="array" ref="EX38">IF($DQ38="","", INDEX(#REF!,MATCH(CONCATENATE('Respuestas de formulario 1.1'!$B38,$DQ38),#REF!,0),MATCH('Respuestas de formulario 1.1'!EX$1,#REF!,0)))</f>
        <v/>
      </c>
      <c r="EY38" s="56" t="str">
        <f t="array" ref="EY38">IF($DQ38="","", INDEX(#REF!,MATCH(CONCATENATE('Respuestas de formulario 1.1'!$B38,$DQ38),#REF!,0),MATCH('Respuestas de formulario 1.1'!EY$1,#REF!,0)))</f>
        <v/>
      </c>
      <c r="EZ38" s="56" t="str">
        <f t="array" ref="EZ38">IF($DQ38="","", INDEX(#REF!,MATCH(CONCATENATE('Respuestas de formulario 1.1'!$B38,$DQ38),#REF!,0),MATCH('Respuestas de formulario 1.1'!EZ$1,#REF!,0)))</f>
        <v/>
      </c>
      <c r="FA38" s="56" t="str">
        <f t="array" ref="FA38">IF($DQ38="","", INDEX(#REF!,MATCH(CONCATENATE('Respuestas de formulario 1.1'!$B38,$DQ38),#REF!,0),MATCH('Respuestas de formulario 1.1'!FA$1,#REF!,0)))</f>
        <v/>
      </c>
      <c r="FB38" s="56" t="str">
        <f t="array" ref="FB38">IF($DQ38="","", INDEX(#REF!,MATCH(CONCATENATE('Respuestas de formulario 1.1'!$B38,$DQ38),#REF!,0),MATCH('Respuestas de formulario 1.1'!FB$1,#REF!,0)))</f>
        <v/>
      </c>
      <c r="FC38" s="56" t="str">
        <f t="array" ref="FC38">IF($DQ38="","", INDEX(#REF!,MATCH(CONCATENATE('Respuestas de formulario 1.1'!$B38,$DQ38),#REF!,0),MATCH('Respuestas de formulario 1.1'!FC$1,#REF!,0)))</f>
        <v/>
      </c>
      <c r="FD38" s="45" t="str">
        <f t="array" ref="FD38">IF($DQ38="","", INDEX(#REF!,MATCH(CONCATENATE('Respuestas de formulario 1.1'!$B38,$DQ38),#REF!,0),MATCH('Respuestas de formulario 1.1'!FD$1,#REF!,0)))</f>
        <v/>
      </c>
      <c r="FE38" s="45" t="str">
        <f t="array" ref="FE38">IF($DR38="","", INDEX(#REF!,MATCH(CONCATENATE(#REF!,$DR38),#REF!,0),MATCH(#REF!,#REF!,0)))</f>
        <v/>
      </c>
      <c r="FF38" s="56" t="str">
        <f t="array" ref="FF38">IF($DR38="","", INDEX(#REF!,MATCH(CONCATENATE(#REF!,$DR38),#REF!,0),MATCH(#REF!,#REF!,0)))</f>
        <v/>
      </c>
      <c r="FG38" s="56" t="str">
        <f t="array" ref="FG38">IF($DR38="","", INDEX(#REF!,MATCH(CONCATENATE(#REF!,$DR38),#REF!,0),MATCH(#REF!,#REF!,0)))</f>
        <v/>
      </c>
      <c r="FH38" s="56" t="str">
        <f t="array" ref="FH38">IF($DR38="","", INDEX(#REF!,MATCH(CONCATENATE(#REF!,$DR38),#REF!,0),MATCH(#REF!,#REF!,0)))</f>
        <v/>
      </c>
      <c r="FI38" s="56" t="str">
        <f t="array" ref="FI38">IF($DR38="","", INDEX(#REF!,MATCH(CONCATENATE(#REF!,$DR38),#REF!,0),MATCH(#REF!,#REF!,0)))</f>
        <v/>
      </c>
      <c r="FJ38" s="56" t="str">
        <f t="array" ref="FJ38">IF($DR38="","", INDEX(#REF!,MATCH(CONCATENATE(#REF!,$DR38),#REF!,0),MATCH(#REF!,#REF!,0)))</f>
        <v/>
      </c>
      <c r="FK38" s="45" t="str">
        <f t="array" ref="FK38">IF($DR38="","", INDEX(#REF!,MATCH(CONCATENATE(#REF!,$DR38),#REF!,0),MATCH(#REF!,#REF!,0)))</f>
        <v/>
      </c>
      <c r="FL38" s="45" t="str">
        <f t="array" ref="FL38">IF($DT38="","", INDEX(#REF!,MATCH(CONCATENATE('Respuestas de formulario 1.1'!$B38,$DS38),#REF!,0),MATCH('Respuestas de formulario 1.1'!FL$1,#REF!,0)))</f>
        <v/>
      </c>
      <c r="FM38" s="56" t="str">
        <f t="array" ref="FM38">IF($DT38="","", INDEX(#REF!,MATCH(CONCATENATE('Respuestas de formulario 1.1'!$B38,$DS38),#REF!,0),MATCH('Respuestas de formulario 1.1'!FM$1,#REF!,0)))</f>
        <v/>
      </c>
      <c r="FN38" s="56" t="str">
        <f t="array" ref="FN38">IF($DT38="","", INDEX(#REF!,MATCH(CONCATENATE('Respuestas de formulario 1.1'!$B38,$DS38),#REF!,0),MATCH('Respuestas de formulario 1.1'!FN$1,#REF!,0)))</f>
        <v/>
      </c>
      <c r="FO38" s="56" t="str">
        <f t="array" ref="FO38">IF($DT38="","", INDEX(#REF!,MATCH(CONCATENATE('Respuestas de formulario 1.1'!$B38,$DS38),#REF!,0),MATCH('Respuestas de formulario 1.1'!FO$1,#REF!,0)))</f>
        <v/>
      </c>
      <c r="FP38" s="56" t="str">
        <f t="array" ref="FP38">IF($DT38="","", INDEX(#REF!,MATCH(CONCATENATE('Respuestas de formulario 1.1'!$B38,$DS38),#REF!,0),MATCH('Respuestas de formulario 1.1'!FP$1,#REF!,0)))</f>
        <v/>
      </c>
      <c r="FQ38" s="56" t="str">
        <f t="array" ref="FQ38">IF($DT38="","", INDEX(#REF!,MATCH(CONCATENATE('Respuestas de formulario 1.1'!$B38,$DS38),#REF!,0),MATCH('Respuestas de formulario 1.1'!FQ$1,#REF!,0)))</f>
        <v/>
      </c>
      <c r="FR38" s="45" t="str">
        <f t="array" ref="FR38">IF($DT38="","", INDEX(#REF!,MATCH(CONCATENATE('Respuestas de formulario 1.1'!$B38,$DS38),#REF!,0),MATCH('Respuestas de formulario 1.1'!FR$1,#REF!,0)))</f>
        <v/>
      </c>
      <c r="FS38" s="45" t="str">
        <f t="array" ref="FS38">IF($DU38="","", INDEX(#REF!,MATCH(CONCATENATE('Respuestas de formulario 1.1'!$B38,$DT38),#REF!,0),MATCH('Respuestas de formulario 1.1'!FS$1,#REF!,0)))</f>
        <v/>
      </c>
      <c r="FT38" s="56" t="str">
        <f t="array" ref="FT38">IF($DU38="","", INDEX(#REF!,MATCH(CONCATENATE('Respuestas de formulario 1.1'!$B38,$DT38),#REF!,0),MATCH('Respuestas de formulario 1.1'!FT$1,#REF!,0)))</f>
        <v/>
      </c>
      <c r="FU38" s="56" t="str">
        <f t="array" ref="FU38">IF($DU38="","", INDEX(#REF!,MATCH(CONCATENATE('Respuestas de formulario 1.1'!$B38,$DT38),#REF!,0),MATCH('Respuestas de formulario 1.1'!FU$1,#REF!,0)))</f>
        <v/>
      </c>
      <c r="FV38" s="56" t="str">
        <f t="array" ref="FV38">IF($DU38="","", INDEX(#REF!,MATCH(CONCATENATE('Respuestas de formulario 1.1'!$B38,$DT38),#REF!,0),MATCH('Respuestas de formulario 1.1'!FV$1,#REF!,0)))</f>
        <v/>
      </c>
      <c r="FW38" s="56" t="str">
        <f t="array" ref="FW38">IF($DU38="","", INDEX(#REF!,MATCH(CONCATENATE('Respuestas de formulario 1.1'!$B38,$DT38),#REF!,0),MATCH('Respuestas de formulario 1.1'!FW$1,#REF!,0)))</f>
        <v/>
      </c>
      <c r="FX38" s="56" t="str">
        <f t="array" ref="FX38">IF($DU38="","", INDEX(#REF!,MATCH(CONCATENATE('Respuestas de formulario 1.1'!$B38,$DT38),#REF!,0),MATCH('Respuestas de formulario 1.1'!FX$1,#REF!,0)))</f>
        <v/>
      </c>
      <c r="FY38" s="45" t="str">
        <f t="array" ref="FY38">IF($DU38="","", INDEX(#REF!,MATCH(CONCATENATE('Respuestas de formulario 1.1'!$B38,$DT38),#REF!,0),MATCH('Respuestas de formulario 1.1'!FY$1,#REF!,0)))</f>
        <v/>
      </c>
      <c r="FZ38" s="3" t="s">
        <v>2860</v>
      </c>
      <c r="GA38" s="1" t="s">
        <v>3458</v>
      </c>
      <c r="GB38" s="5" t="s">
        <v>3459</v>
      </c>
      <c r="GC38" s="4" t="str">
        <f>HYPERLINK("https://drive.google.com/file/d/1dWLnU3uPSLLhfkgNo5enDV0dAKOICCmH/view?usp=drivesdk","FLORES  MORALES  AYERIM AVELLANEDA  Formato de reinscripción y pago 2022-2")</f>
        <v>FLORES  MORALES  AYERIM AVELLANEDA  Formato de reinscripción y pago 2022-2</v>
      </c>
      <c r="GD38" s="1" t="s">
        <v>3460</v>
      </c>
      <c r="GE38" s="1"/>
      <c r="GF38" s="1"/>
      <c r="GG38" s="1"/>
      <c r="GH38" s="1"/>
      <c r="GI38" s="1" t="s">
        <v>3461</v>
      </c>
      <c r="GJ38" s="5" t="s">
        <v>3462</v>
      </c>
      <c r="GK38" s="5" t="str">
        <f>HYPERLINK("https://drive.google.com/file/d/1U4C82GWjGj8sQHL9VVI7ETpOgEsi8-fL/view?usp=drivesdk","FLORES  MORALES  &lt;&lt;Nombre(S)&gt;&gt; Formato de reinscripción y pago 2022-2")</f>
        <v>FLORES  MORALES  &lt;&lt;Nombre(S)&gt;&gt; Formato de reinscripción y pago 2022-2</v>
      </c>
      <c r="GL38" s="1" t="s">
        <v>3463</v>
      </c>
    </row>
    <row r="39" spans="1:194" ht="38.25" x14ac:dyDescent="0.2">
      <c r="A39" s="2">
        <v>45139.609043078701</v>
      </c>
      <c r="B39" s="1" t="s">
        <v>1654</v>
      </c>
      <c r="C39" s="1" t="s">
        <v>382</v>
      </c>
      <c r="D39" s="1" t="s">
        <v>398</v>
      </c>
      <c r="E39" s="1" t="s">
        <v>3464</v>
      </c>
      <c r="F39" s="1" t="s">
        <v>223</v>
      </c>
      <c r="G39" s="5" t="s">
        <v>3465</v>
      </c>
      <c r="H39" s="41">
        <v>39378</v>
      </c>
      <c r="I39" s="1">
        <v>15</v>
      </c>
      <c r="J39" s="1">
        <v>5624828537</v>
      </c>
      <c r="K39" s="1" t="s">
        <v>3466</v>
      </c>
      <c r="L39" s="1" t="s">
        <v>3467</v>
      </c>
      <c r="M39" s="1">
        <v>22309060570740</v>
      </c>
      <c r="N39" s="1" t="s">
        <v>562</v>
      </c>
      <c r="O39" s="1" t="s">
        <v>247</v>
      </c>
      <c r="P39" s="1" t="s">
        <v>226</v>
      </c>
      <c r="Q39" s="1" t="s">
        <v>248</v>
      </c>
      <c r="R39" s="1" t="s">
        <v>236</v>
      </c>
      <c r="S39" s="1" t="s">
        <v>228</v>
      </c>
      <c r="T39" s="1" t="s">
        <v>229</v>
      </c>
      <c r="U39" s="1" t="s">
        <v>309</v>
      </c>
      <c r="V39" s="1" t="s">
        <v>228</v>
      </c>
      <c r="W39" s="1" t="s">
        <v>3468</v>
      </c>
      <c r="X39" s="1" t="s">
        <v>309</v>
      </c>
      <c r="Y39" s="1" t="s">
        <v>3469</v>
      </c>
      <c r="Z39" s="1" t="s">
        <v>231</v>
      </c>
      <c r="AA39" s="1">
        <v>56380</v>
      </c>
      <c r="AB39" s="1">
        <v>20</v>
      </c>
      <c r="AC39" s="1" t="s">
        <v>885</v>
      </c>
      <c r="AD39" s="1" t="s">
        <v>3470</v>
      </c>
      <c r="AE39" s="1" t="s">
        <v>3471</v>
      </c>
      <c r="AF39" s="1" t="s">
        <v>435</v>
      </c>
      <c r="AG39" s="1">
        <v>38</v>
      </c>
      <c r="AH39" s="5" t="s">
        <v>3472</v>
      </c>
      <c r="AI39" s="1">
        <v>5635746908</v>
      </c>
      <c r="AJ39" s="1">
        <v>5635746908</v>
      </c>
      <c r="AK39" s="1" t="s">
        <v>1658</v>
      </c>
      <c r="AL39" s="1" t="s">
        <v>3473</v>
      </c>
      <c r="AM39" s="1" t="s">
        <v>392</v>
      </c>
      <c r="AN39" s="1" t="s">
        <v>974</v>
      </c>
      <c r="AO39" s="1" t="s">
        <v>3474</v>
      </c>
      <c r="AP39" s="1">
        <v>28</v>
      </c>
      <c r="AQ39" s="1" t="s">
        <v>233</v>
      </c>
      <c r="AR39" s="42">
        <v>0.375</v>
      </c>
      <c r="AS39" s="42">
        <v>0.5</v>
      </c>
      <c r="AT39" s="1">
        <v>5541072610</v>
      </c>
      <c r="AU39" s="1">
        <v>5541072610</v>
      </c>
      <c r="AV39" s="1" t="s">
        <v>1655</v>
      </c>
      <c r="AW39" s="5" t="s">
        <v>3475</v>
      </c>
      <c r="AX39" s="1" t="s">
        <v>398</v>
      </c>
      <c r="AY39" s="1" t="s">
        <v>1656</v>
      </c>
      <c r="AZ39" s="1" t="s">
        <v>1561</v>
      </c>
      <c r="BA39" s="1" t="s">
        <v>265</v>
      </c>
      <c r="BB39" s="1">
        <v>33</v>
      </c>
      <c r="BC39" s="1" t="s">
        <v>233</v>
      </c>
      <c r="BD39" s="43">
        <v>0.375</v>
      </c>
      <c r="BE39" s="43">
        <v>0.1875</v>
      </c>
      <c r="BF39" s="1">
        <v>4271720787</v>
      </c>
      <c r="BG39" s="1">
        <v>4271820787</v>
      </c>
      <c r="BH39" s="1" t="s">
        <v>1657</v>
      </c>
      <c r="BI39" s="5" t="s">
        <v>3476</v>
      </c>
      <c r="BJ39" s="1" t="s">
        <v>228</v>
      </c>
      <c r="BK39" s="1" t="s">
        <v>650</v>
      </c>
      <c r="BL39" s="1">
        <v>160</v>
      </c>
      <c r="BM39" s="1">
        <v>62</v>
      </c>
      <c r="BN39" s="1" t="s">
        <v>236</v>
      </c>
      <c r="BO39" s="1" t="s">
        <v>228</v>
      </c>
      <c r="BP39" s="1" t="s">
        <v>297</v>
      </c>
      <c r="BQ39" s="1" t="s">
        <v>228</v>
      </c>
      <c r="BR39" s="1" t="s">
        <v>237</v>
      </c>
      <c r="BS39" s="1" t="s">
        <v>236</v>
      </c>
      <c r="BT39" s="1" t="s">
        <v>462</v>
      </c>
      <c r="BU39" s="1" t="s">
        <v>228</v>
      </c>
      <c r="BW39" s="1" t="s">
        <v>238</v>
      </c>
      <c r="BX39" s="1">
        <v>1</v>
      </c>
      <c r="BY39" s="1">
        <v>40</v>
      </c>
      <c r="BZ39" s="1" t="s">
        <v>3477</v>
      </c>
      <c r="CA39" s="1" t="s">
        <v>343</v>
      </c>
      <c r="CB39" s="1" t="s">
        <v>231</v>
      </c>
      <c r="CC39" s="1" t="s">
        <v>631</v>
      </c>
      <c r="CD39" s="1">
        <v>1000</v>
      </c>
      <c r="CE39" s="1">
        <v>2000</v>
      </c>
      <c r="CF39" s="1" t="s">
        <v>236</v>
      </c>
      <c r="CG39" s="1" t="s">
        <v>242</v>
      </c>
      <c r="CH39" s="1" t="s">
        <v>243</v>
      </c>
      <c r="CI39" s="1" t="s">
        <v>243</v>
      </c>
      <c r="CJ39" s="1" t="s">
        <v>2848</v>
      </c>
      <c r="CL39" s="5" t="s">
        <v>3478</v>
      </c>
      <c r="CM39" s="44" t="s">
        <v>1659</v>
      </c>
      <c r="CN39" s="1" t="s">
        <v>228</v>
      </c>
      <c r="CQ39" s="42">
        <v>0.25</v>
      </c>
      <c r="CR39" s="42">
        <v>8.3333333335758653E-2</v>
      </c>
      <c r="CT39" s="45" t="str">
        <f t="array" ref="CT39">IFERROR(INDEX(#REF!,MATCH('Respuestas de formulario 1.1'!$B39,#REF!,0),MATCH('Respuestas de formulario 1.1'!CT$1,#REF!,0)),"")</f>
        <v/>
      </c>
      <c r="CU39" s="56" t="str">
        <f t="array" ref="CU39">IFERROR(INDEX(#REF!,MATCH('Respuestas de formulario 1.1'!$B39,#REF!,0),MATCH('Respuestas de formulario 1.1'!CU$1,#REF!,0)),"")</f>
        <v/>
      </c>
      <c r="CV39" s="56" t="str">
        <f t="array" ref="CV39">IFERROR(INDEX(#REF!,MATCH('Respuestas de formulario 1.1'!$B39,#REF!,0),MATCH('Respuestas de formulario 1.1'!CV$1,#REF!,0)),"")</f>
        <v/>
      </c>
      <c r="CW39" s="56" t="str">
        <f t="array" ref="CW39">IFERROR(INDEX(#REF!,MATCH('Respuestas de formulario 1.1'!$B39,#REF!,0),MATCH('Respuestas de formulario 1.1'!CW$1,#REF!,0)),"")</f>
        <v/>
      </c>
      <c r="CX39" s="56" t="str">
        <f t="array" ref="CX39">IFERROR(INDEX(#REF!,MATCH('Respuestas de formulario 1.1'!$B39,#REF!,0),MATCH('Respuestas de formulario 1.1'!CX$1,#REF!,0)),"")</f>
        <v/>
      </c>
      <c r="CY39" s="56" t="str">
        <f t="array" ref="CY39">IFERROR(INDEX(#REF!,MATCH('Respuestas de formulario 1.1'!$B39,#REF!,0),MATCH('Respuestas de formulario 1.1'!CY$1,#REF!,0)),"")</f>
        <v/>
      </c>
      <c r="CZ39" s="57" t="str">
        <f t="array" ref="CZ39">IFERROR(INDEX(#REF!,MATCH('Respuestas de formulario 1.1'!$B39,#REF!,0),MATCH('Respuestas de formulario 1.1'!CZ$1,#REF!,0)),"")</f>
        <v/>
      </c>
      <c r="DA39" s="45" t="e">
        <f t="array" ref="DA39">INDEX(#REF!,MATCH('Respuestas de formulario 1.1'!$B39,#REF!,0),MATCH('Respuestas de formulario 1.1'!DA$1,#REF!,0))</f>
        <v>#REF!</v>
      </c>
      <c r="DB39" s="45" t="e">
        <f t="array" ref="DB39">INDEX(#REF!,MATCH('Respuestas de formulario 1.1'!$B39,#REF!,0),MATCH('Respuestas de formulario 1.1'!DB$1,#REF!,0))</f>
        <v>#REF!</v>
      </c>
      <c r="DC39" s="45" t="e">
        <f t="array" ref="DC39">INDEX(#REF!,MATCH('Respuestas de formulario 1.1'!$B39,#REF!,0),MATCH('Respuestas de formulario 1.1'!DC$1,#REF!,0))</f>
        <v>#REF!</v>
      </c>
      <c r="DD39" s="45" t="e">
        <f t="array" ref="DD39">INDEX(#REF!,MATCH('Respuestas de formulario 1.1'!$B39,#REF!,0),MATCH('Respuestas de formulario 1.1'!DD$1,#REF!,0))</f>
        <v>#REF!</v>
      </c>
      <c r="DE39" s="45" t="e">
        <f t="array" ref="DE39">INDEX(#REF!,MATCH('Respuestas de formulario 1.1'!$B39,#REF!,0),MATCH('Respuestas de formulario 1.1'!DE$1,#REF!,0))</f>
        <v>#REF!</v>
      </c>
      <c r="DF39" s="45" t="e">
        <f t="array" ref="DF39">INDEX(#REF!,MATCH('Respuestas de formulario 1.1'!$B39,#REF!,0),MATCH('Respuestas de formulario 1.1'!DF$1,#REF!,0))</f>
        <v>#REF!</v>
      </c>
      <c r="DG39" s="45" t="e">
        <f t="array" ref="DG39">INDEX(#REF!,MATCH('Respuestas de formulario 1.1'!$B39,#REF!,0),MATCH('Respuestas de formulario 1.1'!DG$1,#REF!,0))</f>
        <v>#REF!</v>
      </c>
      <c r="DH39" s="45" t="e">
        <f t="array" ref="DH39">INDEX(#REF!,MATCH('Respuestas de formulario 1.1'!$B39,#REF!,0),MATCH('Respuestas de formulario 1.1'!DH$1,#REF!,0))</f>
        <v>#REF!</v>
      </c>
      <c r="DI39" s="48" t="e">
        <f>VLOOKUP(CONCATENATE($DF39," TUTO ",$DC39),#REF!,3,0)</f>
        <v>#REF!</v>
      </c>
      <c r="DJ39" s="48" t="e">
        <f t="array" ref="DJ39">IF('Respuestas de formulario 1.1'!A39="","",INDEX(#REF!,MATCH('Respuestas de formulario 1.1'!B39,#REF!,0),MATCH('Respuestas de formulario 1.1'!$DH$1,#REF!,0)))</f>
        <v>#REF!</v>
      </c>
      <c r="DK39" s="52" t="str">
        <f>CONCATENATE("http://doc.google.com/uc?id=",MID('Respuestas de formulario 1.1'!G39,34,33))</f>
        <v>http://doc.google.com/uc?id=1E7dnyeEps6YkUGo5ZKKRi-idqCtPbEHe</v>
      </c>
      <c r="DL39" s="49" t="str">
        <f>CONCATENATE("http://doc.google.com/uc?id=",MID('Respuestas de formulario 1.1'!AH39,34,33))</f>
        <v>http://doc.google.com/uc?id=1XXKIPVR4-HZ4arv5ewU_FlGSn1_-vsE_</v>
      </c>
      <c r="DM39" s="50" t="str">
        <f>CONCATENATE("http://doc.google.com/uc?id=",MID('Respuestas de formulario 1.1'!AW39,34,33))</f>
        <v>http://doc.google.com/uc?id=1LhRtL026C13TK3IJkWQ-JbYfM8n6Qyqj</v>
      </c>
      <c r="DN39" s="53" t="str">
        <f>CONCATENATE("http://doc.google.com/uc?id=",MID('Respuestas de formulario 1.1'!$BI39,34,33))</f>
        <v>http://doc.google.com/uc?id=1rf_cxefGIbiCaQqIHA7aT0enATawmCC-</v>
      </c>
      <c r="DO39" s="45" t="str">
        <f>IFERROR(VLOOKUP(CONCATENATE('Respuestas de formulario 1.1'!$B39,MID('Respuestas de formulario 1.1'!DO$1,2,1)),#REF!,12,0),"")</f>
        <v/>
      </c>
      <c r="DP39" s="45" t="str">
        <f>IFERROR(VLOOKUP(CONCATENATE('Respuestas de formulario 1.1'!$B39,MID('Respuestas de formulario 1.1'!DP$1,2,1)),#REF!,12,0),"")</f>
        <v/>
      </c>
      <c r="DQ39" s="45" t="str">
        <f>IFERROR(VLOOKUP(CONCATENATE('Respuestas de formulario 1.1'!$B39,MID('Respuestas de formulario 1.1'!DQ$1,2,1)),#REF!,12,0),"")</f>
        <v/>
      </c>
      <c r="DR39" s="45" t="str">
        <f>IFERROR(VLOOKUP(CONCATENATE('Respuestas de formulario 1.1'!$B39,MID('Respuestas de formulario 1.1'!DR$1,2,1)),#REF!,12,0),"")</f>
        <v/>
      </c>
      <c r="DS39" s="45" t="str">
        <f>IFERROR(VLOOKUP(CONCATENATE('Respuestas de formulario 1.1'!$B39,MID('Respuestas de formulario 1.1'!DS$1,2,1)),#REF!,12,0),"")</f>
        <v/>
      </c>
      <c r="DT39" s="45" t="str">
        <f>IFERROR(VLOOKUP(CONCATENATE('Respuestas de formulario 1.1'!$B39,MID('Respuestas de formulario 1.1'!DT$1,2,1)),#REF!,12,0),"")</f>
        <v/>
      </c>
      <c r="DU39" s="45" t="str">
        <f>IFERROR(VLOOKUP(CONCATENATE('Respuestas de formulario 1.1'!$B39,MID('Respuestas de formulario 1.1'!DU$1,2,1)),#REF!,12,0),"")</f>
        <v/>
      </c>
      <c r="DV39" s="45" t="str">
        <f>IFERROR(VLOOKUP(CONCATENATE('Respuestas de formulario 1.1'!$B39,MID('Respuestas de formulario 1.1'!DV$1,2,1)),#REF!,12,0),"")</f>
        <v/>
      </c>
      <c r="DW39" s="45" t="str">
        <f>IFERROR(VLOOKUP(CONCATENATE('Respuestas de formulario 1.1'!$B39,MID('Respuestas de formulario 1.1'!DW$1,2,1)),#REF!,12,0),"")</f>
        <v/>
      </c>
      <c r="DX39" s="45" t="str">
        <f>IFERROR(VLOOKUP(CONCATENATE('Respuestas de formulario 1.1'!$B39,MID('Respuestas de formulario 1.1'!DX$1,2,1)),#REF!,12,0),"")</f>
        <v/>
      </c>
      <c r="DY39" s="45" t="str">
        <f>IFERROR(VLOOKUP(CONCATENATE('Respuestas de formulario 1.1'!$B39,MID('Respuestas de formulario 1.1'!DY$1,2,1)),#REF!,12,0),"")</f>
        <v/>
      </c>
      <c r="DZ39" s="45" t="str">
        <f>IFERROR(VLOOKUP(CONCATENATE('Respuestas de formulario 1.1'!$B39,MID('Respuestas de formulario 1.1'!DZ$1,2,1)),#REF!,12,0),"")</f>
        <v/>
      </c>
      <c r="EA39" s="45" t="str">
        <f>IFERROR(VLOOKUP(CONCATENATE('Respuestas de formulario 1.1'!$B39,MID('Respuestas de formulario 1.1'!EA$1,2,1)),#REF!,12,0),"")</f>
        <v/>
      </c>
      <c r="EB39" s="45" t="str">
        <f>IFERROR(VLOOKUP(CONCATENATE('Respuestas de formulario 1.1'!$B39,MID('Respuestas de formulario 1.1'!EB$1,2,1)),#REF!,12,0),"")</f>
        <v/>
      </c>
      <c r="EC39" s="45" t="str">
        <f>IFERROR(VLOOKUP(CONCATENATE('Respuestas de formulario 1.1'!$B39,MID('Respuestas de formulario 1.1'!EC$1,2,1)),#REF!,12,0),"")</f>
        <v/>
      </c>
      <c r="ED39" s="45" t="str">
        <f>IFERROR(VLOOKUP(CONCATENATE('Respuestas de formulario 1.1'!$B39,MID('Respuestas de formulario 1.1'!ED$1,2,1)),#REF!,12,0),"")</f>
        <v/>
      </c>
      <c r="EE39" s="45" t="str">
        <f>IFERROR(VLOOKUP(CONCATENATE('Respuestas de formulario 1.1'!$B39,MID('Respuestas de formulario 1.1'!EE$1,2,1)),#REF!,12,0),"")</f>
        <v/>
      </c>
      <c r="EF39" s="45" t="str">
        <f>IFERROR(VLOOKUP(CONCATENATE('Respuestas de formulario 1.1'!$B39,MID('Respuestas de formulario 1.1'!EF$1,2,1)),#REF!,12,0),"")</f>
        <v/>
      </c>
      <c r="EG39" s="45" t="str">
        <f>IFERROR(VLOOKUP(CONCATENATE('Respuestas de formulario 1.1'!$B39,MID('Respuestas de formulario 1.1'!EG$1,2,1)),#REF!,12,0),"")</f>
        <v/>
      </c>
      <c r="EH39" s="45" t="str">
        <f>IFERROR(VLOOKUP(CONCATENATE('Respuestas de formulario 1.1'!$B39,MID('Respuestas de formulario 1.1'!EH$1,2,1)),#REF!,12,0),"")</f>
        <v/>
      </c>
      <c r="EI39" s="45" t="str">
        <f>IFERROR(VLOOKUP(CONCATENATE('Respuestas de formulario 1.1'!$B39,MID('Respuestas de formulario 1.1'!EI$1,2,1)),#REF!,12,0),"")</f>
        <v/>
      </c>
      <c r="EJ39" s="45" t="str">
        <f t="array" ref="EJ39">IF(DO39="","", INDEX(#REF!,MATCH(CONCATENATE('Respuestas de formulario 1.1'!$B39,DO39),#REF!,0),MATCH('Respuestas de formulario 1.1'!EJ$1,#REF!,0)))</f>
        <v/>
      </c>
      <c r="EK39" s="56" t="str">
        <f t="array" ref="EK39">IF(DP39="","", INDEX(#REF!,MATCH(CONCATENATE('Respuestas de formulario 1.1'!$B39,DP39),#REF!,0),MATCH('Respuestas de formulario 1.1'!EK$1,#REF!,0)))</f>
        <v/>
      </c>
      <c r="EL39" s="56" t="str">
        <f t="array" ref="EL39">IF(DQ39="","", INDEX(#REF!,MATCH(CONCATENATE('Respuestas de formulario 1.1'!$B39,DQ39),#REF!,0),MATCH('Respuestas de formulario 1.1'!EL$1,#REF!,0)))</f>
        <v/>
      </c>
      <c r="EM39" s="56" t="str">
        <f t="array" ref="EM39">IF(DR39="","", INDEX(#REF!,MATCH(CONCATENATE('Respuestas de formulario 1.1'!$B39,DR39),#REF!,0),MATCH('Respuestas de formulario 1.1'!EM$1,#REF!,0)))</f>
        <v/>
      </c>
      <c r="EN39" s="56" t="str">
        <f t="array" ref="EN39">IF(DS39="","", INDEX(#REF!,MATCH(CONCATENATE('Respuestas de formulario 1.1'!$B39,DS39),#REF!,0),MATCH('Respuestas de formulario 1.1'!EN$1,#REF!,0)))</f>
        <v/>
      </c>
      <c r="EO39" s="56" t="str">
        <f t="array" ref="EO39">IF(DT39="","", INDEX(#REF!,MATCH(CONCATENATE('Respuestas de formulario 1.1'!$B39,DT39),#REF!,0),MATCH('Respuestas de formulario 1.1'!EO$1,#REF!,0)))</f>
        <v/>
      </c>
      <c r="EP39" s="45" t="str">
        <f t="array" ref="EP39">IF(DU39="","", INDEX(#REF!,MATCH(CONCATENATE('Respuestas de formulario 1.1'!$B39,DU39),#REF!,0),MATCH('Respuestas de formulario 1.1'!EP$1,#REF!,0)))</f>
        <v/>
      </c>
      <c r="EQ39" s="45" t="str">
        <f t="array" ref="EQ39">IF(DP39="","", INDEX(#REF!,MATCH(CONCATENATE('Respuestas de formulario 1.1'!$B39,DP39),#REF!,0),MATCH('Respuestas de formulario 1.1'!EQ$1,#REF!,0)))</f>
        <v/>
      </c>
      <c r="ER39" s="56" t="str">
        <f t="array" ref="ER39">IF(DQ39="","", INDEX(#REF!,MATCH(CONCATENATE('Respuestas de formulario 1.1'!$B39,DQ39),#REF!,0),MATCH('Respuestas de formulario 1.1'!ER$1,#REF!,0)))</f>
        <v/>
      </c>
      <c r="ES39" s="56" t="str">
        <f t="array" ref="ES39">IF(DR39="","", INDEX(#REF!,MATCH(CONCATENATE('Respuestas de formulario 1.1'!$B39,DR39),#REF!,0),MATCH('Respuestas de formulario 1.1'!ES$1,#REF!,0)))</f>
        <v/>
      </c>
      <c r="ET39" s="56" t="str">
        <f t="array" ref="ET39">IF(DS39="","", INDEX(#REF!,MATCH(CONCATENATE('Respuestas de formulario 1.1'!$B39,DS39),#REF!,0),MATCH('Respuestas de formulario 1.1'!ET$1,#REF!,0)))</f>
        <v/>
      </c>
      <c r="EU39" s="56" t="str">
        <f t="array" ref="EU39">IF(DT39="","", INDEX(#REF!,MATCH(CONCATENATE('Respuestas de formulario 1.1'!$B39,DT39),#REF!,0),MATCH('Respuestas de formulario 1.1'!EU$1,#REF!,0)))</f>
        <v/>
      </c>
      <c r="EV39" s="56" t="str">
        <f t="array" ref="EV39">IF(DU39="","", INDEX(#REF!,MATCH(CONCATENATE('Respuestas de formulario 1.1'!$B39,DU39),#REF!,0),MATCH('Respuestas de formulario 1.1'!EV$1,#REF!,0)))</f>
        <v/>
      </c>
      <c r="EW39" s="45" t="str">
        <f t="array" ref="EW39">IF(DV39="","", INDEX(#REF!,MATCH(CONCATENATE('Respuestas de formulario 1.1'!$B39,DV39),#REF!,0),MATCH('Respuestas de formulario 1.1'!EW$1,#REF!,0)))</f>
        <v/>
      </c>
      <c r="EX39" s="45" t="str">
        <f t="array" ref="EX39">IF($DQ39="","", INDEX(#REF!,MATCH(CONCATENATE('Respuestas de formulario 1.1'!$B39,$DQ39),#REF!,0),MATCH('Respuestas de formulario 1.1'!EX$1,#REF!,0)))</f>
        <v/>
      </c>
      <c r="EY39" s="56" t="str">
        <f t="array" ref="EY39">IF($DQ39="","", INDEX(#REF!,MATCH(CONCATENATE('Respuestas de formulario 1.1'!$B39,$DQ39),#REF!,0),MATCH('Respuestas de formulario 1.1'!EY$1,#REF!,0)))</f>
        <v/>
      </c>
      <c r="EZ39" s="56" t="str">
        <f t="array" ref="EZ39">IF($DQ39="","", INDEX(#REF!,MATCH(CONCATENATE('Respuestas de formulario 1.1'!$B39,$DQ39),#REF!,0),MATCH('Respuestas de formulario 1.1'!EZ$1,#REF!,0)))</f>
        <v/>
      </c>
      <c r="FA39" s="56" t="str">
        <f t="array" ref="FA39">IF($DQ39="","", INDEX(#REF!,MATCH(CONCATENATE('Respuestas de formulario 1.1'!$B39,$DQ39),#REF!,0),MATCH('Respuestas de formulario 1.1'!FA$1,#REF!,0)))</f>
        <v/>
      </c>
      <c r="FB39" s="56" t="str">
        <f t="array" ref="FB39">IF($DQ39="","", INDEX(#REF!,MATCH(CONCATENATE('Respuestas de formulario 1.1'!$B39,$DQ39),#REF!,0),MATCH('Respuestas de formulario 1.1'!FB$1,#REF!,0)))</f>
        <v/>
      </c>
      <c r="FC39" s="56" t="str">
        <f t="array" ref="FC39">IF($DQ39="","", INDEX(#REF!,MATCH(CONCATENATE('Respuestas de formulario 1.1'!$B39,$DQ39),#REF!,0),MATCH('Respuestas de formulario 1.1'!FC$1,#REF!,0)))</f>
        <v/>
      </c>
      <c r="FD39" s="45" t="str">
        <f t="array" ref="FD39">IF($DQ39="","", INDEX(#REF!,MATCH(CONCATENATE('Respuestas de formulario 1.1'!$B39,$DQ39),#REF!,0),MATCH('Respuestas de formulario 1.1'!FD$1,#REF!,0)))</f>
        <v/>
      </c>
      <c r="FE39" s="45" t="str">
        <f t="array" ref="FE39">IF($DR39="","", INDEX(#REF!,MATCH(CONCATENATE(#REF!,$DR39),#REF!,0),MATCH(#REF!,#REF!,0)))</f>
        <v/>
      </c>
      <c r="FF39" s="56" t="str">
        <f t="array" ref="FF39">IF($DR39="","", INDEX(#REF!,MATCH(CONCATENATE(#REF!,$DR39),#REF!,0),MATCH(#REF!,#REF!,0)))</f>
        <v/>
      </c>
      <c r="FG39" s="56" t="str">
        <f t="array" ref="FG39">IF($DR39="","", INDEX(#REF!,MATCH(CONCATENATE(#REF!,$DR39),#REF!,0),MATCH(#REF!,#REF!,0)))</f>
        <v/>
      </c>
      <c r="FH39" s="56" t="str">
        <f t="array" ref="FH39">IF($DR39="","", INDEX(#REF!,MATCH(CONCATENATE(#REF!,$DR39),#REF!,0),MATCH(#REF!,#REF!,0)))</f>
        <v/>
      </c>
      <c r="FI39" s="56" t="str">
        <f t="array" ref="FI39">IF($DR39="","", INDEX(#REF!,MATCH(CONCATENATE(#REF!,$DR39),#REF!,0),MATCH(#REF!,#REF!,0)))</f>
        <v/>
      </c>
      <c r="FJ39" s="56" t="str">
        <f t="array" ref="FJ39">IF($DR39="","", INDEX(#REF!,MATCH(CONCATENATE(#REF!,$DR39),#REF!,0),MATCH(#REF!,#REF!,0)))</f>
        <v/>
      </c>
      <c r="FK39" s="45" t="str">
        <f t="array" ref="FK39">IF($DR39="","", INDEX(#REF!,MATCH(CONCATENATE(#REF!,$DR39),#REF!,0),MATCH(#REF!,#REF!,0)))</f>
        <v/>
      </c>
      <c r="FL39" s="45" t="str">
        <f t="array" ref="FL39">IF($DT39="","", INDEX(#REF!,MATCH(CONCATENATE('Respuestas de formulario 1.1'!$B39,$DS39),#REF!,0),MATCH('Respuestas de formulario 1.1'!FL$1,#REF!,0)))</f>
        <v/>
      </c>
      <c r="FM39" s="56" t="str">
        <f t="array" ref="FM39">IF($DT39="","", INDEX(#REF!,MATCH(CONCATENATE('Respuestas de formulario 1.1'!$B39,$DS39),#REF!,0),MATCH('Respuestas de formulario 1.1'!FM$1,#REF!,0)))</f>
        <v/>
      </c>
      <c r="FN39" s="56" t="str">
        <f t="array" ref="FN39">IF($DT39="","", INDEX(#REF!,MATCH(CONCATENATE('Respuestas de formulario 1.1'!$B39,$DS39),#REF!,0),MATCH('Respuestas de formulario 1.1'!FN$1,#REF!,0)))</f>
        <v/>
      </c>
      <c r="FO39" s="56" t="str">
        <f t="array" ref="FO39">IF($DT39="","", INDEX(#REF!,MATCH(CONCATENATE('Respuestas de formulario 1.1'!$B39,$DS39),#REF!,0),MATCH('Respuestas de formulario 1.1'!FO$1,#REF!,0)))</f>
        <v/>
      </c>
      <c r="FP39" s="56" t="str">
        <f t="array" ref="FP39">IF($DT39="","", INDEX(#REF!,MATCH(CONCATENATE('Respuestas de formulario 1.1'!$B39,$DS39),#REF!,0),MATCH('Respuestas de formulario 1.1'!FP$1,#REF!,0)))</f>
        <v/>
      </c>
      <c r="FQ39" s="56" t="str">
        <f t="array" ref="FQ39">IF($DT39="","", INDEX(#REF!,MATCH(CONCATENATE('Respuestas de formulario 1.1'!$B39,$DS39),#REF!,0),MATCH('Respuestas de formulario 1.1'!FQ$1,#REF!,0)))</f>
        <v/>
      </c>
      <c r="FR39" s="45" t="str">
        <f t="array" ref="FR39">IF($DT39="","", INDEX(#REF!,MATCH(CONCATENATE('Respuestas de formulario 1.1'!$B39,$DS39),#REF!,0),MATCH('Respuestas de formulario 1.1'!FR$1,#REF!,0)))</f>
        <v/>
      </c>
      <c r="FS39" s="45" t="str">
        <f t="array" ref="FS39">IF($DU39="","", INDEX(#REF!,MATCH(CONCATENATE('Respuestas de formulario 1.1'!$B39,$DT39),#REF!,0),MATCH('Respuestas de formulario 1.1'!FS$1,#REF!,0)))</f>
        <v/>
      </c>
      <c r="FT39" s="56" t="str">
        <f t="array" ref="FT39">IF($DU39="","", INDEX(#REF!,MATCH(CONCATENATE('Respuestas de formulario 1.1'!$B39,$DT39),#REF!,0),MATCH('Respuestas de formulario 1.1'!FT$1,#REF!,0)))</f>
        <v/>
      </c>
      <c r="FU39" s="56" t="str">
        <f t="array" ref="FU39">IF($DU39="","", INDEX(#REF!,MATCH(CONCATENATE('Respuestas de formulario 1.1'!$B39,$DT39),#REF!,0),MATCH('Respuestas de formulario 1.1'!FU$1,#REF!,0)))</f>
        <v/>
      </c>
      <c r="FV39" s="56" t="str">
        <f t="array" ref="FV39">IF($DU39="","", INDEX(#REF!,MATCH(CONCATENATE('Respuestas de formulario 1.1'!$B39,$DT39),#REF!,0),MATCH('Respuestas de formulario 1.1'!FV$1,#REF!,0)))</f>
        <v/>
      </c>
      <c r="FW39" s="56" t="str">
        <f t="array" ref="FW39">IF($DU39="","", INDEX(#REF!,MATCH(CONCATENATE('Respuestas de formulario 1.1'!$B39,$DT39),#REF!,0),MATCH('Respuestas de formulario 1.1'!FW$1,#REF!,0)))</f>
        <v/>
      </c>
      <c r="FX39" s="56" t="str">
        <f t="array" ref="FX39">IF($DU39="","", INDEX(#REF!,MATCH(CONCATENATE('Respuestas de formulario 1.1'!$B39,$DT39),#REF!,0),MATCH('Respuestas de formulario 1.1'!FX$1,#REF!,0)))</f>
        <v/>
      </c>
      <c r="FY39" s="45" t="str">
        <f t="array" ref="FY39">IF($DU39="","", INDEX(#REF!,MATCH(CONCATENATE('Respuestas de formulario 1.1'!$B39,$DT39),#REF!,0),MATCH('Respuestas de formulario 1.1'!FY$1,#REF!,0)))</f>
        <v/>
      </c>
      <c r="FZ39" s="3" t="s">
        <v>2860</v>
      </c>
      <c r="GA39" s="1" t="s">
        <v>3479</v>
      </c>
      <c r="GB39" s="5" t="s">
        <v>3480</v>
      </c>
      <c r="GC39" s="4" t="str">
        <f>HYPERLINK("https://drive.google.com/file/d/1mjAwQ7uS4FBXuN15pt5z-0wCZLTgu27q/view?usp=drivesdk","REYES PEÑA JENIFER NICOLE  Formato de reinscripción y pago 2022-2")</f>
        <v>REYES PEÑA JENIFER NICOLE  Formato de reinscripción y pago 2022-2</v>
      </c>
      <c r="GD39" s="1" t="s">
        <v>3481</v>
      </c>
      <c r="GE39" s="1"/>
      <c r="GF39" s="1"/>
      <c r="GG39" s="1"/>
      <c r="GH39" s="1"/>
      <c r="GI39" s="1" t="s">
        <v>3482</v>
      </c>
      <c r="GJ39" s="5" t="s">
        <v>3483</v>
      </c>
      <c r="GK39" s="5" t="str">
        <f>HYPERLINK("https://drive.google.com/file/d/1FVJ502We950k8aFbYuz5Qpn787pkd1nX/view?usp=drivesdk","REYES PEÑA &lt;&lt;Nombre(S)&gt;&gt; Formato de reinscripción y pago 2022-2")</f>
        <v>REYES PEÑA &lt;&lt;Nombre(S)&gt;&gt; Formato de reinscripción y pago 2022-2</v>
      </c>
      <c r="GL39" s="1" t="s">
        <v>3484</v>
      </c>
    </row>
    <row r="40" spans="1:194" ht="38.25" x14ac:dyDescent="0.2">
      <c r="A40" s="2">
        <v>45141.708855254634</v>
      </c>
      <c r="B40" s="1" t="s">
        <v>2562</v>
      </c>
      <c r="C40" s="1" t="s">
        <v>234</v>
      </c>
      <c r="D40" s="1" t="s">
        <v>1373</v>
      </c>
      <c r="E40" s="1" t="s">
        <v>2513</v>
      </c>
      <c r="F40" s="1" t="s">
        <v>223</v>
      </c>
      <c r="G40" s="5" t="s">
        <v>3485</v>
      </c>
      <c r="H40" s="41">
        <v>39410</v>
      </c>
      <c r="I40" s="1">
        <v>15</v>
      </c>
      <c r="J40" s="1">
        <v>5565160492</v>
      </c>
      <c r="K40" s="1" t="s">
        <v>3486</v>
      </c>
      <c r="L40" s="1" t="s">
        <v>2563</v>
      </c>
      <c r="M40" s="1">
        <v>22309060570398</v>
      </c>
      <c r="N40" s="1" t="s">
        <v>562</v>
      </c>
      <c r="O40" s="1" t="s">
        <v>225</v>
      </c>
      <c r="P40" s="1" t="s">
        <v>226</v>
      </c>
      <c r="Q40" s="1" t="s">
        <v>315</v>
      </c>
      <c r="R40" s="1" t="s">
        <v>236</v>
      </c>
      <c r="S40" s="1" t="s">
        <v>228</v>
      </c>
      <c r="T40" s="1" t="s">
        <v>411</v>
      </c>
      <c r="U40" s="1" t="s">
        <v>249</v>
      </c>
      <c r="V40" s="1" t="s">
        <v>228</v>
      </c>
      <c r="W40" s="1" t="s">
        <v>3487</v>
      </c>
      <c r="X40" s="1" t="s">
        <v>249</v>
      </c>
      <c r="Y40" s="1" t="s">
        <v>274</v>
      </c>
      <c r="Z40" s="1" t="s">
        <v>240</v>
      </c>
      <c r="AA40" s="44" t="s">
        <v>460</v>
      </c>
      <c r="AB40" s="1">
        <v>4</v>
      </c>
      <c r="AC40" s="1">
        <v>12</v>
      </c>
      <c r="AD40" s="1" t="s">
        <v>3488</v>
      </c>
      <c r="AE40" s="1" t="s">
        <v>3489</v>
      </c>
      <c r="AF40" s="1" t="s">
        <v>461</v>
      </c>
      <c r="AG40" s="1">
        <v>37</v>
      </c>
      <c r="AH40" s="5" t="s">
        <v>3490</v>
      </c>
      <c r="AI40" s="1">
        <v>5514914247</v>
      </c>
      <c r="AJ40" s="1">
        <v>5570333010</v>
      </c>
      <c r="AK40" s="1" t="s">
        <v>2565</v>
      </c>
      <c r="AL40" s="1" t="s">
        <v>234</v>
      </c>
      <c r="AM40" s="1" t="s">
        <v>997</v>
      </c>
      <c r="AN40" s="1" t="s">
        <v>1889</v>
      </c>
      <c r="AO40" s="1" t="s">
        <v>291</v>
      </c>
      <c r="AP40" s="1">
        <v>37</v>
      </c>
      <c r="AQ40" s="1" t="s">
        <v>1107</v>
      </c>
      <c r="AR40" s="42">
        <v>0.375</v>
      </c>
      <c r="AS40" s="42">
        <v>0</v>
      </c>
      <c r="AT40" s="1">
        <v>5570333010</v>
      </c>
      <c r="AU40" s="1">
        <v>5570333010</v>
      </c>
      <c r="AV40" s="1" t="s">
        <v>3491</v>
      </c>
      <c r="AW40" s="5" t="s">
        <v>3492</v>
      </c>
      <c r="AX40" s="1" t="s">
        <v>234</v>
      </c>
      <c r="AY40" s="1" t="s">
        <v>997</v>
      </c>
      <c r="AZ40" s="1" t="s">
        <v>877</v>
      </c>
      <c r="BA40" s="1" t="s">
        <v>336</v>
      </c>
      <c r="BB40" s="1">
        <v>35</v>
      </c>
      <c r="BC40" s="1" t="s">
        <v>233</v>
      </c>
      <c r="BD40" s="43">
        <v>0</v>
      </c>
      <c r="BE40" s="43">
        <v>0</v>
      </c>
      <c r="BF40" s="1">
        <v>5514914247</v>
      </c>
      <c r="BG40" s="1">
        <v>5514914247</v>
      </c>
      <c r="BH40" s="1" t="s">
        <v>2564</v>
      </c>
      <c r="BI40" s="5" t="s">
        <v>3493</v>
      </c>
      <c r="BJ40" s="1" t="s">
        <v>236</v>
      </c>
      <c r="BL40" s="1">
        <v>1.54</v>
      </c>
      <c r="BM40" s="1">
        <v>47</v>
      </c>
      <c r="BN40" s="1" t="s">
        <v>228</v>
      </c>
      <c r="BO40" s="1" t="s">
        <v>228</v>
      </c>
      <c r="BQ40" s="1" t="s">
        <v>228</v>
      </c>
      <c r="BR40" s="1" t="s">
        <v>237</v>
      </c>
      <c r="BS40" s="1" t="s">
        <v>228</v>
      </c>
      <c r="BT40" s="1" t="s">
        <v>237</v>
      </c>
      <c r="BU40" s="1" t="s">
        <v>228</v>
      </c>
      <c r="BW40" s="1" t="s">
        <v>272</v>
      </c>
      <c r="BX40" s="1">
        <v>40</v>
      </c>
      <c r="BY40" s="1">
        <v>379</v>
      </c>
      <c r="BZ40" s="1" t="s">
        <v>253</v>
      </c>
      <c r="CA40" s="1" t="s">
        <v>237</v>
      </c>
      <c r="CB40" s="1" t="s">
        <v>240</v>
      </c>
      <c r="CC40" s="1" t="s">
        <v>300</v>
      </c>
      <c r="CD40" s="1">
        <v>1000</v>
      </c>
      <c r="CE40" s="1">
        <v>1000</v>
      </c>
      <c r="CF40" s="1" t="s">
        <v>236</v>
      </c>
      <c r="CG40" s="1" t="s">
        <v>242</v>
      </c>
      <c r="CH40" s="1" t="s">
        <v>243</v>
      </c>
      <c r="CI40" s="1" t="s">
        <v>243</v>
      </c>
      <c r="CJ40" s="1" t="s">
        <v>2848</v>
      </c>
      <c r="CL40" s="5" t="s">
        <v>3494</v>
      </c>
      <c r="CM40" s="1">
        <v>14220770383</v>
      </c>
      <c r="CN40" s="1" t="s">
        <v>228</v>
      </c>
      <c r="CQ40" s="42">
        <v>0</v>
      </c>
      <c r="CR40" s="42">
        <v>0</v>
      </c>
      <c r="CT40" s="45" t="str">
        <f t="array" ref="CT40">IFERROR(INDEX(#REF!,MATCH('Respuestas de formulario 1.1'!$B40,#REF!,0),MATCH('Respuestas de formulario 1.1'!CT$1,#REF!,0)),"")</f>
        <v/>
      </c>
      <c r="CU40" s="56" t="str">
        <f t="array" ref="CU40">IFERROR(INDEX(#REF!,MATCH('Respuestas de formulario 1.1'!$B40,#REF!,0),MATCH('Respuestas de formulario 1.1'!CU$1,#REF!,0)),"")</f>
        <v/>
      </c>
      <c r="CV40" s="56" t="str">
        <f t="array" ref="CV40">IFERROR(INDEX(#REF!,MATCH('Respuestas de formulario 1.1'!$B40,#REF!,0),MATCH('Respuestas de formulario 1.1'!CV$1,#REF!,0)),"")</f>
        <v/>
      </c>
      <c r="CW40" s="56" t="str">
        <f t="array" ref="CW40">IFERROR(INDEX(#REF!,MATCH('Respuestas de formulario 1.1'!$B40,#REF!,0),MATCH('Respuestas de formulario 1.1'!CW$1,#REF!,0)),"")</f>
        <v/>
      </c>
      <c r="CX40" s="56" t="str">
        <f t="array" ref="CX40">IFERROR(INDEX(#REF!,MATCH('Respuestas de formulario 1.1'!$B40,#REF!,0),MATCH('Respuestas de formulario 1.1'!CX$1,#REF!,0)),"")</f>
        <v/>
      </c>
      <c r="CY40" s="56" t="str">
        <f t="array" ref="CY40">IFERROR(INDEX(#REF!,MATCH('Respuestas de formulario 1.1'!$B40,#REF!,0),MATCH('Respuestas de formulario 1.1'!CY$1,#REF!,0)),"")</f>
        <v/>
      </c>
      <c r="CZ40" s="57" t="str">
        <f t="array" ref="CZ40">IFERROR(INDEX(#REF!,MATCH('Respuestas de formulario 1.1'!$B40,#REF!,0),MATCH('Respuestas de formulario 1.1'!CZ$1,#REF!,0)),"")</f>
        <v/>
      </c>
      <c r="DA40" s="45" t="e">
        <f t="array" ref="DA40">INDEX(#REF!,MATCH('Respuestas de formulario 1.1'!$B40,#REF!,0),MATCH('Respuestas de formulario 1.1'!DA$1,#REF!,0))</f>
        <v>#REF!</v>
      </c>
      <c r="DB40" s="45" t="e">
        <f t="array" ref="DB40">INDEX(#REF!,MATCH('Respuestas de formulario 1.1'!$B40,#REF!,0),MATCH('Respuestas de formulario 1.1'!DB$1,#REF!,0))</f>
        <v>#REF!</v>
      </c>
      <c r="DC40" s="45" t="e">
        <f t="array" ref="DC40">INDEX(#REF!,MATCH('Respuestas de formulario 1.1'!$B40,#REF!,0),MATCH('Respuestas de formulario 1.1'!DC$1,#REF!,0))</f>
        <v>#REF!</v>
      </c>
      <c r="DD40" s="45" t="e">
        <f t="array" ref="DD40">INDEX(#REF!,MATCH('Respuestas de formulario 1.1'!$B40,#REF!,0),MATCH('Respuestas de formulario 1.1'!DD$1,#REF!,0))</f>
        <v>#REF!</v>
      </c>
      <c r="DE40" s="45" t="e">
        <f t="array" ref="DE40">INDEX(#REF!,MATCH('Respuestas de formulario 1.1'!$B40,#REF!,0),MATCH('Respuestas de formulario 1.1'!DE$1,#REF!,0))</f>
        <v>#REF!</v>
      </c>
      <c r="DF40" s="45" t="e">
        <f t="array" ref="DF40">INDEX(#REF!,MATCH('Respuestas de formulario 1.1'!$B40,#REF!,0),MATCH('Respuestas de formulario 1.1'!DF$1,#REF!,0))</f>
        <v>#REF!</v>
      </c>
      <c r="DG40" s="45" t="e">
        <f t="array" ref="DG40">INDEX(#REF!,MATCH('Respuestas de formulario 1.1'!$B40,#REF!,0),MATCH('Respuestas de formulario 1.1'!DG$1,#REF!,0))</f>
        <v>#REF!</v>
      </c>
      <c r="DH40" s="45" t="e">
        <f t="array" ref="DH40">INDEX(#REF!,MATCH('Respuestas de formulario 1.1'!$B40,#REF!,0),MATCH('Respuestas de formulario 1.1'!DH$1,#REF!,0))</f>
        <v>#REF!</v>
      </c>
      <c r="DI40" s="48" t="e">
        <f>VLOOKUP(CONCATENATE($DF40," TUTO ",$DC40),#REF!,3,0)</f>
        <v>#REF!</v>
      </c>
      <c r="DJ40" s="48" t="e">
        <f t="array" ref="DJ40">IF('Respuestas de formulario 1.1'!A40="","",INDEX(#REF!,MATCH('Respuestas de formulario 1.1'!B40,#REF!,0),MATCH('Respuestas de formulario 1.1'!$DH$1,#REF!,0)))</f>
        <v>#REF!</v>
      </c>
      <c r="DK40" s="52" t="str">
        <f>CONCATENATE("http://doc.google.com/uc?id=",MID('Respuestas de formulario 1.1'!G40,34,33))</f>
        <v>http://doc.google.com/uc?id=1MT0qy6YqCt5tJW-E0IwXl6IHJP2Tk6o3</v>
      </c>
      <c r="DL40" s="49" t="str">
        <f>CONCATENATE("http://doc.google.com/uc?id=",MID('Respuestas de formulario 1.1'!AH40,34,33))</f>
        <v>http://doc.google.com/uc?id=1QZVMftNaUzkucjzE6jItXSCGpuOmuqor</v>
      </c>
      <c r="DM40" s="50" t="str">
        <f>CONCATENATE("http://doc.google.com/uc?id=",MID('Respuestas de formulario 1.1'!AW40,34,33))</f>
        <v>http://doc.google.com/uc?id=1MBVhgKeiZvn8cOICz_OL33ggs1cD51qw</v>
      </c>
      <c r="DN40" s="53" t="str">
        <f>CONCATENATE("http://doc.google.com/uc?id=",MID('Respuestas de formulario 1.1'!$BI40,34,33))</f>
        <v>http://doc.google.com/uc?id=125vVm1qDChlGqlmrfno2FjFv7brJZP7x</v>
      </c>
      <c r="DO40" s="45" t="str">
        <f>IFERROR(VLOOKUP(CONCATENATE('Respuestas de formulario 1.1'!$B40,MID('Respuestas de formulario 1.1'!DO$1,2,1)),#REF!,12,0),"")</f>
        <v/>
      </c>
      <c r="DP40" s="45" t="str">
        <f>IFERROR(VLOOKUP(CONCATENATE('Respuestas de formulario 1.1'!$B40,MID('Respuestas de formulario 1.1'!DP$1,2,1)),#REF!,12,0),"")</f>
        <v/>
      </c>
      <c r="DQ40" s="45" t="str">
        <f>IFERROR(VLOOKUP(CONCATENATE('Respuestas de formulario 1.1'!$B40,MID('Respuestas de formulario 1.1'!DQ$1,2,1)),#REF!,12,0),"")</f>
        <v/>
      </c>
      <c r="DR40" s="45" t="str">
        <f>IFERROR(VLOOKUP(CONCATENATE('Respuestas de formulario 1.1'!$B40,MID('Respuestas de formulario 1.1'!DR$1,2,1)),#REF!,12,0),"")</f>
        <v/>
      </c>
      <c r="DS40" s="45" t="str">
        <f>IFERROR(VLOOKUP(CONCATENATE('Respuestas de formulario 1.1'!$B40,MID('Respuestas de formulario 1.1'!DS$1,2,1)),#REF!,12,0),"")</f>
        <v/>
      </c>
      <c r="DT40" s="45" t="str">
        <f>IFERROR(VLOOKUP(CONCATENATE('Respuestas de formulario 1.1'!$B40,MID('Respuestas de formulario 1.1'!DT$1,2,1)),#REF!,12,0),"")</f>
        <v/>
      </c>
      <c r="DU40" s="45" t="str">
        <f>IFERROR(VLOOKUP(CONCATENATE('Respuestas de formulario 1.1'!$B40,MID('Respuestas de formulario 1.1'!DU$1,2,1)),#REF!,12,0),"")</f>
        <v/>
      </c>
      <c r="DV40" s="45" t="str">
        <f>IFERROR(VLOOKUP(CONCATENATE('Respuestas de formulario 1.1'!$B40,MID('Respuestas de formulario 1.1'!DV$1,2,1)),#REF!,12,0),"")</f>
        <v/>
      </c>
      <c r="DW40" s="45" t="str">
        <f>IFERROR(VLOOKUP(CONCATENATE('Respuestas de formulario 1.1'!$B40,MID('Respuestas de formulario 1.1'!DW$1,2,1)),#REF!,12,0),"")</f>
        <v/>
      </c>
      <c r="DX40" s="45" t="str">
        <f>IFERROR(VLOOKUP(CONCATENATE('Respuestas de formulario 1.1'!$B40,MID('Respuestas de formulario 1.1'!DX$1,2,1)),#REF!,12,0),"")</f>
        <v/>
      </c>
      <c r="DY40" s="45" t="str">
        <f>IFERROR(VLOOKUP(CONCATENATE('Respuestas de formulario 1.1'!$B40,MID('Respuestas de formulario 1.1'!DY$1,2,1)),#REF!,12,0),"")</f>
        <v/>
      </c>
      <c r="DZ40" s="45" t="str">
        <f>IFERROR(VLOOKUP(CONCATENATE('Respuestas de formulario 1.1'!$B40,MID('Respuestas de formulario 1.1'!DZ$1,2,1)),#REF!,12,0),"")</f>
        <v/>
      </c>
      <c r="EA40" s="45" t="str">
        <f>IFERROR(VLOOKUP(CONCATENATE('Respuestas de formulario 1.1'!$B40,MID('Respuestas de formulario 1.1'!EA$1,2,1)),#REF!,12,0),"")</f>
        <v/>
      </c>
      <c r="EB40" s="45" t="str">
        <f>IFERROR(VLOOKUP(CONCATENATE('Respuestas de formulario 1.1'!$B40,MID('Respuestas de formulario 1.1'!EB$1,2,1)),#REF!,12,0),"")</f>
        <v/>
      </c>
      <c r="EC40" s="45" t="str">
        <f>IFERROR(VLOOKUP(CONCATENATE('Respuestas de formulario 1.1'!$B40,MID('Respuestas de formulario 1.1'!EC$1,2,1)),#REF!,12,0),"")</f>
        <v/>
      </c>
      <c r="ED40" s="45" t="str">
        <f>IFERROR(VLOOKUP(CONCATENATE('Respuestas de formulario 1.1'!$B40,MID('Respuestas de formulario 1.1'!ED$1,2,1)),#REF!,12,0),"")</f>
        <v/>
      </c>
      <c r="EE40" s="45" t="str">
        <f>IFERROR(VLOOKUP(CONCATENATE('Respuestas de formulario 1.1'!$B40,MID('Respuestas de formulario 1.1'!EE$1,2,1)),#REF!,12,0),"")</f>
        <v/>
      </c>
      <c r="EF40" s="45" t="str">
        <f>IFERROR(VLOOKUP(CONCATENATE('Respuestas de formulario 1.1'!$B40,MID('Respuestas de formulario 1.1'!EF$1,2,1)),#REF!,12,0),"")</f>
        <v/>
      </c>
      <c r="EG40" s="45" t="str">
        <f>IFERROR(VLOOKUP(CONCATENATE('Respuestas de formulario 1.1'!$B40,MID('Respuestas de formulario 1.1'!EG$1,2,1)),#REF!,12,0),"")</f>
        <v/>
      </c>
      <c r="EH40" s="45" t="str">
        <f>IFERROR(VLOOKUP(CONCATENATE('Respuestas de formulario 1.1'!$B40,MID('Respuestas de formulario 1.1'!EH$1,2,1)),#REF!,12,0),"")</f>
        <v/>
      </c>
      <c r="EI40" s="45" t="str">
        <f>IFERROR(VLOOKUP(CONCATENATE('Respuestas de formulario 1.1'!$B40,MID('Respuestas de formulario 1.1'!EI$1,2,1)),#REF!,12,0),"")</f>
        <v/>
      </c>
      <c r="EJ40" s="45" t="str">
        <f t="array" ref="EJ40">IF(DO40="","", INDEX(#REF!,MATCH(CONCATENATE('Respuestas de formulario 1.1'!$B40,DO40),#REF!,0),MATCH('Respuestas de formulario 1.1'!EJ$1,#REF!,0)))</f>
        <v/>
      </c>
      <c r="EK40" s="56" t="str">
        <f t="array" ref="EK40">IF(DP40="","", INDEX(#REF!,MATCH(CONCATENATE('Respuestas de formulario 1.1'!$B40,DP40),#REF!,0),MATCH('Respuestas de formulario 1.1'!EK$1,#REF!,0)))</f>
        <v/>
      </c>
      <c r="EL40" s="56" t="str">
        <f t="array" ref="EL40">IF(DQ40="","", INDEX(#REF!,MATCH(CONCATENATE('Respuestas de formulario 1.1'!$B40,DQ40),#REF!,0),MATCH('Respuestas de formulario 1.1'!EL$1,#REF!,0)))</f>
        <v/>
      </c>
      <c r="EM40" s="56" t="str">
        <f t="array" ref="EM40">IF(DR40="","", INDEX(#REF!,MATCH(CONCATENATE('Respuestas de formulario 1.1'!$B40,DR40),#REF!,0),MATCH('Respuestas de formulario 1.1'!EM$1,#REF!,0)))</f>
        <v/>
      </c>
      <c r="EN40" s="56" t="str">
        <f t="array" ref="EN40">IF(DS40="","", INDEX(#REF!,MATCH(CONCATENATE('Respuestas de formulario 1.1'!$B40,DS40),#REF!,0),MATCH('Respuestas de formulario 1.1'!EN$1,#REF!,0)))</f>
        <v/>
      </c>
      <c r="EO40" s="56" t="str">
        <f t="array" ref="EO40">IF(DT40="","", INDEX(#REF!,MATCH(CONCATENATE('Respuestas de formulario 1.1'!$B40,DT40),#REF!,0),MATCH('Respuestas de formulario 1.1'!EO$1,#REF!,0)))</f>
        <v/>
      </c>
      <c r="EP40" s="45" t="str">
        <f t="array" ref="EP40">IF(DU40="","", INDEX(#REF!,MATCH(CONCATENATE('Respuestas de formulario 1.1'!$B40,DU40),#REF!,0),MATCH('Respuestas de formulario 1.1'!EP$1,#REF!,0)))</f>
        <v/>
      </c>
      <c r="EQ40" s="45" t="str">
        <f t="array" ref="EQ40">IF(DP40="","", INDEX(#REF!,MATCH(CONCATENATE('Respuestas de formulario 1.1'!$B40,DP40),#REF!,0),MATCH('Respuestas de formulario 1.1'!EQ$1,#REF!,0)))</f>
        <v/>
      </c>
      <c r="ER40" s="56" t="str">
        <f t="array" ref="ER40">IF(DQ40="","", INDEX(#REF!,MATCH(CONCATENATE('Respuestas de formulario 1.1'!$B40,DQ40),#REF!,0),MATCH('Respuestas de formulario 1.1'!ER$1,#REF!,0)))</f>
        <v/>
      </c>
      <c r="ES40" s="56" t="str">
        <f t="array" ref="ES40">IF(DR40="","", INDEX(#REF!,MATCH(CONCATENATE('Respuestas de formulario 1.1'!$B40,DR40),#REF!,0),MATCH('Respuestas de formulario 1.1'!ES$1,#REF!,0)))</f>
        <v/>
      </c>
      <c r="ET40" s="56" t="str">
        <f t="array" ref="ET40">IF(DS40="","", INDEX(#REF!,MATCH(CONCATENATE('Respuestas de formulario 1.1'!$B40,DS40),#REF!,0),MATCH('Respuestas de formulario 1.1'!ET$1,#REF!,0)))</f>
        <v/>
      </c>
      <c r="EU40" s="56" t="str">
        <f t="array" ref="EU40">IF(DT40="","", INDEX(#REF!,MATCH(CONCATENATE('Respuestas de formulario 1.1'!$B40,DT40),#REF!,0),MATCH('Respuestas de formulario 1.1'!EU$1,#REF!,0)))</f>
        <v/>
      </c>
      <c r="EV40" s="56" t="str">
        <f t="array" ref="EV40">IF(DU40="","", INDEX(#REF!,MATCH(CONCATENATE('Respuestas de formulario 1.1'!$B40,DU40),#REF!,0),MATCH('Respuestas de formulario 1.1'!EV$1,#REF!,0)))</f>
        <v/>
      </c>
      <c r="EW40" s="45" t="str">
        <f t="array" ref="EW40">IF(DV40="","", INDEX(#REF!,MATCH(CONCATENATE('Respuestas de formulario 1.1'!$B40,DV40),#REF!,0),MATCH('Respuestas de formulario 1.1'!EW$1,#REF!,0)))</f>
        <v/>
      </c>
      <c r="EX40" s="45" t="str">
        <f t="array" ref="EX40">IF($DQ40="","", INDEX(#REF!,MATCH(CONCATENATE('Respuestas de formulario 1.1'!$B40,$DQ40),#REF!,0),MATCH('Respuestas de formulario 1.1'!EX$1,#REF!,0)))</f>
        <v/>
      </c>
      <c r="EY40" s="56" t="str">
        <f t="array" ref="EY40">IF($DQ40="","", INDEX(#REF!,MATCH(CONCATENATE('Respuestas de formulario 1.1'!$B40,$DQ40),#REF!,0),MATCH('Respuestas de formulario 1.1'!EY$1,#REF!,0)))</f>
        <v/>
      </c>
      <c r="EZ40" s="56" t="str">
        <f t="array" ref="EZ40">IF($DQ40="","", INDEX(#REF!,MATCH(CONCATENATE('Respuestas de formulario 1.1'!$B40,$DQ40),#REF!,0),MATCH('Respuestas de formulario 1.1'!EZ$1,#REF!,0)))</f>
        <v/>
      </c>
      <c r="FA40" s="56" t="str">
        <f t="array" ref="FA40">IF($DQ40="","", INDEX(#REF!,MATCH(CONCATENATE('Respuestas de formulario 1.1'!$B40,$DQ40),#REF!,0),MATCH('Respuestas de formulario 1.1'!FA$1,#REF!,0)))</f>
        <v/>
      </c>
      <c r="FB40" s="56" t="str">
        <f t="array" ref="FB40">IF($DQ40="","", INDEX(#REF!,MATCH(CONCATENATE('Respuestas de formulario 1.1'!$B40,$DQ40),#REF!,0),MATCH('Respuestas de formulario 1.1'!FB$1,#REF!,0)))</f>
        <v/>
      </c>
      <c r="FC40" s="56" t="str">
        <f t="array" ref="FC40">IF($DQ40="","", INDEX(#REF!,MATCH(CONCATENATE('Respuestas de formulario 1.1'!$B40,$DQ40),#REF!,0),MATCH('Respuestas de formulario 1.1'!FC$1,#REF!,0)))</f>
        <v/>
      </c>
      <c r="FD40" s="45" t="str">
        <f t="array" ref="FD40">IF($DQ40="","", INDEX(#REF!,MATCH(CONCATENATE('Respuestas de formulario 1.1'!$B40,$DQ40),#REF!,0),MATCH('Respuestas de formulario 1.1'!FD$1,#REF!,0)))</f>
        <v/>
      </c>
      <c r="FE40" s="45" t="str">
        <f t="array" ref="FE40">IF($DR40="","", INDEX(#REF!,MATCH(CONCATENATE(#REF!,$DR40),#REF!,0),MATCH(#REF!,#REF!,0)))</f>
        <v/>
      </c>
      <c r="FF40" s="56" t="str">
        <f t="array" ref="FF40">IF($DR40="","", INDEX(#REF!,MATCH(CONCATENATE(#REF!,$DR40),#REF!,0),MATCH(#REF!,#REF!,0)))</f>
        <v/>
      </c>
      <c r="FG40" s="56" t="str">
        <f t="array" ref="FG40">IF($DR40="","", INDEX(#REF!,MATCH(CONCATENATE(#REF!,$DR40),#REF!,0),MATCH(#REF!,#REF!,0)))</f>
        <v/>
      </c>
      <c r="FH40" s="56" t="str">
        <f t="array" ref="FH40">IF($DR40="","", INDEX(#REF!,MATCH(CONCATENATE(#REF!,$DR40),#REF!,0),MATCH(#REF!,#REF!,0)))</f>
        <v/>
      </c>
      <c r="FI40" s="56" t="str">
        <f t="array" ref="FI40">IF($DR40="","", INDEX(#REF!,MATCH(CONCATENATE(#REF!,$DR40),#REF!,0),MATCH(#REF!,#REF!,0)))</f>
        <v/>
      </c>
      <c r="FJ40" s="56" t="str">
        <f t="array" ref="FJ40">IF($DR40="","", INDEX(#REF!,MATCH(CONCATENATE(#REF!,$DR40),#REF!,0),MATCH(#REF!,#REF!,0)))</f>
        <v/>
      </c>
      <c r="FK40" s="45" t="str">
        <f t="array" ref="FK40">IF($DR40="","", INDEX(#REF!,MATCH(CONCATENATE(#REF!,$DR40),#REF!,0),MATCH(#REF!,#REF!,0)))</f>
        <v/>
      </c>
      <c r="FL40" s="45" t="str">
        <f t="array" ref="FL40">IF($DT40="","", INDEX(#REF!,MATCH(CONCATENATE('Respuestas de formulario 1.1'!$B40,$DS40),#REF!,0),MATCH('Respuestas de formulario 1.1'!FL$1,#REF!,0)))</f>
        <v/>
      </c>
      <c r="FM40" s="56" t="str">
        <f t="array" ref="FM40">IF($DT40="","", INDEX(#REF!,MATCH(CONCATENATE('Respuestas de formulario 1.1'!$B40,$DS40),#REF!,0),MATCH('Respuestas de formulario 1.1'!FM$1,#REF!,0)))</f>
        <v/>
      </c>
      <c r="FN40" s="56" t="str">
        <f t="array" ref="FN40">IF($DT40="","", INDEX(#REF!,MATCH(CONCATENATE('Respuestas de formulario 1.1'!$B40,$DS40),#REF!,0),MATCH('Respuestas de formulario 1.1'!FN$1,#REF!,0)))</f>
        <v/>
      </c>
      <c r="FO40" s="56" t="str">
        <f t="array" ref="FO40">IF($DT40="","", INDEX(#REF!,MATCH(CONCATENATE('Respuestas de formulario 1.1'!$B40,$DS40),#REF!,0),MATCH('Respuestas de formulario 1.1'!FO$1,#REF!,0)))</f>
        <v/>
      </c>
      <c r="FP40" s="56" t="str">
        <f t="array" ref="FP40">IF($DT40="","", INDEX(#REF!,MATCH(CONCATENATE('Respuestas de formulario 1.1'!$B40,$DS40),#REF!,0),MATCH('Respuestas de formulario 1.1'!FP$1,#REF!,0)))</f>
        <v/>
      </c>
      <c r="FQ40" s="56" t="str">
        <f t="array" ref="FQ40">IF($DT40="","", INDEX(#REF!,MATCH(CONCATENATE('Respuestas de formulario 1.1'!$B40,$DS40),#REF!,0),MATCH('Respuestas de formulario 1.1'!FQ$1,#REF!,0)))</f>
        <v/>
      </c>
      <c r="FR40" s="45" t="str">
        <f t="array" ref="FR40">IF($DT40="","", INDEX(#REF!,MATCH(CONCATENATE('Respuestas de formulario 1.1'!$B40,$DS40),#REF!,0),MATCH('Respuestas de formulario 1.1'!FR$1,#REF!,0)))</f>
        <v/>
      </c>
      <c r="FS40" s="45" t="str">
        <f t="array" ref="FS40">IF($DU40="","", INDEX(#REF!,MATCH(CONCATENATE('Respuestas de formulario 1.1'!$B40,$DT40),#REF!,0),MATCH('Respuestas de formulario 1.1'!FS$1,#REF!,0)))</f>
        <v/>
      </c>
      <c r="FT40" s="56" t="str">
        <f t="array" ref="FT40">IF($DU40="","", INDEX(#REF!,MATCH(CONCATENATE('Respuestas de formulario 1.1'!$B40,$DT40),#REF!,0),MATCH('Respuestas de formulario 1.1'!FT$1,#REF!,0)))</f>
        <v/>
      </c>
      <c r="FU40" s="56" t="str">
        <f t="array" ref="FU40">IF($DU40="","", INDEX(#REF!,MATCH(CONCATENATE('Respuestas de formulario 1.1'!$B40,$DT40),#REF!,0),MATCH('Respuestas de formulario 1.1'!FU$1,#REF!,0)))</f>
        <v/>
      </c>
      <c r="FV40" s="56" t="str">
        <f t="array" ref="FV40">IF($DU40="","", INDEX(#REF!,MATCH(CONCATENATE('Respuestas de formulario 1.1'!$B40,$DT40),#REF!,0),MATCH('Respuestas de formulario 1.1'!FV$1,#REF!,0)))</f>
        <v/>
      </c>
      <c r="FW40" s="56" t="str">
        <f t="array" ref="FW40">IF($DU40="","", INDEX(#REF!,MATCH(CONCATENATE('Respuestas de formulario 1.1'!$B40,$DT40),#REF!,0),MATCH('Respuestas de formulario 1.1'!FW$1,#REF!,0)))</f>
        <v/>
      </c>
      <c r="FX40" s="56" t="str">
        <f t="array" ref="FX40">IF($DU40="","", INDEX(#REF!,MATCH(CONCATENATE('Respuestas de formulario 1.1'!$B40,$DT40),#REF!,0),MATCH('Respuestas de formulario 1.1'!FX$1,#REF!,0)))</f>
        <v/>
      </c>
      <c r="FY40" s="45" t="str">
        <f t="array" ref="FY40">IF($DU40="","", INDEX(#REF!,MATCH(CONCATENATE('Respuestas de formulario 1.1'!$B40,$DT40),#REF!,0),MATCH('Respuestas de formulario 1.1'!FY$1,#REF!,0)))</f>
        <v/>
      </c>
      <c r="FZ40" s="3" t="s">
        <v>2860</v>
      </c>
      <c r="GA40" s="1" t="s">
        <v>3495</v>
      </c>
      <c r="GB40" s="5" t="s">
        <v>3496</v>
      </c>
      <c r="GC40" s="4" t="str">
        <f>HYPERLINK("https://drive.google.com/file/d/1WQzsisb9AdlRQ1Zu2C6dXlxugm6JubjD/view?usp=drivesdk","PEREZ  PAREDES  AILYN  Formato de reinscripción y pago 2022-2")</f>
        <v>PEREZ  PAREDES  AILYN  Formato de reinscripción y pago 2022-2</v>
      </c>
      <c r="GD40" s="1" t="s">
        <v>3497</v>
      </c>
      <c r="GE40" s="1"/>
      <c r="GF40" s="1"/>
      <c r="GG40" s="1"/>
      <c r="GH40" s="1"/>
      <c r="GI40" s="1" t="s">
        <v>3498</v>
      </c>
      <c r="GJ40" s="5" t="s">
        <v>3499</v>
      </c>
      <c r="GK40" s="5" t="str">
        <f>HYPERLINK("https://drive.google.com/file/d/1Y3lT3y9dbnIuAZQG5QjoPF6auBe_zgfv/view?usp=drivesdk","PEREZ  PAREDES  AILYN  Formato de reinscripción y pago 2022-2")</f>
        <v>PEREZ  PAREDES  AILYN  Formato de reinscripción y pago 2022-2</v>
      </c>
      <c r="GL40" s="1" t="s">
        <v>3500</v>
      </c>
    </row>
    <row r="41" spans="1:194" ht="38.25" x14ac:dyDescent="0.2">
      <c r="A41" s="2">
        <v>45139.063920104163</v>
      </c>
      <c r="B41" s="1" t="s">
        <v>19</v>
      </c>
      <c r="C41" s="1" t="s">
        <v>1640</v>
      </c>
      <c r="D41" s="1" t="s">
        <v>1867</v>
      </c>
      <c r="E41" s="1" t="s">
        <v>1868</v>
      </c>
      <c r="F41" s="1" t="s">
        <v>223</v>
      </c>
      <c r="G41" s="5" t="s">
        <v>3501</v>
      </c>
      <c r="H41" s="41">
        <v>38375</v>
      </c>
      <c r="I41" s="1">
        <v>18</v>
      </c>
      <c r="J41" s="1">
        <v>5573421028</v>
      </c>
      <c r="K41" s="1">
        <v>5573421028</v>
      </c>
      <c r="L41" s="1" t="s">
        <v>1869</v>
      </c>
      <c r="M41" s="1">
        <v>223090605700</v>
      </c>
      <c r="N41" s="1" t="s">
        <v>562</v>
      </c>
      <c r="O41" s="1" t="s">
        <v>225</v>
      </c>
      <c r="P41" s="1" t="s">
        <v>226</v>
      </c>
      <c r="Q41" s="1" t="s">
        <v>248</v>
      </c>
      <c r="R41" s="1" t="s">
        <v>236</v>
      </c>
      <c r="S41" s="1" t="s">
        <v>236</v>
      </c>
      <c r="T41" s="1" t="s">
        <v>229</v>
      </c>
      <c r="U41" s="1" t="s">
        <v>249</v>
      </c>
      <c r="V41" s="1" t="s">
        <v>228</v>
      </c>
      <c r="W41" s="1" t="s">
        <v>2469</v>
      </c>
      <c r="X41" s="1" t="s">
        <v>249</v>
      </c>
      <c r="Y41" s="1" t="s">
        <v>498</v>
      </c>
      <c r="Z41" s="1" t="s">
        <v>240</v>
      </c>
      <c r="AA41" s="44" t="s">
        <v>492</v>
      </c>
      <c r="AB41" s="1">
        <v>1850</v>
      </c>
      <c r="AC41" s="1">
        <v>163</v>
      </c>
      <c r="AD41" s="1" t="s">
        <v>1870</v>
      </c>
      <c r="AE41" s="1" t="s">
        <v>3502</v>
      </c>
      <c r="AF41" s="1" t="s">
        <v>445</v>
      </c>
      <c r="AG41" s="1">
        <v>43</v>
      </c>
      <c r="AH41" s="5" t="s">
        <v>3503</v>
      </c>
      <c r="AI41" s="1">
        <v>5587936649</v>
      </c>
      <c r="AJ41" s="1">
        <v>5587936649</v>
      </c>
      <c r="AK41" s="1" t="s">
        <v>1871</v>
      </c>
      <c r="AL41" s="1" t="s">
        <v>2603</v>
      </c>
      <c r="AM41" s="1" t="s">
        <v>3504</v>
      </c>
      <c r="AN41" s="1" t="s">
        <v>3505</v>
      </c>
      <c r="AO41" s="1" t="s">
        <v>270</v>
      </c>
      <c r="AP41" s="1">
        <v>18</v>
      </c>
      <c r="AQ41" s="1" t="s">
        <v>1784</v>
      </c>
      <c r="AR41" s="42">
        <v>0.33333333333575865</v>
      </c>
      <c r="AS41" s="42">
        <v>0.54166666666424135</v>
      </c>
      <c r="AT41" s="1">
        <v>5573421028</v>
      </c>
      <c r="AU41" s="1">
        <v>5573421028</v>
      </c>
      <c r="AV41" s="1" t="s">
        <v>1871</v>
      </c>
      <c r="AW41" s="5" t="s">
        <v>3506</v>
      </c>
      <c r="AX41" s="1" t="s">
        <v>1867</v>
      </c>
      <c r="AY41" s="1" t="s">
        <v>1872</v>
      </c>
      <c r="AZ41" s="1" t="s">
        <v>1873</v>
      </c>
      <c r="BA41" s="1" t="s">
        <v>445</v>
      </c>
      <c r="BB41" s="1">
        <v>43</v>
      </c>
      <c r="BC41" s="1" t="s">
        <v>1784</v>
      </c>
      <c r="BD41" s="43">
        <v>0.29166666666424135</v>
      </c>
      <c r="BE41" s="43">
        <v>0.70833333333575865</v>
      </c>
      <c r="BF41" s="1">
        <v>5587936649</v>
      </c>
      <c r="BG41" s="1">
        <v>5587936649</v>
      </c>
      <c r="BH41" s="1" t="s">
        <v>1871</v>
      </c>
      <c r="BI41" s="5" t="s">
        <v>3507</v>
      </c>
      <c r="BJ41" s="1" t="s">
        <v>236</v>
      </c>
      <c r="BK41" s="1" t="s">
        <v>549</v>
      </c>
      <c r="BL41" s="1">
        <v>1.5</v>
      </c>
      <c r="BM41" s="1">
        <v>60</v>
      </c>
      <c r="BN41" s="1" t="s">
        <v>236</v>
      </c>
      <c r="BO41" s="1" t="s">
        <v>228</v>
      </c>
      <c r="BP41" s="1" t="s">
        <v>270</v>
      </c>
      <c r="BQ41" s="1" t="s">
        <v>228</v>
      </c>
      <c r="BR41" s="1" t="s">
        <v>237</v>
      </c>
      <c r="BS41" s="1" t="s">
        <v>236</v>
      </c>
      <c r="BT41" s="1" t="s">
        <v>457</v>
      </c>
      <c r="BU41" s="1" t="s">
        <v>228</v>
      </c>
      <c r="BW41" s="1" t="s">
        <v>238</v>
      </c>
      <c r="BX41" s="1">
        <v>30</v>
      </c>
      <c r="BY41" s="1">
        <v>80</v>
      </c>
      <c r="BZ41" s="1" t="s">
        <v>3508</v>
      </c>
      <c r="CA41" s="1" t="s">
        <v>343</v>
      </c>
      <c r="CB41" s="1" t="s">
        <v>231</v>
      </c>
      <c r="CC41" s="1" t="s">
        <v>274</v>
      </c>
      <c r="CD41" s="1">
        <v>2500</v>
      </c>
      <c r="CE41" s="1">
        <v>3000</v>
      </c>
      <c r="CF41" s="1" t="s">
        <v>228</v>
      </c>
      <c r="CG41" s="1" t="s">
        <v>450</v>
      </c>
      <c r="CH41" s="1" t="s">
        <v>243</v>
      </c>
      <c r="CI41" s="1" t="s">
        <v>243</v>
      </c>
      <c r="CJ41" s="1" t="s">
        <v>2848</v>
      </c>
      <c r="CL41" s="5" t="s">
        <v>3509</v>
      </c>
      <c r="CM41" s="44" t="s">
        <v>1874</v>
      </c>
      <c r="CN41" s="1" t="s">
        <v>228</v>
      </c>
      <c r="CQ41" s="42">
        <v>0.29166666666424135</v>
      </c>
      <c r="CR41" s="42">
        <v>0.70833333333575865</v>
      </c>
      <c r="CT41" s="45" t="str">
        <f t="array" ref="CT41">IFERROR(INDEX(#REF!,MATCH('Respuestas de formulario 1.1'!$B41,#REF!,0),MATCH('Respuestas de formulario 1.1'!CT$1,#REF!,0)),"")</f>
        <v/>
      </c>
      <c r="CU41" s="56" t="str">
        <f t="array" ref="CU41">IFERROR(INDEX(#REF!,MATCH('Respuestas de formulario 1.1'!$B41,#REF!,0),MATCH('Respuestas de formulario 1.1'!CU$1,#REF!,0)),"")</f>
        <v/>
      </c>
      <c r="CV41" s="56" t="str">
        <f t="array" ref="CV41">IFERROR(INDEX(#REF!,MATCH('Respuestas de formulario 1.1'!$B41,#REF!,0),MATCH('Respuestas de formulario 1.1'!CV$1,#REF!,0)),"")</f>
        <v/>
      </c>
      <c r="CW41" s="56" t="str">
        <f t="array" ref="CW41">IFERROR(INDEX(#REF!,MATCH('Respuestas de formulario 1.1'!$B41,#REF!,0),MATCH('Respuestas de formulario 1.1'!CW$1,#REF!,0)),"")</f>
        <v/>
      </c>
      <c r="CX41" s="56" t="str">
        <f t="array" ref="CX41">IFERROR(INDEX(#REF!,MATCH('Respuestas de formulario 1.1'!$B41,#REF!,0),MATCH('Respuestas de formulario 1.1'!CX$1,#REF!,0)),"")</f>
        <v/>
      </c>
      <c r="CY41" s="56" t="str">
        <f t="array" ref="CY41">IFERROR(INDEX(#REF!,MATCH('Respuestas de formulario 1.1'!$B41,#REF!,0),MATCH('Respuestas de formulario 1.1'!CY$1,#REF!,0)),"")</f>
        <v/>
      </c>
      <c r="CZ41" s="57" t="str">
        <f t="array" ref="CZ41">IFERROR(INDEX(#REF!,MATCH('Respuestas de formulario 1.1'!$B41,#REF!,0),MATCH('Respuestas de formulario 1.1'!CZ$1,#REF!,0)),"")</f>
        <v/>
      </c>
      <c r="DA41" s="45" t="e">
        <f t="array" ref="DA41">INDEX(#REF!,MATCH('Respuestas de formulario 1.1'!$B41,#REF!,0),MATCH('Respuestas de formulario 1.1'!DA$1,#REF!,0))</f>
        <v>#REF!</v>
      </c>
      <c r="DB41" s="45" t="e">
        <f t="array" ref="DB41">INDEX(#REF!,MATCH('Respuestas de formulario 1.1'!$B41,#REF!,0),MATCH('Respuestas de formulario 1.1'!DB$1,#REF!,0))</f>
        <v>#REF!</v>
      </c>
      <c r="DC41" s="45" t="e">
        <f t="array" ref="DC41">INDEX(#REF!,MATCH('Respuestas de formulario 1.1'!$B41,#REF!,0),MATCH('Respuestas de formulario 1.1'!DC$1,#REF!,0))</f>
        <v>#REF!</v>
      </c>
      <c r="DD41" s="45" t="e">
        <f t="array" ref="DD41">INDEX(#REF!,MATCH('Respuestas de formulario 1.1'!$B41,#REF!,0),MATCH('Respuestas de formulario 1.1'!DD$1,#REF!,0))</f>
        <v>#REF!</v>
      </c>
      <c r="DE41" s="45" t="e">
        <f t="array" ref="DE41">INDEX(#REF!,MATCH('Respuestas de formulario 1.1'!$B41,#REF!,0),MATCH('Respuestas de formulario 1.1'!DE$1,#REF!,0))</f>
        <v>#REF!</v>
      </c>
      <c r="DF41" s="45" t="e">
        <f t="array" ref="DF41">INDEX(#REF!,MATCH('Respuestas de formulario 1.1'!$B41,#REF!,0),MATCH('Respuestas de formulario 1.1'!DF$1,#REF!,0))</f>
        <v>#REF!</v>
      </c>
      <c r="DG41" s="45" t="e">
        <f t="array" ref="DG41">INDEX(#REF!,MATCH('Respuestas de formulario 1.1'!$B41,#REF!,0),MATCH('Respuestas de formulario 1.1'!DG$1,#REF!,0))</f>
        <v>#REF!</v>
      </c>
      <c r="DH41" s="45" t="e">
        <f t="array" ref="DH41">INDEX(#REF!,MATCH('Respuestas de formulario 1.1'!$B41,#REF!,0),MATCH('Respuestas de formulario 1.1'!DH$1,#REF!,0))</f>
        <v>#REF!</v>
      </c>
      <c r="DI41" s="48" t="e">
        <f>VLOOKUP(CONCATENATE($DF41," TUTO ",$DC41),#REF!,3,0)</f>
        <v>#REF!</v>
      </c>
      <c r="DJ41" s="48" t="e">
        <f t="array" ref="DJ41">IF('Respuestas de formulario 1.1'!A41="","",INDEX(#REF!,MATCH('Respuestas de formulario 1.1'!B41,#REF!,0),MATCH('Respuestas de formulario 1.1'!$DH$1,#REF!,0)))</f>
        <v>#REF!</v>
      </c>
      <c r="DK41" s="52" t="str">
        <f>CONCATENATE("http://doc.google.com/uc?id=",MID('Respuestas de formulario 1.1'!G41,34,33))</f>
        <v>http://doc.google.com/uc?id=1PKXXvUsBHMjtL6fHKTKMJK2rVyNfPGwP</v>
      </c>
      <c r="DL41" s="49" t="str">
        <f>CONCATENATE("http://doc.google.com/uc?id=",MID('Respuestas de formulario 1.1'!AH41,34,33))</f>
        <v>http://doc.google.com/uc?id=14nN6XqkP1saMz_qGWQjj2HiDlhKmCP5x</v>
      </c>
      <c r="DM41" s="50" t="str">
        <f>CONCATENATE("http://doc.google.com/uc?id=",MID('Respuestas de formulario 1.1'!AW41,34,33))</f>
        <v>http://doc.google.com/uc?id=1uB80FKQJ3DHh9ytooSNcIJ9FrNof7F45</v>
      </c>
      <c r="DN41" s="53" t="str">
        <f>CONCATENATE("http://doc.google.com/uc?id=",MID('Respuestas de formulario 1.1'!$BI41,34,33))</f>
        <v>http://doc.google.com/uc?id=1WHJEayk3AX0CNoXJovPjXvcJu_HQRC-c</v>
      </c>
      <c r="DO41" s="45" t="str">
        <f>IFERROR(VLOOKUP(CONCATENATE('Respuestas de formulario 1.1'!$B41,MID('Respuestas de formulario 1.1'!DO$1,2,1)),#REF!,12,0),"")</f>
        <v/>
      </c>
      <c r="DP41" s="45" t="str">
        <f>IFERROR(VLOOKUP(CONCATENATE('Respuestas de formulario 1.1'!$B41,MID('Respuestas de formulario 1.1'!DP$1,2,1)),#REF!,12,0),"")</f>
        <v/>
      </c>
      <c r="DQ41" s="45" t="str">
        <f>IFERROR(VLOOKUP(CONCATENATE('Respuestas de formulario 1.1'!$B41,MID('Respuestas de formulario 1.1'!DQ$1,2,1)),#REF!,12,0),"")</f>
        <v/>
      </c>
      <c r="DR41" s="45" t="str">
        <f>IFERROR(VLOOKUP(CONCATENATE('Respuestas de formulario 1.1'!$B41,MID('Respuestas de formulario 1.1'!DR$1,2,1)),#REF!,12,0),"")</f>
        <v/>
      </c>
      <c r="DS41" s="45" t="str">
        <f>IFERROR(VLOOKUP(CONCATENATE('Respuestas de formulario 1.1'!$B41,MID('Respuestas de formulario 1.1'!DS$1,2,1)),#REF!,12,0),"")</f>
        <v/>
      </c>
      <c r="DT41" s="45" t="str">
        <f>IFERROR(VLOOKUP(CONCATENATE('Respuestas de formulario 1.1'!$B41,MID('Respuestas de formulario 1.1'!DT$1,2,1)),#REF!,12,0),"")</f>
        <v/>
      </c>
      <c r="DU41" s="45" t="str">
        <f>IFERROR(VLOOKUP(CONCATENATE('Respuestas de formulario 1.1'!$B41,MID('Respuestas de formulario 1.1'!DU$1,2,1)),#REF!,12,0),"")</f>
        <v/>
      </c>
      <c r="DV41" s="45" t="str">
        <f>IFERROR(VLOOKUP(CONCATENATE('Respuestas de formulario 1.1'!$B41,MID('Respuestas de formulario 1.1'!DV$1,2,1)),#REF!,12,0),"")</f>
        <v/>
      </c>
      <c r="DW41" s="45" t="str">
        <f>IFERROR(VLOOKUP(CONCATENATE('Respuestas de formulario 1.1'!$B41,MID('Respuestas de formulario 1.1'!DW$1,2,1)),#REF!,12,0),"")</f>
        <v/>
      </c>
      <c r="DX41" s="45" t="str">
        <f>IFERROR(VLOOKUP(CONCATENATE('Respuestas de formulario 1.1'!$B41,MID('Respuestas de formulario 1.1'!DX$1,2,1)),#REF!,12,0),"")</f>
        <v/>
      </c>
      <c r="DY41" s="45" t="str">
        <f>IFERROR(VLOOKUP(CONCATENATE('Respuestas de formulario 1.1'!$B41,MID('Respuestas de formulario 1.1'!DY$1,2,1)),#REF!,12,0),"")</f>
        <v/>
      </c>
      <c r="DZ41" s="45" t="str">
        <f>IFERROR(VLOOKUP(CONCATENATE('Respuestas de formulario 1.1'!$B41,MID('Respuestas de formulario 1.1'!DZ$1,2,1)),#REF!,12,0),"")</f>
        <v/>
      </c>
      <c r="EA41" s="45" t="str">
        <f>IFERROR(VLOOKUP(CONCATENATE('Respuestas de formulario 1.1'!$B41,MID('Respuestas de formulario 1.1'!EA$1,2,1)),#REF!,12,0),"")</f>
        <v/>
      </c>
      <c r="EB41" s="45" t="str">
        <f>IFERROR(VLOOKUP(CONCATENATE('Respuestas de formulario 1.1'!$B41,MID('Respuestas de formulario 1.1'!EB$1,2,1)),#REF!,12,0),"")</f>
        <v/>
      </c>
      <c r="EC41" s="45" t="str">
        <f>IFERROR(VLOOKUP(CONCATENATE('Respuestas de formulario 1.1'!$B41,MID('Respuestas de formulario 1.1'!EC$1,2,1)),#REF!,12,0),"")</f>
        <v/>
      </c>
      <c r="ED41" s="45" t="str">
        <f>IFERROR(VLOOKUP(CONCATENATE('Respuestas de formulario 1.1'!$B41,MID('Respuestas de formulario 1.1'!ED$1,2,1)),#REF!,12,0),"")</f>
        <v/>
      </c>
      <c r="EE41" s="45" t="str">
        <f>IFERROR(VLOOKUP(CONCATENATE('Respuestas de formulario 1.1'!$B41,MID('Respuestas de formulario 1.1'!EE$1,2,1)),#REF!,12,0),"")</f>
        <v/>
      </c>
      <c r="EF41" s="45" t="str">
        <f>IFERROR(VLOOKUP(CONCATENATE('Respuestas de formulario 1.1'!$B41,MID('Respuestas de formulario 1.1'!EF$1,2,1)),#REF!,12,0),"")</f>
        <v/>
      </c>
      <c r="EG41" s="45" t="str">
        <f>IFERROR(VLOOKUP(CONCATENATE('Respuestas de formulario 1.1'!$B41,MID('Respuestas de formulario 1.1'!EG$1,2,1)),#REF!,12,0),"")</f>
        <v/>
      </c>
      <c r="EH41" s="45" t="str">
        <f>IFERROR(VLOOKUP(CONCATENATE('Respuestas de formulario 1.1'!$B41,MID('Respuestas de formulario 1.1'!EH$1,2,1)),#REF!,12,0),"")</f>
        <v/>
      </c>
      <c r="EI41" s="45" t="str">
        <f>IFERROR(VLOOKUP(CONCATENATE('Respuestas de formulario 1.1'!$B41,MID('Respuestas de formulario 1.1'!EI$1,2,1)),#REF!,12,0),"")</f>
        <v/>
      </c>
      <c r="EJ41" s="45" t="str">
        <f t="array" ref="EJ41">IF(DO41="","", INDEX(#REF!,MATCH(CONCATENATE('Respuestas de formulario 1.1'!$B41,DO41),#REF!,0),MATCH('Respuestas de formulario 1.1'!EJ$1,#REF!,0)))</f>
        <v/>
      </c>
      <c r="EK41" s="56" t="str">
        <f t="array" ref="EK41">IF(DP41="","", INDEX(#REF!,MATCH(CONCATENATE('Respuestas de formulario 1.1'!$B41,DP41),#REF!,0),MATCH('Respuestas de formulario 1.1'!EK$1,#REF!,0)))</f>
        <v/>
      </c>
      <c r="EL41" s="56" t="str">
        <f t="array" ref="EL41">IF(DQ41="","", INDEX(#REF!,MATCH(CONCATENATE('Respuestas de formulario 1.1'!$B41,DQ41),#REF!,0),MATCH('Respuestas de formulario 1.1'!EL$1,#REF!,0)))</f>
        <v/>
      </c>
      <c r="EM41" s="56" t="str">
        <f t="array" ref="EM41">IF(DR41="","", INDEX(#REF!,MATCH(CONCATENATE('Respuestas de formulario 1.1'!$B41,DR41),#REF!,0),MATCH('Respuestas de formulario 1.1'!EM$1,#REF!,0)))</f>
        <v/>
      </c>
      <c r="EN41" s="56" t="str">
        <f t="array" ref="EN41">IF(DS41="","", INDEX(#REF!,MATCH(CONCATENATE('Respuestas de formulario 1.1'!$B41,DS41),#REF!,0),MATCH('Respuestas de formulario 1.1'!EN$1,#REF!,0)))</f>
        <v/>
      </c>
      <c r="EO41" s="56" t="str">
        <f t="array" ref="EO41">IF(DT41="","", INDEX(#REF!,MATCH(CONCATENATE('Respuestas de formulario 1.1'!$B41,DT41),#REF!,0),MATCH('Respuestas de formulario 1.1'!EO$1,#REF!,0)))</f>
        <v/>
      </c>
      <c r="EP41" s="45" t="str">
        <f t="array" ref="EP41">IF(DU41="","", INDEX(#REF!,MATCH(CONCATENATE('Respuestas de formulario 1.1'!$B41,DU41),#REF!,0),MATCH('Respuestas de formulario 1.1'!EP$1,#REF!,0)))</f>
        <v/>
      </c>
      <c r="EQ41" s="45" t="str">
        <f t="array" ref="EQ41">IF(DP41="","", INDEX(#REF!,MATCH(CONCATENATE('Respuestas de formulario 1.1'!$B41,DP41),#REF!,0),MATCH('Respuestas de formulario 1.1'!EQ$1,#REF!,0)))</f>
        <v/>
      </c>
      <c r="ER41" s="56" t="str">
        <f t="array" ref="ER41">IF(DQ41="","", INDEX(#REF!,MATCH(CONCATENATE('Respuestas de formulario 1.1'!$B41,DQ41),#REF!,0),MATCH('Respuestas de formulario 1.1'!ER$1,#REF!,0)))</f>
        <v/>
      </c>
      <c r="ES41" s="56" t="str">
        <f t="array" ref="ES41">IF(DR41="","", INDEX(#REF!,MATCH(CONCATENATE('Respuestas de formulario 1.1'!$B41,DR41),#REF!,0),MATCH('Respuestas de formulario 1.1'!ES$1,#REF!,0)))</f>
        <v/>
      </c>
      <c r="ET41" s="56" t="str">
        <f t="array" ref="ET41">IF(DS41="","", INDEX(#REF!,MATCH(CONCATENATE('Respuestas de formulario 1.1'!$B41,DS41),#REF!,0),MATCH('Respuestas de formulario 1.1'!ET$1,#REF!,0)))</f>
        <v/>
      </c>
      <c r="EU41" s="56" t="str">
        <f t="array" ref="EU41">IF(DT41="","", INDEX(#REF!,MATCH(CONCATENATE('Respuestas de formulario 1.1'!$B41,DT41),#REF!,0),MATCH('Respuestas de formulario 1.1'!EU$1,#REF!,0)))</f>
        <v/>
      </c>
      <c r="EV41" s="56" t="str">
        <f t="array" ref="EV41">IF(DU41="","", INDEX(#REF!,MATCH(CONCATENATE('Respuestas de formulario 1.1'!$B41,DU41),#REF!,0),MATCH('Respuestas de formulario 1.1'!EV$1,#REF!,0)))</f>
        <v/>
      </c>
      <c r="EW41" s="45" t="str">
        <f t="array" ref="EW41">IF(DV41="","", INDEX(#REF!,MATCH(CONCATENATE('Respuestas de formulario 1.1'!$B41,DV41),#REF!,0),MATCH('Respuestas de formulario 1.1'!EW$1,#REF!,0)))</f>
        <v/>
      </c>
      <c r="EX41" s="45" t="str">
        <f t="array" ref="EX41">IF($DQ41="","", INDEX(#REF!,MATCH(CONCATENATE('Respuestas de formulario 1.1'!$B41,$DQ41),#REF!,0),MATCH('Respuestas de formulario 1.1'!EX$1,#REF!,0)))</f>
        <v/>
      </c>
      <c r="EY41" s="56" t="str">
        <f t="array" ref="EY41">IF($DQ41="","", INDEX(#REF!,MATCH(CONCATENATE('Respuestas de formulario 1.1'!$B41,$DQ41),#REF!,0),MATCH('Respuestas de formulario 1.1'!EY$1,#REF!,0)))</f>
        <v/>
      </c>
      <c r="EZ41" s="56" t="str">
        <f t="array" ref="EZ41">IF($DQ41="","", INDEX(#REF!,MATCH(CONCATENATE('Respuestas de formulario 1.1'!$B41,$DQ41),#REF!,0),MATCH('Respuestas de formulario 1.1'!EZ$1,#REF!,0)))</f>
        <v/>
      </c>
      <c r="FA41" s="56" t="str">
        <f t="array" ref="FA41">IF($DQ41="","", INDEX(#REF!,MATCH(CONCATENATE('Respuestas de formulario 1.1'!$B41,$DQ41),#REF!,0),MATCH('Respuestas de formulario 1.1'!FA$1,#REF!,0)))</f>
        <v/>
      </c>
      <c r="FB41" s="56" t="str">
        <f t="array" ref="FB41">IF($DQ41="","", INDEX(#REF!,MATCH(CONCATENATE('Respuestas de formulario 1.1'!$B41,$DQ41),#REF!,0),MATCH('Respuestas de formulario 1.1'!FB$1,#REF!,0)))</f>
        <v/>
      </c>
      <c r="FC41" s="56" t="str">
        <f t="array" ref="FC41">IF($DQ41="","", INDEX(#REF!,MATCH(CONCATENATE('Respuestas de formulario 1.1'!$B41,$DQ41),#REF!,0),MATCH('Respuestas de formulario 1.1'!FC$1,#REF!,0)))</f>
        <v/>
      </c>
      <c r="FD41" s="45" t="str">
        <f t="array" ref="FD41">IF($DQ41="","", INDEX(#REF!,MATCH(CONCATENATE('Respuestas de formulario 1.1'!$B41,$DQ41),#REF!,0),MATCH('Respuestas de formulario 1.1'!FD$1,#REF!,0)))</f>
        <v/>
      </c>
      <c r="FE41" s="45" t="str">
        <f t="array" ref="FE41">IF($DR41="","", INDEX(#REF!,MATCH(CONCATENATE(#REF!,$DR41),#REF!,0),MATCH(#REF!,#REF!,0)))</f>
        <v/>
      </c>
      <c r="FF41" s="56" t="str">
        <f t="array" ref="FF41">IF($DR41="","", INDEX(#REF!,MATCH(CONCATENATE(#REF!,$DR41),#REF!,0),MATCH(#REF!,#REF!,0)))</f>
        <v/>
      </c>
      <c r="FG41" s="56" t="str">
        <f t="array" ref="FG41">IF($DR41="","", INDEX(#REF!,MATCH(CONCATENATE(#REF!,$DR41),#REF!,0),MATCH(#REF!,#REF!,0)))</f>
        <v/>
      </c>
      <c r="FH41" s="56" t="str">
        <f t="array" ref="FH41">IF($DR41="","", INDEX(#REF!,MATCH(CONCATENATE(#REF!,$DR41),#REF!,0),MATCH(#REF!,#REF!,0)))</f>
        <v/>
      </c>
      <c r="FI41" s="56" t="str">
        <f t="array" ref="FI41">IF($DR41="","", INDEX(#REF!,MATCH(CONCATENATE(#REF!,$DR41),#REF!,0),MATCH(#REF!,#REF!,0)))</f>
        <v/>
      </c>
      <c r="FJ41" s="56" t="str">
        <f t="array" ref="FJ41">IF($DR41="","", INDEX(#REF!,MATCH(CONCATENATE(#REF!,$DR41),#REF!,0),MATCH(#REF!,#REF!,0)))</f>
        <v/>
      </c>
      <c r="FK41" s="45" t="str">
        <f t="array" ref="FK41">IF($DR41="","", INDEX(#REF!,MATCH(CONCATENATE(#REF!,$DR41),#REF!,0),MATCH(#REF!,#REF!,0)))</f>
        <v/>
      </c>
      <c r="FL41" s="45" t="str">
        <f t="array" ref="FL41">IF($DT41="","", INDEX(#REF!,MATCH(CONCATENATE('Respuestas de formulario 1.1'!$B41,$DS41),#REF!,0),MATCH('Respuestas de formulario 1.1'!FL$1,#REF!,0)))</f>
        <v/>
      </c>
      <c r="FM41" s="56" t="str">
        <f t="array" ref="FM41">IF($DT41="","", INDEX(#REF!,MATCH(CONCATENATE('Respuestas de formulario 1.1'!$B41,$DS41),#REF!,0),MATCH('Respuestas de formulario 1.1'!FM$1,#REF!,0)))</f>
        <v/>
      </c>
      <c r="FN41" s="56" t="str">
        <f t="array" ref="FN41">IF($DT41="","", INDEX(#REF!,MATCH(CONCATENATE('Respuestas de formulario 1.1'!$B41,$DS41),#REF!,0),MATCH('Respuestas de formulario 1.1'!FN$1,#REF!,0)))</f>
        <v/>
      </c>
      <c r="FO41" s="56" t="str">
        <f t="array" ref="FO41">IF($DT41="","", INDEX(#REF!,MATCH(CONCATENATE('Respuestas de formulario 1.1'!$B41,$DS41),#REF!,0),MATCH('Respuestas de formulario 1.1'!FO$1,#REF!,0)))</f>
        <v/>
      </c>
      <c r="FP41" s="56" t="str">
        <f t="array" ref="FP41">IF($DT41="","", INDEX(#REF!,MATCH(CONCATENATE('Respuestas de formulario 1.1'!$B41,$DS41),#REF!,0),MATCH('Respuestas de formulario 1.1'!FP$1,#REF!,0)))</f>
        <v/>
      </c>
      <c r="FQ41" s="56" t="str">
        <f t="array" ref="FQ41">IF($DT41="","", INDEX(#REF!,MATCH(CONCATENATE('Respuestas de formulario 1.1'!$B41,$DS41),#REF!,0),MATCH('Respuestas de formulario 1.1'!FQ$1,#REF!,0)))</f>
        <v/>
      </c>
      <c r="FR41" s="45" t="str">
        <f t="array" ref="FR41">IF($DT41="","", INDEX(#REF!,MATCH(CONCATENATE('Respuestas de formulario 1.1'!$B41,$DS41),#REF!,0),MATCH('Respuestas de formulario 1.1'!FR$1,#REF!,0)))</f>
        <v/>
      </c>
      <c r="FS41" s="45" t="str">
        <f t="array" ref="FS41">IF($DU41="","", INDEX(#REF!,MATCH(CONCATENATE('Respuestas de formulario 1.1'!$B41,$DT41),#REF!,0),MATCH('Respuestas de formulario 1.1'!FS$1,#REF!,0)))</f>
        <v/>
      </c>
      <c r="FT41" s="56" t="str">
        <f t="array" ref="FT41">IF($DU41="","", INDEX(#REF!,MATCH(CONCATENATE('Respuestas de formulario 1.1'!$B41,$DT41),#REF!,0),MATCH('Respuestas de formulario 1.1'!FT$1,#REF!,0)))</f>
        <v/>
      </c>
      <c r="FU41" s="56" t="str">
        <f t="array" ref="FU41">IF($DU41="","", INDEX(#REF!,MATCH(CONCATENATE('Respuestas de formulario 1.1'!$B41,$DT41),#REF!,0),MATCH('Respuestas de formulario 1.1'!FU$1,#REF!,0)))</f>
        <v/>
      </c>
      <c r="FV41" s="56" t="str">
        <f t="array" ref="FV41">IF($DU41="","", INDEX(#REF!,MATCH(CONCATENATE('Respuestas de formulario 1.1'!$B41,$DT41),#REF!,0),MATCH('Respuestas de formulario 1.1'!FV$1,#REF!,0)))</f>
        <v/>
      </c>
      <c r="FW41" s="56" t="str">
        <f t="array" ref="FW41">IF($DU41="","", INDEX(#REF!,MATCH(CONCATENATE('Respuestas de formulario 1.1'!$B41,$DT41),#REF!,0),MATCH('Respuestas de formulario 1.1'!FW$1,#REF!,0)))</f>
        <v/>
      </c>
      <c r="FX41" s="56" t="str">
        <f t="array" ref="FX41">IF($DU41="","", INDEX(#REF!,MATCH(CONCATENATE('Respuestas de formulario 1.1'!$B41,$DT41),#REF!,0),MATCH('Respuestas de formulario 1.1'!FX$1,#REF!,0)))</f>
        <v/>
      </c>
      <c r="FY41" s="45" t="str">
        <f t="array" ref="FY41">IF($DU41="","", INDEX(#REF!,MATCH(CONCATENATE('Respuestas de formulario 1.1'!$B41,$DT41),#REF!,0),MATCH('Respuestas de formulario 1.1'!FY$1,#REF!,0)))</f>
        <v/>
      </c>
      <c r="FZ41" s="3" t="s">
        <v>2860</v>
      </c>
      <c r="GA41" s="1" t="s">
        <v>3510</v>
      </c>
      <c r="GB41" s="5" t="s">
        <v>3511</v>
      </c>
      <c r="GC41" s="4" t="str">
        <f>HYPERLINK("https://drive.google.com/file/d/1gRtLrSeu-Jr6QVJGcF1XBorp8znjnVh3/view?usp=drivesdk","ALCANTARA DE OLMOS ERIKA MONTSERRAT  Formato de reinscripción y pago 2022-2")</f>
        <v>ALCANTARA DE OLMOS ERIKA MONTSERRAT  Formato de reinscripción y pago 2022-2</v>
      </c>
      <c r="GD41" s="1" t="s">
        <v>3512</v>
      </c>
      <c r="GE41" s="1"/>
      <c r="GF41" s="1"/>
      <c r="GG41" s="1"/>
      <c r="GH41" s="1"/>
      <c r="GI41" s="1" t="s">
        <v>3513</v>
      </c>
      <c r="GJ41" s="5" t="s">
        <v>3514</v>
      </c>
      <c r="GK41" s="5" t="str">
        <f>HYPERLINK("https://drive.google.com/file/d/1wKcVqVDg-7rWJCSPLK6S0MgNJeNCVkw_/view?usp=drivesdk","ALCANTARA DE OLMOS ERIKA MONTSERRAT  Formato de reinscripción y pago 2022-2")</f>
        <v>ALCANTARA DE OLMOS ERIKA MONTSERRAT  Formato de reinscripción y pago 2022-2</v>
      </c>
      <c r="GL41" s="1" t="s">
        <v>3515</v>
      </c>
    </row>
    <row r="42" spans="1:194" ht="38.25" x14ac:dyDescent="0.2">
      <c r="A42" s="2">
        <v>45139.073128912038</v>
      </c>
      <c r="B42" s="1" t="s">
        <v>2046</v>
      </c>
      <c r="C42" s="1" t="s">
        <v>504</v>
      </c>
      <c r="D42" s="1" t="s">
        <v>440</v>
      </c>
      <c r="E42" s="1" t="s">
        <v>3516</v>
      </c>
      <c r="F42" s="1" t="s">
        <v>223</v>
      </c>
      <c r="G42" s="5" t="s">
        <v>3517</v>
      </c>
      <c r="H42" s="41">
        <v>39310</v>
      </c>
      <c r="I42" s="1">
        <v>15</v>
      </c>
      <c r="J42" s="1">
        <v>5617836539</v>
      </c>
      <c r="K42" s="1">
        <v>5577034777</v>
      </c>
      <c r="L42" s="1" t="s">
        <v>3518</v>
      </c>
      <c r="M42" s="1">
        <v>309060570454</v>
      </c>
      <c r="N42" s="1" t="s">
        <v>562</v>
      </c>
      <c r="O42" s="1" t="s">
        <v>247</v>
      </c>
      <c r="P42" s="1" t="s">
        <v>314</v>
      </c>
      <c r="Q42" s="1" t="s">
        <v>315</v>
      </c>
      <c r="R42" s="1" t="s">
        <v>236</v>
      </c>
      <c r="S42" s="1" t="s">
        <v>228</v>
      </c>
      <c r="T42" s="1" t="s">
        <v>229</v>
      </c>
      <c r="U42" s="1" t="s">
        <v>481</v>
      </c>
      <c r="V42" s="1" t="s">
        <v>228</v>
      </c>
      <c r="W42" s="1" t="s">
        <v>2048</v>
      </c>
      <c r="X42" s="1" t="s">
        <v>481</v>
      </c>
      <c r="Y42" s="1" t="s">
        <v>2665</v>
      </c>
      <c r="Z42" s="1" t="s">
        <v>240</v>
      </c>
      <c r="AA42" s="1">
        <v>13310</v>
      </c>
      <c r="AB42" s="1">
        <v>5615978683</v>
      </c>
      <c r="AC42" s="1">
        <v>5614522673</v>
      </c>
      <c r="AD42" s="1" t="s">
        <v>3519</v>
      </c>
      <c r="AE42" s="1" t="s">
        <v>3520</v>
      </c>
      <c r="AF42" s="1" t="s">
        <v>420</v>
      </c>
      <c r="AG42" s="1">
        <v>48</v>
      </c>
      <c r="AH42" s="5" t="s">
        <v>3521</v>
      </c>
      <c r="AI42" s="1">
        <v>5630392293</v>
      </c>
      <c r="AJ42" s="1">
        <v>5630392293</v>
      </c>
      <c r="AK42" s="1" t="s">
        <v>3522</v>
      </c>
      <c r="AL42" s="1" t="s">
        <v>440</v>
      </c>
      <c r="AM42" s="1" t="s">
        <v>1852</v>
      </c>
      <c r="AN42" s="1" t="s">
        <v>1419</v>
      </c>
      <c r="AO42" s="1" t="s">
        <v>461</v>
      </c>
      <c r="AP42" s="1">
        <v>46</v>
      </c>
      <c r="AQ42" s="1" t="s">
        <v>328</v>
      </c>
      <c r="AR42" s="42">
        <v>0.25</v>
      </c>
      <c r="AS42" s="42">
        <v>0.125</v>
      </c>
      <c r="AT42" s="1">
        <v>5577034777</v>
      </c>
      <c r="AU42" s="1">
        <v>5577034777</v>
      </c>
      <c r="AV42" s="1" t="s">
        <v>3523</v>
      </c>
      <c r="AW42" s="5" t="s">
        <v>3524</v>
      </c>
      <c r="AX42" s="1" t="s">
        <v>504</v>
      </c>
      <c r="AY42" s="1" t="s">
        <v>440</v>
      </c>
      <c r="AZ42" s="1" t="s">
        <v>2047</v>
      </c>
      <c r="BA42" s="1" t="s">
        <v>758</v>
      </c>
      <c r="BB42" s="1">
        <v>22</v>
      </c>
      <c r="BC42" s="1" t="s">
        <v>1575</v>
      </c>
      <c r="BD42" s="43">
        <v>0.25</v>
      </c>
      <c r="BE42" s="43">
        <v>0.25</v>
      </c>
      <c r="BF42" s="1">
        <v>5635353777</v>
      </c>
      <c r="BG42" s="1">
        <v>5635353777</v>
      </c>
      <c r="BH42" s="1" t="s">
        <v>3525</v>
      </c>
      <c r="BI42" s="5" t="s">
        <v>3526</v>
      </c>
      <c r="BJ42" s="1" t="s">
        <v>236</v>
      </c>
      <c r="BL42" s="1">
        <v>1.57</v>
      </c>
      <c r="BM42" s="1">
        <v>53</v>
      </c>
      <c r="BN42" s="1" t="s">
        <v>236</v>
      </c>
      <c r="BO42" s="1" t="s">
        <v>228</v>
      </c>
      <c r="BQ42" s="1" t="s">
        <v>228</v>
      </c>
      <c r="BR42" s="1" t="s">
        <v>237</v>
      </c>
      <c r="BS42" s="1" t="s">
        <v>228</v>
      </c>
      <c r="BT42" s="1" t="s">
        <v>237</v>
      </c>
      <c r="BU42" s="1" t="s">
        <v>228</v>
      </c>
      <c r="BW42" s="1" t="s">
        <v>238</v>
      </c>
      <c r="BX42" s="1">
        <v>2</v>
      </c>
      <c r="BY42" s="1">
        <v>250</v>
      </c>
      <c r="BZ42" s="1" t="s">
        <v>298</v>
      </c>
      <c r="CA42" s="1" t="s">
        <v>1169</v>
      </c>
      <c r="CB42" s="1" t="s">
        <v>240</v>
      </c>
      <c r="CC42" s="1" t="s">
        <v>1546</v>
      </c>
      <c r="CD42" s="1">
        <v>9000</v>
      </c>
      <c r="CE42" s="1">
        <v>5000</v>
      </c>
      <c r="CF42" s="1" t="s">
        <v>236</v>
      </c>
      <c r="CG42" s="1" t="s">
        <v>242</v>
      </c>
      <c r="CH42" s="1" t="s">
        <v>243</v>
      </c>
      <c r="CI42" s="1" t="s">
        <v>243</v>
      </c>
      <c r="CJ42" s="1" t="s">
        <v>2848</v>
      </c>
      <c r="CL42" s="5" t="s">
        <v>3527</v>
      </c>
      <c r="CM42" s="1">
        <v>11220747676</v>
      </c>
      <c r="CN42" s="1" t="s">
        <v>228</v>
      </c>
      <c r="CQ42" s="42">
        <v>0.16666666666424135</v>
      </c>
      <c r="CR42" s="42">
        <v>8.3333333335758653E-2</v>
      </c>
      <c r="CT42" s="45" t="str">
        <f t="array" ref="CT42">IFERROR(INDEX(#REF!,MATCH('Respuestas de formulario 1.1'!$B42,#REF!,0),MATCH('Respuestas de formulario 1.1'!CT$1,#REF!,0)),"")</f>
        <v/>
      </c>
      <c r="CU42" s="56" t="str">
        <f t="array" ref="CU42">IFERROR(INDEX(#REF!,MATCH('Respuestas de formulario 1.1'!$B42,#REF!,0),MATCH('Respuestas de formulario 1.1'!CU$1,#REF!,0)),"")</f>
        <v/>
      </c>
      <c r="CV42" s="56" t="str">
        <f t="array" ref="CV42">IFERROR(INDEX(#REF!,MATCH('Respuestas de formulario 1.1'!$B42,#REF!,0),MATCH('Respuestas de formulario 1.1'!CV$1,#REF!,0)),"")</f>
        <v/>
      </c>
      <c r="CW42" s="56" t="str">
        <f t="array" ref="CW42">IFERROR(INDEX(#REF!,MATCH('Respuestas de formulario 1.1'!$B42,#REF!,0),MATCH('Respuestas de formulario 1.1'!CW$1,#REF!,0)),"")</f>
        <v/>
      </c>
      <c r="CX42" s="56" t="str">
        <f t="array" ref="CX42">IFERROR(INDEX(#REF!,MATCH('Respuestas de formulario 1.1'!$B42,#REF!,0),MATCH('Respuestas de formulario 1.1'!CX$1,#REF!,0)),"")</f>
        <v/>
      </c>
      <c r="CY42" s="56" t="str">
        <f t="array" ref="CY42">IFERROR(INDEX(#REF!,MATCH('Respuestas de formulario 1.1'!$B42,#REF!,0),MATCH('Respuestas de formulario 1.1'!CY$1,#REF!,0)),"")</f>
        <v/>
      </c>
      <c r="CZ42" s="57" t="str">
        <f t="array" ref="CZ42">IFERROR(INDEX(#REF!,MATCH('Respuestas de formulario 1.1'!$B42,#REF!,0),MATCH('Respuestas de formulario 1.1'!CZ$1,#REF!,0)),"")</f>
        <v/>
      </c>
      <c r="DA42" s="45" t="e">
        <f t="array" ref="DA42">INDEX(#REF!,MATCH('Respuestas de formulario 1.1'!$B42,#REF!,0),MATCH('Respuestas de formulario 1.1'!DA$1,#REF!,0))</f>
        <v>#REF!</v>
      </c>
      <c r="DB42" s="45" t="e">
        <f t="array" ref="DB42">INDEX(#REF!,MATCH('Respuestas de formulario 1.1'!$B42,#REF!,0),MATCH('Respuestas de formulario 1.1'!DB$1,#REF!,0))</f>
        <v>#REF!</v>
      </c>
      <c r="DC42" s="45" t="e">
        <f t="array" ref="DC42">INDEX(#REF!,MATCH('Respuestas de formulario 1.1'!$B42,#REF!,0),MATCH('Respuestas de formulario 1.1'!DC$1,#REF!,0))</f>
        <v>#REF!</v>
      </c>
      <c r="DD42" s="45" t="e">
        <f t="array" ref="DD42">INDEX(#REF!,MATCH('Respuestas de formulario 1.1'!$B42,#REF!,0),MATCH('Respuestas de formulario 1.1'!DD$1,#REF!,0))</f>
        <v>#REF!</v>
      </c>
      <c r="DE42" s="45" t="e">
        <f t="array" ref="DE42">INDEX(#REF!,MATCH('Respuestas de formulario 1.1'!$B42,#REF!,0),MATCH('Respuestas de formulario 1.1'!DE$1,#REF!,0))</f>
        <v>#REF!</v>
      </c>
      <c r="DF42" s="45" t="e">
        <f t="array" ref="DF42">INDEX(#REF!,MATCH('Respuestas de formulario 1.1'!$B42,#REF!,0),MATCH('Respuestas de formulario 1.1'!DF$1,#REF!,0))</f>
        <v>#REF!</v>
      </c>
      <c r="DG42" s="45" t="e">
        <f t="array" ref="DG42">INDEX(#REF!,MATCH('Respuestas de formulario 1.1'!$B42,#REF!,0),MATCH('Respuestas de formulario 1.1'!DG$1,#REF!,0))</f>
        <v>#REF!</v>
      </c>
      <c r="DH42" s="45" t="e">
        <f t="array" ref="DH42">INDEX(#REF!,MATCH('Respuestas de formulario 1.1'!$B42,#REF!,0),MATCH('Respuestas de formulario 1.1'!DH$1,#REF!,0))</f>
        <v>#REF!</v>
      </c>
      <c r="DI42" s="48" t="e">
        <f>VLOOKUP(CONCATENATE($DF42," TUTO ",$DC42),#REF!,3,0)</f>
        <v>#REF!</v>
      </c>
      <c r="DJ42" s="48" t="e">
        <f t="array" ref="DJ42">IF('Respuestas de formulario 1.1'!A42="","",INDEX(#REF!,MATCH('Respuestas de formulario 1.1'!B42,#REF!,0),MATCH('Respuestas de formulario 1.1'!$DH$1,#REF!,0)))</f>
        <v>#REF!</v>
      </c>
      <c r="DK42" s="52" t="str">
        <f>CONCATENATE("http://doc.google.com/uc?id=",MID('Respuestas de formulario 1.1'!G42,34,33))</f>
        <v>http://doc.google.com/uc?id=1BFxIbHj4lM3Rtew_5DpVNt31IDBtWxSK</v>
      </c>
      <c r="DL42" s="49" t="str">
        <f>CONCATENATE("http://doc.google.com/uc?id=",MID('Respuestas de formulario 1.1'!AH42,34,33))</f>
        <v>http://doc.google.com/uc?id=1vVvDU7kt9hyfDAriIfgpnN47RiJ9sndo</v>
      </c>
      <c r="DM42" s="50" t="str">
        <f>CONCATENATE("http://doc.google.com/uc?id=",MID('Respuestas de formulario 1.1'!AW42,34,33))</f>
        <v>http://doc.google.com/uc?id=1Z5IjlDgYz5DFbvS_J5VkGJuriaN-yn76</v>
      </c>
      <c r="DN42" s="53" t="str">
        <f>CONCATENATE("http://doc.google.com/uc?id=",MID('Respuestas de formulario 1.1'!$BI42,34,33))</f>
        <v>http://doc.google.com/uc?id=1ZD2Cve6ernmtr4kHr1CCiAHhhnEejuIl</v>
      </c>
      <c r="DO42" s="45" t="str">
        <f>IFERROR(VLOOKUP(CONCATENATE('Respuestas de formulario 1.1'!$B42,MID('Respuestas de formulario 1.1'!DO$1,2,1)),#REF!,12,0),"")</f>
        <v/>
      </c>
      <c r="DP42" s="45" t="str">
        <f>IFERROR(VLOOKUP(CONCATENATE('Respuestas de formulario 1.1'!$B42,MID('Respuestas de formulario 1.1'!DP$1,2,1)),#REF!,12,0),"")</f>
        <v/>
      </c>
      <c r="DQ42" s="45" t="str">
        <f>IFERROR(VLOOKUP(CONCATENATE('Respuestas de formulario 1.1'!$B42,MID('Respuestas de formulario 1.1'!DQ$1,2,1)),#REF!,12,0),"")</f>
        <v/>
      </c>
      <c r="DR42" s="45" t="str">
        <f>IFERROR(VLOOKUP(CONCATENATE('Respuestas de formulario 1.1'!$B42,MID('Respuestas de formulario 1.1'!DR$1,2,1)),#REF!,12,0),"")</f>
        <v/>
      </c>
      <c r="DS42" s="45" t="str">
        <f>IFERROR(VLOOKUP(CONCATENATE('Respuestas de formulario 1.1'!$B42,MID('Respuestas de formulario 1.1'!DS$1,2,1)),#REF!,12,0),"")</f>
        <v/>
      </c>
      <c r="DT42" s="45" t="str">
        <f>IFERROR(VLOOKUP(CONCATENATE('Respuestas de formulario 1.1'!$B42,MID('Respuestas de formulario 1.1'!DT$1,2,1)),#REF!,12,0),"")</f>
        <v/>
      </c>
      <c r="DU42" s="45" t="str">
        <f>IFERROR(VLOOKUP(CONCATENATE('Respuestas de formulario 1.1'!$B42,MID('Respuestas de formulario 1.1'!DU$1,2,1)),#REF!,12,0),"")</f>
        <v/>
      </c>
      <c r="DV42" s="45" t="str">
        <f>IFERROR(VLOOKUP(CONCATENATE('Respuestas de formulario 1.1'!$B42,MID('Respuestas de formulario 1.1'!DV$1,2,1)),#REF!,12,0),"")</f>
        <v/>
      </c>
      <c r="DW42" s="45" t="str">
        <f>IFERROR(VLOOKUP(CONCATENATE('Respuestas de formulario 1.1'!$B42,MID('Respuestas de formulario 1.1'!DW$1,2,1)),#REF!,12,0),"")</f>
        <v/>
      </c>
      <c r="DX42" s="45" t="str">
        <f>IFERROR(VLOOKUP(CONCATENATE('Respuestas de formulario 1.1'!$B42,MID('Respuestas de formulario 1.1'!DX$1,2,1)),#REF!,12,0),"")</f>
        <v/>
      </c>
      <c r="DY42" s="45" t="str">
        <f>IFERROR(VLOOKUP(CONCATENATE('Respuestas de formulario 1.1'!$B42,MID('Respuestas de formulario 1.1'!DY$1,2,1)),#REF!,12,0),"")</f>
        <v/>
      </c>
      <c r="DZ42" s="45" t="str">
        <f>IFERROR(VLOOKUP(CONCATENATE('Respuestas de formulario 1.1'!$B42,MID('Respuestas de formulario 1.1'!DZ$1,2,1)),#REF!,12,0),"")</f>
        <v/>
      </c>
      <c r="EA42" s="45" t="str">
        <f>IFERROR(VLOOKUP(CONCATENATE('Respuestas de formulario 1.1'!$B42,MID('Respuestas de formulario 1.1'!EA$1,2,1)),#REF!,12,0),"")</f>
        <v/>
      </c>
      <c r="EB42" s="45" t="str">
        <f>IFERROR(VLOOKUP(CONCATENATE('Respuestas de formulario 1.1'!$B42,MID('Respuestas de formulario 1.1'!EB$1,2,1)),#REF!,12,0),"")</f>
        <v/>
      </c>
      <c r="EC42" s="45" t="str">
        <f>IFERROR(VLOOKUP(CONCATENATE('Respuestas de formulario 1.1'!$B42,MID('Respuestas de formulario 1.1'!EC$1,2,1)),#REF!,12,0),"")</f>
        <v/>
      </c>
      <c r="ED42" s="45" t="str">
        <f>IFERROR(VLOOKUP(CONCATENATE('Respuestas de formulario 1.1'!$B42,MID('Respuestas de formulario 1.1'!ED$1,2,1)),#REF!,12,0),"")</f>
        <v/>
      </c>
      <c r="EE42" s="45" t="str">
        <f>IFERROR(VLOOKUP(CONCATENATE('Respuestas de formulario 1.1'!$B42,MID('Respuestas de formulario 1.1'!EE$1,2,1)),#REF!,12,0),"")</f>
        <v/>
      </c>
      <c r="EF42" s="45" t="str">
        <f>IFERROR(VLOOKUP(CONCATENATE('Respuestas de formulario 1.1'!$B42,MID('Respuestas de formulario 1.1'!EF$1,2,1)),#REF!,12,0),"")</f>
        <v/>
      </c>
      <c r="EG42" s="45" t="str">
        <f>IFERROR(VLOOKUP(CONCATENATE('Respuestas de formulario 1.1'!$B42,MID('Respuestas de formulario 1.1'!EG$1,2,1)),#REF!,12,0),"")</f>
        <v/>
      </c>
      <c r="EH42" s="45" t="str">
        <f>IFERROR(VLOOKUP(CONCATENATE('Respuestas de formulario 1.1'!$B42,MID('Respuestas de formulario 1.1'!EH$1,2,1)),#REF!,12,0),"")</f>
        <v/>
      </c>
      <c r="EI42" s="45" t="str">
        <f>IFERROR(VLOOKUP(CONCATENATE('Respuestas de formulario 1.1'!$B42,MID('Respuestas de formulario 1.1'!EI$1,2,1)),#REF!,12,0),"")</f>
        <v/>
      </c>
      <c r="EJ42" s="45" t="str">
        <f t="array" ref="EJ42">IF(DO42="","", INDEX(#REF!,MATCH(CONCATENATE('Respuestas de formulario 1.1'!$B42,DO42),#REF!,0),MATCH('Respuestas de formulario 1.1'!EJ$1,#REF!,0)))</f>
        <v/>
      </c>
      <c r="EK42" s="56" t="str">
        <f t="array" ref="EK42">IF(DP42="","", INDEX(#REF!,MATCH(CONCATENATE('Respuestas de formulario 1.1'!$B42,DP42),#REF!,0),MATCH('Respuestas de formulario 1.1'!EK$1,#REF!,0)))</f>
        <v/>
      </c>
      <c r="EL42" s="56" t="str">
        <f t="array" ref="EL42">IF(DQ42="","", INDEX(#REF!,MATCH(CONCATENATE('Respuestas de formulario 1.1'!$B42,DQ42),#REF!,0),MATCH('Respuestas de formulario 1.1'!EL$1,#REF!,0)))</f>
        <v/>
      </c>
      <c r="EM42" s="56" t="str">
        <f t="array" ref="EM42">IF(DR42="","", INDEX(#REF!,MATCH(CONCATENATE('Respuestas de formulario 1.1'!$B42,DR42),#REF!,0),MATCH('Respuestas de formulario 1.1'!EM$1,#REF!,0)))</f>
        <v/>
      </c>
      <c r="EN42" s="56" t="str">
        <f t="array" ref="EN42">IF(DS42="","", INDEX(#REF!,MATCH(CONCATENATE('Respuestas de formulario 1.1'!$B42,DS42),#REF!,0),MATCH('Respuestas de formulario 1.1'!EN$1,#REF!,0)))</f>
        <v/>
      </c>
      <c r="EO42" s="56" t="str">
        <f t="array" ref="EO42">IF(DT42="","", INDEX(#REF!,MATCH(CONCATENATE('Respuestas de formulario 1.1'!$B42,DT42),#REF!,0),MATCH('Respuestas de formulario 1.1'!EO$1,#REF!,0)))</f>
        <v/>
      </c>
      <c r="EP42" s="45" t="str">
        <f t="array" ref="EP42">IF(DU42="","", INDEX(#REF!,MATCH(CONCATENATE('Respuestas de formulario 1.1'!$B42,DU42),#REF!,0),MATCH('Respuestas de formulario 1.1'!EP$1,#REF!,0)))</f>
        <v/>
      </c>
      <c r="EQ42" s="45" t="str">
        <f t="array" ref="EQ42">IF(DP42="","", INDEX(#REF!,MATCH(CONCATENATE('Respuestas de formulario 1.1'!$B42,DP42),#REF!,0),MATCH('Respuestas de formulario 1.1'!EQ$1,#REF!,0)))</f>
        <v/>
      </c>
      <c r="ER42" s="56" t="str">
        <f t="array" ref="ER42">IF(DQ42="","", INDEX(#REF!,MATCH(CONCATENATE('Respuestas de formulario 1.1'!$B42,DQ42),#REF!,0),MATCH('Respuestas de formulario 1.1'!ER$1,#REF!,0)))</f>
        <v/>
      </c>
      <c r="ES42" s="56" t="str">
        <f t="array" ref="ES42">IF(DR42="","", INDEX(#REF!,MATCH(CONCATENATE('Respuestas de formulario 1.1'!$B42,DR42),#REF!,0),MATCH('Respuestas de formulario 1.1'!ES$1,#REF!,0)))</f>
        <v/>
      </c>
      <c r="ET42" s="56" t="str">
        <f t="array" ref="ET42">IF(DS42="","", INDEX(#REF!,MATCH(CONCATENATE('Respuestas de formulario 1.1'!$B42,DS42),#REF!,0),MATCH('Respuestas de formulario 1.1'!ET$1,#REF!,0)))</f>
        <v/>
      </c>
      <c r="EU42" s="56" t="str">
        <f t="array" ref="EU42">IF(DT42="","", INDEX(#REF!,MATCH(CONCATENATE('Respuestas de formulario 1.1'!$B42,DT42),#REF!,0),MATCH('Respuestas de formulario 1.1'!EU$1,#REF!,0)))</f>
        <v/>
      </c>
      <c r="EV42" s="56" t="str">
        <f t="array" ref="EV42">IF(DU42="","", INDEX(#REF!,MATCH(CONCATENATE('Respuestas de formulario 1.1'!$B42,DU42),#REF!,0),MATCH('Respuestas de formulario 1.1'!EV$1,#REF!,0)))</f>
        <v/>
      </c>
      <c r="EW42" s="45" t="str">
        <f t="array" ref="EW42">IF(DV42="","", INDEX(#REF!,MATCH(CONCATENATE('Respuestas de formulario 1.1'!$B42,DV42),#REF!,0),MATCH('Respuestas de formulario 1.1'!EW$1,#REF!,0)))</f>
        <v/>
      </c>
      <c r="EX42" s="45" t="str">
        <f t="array" ref="EX42">IF($DQ42="","", INDEX(#REF!,MATCH(CONCATENATE('Respuestas de formulario 1.1'!$B42,$DQ42),#REF!,0),MATCH('Respuestas de formulario 1.1'!EX$1,#REF!,0)))</f>
        <v/>
      </c>
      <c r="EY42" s="56" t="str">
        <f t="array" ref="EY42">IF($DQ42="","", INDEX(#REF!,MATCH(CONCATENATE('Respuestas de formulario 1.1'!$B42,$DQ42),#REF!,0),MATCH('Respuestas de formulario 1.1'!EY$1,#REF!,0)))</f>
        <v/>
      </c>
      <c r="EZ42" s="56" t="str">
        <f t="array" ref="EZ42">IF($DQ42="","", INDEX(#REF!,MATCH(CONCATENATE('Respuestas de formulario 1.1'!$B42,$DQ42),#REF!,0),MATCH('Respuestas de formulario 1.1'!EZ$1,#REF!,0)))</f>
        <v/>
      </c>
      <c r="FA42" s="56" t="str">
        <f t="array" ref="FA42">IF($DQ42="","", INDEX(#REF!,MATCH(CONCATENATE('Respuestas de formulario 1.1'!$B42,$DQ42),#REF!,0),MATCH('Respuestas de formulario 1.1'!FA$1,#REF!,0)))</f>
        <v/>
      </c>
      <c r="FB42" s="56" t="str">
        <f t="array" ref="FB42">IF($DQ42="","", INDEX(#REF!,MATCH(CONCATENATE('Respuestas de formulario 1.1'!$B42,$DQ42),#REF!,0),MATCH('Respuestas de formulario 1.1'!FB$1,#REF!,0)))</f>
        <v/>
      </c>
      <c r="FC42" s="56" t="str">
        <f t="array" ref="FC42">IF($DQ42="","", INDEX(#REF!,MATCH(CONCATENATE('Respuestas de formulario 1.1'!$B42,$DQ42),#REF!,0),MATCH('Respuestas de formulario 1.1'!FC$1,#REF!,0)))</f>
        <v/>
      </c>
      <c r="FD42" s="45" t="str">
        <f t="array" ref="FD42">IF($DQ42="","", INDEX(#REF!,MATCH(CONCATENATE('Respuestas de formulario 1.1'!$B42,$DQ42),#REF!,0),MATCH('Respuestas de formulario 1.1'!FD$1,#REF!,0)))</f>
        <v/>
      </c>
      <c r="FE42" s="45" t="str">
        <f t="array" ref="FE42">IF($DR42="","", INDEX(#REF!,MATCH(CONCATENATE(#REF!,$DR42),#REF!,0),MATCH(#REF!,#REF!,0)))</f>
        <v/>
      </c>
      <c r="FF42" s="56" t="str">
        <f t="array" ref="FF42">IF($DR42="","", INDEX(#REF!,MATCH(CONCATENATE(#REF!,$DR42),#REF!,0),MATCH(#REF!,#REF!,0)))</f>
        <v/>
      </c>
      <c r="FG42" s="56" t="str">
        <f t="array" ref="FG42">IF($DR42="","", INDEX(#REF!,MATCH(CONCATENATE(#REF!,$DR42),#REF!,0),MATCH(#REF!,#REF!,0)))</f>
        <v/>
      </c>
      <c r="FH42" s="56" t="str">
        <f t="array" ref="FH42">IF($DR42="","", INDEX(#REF!,MATCH(CONCATENATE(#REF!,$DR42),#REF!,0),MATCH(#REF!,#REF!,0)))</f>
        <v/>
      </c>
      <c r="FI42" s="56" t="str">
        <f t="array" ref="FI42">IF($DR42="","", INDEX(#REF!,MATCH(CONCATENATE(#REF!,$DR42),#REF!,0),MATCH(#REF!,#REF!,0)))</f>
        <v/>
      </c>
      <c r="FJ42" s="56" t="str">
        <f t="array" ref="FJ42">IF($DR42="","", INDEX(#REF!,MATCH(CONCATENATE(#REF!,$DR42),#REF!,0),MATCH(#REF!,#REF!,0)))</f>
        <v/>
      </c>
      <c r="FK42" s="45" t="str">
        <f t="array" ref="FK42">IF($DR42="","", INDEX(#REF!,MATCH(CONCATENATE(#REF!,$DR42),#REF!,0),MATCH(#REF!,#REF!,0)))</f>
        <v/>
      </c>
      <c r="FL42" s="45" t="str">
        <f t="array" ref="FL42">IF($DT42="","", INDEX(#REF!,MATCH(CONCATENATE('Respuestas de formulario 1.1'!$B42,$DS42),#REF!,0),MATCH('Respuestas de formulario 1.1'!FL$1,#REF!,0)))</f>
        <v/>
      </c>
      <c r="FM42" s="56" t="str">
        <f t="array" ref="FM42">IF($DT42="","", INDEX(#REF!,MATCH(CONCATENATE('Respuestas de formulario 1.1'!$B42,$DS42),#REF!,0),MATCH('Respuestas de formulario 1.1'!FM$1,#REF!,0)))</f>
        <v/>
      </c>
      <c r="FN42" s="56" t="str">
        <f t="array" ref="FN42">IF($DT42="","", INDEX(#REF!,MATCH(CONCATENATE('Respuestas de formulario 1.1'!$B42,$DS42),#REF!,0),MATCH('Respuestas de formulario 1.1'!FN$1,#REF!,0)))</f>
        <v/>
      </c>
      <c r="FO42" s="56" t="str">
        <f t="array" ref="FO42">IF($DT42="","", INDEX(#REF!,MATCH(CONCATENATE('Respuestas de formulario 1.1'!$B42,$DS42),#REF!,0),MATCH('Respuestas de formulario 1.1'!FO$1,#REF!,0)))</f>
        <v/>
      </c>
      <c r="FP42" s="56" t="str">
        <f t="array" ref="FP42">IF($DT42="","", INDEX(#REF!,MATCH(CONCATENATE('Respuestas de formulario 1.1'!$B42,$DS42),#REF!,0),MATCH('Respuestas de formulario 1.1'!FP$1,#REF!,0)))</f>
        <v/>
      </c>
      <c r="FQ42" s="56" t="str">
        <f t="array" ref="FQ42">IF($DT42="","", INDEX(#REF!,MATCH(CONCATENATE('Respuestas de formulario 1.1'!$B42,$DS42),#REF!,0),MATCH('Respuestas de formulario 1.1'!FQ$1,#REF!,0)))</f>
        <v/>
      </c>
      <c r="FR42" s="45" t="str">
        <f t="array" ref="FR42">IF($DT42="","", INDEX(#REF!,MATCH(CONCATENATE('Respuestas de formulario 1.1'!$B42,$DS42),#REF!,0),MATCH('Respuestas de formulario 1.1'!FR$1,#REF!,0)))</f>
        <v/>
      </c>
      <c r="FS42" s="45" t="str">
        <f t="array" ref="FS42">IF($DU42="","", INDEX(#REF!,MATCH(CONCATENATE('Respuestas de formulario 1.1'!$B42,$DT42),#REF!,0),MATCH('Respuestas de formulario 1.1'!FS$1,#REF!,0)))</f>
        <v/>
      </c>
      <c r="FT42" s="56" t="str">
        <f t="array" ref="FT42">IF($DU42="","", INDEX(#REF!,MATCH(CONCATENATE('Respuestas de formulario 1.1'!$B42,$DT42),#REF!,0),MATCH('Respuestas de formulario 1.1'!FT$1,#REF!,0)))</f>
        <v/>
      </c>
      <c r="FU42" s="56" t="str">
        <f t="array" ref="FU42">IF($DU42="","", INDEX(#REF!,MATCH(CONCATENATE('Respuestas de formulario 1.1'!$B42,$DT42),#REF!,0),MATCH('Respuestas de formulario 1.1'!FU$1,#REF!,0)))</f>
        <v/>
      </c>
      <c r="FV42" s="56" t="str">
        <f t="array" ref="FV42">IF($DU42="","", INDEX(#REF!,MATCH(CONCATENATE('Respuestas de formulario 1.1'!$B42,$DT42),#REF!,0),MATCH('Respuestas de formulario 1.1'!FV$1,#REF!,0)))</f>
        <v/>
      </c>
      <c r="FW42" s="56" t="str">
        <f t="array" ref="FW42">IF($DU42="","", INDEX(#REF!,MATCH(CONCATENATE('Respuestas de formulario 1.1'!$B42,$DT42),#REF!,0),MATCH('Respuestas de formulario 1.1'!FW$1,#REF!,0)))</f>
        <v/>
      </c>
      <c r="FX42" s="56" t="str">
        <f t="array" ref="FX42">IF($DU42="","", INDEX(#REF!,MATCH(CONCATENATE('Respuestas de formulario 1.1'!$B42,$DT42),#REF!,0),MATCH('Respuestas de formulario 1.1'!FX$1,#REF!,0)))</f>
        <v/>
      </c>
      <c r="FY42" s="45" t="str">
        <f t="array" ref="FY42">IF($DU42="","", INDEX(#REF!,MATCH(CONCATENATE('Respuestas de formulario 1.1'!$B42,$DT42),#REF!,0),MATCH('Respuestas de formulario 1.1'!FY$1,#REF!,0)))</f>
        <v/>
      </c>
      <c r="FZ42" s="3" t="s">
        <v>2860</v>
      </c>
      <c r="GA42" s="1" t="s">
        <v>3528</v>
      </c>
      <c r="GB42" s="5" t="s">
        <v>3529</v>
      </c>
      <c r="GC42" s="4" t="str">
        <f>HYPERLINK("https://drive.google.com/file/d/1131ACoaDplNXo7vMepR0ciXvEIdUmJsU/view?usp=drivesdk","JIMENEZ  FLORES  DORISMAR Formato de reinscripción y pago 2022-2")</f>
        <v>JIMENEZ  FLORES  DORISMAR Formato de reinscripción y pago 2022-2</v>
      </c>
      <c r="GD42" s="1" t="s">
        <v>3530</v>
      </c>
      <c r="GE42" s="1"/>
      <c r="GF42" s="1"/>
      <c r="GG42" s="1"/>
      <c r="GH42" s="1"/>
      <c r="GI42" s="1" t="s">
        <v>3531</v>
      </c>
      <c r="GJ42" s="5" t="s">
        <v>3532</v>
      </c>
      <c r="GK42" s="5" t="str">
        <f>HYPERLINK("https://drive.google.com/file/d/10cjmQ3SLO59Wapd-tZdSTHipVUtvieno/view?usp=drivesdk","JIMENEZ  FLORES  DORISMAR Formato de reinscripción y pago 2022-2")</f>
        <v>JIMENEZ  FLORES  DORISMAR Formato de reinscripción y pago 2022-2</v>
      </c>
      <c r="GL42" s="1" t="s">
        <v>3533</v>
      </c>
    </row>
    <row r="43" spans="1:194" ht="38.25" x14ac:dyDescent="0.2">
      <c r="A43" s="2">
        <v>45139.066719583338</v>
      </c>
      <c r="B43" s="1" t="s">
        <v>70</v>
      </c>
      <c r="C43" s="1" t="s">
        <v>1897</v>
      </c>
      <c r="D43" s="1" t="s">
        <v>2347</v>
      </c>
      <c r="E43" s="1" t="s">
        <v>2348</v>
      </c>
      <c r="F43" s="1" t="s">
        <v>223</v>
      </c>
      <c r="G43" s="5" t="s">
        <v>3534</v>
      </c>
      <c r="H43" s="41">
        <v>39070</v>
      </c>
      <c r="I43" s="1">
        <v>16</v>
      </c>
      <c r="J43" s="1">
        <v>5540566219</v>
      </c>
      <c r="K43" s="1">
        <v>69946023</v>
      </c>
      <c r="L43" s="1" t="s">
        <v>2349</v>
      </c>
      <c r="M43" s="1">
        <v>213090605705</v>
      </c>
      <c r="N43" s="1" t="s">
        <v>1108</v>
      </c>
      <c r="O43" s="1" t="s">
        <v>225</v>
      </c>
      <c r="P43" s="1" t="s">
        <v>278</v>
      </c>
      <c r="Q43" s="1" t="s">
        <v>315</v>
      </c>
      <c r="R43" s="1" t="s">
        <v>236</v>
      </c>
      <c r="S43" s="1" t="s">
        <v>236</v>
      </c>
      <c r="T43" s="1" t="s">
        <v>411</v>
      </c>
      <c r="U43" s="1" t="s">
        <v>249</v>
      </c>
      <c r="V43" s="1" t="s">
        <v>228</v>
      </c>
      <c r="W43" s="1" t="s">
        <v>3535</v>
      </c>
      <c r="X43" s="1" t="s">
        <v>249</v>
      </c>
      <c r="Y43" s="1" t="s">
        <v>3536</v>
      </c>
      <c r="Z43" s="1" t="s">
        <v>240</v>
      </c>
      <c r="AA43" s="44" t="s">
        <v>1127</v>
      </c>
      <c r="AB43" s="1">
        <v>32</v>
      </c>
      <c r="AC43" s="1" t="s">
        <v>1129</v>
      </c>
      <c r="AD43" s="1" t="s">
        <v>3537</v>
      </c>
      <c r="AE43" s="1" t="s">
        <v>3538</v>
      </c>
      <c r="AF43" s="1" t="s">
        <v>265</v>
      </c>
      <c r="AG43" s="1">
        <v>55</v>
      </c>
      <c r="AH43" s="5" t="s">
        <v>3539</v>
      </c>
      <c r="AI43" s="1">
        <v>5587227406</v>
      </c>
      <c r="AJ43" s="1">
        <v>5569946023</v>
      </c>
      <c r="AK43" s="1" t="s">
        <v>2350</v>
      </c>
      <c r="AL43" s="1" t="s">
        <v>1897</v>
      </c>
      <c r="AM43" s="1" t="s">
        <v>600</v>
      </c>
      <c r="AN43" s="1" t="s">
        <v>3540</v>
      </c>
      <c r="AO43" s="1" t="s">
        <v>435</v>
      </c>
      <c r="AP43" s="1">
        <v>56</v>
      </c>
      <c r="AQ43" s="1" t="s">
        <v>2351</v>
      </c>
      <c r="AR43" s="42">
        <v>0.375</v>
      </c>
      <c r="AS43" s="42">
        <v>0.75</v>
      </c>
      <c r="AT43" s="1">
        <v>5533069292</v>
      </c>
      <c r="AU43" s="1">
        <v>5569946023</v>
      </c>
      <c r="AV43" s="1" t="s">
        <v>3541</v>
      </c>
      <c r="AW43" s="5" t="s">
        <v>3542</v>
      </c>
      <c r="AX43" s="1" t="s">
        <v>1897</v>
      </c>
      <c r="AY43" s="1" t="s">
        <v>2347</v>
      </c>
      <c r="AZ43" s="1" t="s">
        <v>3543</v>
      </c>
      <c r="BA43" s="1" t="s">
        <v>586</v>
      </c>
      <c r="BB43" s="1">
        <v>31</v>
      </c>
      <c r="BC43" s="1" t="s">
        <v>3544</v>
      </c>
      <c r="BD43" s="43">
        <v>0.33333333333575865</v>
      </c>
      <c r="BE43" s="43">
        <v>0.33333333333575865</v>
      </c>
      <c r="BF43" s="1">
        <v>5540566219</v>
      </c>
      <c r="BG43" s="1">
        <v>5569946023</v>
      </c>
      <c r="BH43" s="1" t="s">
        <v>3545</v>
      </c>
      <c r="BI43" s="5" t="s">
        <v>3546</v>
      </c>
      <c r="BJ43" s="1" t="s">
        <v>236</v>
      </c>
      <c r="BK43" s="1" t="s">
        <v>310</v>
      </c>
      <c r="BL43" s="1">
        <v>1.75</v>
      </c>
      <c r="BM43" s="1">
        <v>65</v>
      </c>
      <c r="BN43" s="1" t="s">
        <v>236</v>
      </c>
      <c r="BO43" s="1" t="s">
        <v>228</v>
      </c>
      <c r="BP43" s="1" t="s">
        <v>310</v>
      </c>
      <c r="BQ43" s="1" t="s">
        <v>228</v>
      </c>
      <c r="BR43" s="1" t="s">
        <v>237</v>
      </c>
      <c r="BS43" s="1" t="s">
        <v>236</v>
      </c>
      <c r="BT43" s="1" t="s">
        <v>271</v>
      </c>
      <c r="BU43" s="1" t="s">
        <v>228</v>
      </c>
      <c r="BW43" s="1" t="s">
        <v>238</v>
      </c>
      <c r="BX43" s="1">
        <v>60</v>
      </c>
      <c r="BY43" s="1">
        <v>50</v>
      </c>
      <c r="BZ43" s="1" t="s">
        <v>1586</v>
      </c>
      <c r="CA43" s="1" t="s">
        <v>2617</v>
      </c>
      <c r="CB43" s="1" t="s">
        <v>231</v>
      </c>
      <c r="CC43" s="1" t="s">
        <v>416</v>
      </c>
      <c r="CD43" s="1">
        <v>300</v>
      </c>
      <c r="CE43" s="1">
        <v>150</v>
      </c>
      <c r="CF43" s="1" t="s">
        <v>236</v>
      </c>
      <c r="CG43" s="1" t="s">
        <v>242</v>
      </c>
      <c r="CH43" s="1" t="s">
        <v>243</v>
      </c>
      <c r="CI43" s="1" t="s">
        <v>243</v>
      </c>
      <c r="CJ43" s="1" t="s">
        <v>2848</v>
      </c>
      <c r="CL43" s="5" t="s">
        <v>3547</v>
      </c>
      <c r="CM43" s="44" t="s">
        <v>2352</v>
      </c>
      <c r="CN43" s="1" t="s">
        <v>228</v>
      </c>
      <c r="CQ43" s="42">
        <v>0.375</v>
      </c>
      <c r="CR43" s="42">
        <v>0.25</v>
      </c>
      <c r="CT43" s="45" t="str">
        <f t="array" ref="CT43">IFERROR(INDEX(#REF!,MATCH('Respuestas de formulario 1.1'!$B43,#REF!,0),MATCH('Respuestas de formulario 1.1'!CT$1,#REF!,0)),"")</f>
        <v/>
      </c>
      <c r="CU43" s="56" t="str">
        <f t="array" ref="CU43">IFERROR(INDEX(#REF!,MATCH('Respuestas de formulario 1.1'!$B43,#REF!,0),MATCH('Respuestas de formulario 1.1'!CU$1,#REF!,0)),"")</f>
        <v/>
      </c>
      <c r="CV43" s="56" t="str">
        <f t="array" ref="CV43">IFERROR(INDEX(#REF!,MATCH('Respuestas de formulario 1.1'!$B43,#REF!,0),MATCH('Respuestas de formulario 1.1'!CV$1,#REF!,0)),"")</f>
        <v/>
      </c>
      <c r="CW43" s="56" t="str">
        <f t="array" ref="CW43">IFERROR(INDEX(#REF!,MATCH('Respuestas de formulario 1.1'!$B43,#REF!,0),MATCH('Respuestas de formulario 1.1'!CW$1,#REF!,0)),"")</f>
        <v/>
      </c>
      <c r="CX43" s="56" t="str">
        <f t="array" ref="CX43">IFERROR(INDEX(#REF!,MATCH('Respuestas de formulario 1.1'!$B43,#REF!,0),MATCH('Respuestas de formulario 1.1'!CX$1,#REF!,0)),"")</f>
        <v/>
      </c>
      <c r="CY43" s="56" t="str">
        <f t="array" ref="CY43">IFERROR(INDEX(#REF!,MATCH('Respuestas de formulario 1.1'!$B43,#REF!,0),MATCH('Respuestas de formulario 1.1'!CY$1,#REF!,0)),"")</f>
        <v/>
      </c>
      <c r="CZ43" s="57" t="str">
        <f t="array" ref="CZ43">IFERROR(INDEX(#REF!,MATCH('Respuestas de formulario 1.1'!$B43,#REF!,0),MATCH('Respuestas de formulario 1.1'!CZ$1,#REF!,0)),"")</f>
        <v/>
      </c>
      <c r="DA43" s="45" t="e">
        <f t="array" ref="DA43">INDEX(#REF!,MATCH('Respuestas de formulario 1.1'!$B43,#REF!,0),MATCH('Respuestas de formulario 1.1'!DA$1,#REF!,0))</f>
        <v>#REF!</v>
      </c>
      <c r="DB43" s="45" t="e">
        <f t="array" ref="DB43">INDEX(#REF!,MATCH('Respuestas de formulario 1.1'!$B43,#REF!,0),MATCH('Respuestas de formulario 1.1'!DB$1,#REF!,0))</f>
        <v>#REF!</v>
      </c>
      <c r="DC43" s="45" t="e">
        <f t="array" ref="DC43">INDEX(#REF!,MATCH('Respuestas de formulario 1.1'!$B43,#REF!,0),MATCH('Respuestas de formulario 1.1'!DC$1,#REF!,0))</f>
        <v>#REF!</v>
      </c>
      <c r="DD43" s="45" t="e">
        <f t="array" ref="DD43">INDEX(#REF!,MATCH('Respuestas de formulario 1.1'!$B43,#REF!,0),MATCH('Respuestas de formulario 1.1'!DD$1,#REF!,0))</f>
        <v>#REF!</v>
      </c>
      <c r="DE43" s="45" t="e">
        <f t="array" ref="DE43">INDEX(#REF!,MATCH('Respuestas de formulario 1.1'!$B43,#REF!,0),MATCH('Respuestas de formulario 1.1'!DE$1,#REF!,0))</f>
        <v>#REF!</v>
      </c>
      <c r="DF43" s="45" t="e">
        <f t="array" ref="DF43">INDEX(#REF!,MATCH('Respuestas de formulario 1.1'!$B43,#REF!,0),MATCH('Respuestas de formulario 1.1'!DF$1,#REF!,0))</f>
        <v>#REF!</v>
      </c>
      <c r="DG43" s="45" t="e">
        <f t="array" ref="DG43">INDEX(#REF!,MATCH('Respuestas de formulario 1.1'!$B43,#REF!,0),MATCH('Respuestas de formulario 1.1'!DG$1,#REF!,0))</f>
        <v>#REF!</v>
      </c>
      <c r="DH43" s="45" t="e">
        <f t="array" ref="DH43">INDEX(#REF!,MATCH('Respuestas de formulario 1.1'!$B43,#REF!,0),MATCH('Respuestas de formulario 1.1'!DH$1,#REF!,0))</f>
        <v>#REF!</v>
      </c>
      <c r="DI43" s="48" t="e">
        <f>VLOOKUP(CONCATENATE($DF43," TUTO ",$DC43),#REF!,3,0)</f>
        <v>#REF!</v>
      </c>
      <c r="DJ43" s="48" t="e">
        <f t="array" ref="DJ43">IF('Respuestas de formulario 1.1'!A43="","",INDEX(#REF!,MATCH('Respuestas de formulario 1.1'!B43,#REF!,0),MATCH('Respuestas de formulario 1.1'!$DH$1,#REF!,0)))</f>
        <v>#REF!</v>
      </c>
      <c r="DK43" s="52" t="str">
        <f>CONCATENATE("http://doc.google.com/uc?id=",MID('Respuestas de formulario 1.1'!G43,34,33))</f>
        <v>http://doc.google.com/uc?id=1avU2LPq9MVscPIPgUO87jWPS3wjDcAZj</v>
      </c>
      <c r="DL43" s="49" t="str">
        <f>CONCATENATE("http://doc.google.com/uc?id=",MID('Respuestas de formulario 1.1'!AH43,34,33))</f>
        <v>http://doc.google.com/uc?id=1ZnmouKo-VTvfO9qb6mAbbu7wfhdtIl6P</v>
      </c>
      <c r="DM43" s="50" t="str">
        <f>CONCATENATE("http://doc.google.com/uc?id=",MID('Respuestas de formulario 1.1'!AW43,34,33))</f>
        <v>http://doc.google.com/uc?id=1BPzMJqAiKc3nxfSSdq1FoxVwBxvNtRqP</v>
      </c>
      <c r="DN43" s="53" t="str">
        <f>CONCATENATE("http://doc.google.com/uc?id=",MID('Respuestas de formulario 1.1'!$BI43,34,33))</f>
        <v>http://doc.google.com/uc?id=1v8gg3jfleXp0tkQUUpv8h8a9H1fZD1jB</v>
      </c>
      <c r="DO43" s="45" t="str">
        <f>IFERROR(VLOOKUP(CONCATENATE('Respuestas de formulario 1.1'!$B43,MID('Respuestas de formulario 1.1'!DO$1,2,1)),#REF!,12,0),"")</f>
        <v/>
      </c>
      <c r="DP43" s="45" t="str">
        <f>IFERROR(VLOOKUP(CONCATENATE('Respuestas de formulario 1.1'!$B43,MID('Respuestas de formulario 1.1'!DP$1,2,1)),#REF!,12,0),"")</f>
        <v/>
      </c>
      <c r="DQ43" s="45" t="str">
        <f>IFERROR(VLOOKUP(CONCATENATE('Respuestas de formulario 1.1'!$B43,MID('Respuestas de formulario 1.1'!DQ$1,2,1)),#REF!,12,0),"")</f>
        <v/>
      </c>
      <c r="DR43" s="45" t="str">
        <f>IFERROR(VLOOKUP(CONCATENATE('Respuestas de formulario 1.1'!$B43,MID('Respuestas de formulario 1.1'!DR$1,2,1)),#REF!,12,0),"")</f>
        <v/>
      </c>
      <c r="DS43" s="45" t="str">
        <f>IFERROR(VLOOKUP(CONCATENATE('Respuestas de formulario 1.1'!$B43,MID('Respuestas de formulario 1.1'!DS$1,2,1)),#REF!,12,0),"")</f>
        <v/>
      </c>
      <c r="DT43" s="45" t="str">
        <f>IFERROR(VLOOKUP(CONCATENATE('Respuestas de formulario 1.1'!$B43,MID('Respuestas de formulario 1.1'!DT$1,2,1)),#REF!,12,0),"")</f>
        <v/>
      </c>
      <c r="DU43" s="45" t="str">
        <f>IFERROR(VLOOKUP(CONCATENATE('Respuestas de formulario 1.1'!$B43,MID('Respuestas de formulario 1.1'!DU$1,2,1)),#REF!,12,0),"")</f>
        <v/>
      </c>
      <c r="DV43" s="45" t="str">
        <f>IFERROR(VLOOKUP(CONCATENATE('Respuestas de formulario 1.1'!$B43,MID('Respuestas de formulario 1.1'!DV$1,2,1)),#REF!,12,0),"")</f>
        <v/>
      </c>
      <c r="DW43" s="45" t="str">
        <f>IFERROR(VLOOKUP(CONCATENATE('Respuestas de formulario 1.1'!$B43,MID('Respuestas de formulario 1.1'!DW$1,2,1)),#REF!,12,0),"")</f>
        <v/>
      </c>
      <c r="DX43" s="45" t="str">
        <f>IFERROR(VLOOKUP(CONCATENATE('Respuestas de formulario 1.1'!$B43,MID('Respuestas de formulario 1.1'!DX$1,2,1)),#REF!,12,0),"")</f>
        <v/>
      </c>
      <c r="DY43" s="45" t="str">
        <f>IFERROR(VLOOKUP(CONCATENATE('Respuestas de formulario 1.1'!$B43,MID('Respuestas de formulario 1.1'!DY$1,2,1)),#REF!,12,0),"")</f>
        <v/>
      </c>
      <c r="DZ43" s="45" t="str">
        <f>IFERROR(VLOOKUP(CONCATENATE('Respuestas de formulario 1.1'!$B43,MID('Respuestas de formulario 1.1'!DZ$1,2,1)),#REF!,12,0),"")</f>
        <v/>
      </c>
      <c r="EA43" s="45" t="str">
        <f>IFERROR(VLOOKUP(CONCATENATE('Respuestas de formulario 1.1'!$B43,MID('Respuestas de formulario 1.1'!EA$1,2,1)),#REF!,12,0),"")</f>
        <v/>
      </c>
      <c r="EB43" s="45" t="str">
        <f>IFERROR(VLOOKUP(CONCATENATE('Respuestas de formulario 1.1'!$B43,MID('Respuestas de formulario 1.1'!EB$1,2,1)),#REF!,12,0),"")</f>
        <v/>
      </c>
      <c r="EC43" s="45" t="str">
        <f>IFERROR(VLOOKUP(CONCATENATE('Respuestas de formulario 1.1'!$B43,MID('Respuestas de formulario 1.1'!EC$1,2,1)),#REF!,12,0),"")</f>
        <v/>
      </c>
      <c r="ED43" s="45" t="str">
        <f>IFERROR(VLOOKUP(CONCATENATE('Respuestas de formulario 1.1'!$B43,MID('Respuestas de formulario 1.1'!ED$1,2,1)),#REF!,12,0),"")</f>
        <v/>
      </c>
      <c r="EE43" s="45" t="str">
        <f>IFERROR(VLOOKUP(CONCATENATE('Respuestas de formulario 1.1'!$B43,MID('Respuestas de formulario 1.1'!EE$1,2,1)),#REF!,12,0),"")</f>
        <v/>
      </c>
      <c r="EF43" s="45" t="str">
        <f>IFERROR(VLOOKUP(CONCATENATE('Respuestas de formulario 1.1'!$B43,MID('Respuestas de formulario 1.1'!EF$1,2,1)),#REF!,12,0),"")</f>
        <v/>
      </c>
      <c r="EG43" s="45" t="str">
        <f>IFERROR(VLOOKUP(CONCATENATE('Respuestas de formulario 1.1'!$B43,MID('Respuestas de formulario 1.1'!EG$1,2,1)),#REF!,12,0),"")</f>
        <v/>
      </c>
      <c r="EH43" s="45" t="str">
        <f>IFERROR(VLOOKUP(CONCATENATE('Respuestas de formulario 1.1'!$B43,MID('Respuestas de formulario 1.1'!EH$1,2,1)),#REF!,12,0),"")</f>
        <v/>
      </c>
      <c r="EI43" s="45" t="str">
        <f>IFERROR(VLOOKUP(CONCATENATE('Respuestas de formulario 1.1'!$B43,MID('Respuestas de formulario 1.1'!EI$1,2,1)),#REF!,12,0),"")</f>
        <v/>
      </c>
      <c r="EJ43" s="45" t="str">
        <f t="array" ref="EJ43">IF(DO43="","", INDEX(#REF!,MATCH(CONCATENATE('Respuestas de formulario 1.1'!$B43,DO43),#REF!,0),MATCH('Respuestas de formulario 1.1'!EJ$1,#REF!,0)))</f>
        <v/>
      </c>
      <c r="EK43" s="56" t="str">
        <f t="array" ref="EK43">IF(DP43="","", INDEX(#REF!,MATCH(CONCATENATE('Respuestas de formulario 1.1'!$B43,DP43),#REF!,0),MATCH('Respuestas de formulario 1.1'!EK$1,#REF!,0)))</f>
        <v/>
      </c>
      <c r="EL43" s="56" t="str">
        <f t="array" ref="EL43">IF(DQ43="","", INDEX(#REF!,MATCH(CONCATENATE('Respuestas de formulario 1.1'!$B43,DQ43),#REF!,0),MATCH('Respuestas de formulario 1.1'!EL$1,#REF!,0)))</f>
        <v/>
      </c>
      <c r="EM43" s="56" t="str">
        <f t="array" ref="EM43">IF(DR43="","", INDEX(#REF!,MATCH(CONCATENATE('Respuestas de formulario 1.1'!$B43,DR43),#REF!,0),MATCH('Respuestas de formulario 1.1'!EM$1,#REF!,0)))</f>
        <v/>
      </c>
      <c r="EN43" s="56" t="str">
        <f t="array" ref="EN43">IF(DS43="","", INDEX(#REF!,MATCH(CONCATENATE('Respuestas de formulario 1.1'!$B43,DS43),#REF!,0),MATCH('Respuestas de formulario 1.1'!EN$1,#REF!,0)))</f>
        <v/>
      </c>
      <c r="EO43" s="56" t="str">
        <f t="array" ref="EO43">IF(DT43="","", INDEX(#REF!,MATCH(CONCATENATE('Respuestas de formulario 1.1'!$B43,DT43),#REF!,0),MATCH('Respuestas de formulario 1.1'!EO$1,#REF!,0)))</f>
        <v/>
      </c>
      <c r="EP43" s="45" t="str">
        <f t="array" ref="EP43">IF(DU43="","", INDEX(#REF!,MATCH(CONCATENATE('Respuestas de formulario 1.1'!$B43,DU43),#REF!,0),MATCH('Respuestas de formulario 1.1'!EP$1,#REF!,0)))</f>
        <v/>
      </c>
      <c r="EQ43" s="45" t="str">
        <f t="array" ref="EQ43">IF(DP43="","", INDEX(#REF!,MATCH(CONCATENATE('Respuestas de formulario 1.1'!$B43,DP43),#REF!,0),MATCH('Respuestas de formulario 1.1'!EQ$1,#REF!,0)))</f>
        <v/>
      </c>
      <c r="ER43" s="56" t="str">
        <f t="array" ref="ER43">IF(DQ43="","", INDEX(#REF!,MATCH(CONCATENATE('Respuestas de formulario 1.1'!$B43,DQ43),#REF!,0),MATCH('Respuestas de formulario 1.1'!ER$1,#REF!,0)))</f>
        <v/>
      </c>
      <c r="ES43" s="56" t="str">
        <f t="array" ref="ES43">IF(DR43="","", INDEX(#REF!,MATCH(CONCATENATE('Respuestas de formulario 1.1'!$B43,DR43),#REF!,0),MATCH('Respuestas de formulario 1.1'!ES$1,#REF!,0)))</f>
        <v/>
      </c>
      <c r="ET43" s="56" t="str">
        <f t="array" ref="ET43">IF(DS43="","", INDEX(#REF!,MATCH(CONCATENATE('Respuestas de formulario 1.1'!$B43,DS43),#REF!,0),MATCH('Respuestas de formulario 1.1'!ET$1,#REF!,0)))</f>
        <v/>
      </c>
      <c r="EU43" s="56" t="str">
        <f t="array" ref="EU43">IF(DT43="","", INDEX(#REF!,MATCH(CONCATENATE('Respuestas de formulario 1.1'!$B43,DT43),#REF!,0),MATCH('Respuestas de formulario 1.1'!EU$1,#REF!,0)))</f>
        <v/>
      </c>
      <c r="EV43" s="56" t="str">
        <f t="array" ref="EV43">IF(DU43="","", INDEX(#REF!,MATCH(CONCATENATE('Respuestas de formulario 1.1'!$B43,DU43),#REF!,0),MATCH('Respuestas de formulario 1.1'!EV$1,#REF!,0)))</f>
        <v/>
      </c>
      <c r="EW43" s="45" t="str">
        <f t="array" ref="EW43">IF(DV43="","", INDEX(#REF!,MATCH(CONCATENATE('Respuestas de formulario 1.1'!$B43,DV43),#REF!,0),MATCH('Respuestas de formulario 1.1'!EW$1,#REF!,0)))</f>
        <v/>
      </c>
      <c r="EX43" s="45" t="str">
        <f t="array" ref="EX43">IF($DQ43="","", INDEX(#REF!,MATCH(CONCATENATE('Respuestas de formulario 1.1'!$B43,$DQ43),#REF!,0),MATCH('Respuestas de formulario 1.1'!EX$1,#REF!,0)))</f>
        <v/>
      </c>
      <c r="EY43" s="56" t="str">
        <f t="array" ref="EY43">IF($DQ43="","", INDEX(#REF!,MATCH(CONCATENATE('Respuestas de formulario 1.1'!$B43,$DQ43),#REF!,0),MATCH('Respuestas de formulario 1.1'!EY$1,#REF!,0)))</f>
        <v/>
      </c>
      <c r="EZ43" s="56" t="str">
        <f t="array" ref="EZ43">IF($DQ43="","", INDEX(#REF!,MATCH(CONCATENATE('Respuestas de formulario 1.1'!$B43,$DQ43),#REF!,0),MATCH('Respuestas de formulario 1.1'!EZ$1,#REF!,0)))</f>
        <v/>
      </c>
      <c r="FA43" s="56" t="str">
        <f t="array" ref="FA43">IF($DQ43="","", INDEX(#REF!,MATCH(CONCATENATE('Respuestas de formulario 1.1'!$B43,$DQ43),#REF!,0),MATCH('Respuestas de formulario 1.1'!FA$1,#REF!,0)))</f>
        <v/>
      </c>
      <c r="FB43" s="56" t="str">
        <f t="array" ref="FB43">IF($DQ43="","", INDEX(#REF!,MATCH(CONCATENATE('Respuestas de formulario 1.1'!$B43,$DQ43),#REF!,0),MATCH('Respuestas de formulario 1.1'!FB$1,#REF!,0)))</f>
        <v/>
      </c>
      <c r="FC43" s="56" t="str">
        <f t="array" ref="FC43">IF($DQ43="","", INDEX(#REF!,MATCH(CONCATENATE('Respuestas de formulario 1.1'!$B43,$DQ43),#REF!,0),MATCH('Respuestas de formulario 1.1'!FC$1,#REF!,0)))</f>
        <v/>
      </c>
      <c r="FD43" s="45" t="str">
        <f t="array" ref="FD43">IF($DQ43="","", INDEX(#REF!,MATCH(CONCATENATE('Respuestas de formulario 1.1'!$B43,$DQ43),#REF!,0),MATCH('Respuestas de formulario 1.1'!FD$1,#REF!,0)))</f>
        <v/>
      </c>
      <c r="FE43" s="45" t="str">
        <f t="array" ref="FE43">IF($DR43="","", INDEX(#REF!,MATCH(CONCATENATE(#REF!,$DR43),#REF!,0),MATCH(#REF!,#REF!,0)))</f>
        <v/>
      </c>
      <c r="FF43" s="56" t="str">
        <f t="array" ref="FF43">IF($DR43="","", INDEX(#REF!,MATCH(CONCATENATE(#REF!,$DR43),#REF!,0),MATCH(#REF!,#REF!,0)))</f>
        <v/>
      </c>
      <c r="FG43" s="56" t="str">
        <f t="array" ref="FG43">IF($DR43="","", INDEX(#REF!,MATCH(CONCATENATE(#REF!,$DR43),#REF!,0),MATCH(#REF!,#REF!,0)))</f>
        <v/>
      </c>
      <c r="FH43" s="56" t="str">
        <f t="array" ref="FH43">IF($DR43="","", INDEX(#REF!,MATCH(CONCATENATE(#REF!,$DR43),#REF!,0),MATCH(#REF!,#REF!,0)))</f>
        <v/>
      </c>
      <c r="FI43" s="56" t="str">
        <f t="array" ref="FI43">IF($DR43="","", INDEX(#REF!,MATCH(CONCATENATE(#REF!,$DR43),#REF!,0),MATCH(#REF!,#REF!,0)))</f>
        <v/>
      </c>
      <c r="FJ43" s="56" t="str">
        <f t="array" ref="FJ43">IF($DR43="","", INDEX(#REF!,MATCH(CONCATENATE(#REF!,$DR43),#REF!,0),MATCH(#REF!,#REF!,0)))</f>
        <v/>
      </c>
      <c r="FK43" s="45" t="str">
        <f t="array" ref="FK43">IF($DR43="","", INDEX(#REF!,MATCH(CONCATENATE(#REF!,$DR43),#REF!,0),MATCH(#REF!,#REF!,0)))</f>
        <v/>
      </c>
      <c r="FL43" s="45" t="str">
        <f t="array" ref="FL43">IF($DT43="","", INDEX(#REF!,MATCH(CONCATENATE('Respuestas de formulario 1.1'!$B43,$DS43),#REF!,0),MATCH('Respuestas de formulario 1.1'!FL$1,#REF!,0)))</f>
        <v/>
      </c>
      <c r="FM43" s="56" t="str">
        <f t="array" ref="FM43">IF($DT43="","", INDEX(#REF!,MATCH(CONCATENATE('Respuestas de formulario 1.1'!$B43,$DS43),#REF!,0),MATCH('Respuestas de formulario 1.1'!FM$1,#REF!,0)))</f>
        <v/>
      </c>
      <c r="FN43" s="56" t="str">
        <f t="array" ref="FN43">IF($DT43="","", INDEX(#REF!,MATCH(CONCATENATE('Respuestas de formulario 1.1'!$B43,$DS43),#REF!,0),MATCH('Respuestas de formulario 1.1'!FN$1,#REF!,0)))</f>
        <v/>
      </c>
      <c r="FO43" s="56" t="str">
        <f t="array" ref="FO43">IF($DT43="","", INDEX(#REF!,MATCH(CONCATENATE('Respuestas de formulario 1.1'!$B43,$DS43),#REF!,0),MATCH('Respuestas de formulario 1.1'!FO$1,#REF!,0)))</f>
        <v/>
      </c>
      <c r="FP43" s="56" t="str">
        <f t="array" ref="FP43">IF($DT43="","", INDEX(#REF!,MATCH(CONCATENATE('Respuestas de formulario 1.1'!$B43,$DS43),#REF!,0),MATCH('Respuestas de formulario 1.1'!FP$1,#REF!,0)))</f>
        <v/>
      </c>
      <c r="FQ43" s="56" t="str">
        <f t="array" ref="FQ43">IF($DT43="","", INDEX(#REF!,MATCH(CONCATENATE('Respuestas de formulario 1.1'!$B43,$DS43),#REF!,0),MATCH('Respuestas de formulario 1.1'!FQ$1,#REF!,0)))</f>
        <v/>
      </c>
      <c r="FR43" s="45" t="str">
        <f t="array" ref="FR43">IF($DT43="","", INDEX(#REF!,MATCH(CONCATENATE('Respuestas de formulario 1.1'!$B43,$DS43),#REF!,0),MATCH('Respuestas de formulario 1.1'!FR$1,#REF!,0)))</f>
        <v/>
      </c>
      <c r="FS43" s="45" t="str">
        <f t="array" ref="FS43">IF($DU43="","", INDEX(#REF!,MATCH(CONCATENATE('Respuestas de formulario 1.1'!$B43,$DT43),#REF!,0),MATCH('Respuestas de formulario 1.1'!FS$1,#REF!,0)))</f>
        <v/>
      </c>
      <c r="FT43" s="56" t="str">
        <f t="array" ref="FT43">IF($DU43="","", INDEX(#REF!,MATCH(CONCATENATE('Respuestas de formulario 1.1'!$B43,$DT43),#REF!,0),MATCH('Respuestas de formulario 1.1'!FT$1,#REF!,0)))</f>
        <v/>
      </c>
      <c r="FU43" s="56" t="str">
        <f t="array" ref="FU43">IF($DU43="","", INDEX(#REF!,MATCH(CONCATENATE('Respuestas de formulario 1.1'!$B43,$DT43),#REF!,0),MATCH('Respuestas de formulario 1.1'!FU$1,#REF!,0)))</f>
        <v/>
      </c>
      <c r="FV43" s="56" t="str">
        <f t="array" ref="FV43">IF($DU43="","", INDEX(#REF!,MATCH(CONCATENATE('Respuestas de formulario 1.1'!$B43,$DT43),#REF!,0),MATCH('Respuestas de formulario 1.1'!FV$1,#REF!,0)))</f>
        <v/>
      </c>
      <c r="FW43" s="56" t="str">
        <f t="array" ref="FW43">IF($DU43="","", INDEX(#REF!,MATCH(CONCATENATE('Respuestas de formulario 1.1'!$B43,$DT43),#REF!,0),MATCH('Respuestas de formulario 1.1'!FW$1,#REF!,0)))</f>
        <v/>
      </c>
      <c r="FX43" s="56" t="str">
        <f t="array" ref="FX43">IF($DU43="","", INDEX(#REF!,MATCH(CONCATENATE('Respuestas de formulario 1.1'!$B43,$DT43),#REF!,0),MATCH('Respuestas de formulario 1.1'!FX$1,#REF!,0)))</f>
        <v/>
      </c>
      <c r="FY43" s="45" t="str">
        <f t="array" ref="FY43">IF($DU43="","", INDEX(#REF!,MATCH(CONCATENATE('Respuestas de formulario 1.1'!$B43,$DT43),#REF!,0),MATCH('Respuestas de formulario 1.1'!FY$1,#REF!,0)))</f>
        <v/>
      </c>
      <c r="FZ43" s="3" t="s">
        <v>2860</v>
      </c>
      <c r="GA43" s="1" t="s">
        <v>3548</v>
      </c>
      <c r="GB43" s="5" t="s">
        <v>3549</v>
      </c>
      <c r="GC43" s="4" t="str">
        <f>HYPERLINK("https://drive.google.com/file/d/1gH0wz28gqgbX9Q5LRKA-3jHURkYGqkp3/view?usp=drivesdk","ESCAMILLA BUCIO EMMANUEL ALEJANDRO Formato de reinscripción y pago 2022-2")</f>
        <v>ESCAMILLA BUCIO EMMANUEL ALEJANDRO Formato de reinscripción y pago 2022-2</v>
      </c>
      <c r="GD43" s="1" t="s">
        <v>3550</v>
      </c>
      <c r="GE43" s="1"/>
      <c r="GF43" s="1"/>
      <c r="GG43" s="1"/>
      <c r="GH43" s="1"/>
      <c r="GI43" s="1" t="s">
        <v>3551</v>
      </c>
      <c r="GJ43" s="5" t="s">
        <v>3552</v>
      </c>
      <c r="GK43" s="5" t="str">
        <f>HYPERLINK("https://drive.google.com/file/d/18xs4_7wmWiPNAjOaiT5DgH9zRcG9JkfO/view?usp=drivesdk","ESCAMILLA BUCIO EMMANUEL ALEJANDRO Formato de reinscripción y pago 2022-2")</f>
        <v>ESCAMILLA BUCIO EMMANUEL ALEJANDRO Formato de reinscripción y pago 2022-2</v>
      </c>
      <c r="GL43" s="1" t="s">
        <v>3553</v>
      </c>
    </row>
    <row r="44" spans="1:194" ht="38.25" x14ac:dyDescent="0.2">
      <c r="A44" s="2">
        <v>45139.704999236114</v>
      </c>
      <c r="B44" s="1" t="s">
        <v>1708</v>
      </c>
      <c r="C44" s="1" t="s">
        <v>1709</v>
      </c>
      <c r="D44" s="1" t="s">
        <v>694</v>
      </c>
      <c r="E44" s="1" t="s">
        <v>1710</v>
      </c>
      <c r="F44" s="1" t="s">
        <v>262</v>
      </c>
      <c r="G44" s="5" t="s">
        <v>3554</v>
      </c>
      <c r="H44" s="41">
        <v>39295</v>
      </c>
      <c r="I44" s="1">
        <v>16</v>
      </c>
      <c r="J44" s="1">
        <v>5536946699</v>
      </c>
      <c r="K44" s="1">
        <v>5555696810</v>
      </c>
      <c r="L44" s="1" t="s">
        <v>1711</v>
      </c>
      <c r="M44" s="1">
        <v>22309060570122</v>
      </c>
      <c r="N44" s="1" t="s">
        <v>562</v>
      </c>
      <c r="O44" s="1" t="s">
        <v>247</v>
      </c>
      <c r="P44" s="1" t="s">
        <v>278</v>
      </c>
      <c r="Q44" s="1" t="s">
        <v>227</v>
      </c>
      <c r="R44" s="1" t="s">
        <v>236</v>
      </c>
      <c r="S44" s="1" t="s">
        <v>228</v>
      </c>
      <c r="T44" s="1" t="s">
        <v>411</v>
      </c>
      <c r="U44" s="1" t="s">
        <v>264</v>
      </c>
      <c r="V44" s="1" t="s">
        <v>228</v>
      </c>
      <c r="W44" s="1" t="s">
        <v>3555</v>
      </c>
      <c r="X44" s="1" t="s">
        <v>264</v>
      </c>
      <c r="Y44" s="1" t="s">
        <v>1716</v>
      </c>
      <c r="Z44" s="1" t="s">
        <v>231</v>
      </c>
      <c r="AA44" s="1">
        <v>57600</v>
      </c>
      <c r="AB44" s="1">
        <v>245</v>
      </c>
      <c r="AC44" s="1">
        <v>245</v>
      </c>
      <c r="AD44" s="1" t="s">
        <v>3556</v>
      </c>
      <c r="AE44" s="1" t="s">
        <v>3557</v>
      </c>
      <c r="AF44" s="1" t="s">
        <v>586</v>
      </c>
      <c r="AG44" s="1">
        <v>23</v>
      </c>
      <c r="AH44" s="5" t="s">
        <v>3558</v>
      </c>
      <c r="AI44" s="1">
        <v>5571348318</v>
      </c>
      <c r="AJ44" s="1">
        <v>5555898810</v>
      </c>
      <c r="AK44" s="1" t="s">
        <v>1712</v>
      </c>
      <c r="AL44" s="1" t="s">
        <v>1709</v>
      </c>
      <c r="AM44" s="1" t="s">
        <v>1500</v>
      </c>
      <c r="AN44" s="1" t="s">
        <v>1713</v>
      </c>
      <c r="AO44" s="1" t="s">
        <v>420</v>
      </c>
      <c r="AP44" s="1">
        <v>66</v>
      </c>
      <c r="AQ44" s="1" t="s">
        <v>1020</v>
      </c>
      <c r="AR44" s="42">
        <v>0.375</v>
      </c>
      <c r="AS44" s="42">
        <v>0.75</v>
      </c>
      <c r="AT44" s="1">
        <v>5618217400</v>
      </c>
      <c r="AU44" s="1">
        <v>5555898810</v>
      </c>
      <c r="AV44" s="1" t="s">
        <v>1714</v>
      </c>
      <c r="AW44" s="5" t="s">
        <v>3559</v>
      </c>
      <c r="AX44" s="1" t="s">
        <v>694</v>
      </c>
      <c r="AY44" s="1" t="s">
        <v>251</v>
      </c>
      <c r="AZ44" s="1" t="s">
        <v>1039</v>
      </c>
      <c r="BA44" s="1" t="s">
        <v>461</v>
      </c>
      <c r="BB44" s="1">
        <v>47</v>
      </c>
      <c r="BC44" s="1" t="s">
        <v>328</v>
      </c>
      <c r="BD44" s="43">
        <v>0</v>
      </c>
      <c r="BE44" s="43">
        <v>0</v>
      </c>
      <c r="BF44" s="1">
        <v>5587819287</v>
      </c>
      <c r="BG44" s="1">
        <v>5555898810</v>
      </c>
      <c r="BH44" s="1" t="s">
        <v>3560</v>
      </c>
      <c r="BI44" s="5" t="s">
        <v>3561</v>
      </c>
      <c r="BJ44" s="1" t="s">
        <v>236</v>
      </c>
      <c r="BL44" s="1">
        <v>1.7</v>
      </c>
      <c r="BM44" s="1">
        <v>60</v>
      </c>
      <c r="BN44" s="1" t="s">
        <v>228</v>
      </c>
      <c r="BO44" s="1" t="s">
        <v>228</v>
      </c>
      <c r="BQ44" s="1" t="s">
        <v>228</v>
      </c>
      <c r="BR44" s="1" t="s">
        <v>237</v>
      </c>
      <c r="BS44" s="1" t="s">
        <v>228</v>
      </c>
      <c r="BT44" s="1" t="s">
        <v>237</v>
      </c>
      <c r="BU44" s="1" t="s">
        <v>228</v>
      </c>
      <c r="BW44" s="1" t="s">
        <v>272</v>
      </c>
      <c r="BX44" s="1">
        <v>45</v>
      </c>
      <c r="BY44" s="1">
        <v>22</v>
      </c>
      <c r="BZ44" s="1" t="s">
        <v>3562</v>
      </c>
      <c r="CA44" s="1" t="s">
        <v>1005</v>
      </c>
      <c r="CB44" s="1" t="s">
        <v>231</v>
      </c>
      <c r="CC44" s="1" t="s">
        <v>459</v>
      </c>
      <c r="CD44" s="1">
        <v>999</v>
      </c>
      <c r="CE44" s="1">
        <v>3000</v>
      </c>
      <c r="CF44" s="1" t="s">
        <v>236</v>
      </c>
      <c r="CG44" s="1" t="s">
        <v>242</v>
      </c>
      <c r="CH44" s="1" t="s">
        <v>243</v>
      </c>
      <c r="CI44" s="1" t="s">
        <v>243</v>
      </c>
      <c r="CJ44" s="1" t="s">
        <v>2848</v>
      </c>
      <c r="CL44" s="5" t="s">
        <v>3563</v>
      </c>
      <c r="CM44" s="44" t="s">
        <v>1715</v>
      </c>
      <c r="CN44" s="1" t="s">
        <v>228</v>
      </c>
      <c r="CQ44" s="42">
        <v>0.45833333333575865</v>
      </c>
      <c r="CR44" s="42">
        <v>0.54166666666424135</v>
      </c>
      <c r="CT44" s="45" t="str">
        <f t="array" ref="CT44">IFERROR(INDEX(#REF!,MATCH('Respuestas de formulario 1.1'!$B44,#REF!,0),MATCH('Respuestas de formulario 1.1'!CT$1,#REF!,0)),"")</f>
        <v/>
      </c>
      <c r="CU44" s="56" t="str">
        <f t="array" ref="CU44">IFERROR(INDEX(#REF!,MATCH('Respuestas de formulario 1.1'!$B44,#REF!,0),MATCH('Respuestas de formulario 1.1'!CU$1,#REF!,0)),"")</f>
        <v/>
      </c>
      <c r="CV44" s="56" t="str">
        <f t="array" ref="CV44">IFERROR(INDEX(#REF!,MATCH('Respuestas de formulario 1.1'!$B44,#REF!,0),MATCH('Respuestas de formulario 1.1'!CV$1,#REF!,0)),"")</f>
        <v/>
      </c>
      <c r="CW44" s="56" t="str">
        <f t="array" ref="CW44">IFERROR(INDEX(#REF!,MATCH('Respuestas de formulario 1.1'!$B44,#REF!,0),MATCH('Respuestas de formulario 1.1'!CW$1,#REF!,0)),"")</f>
        <v/>
      </c>
      <c r="CX44" s="56" t="str">
        <f t="array" ref="CX44">IFERROR(INDEX(#REF!,MATCH('Respuestas de formulario 1.1'!$B44,#REF!,0),MATCH('Respuestas de formulario 1.1'!CX$1,#REF!,0)),"")</f>
        <v/>
      </c>
      <c r="CY44" s="56" t="str">
        <f t="array" ref="CY44">IFERROR(INDEX(#REF!,MATCH('Respuestas de formulario 1.1'!$B44,#REF!,0),MATCH('Respuestas de formulario 1.1'!CY$1,#REF!,0)),"")</f>
        <v/>
      </c>
      <c r="CZ44" s="57" t="str">
        <f t="array" ref="CZ44">IFERROR(INDEX(#REF!,MATCH('Respuestas de formulario 1.1'!$B44,#REF!,0),MATCH('Respuestas de formulario 1.1'!CZ$1,#REF!,0)),"")</f>
        <v/>
      </c>
      <c r="DA44" s="45" t="e">
        <f t="array" ref="DA44">INDEX(#REF!,MATCH('Respuestas de formulario 1.1'!$B44,#REF!,0),MATCH('Respuestas de formulario 1.1'!DA$1,#REF!,0))</f>
        <v>#REF!</v>
      </c>
      <c r="DB44" s="45" t="e">
        <f t="array" ref="DB44">INDEX(#REF!,MATCH('Respuestas de formulario 1.1'!$B44,#REF!,0),MATCH('Respuestas de formulario 1.1'!DB$1,#REF!,0))</f>
        <v>#REF!</v>
      </c>
      <c r="DC44" s="45" t="e">
        <f t="array" ref="DC44">INDEX(#REF!,MATCH('Respuestas de formulario 1.1'!$B44,#REF!,0),MATCH('Respuestas de formulario 1.1'!DC$1,#REF!,0))</f>
        <v>#REF!</v>
      </c>
      <c r="DD44" s="45" t="e">
        <f t="array" ref="DD44">INDEX(#REF!,MATCH('Respuestas de formulario 1.1'!$B44,#REF!,0),MATCH('Respuestas de formulario 1.1'!DD$1,#REF!,0))</f>
        <v>#REF!</v>
      </c>
      <c r="DE44" s="45" t="e">
        <f t="array" ref="DE44">INDEX(#REF!,MATCH('Respuestas de formulario 1.1'!$B44,#REF!,0),MATCH('Respuestas de formulario 1.1'!DE$1,#REF!,0))</f>
        <v>#REF!</v>
      </c>
      <c r="DF44" s="45" t="e">
        <f t="array" ref="DF44">INDEX(#REF!,MATCH('Respuestas de formulario 1.1'!$B44,#REF!,0),MATCH('Respuestas de formulario 1.1'!DF$1,#REF!,0))</f>
        <v>#REF!</v>
      </c>
      <c r="DG44" s="45" t="e">
        <f t="array" ref="DG44">INDEX(#REF!,MATCH('Respuestas de formulario 1.1'!$B44,#REF!,0),MATCH('Respuestas de formulario 1.1'!DG$1,#REF!,0))</f>
        <v>#REF!</v>
      </c>
      <c r="DH44" s="45" t="e">
        <f t="array" ref="DH44">INDEX(#REF!,MATCH('Respuestas de formulario 1.1'!$B44,#REF!,0),MATCH('Respuestas de formulario 1.1'!DH$1,#REF!,0))</f>
        <v>#REF!</v>
      </c>
      <c r="DI44" s="48" t="e">
        <f>VLOOKUP(CONCATENATE($DF44," TUTO ",$DC44),#REF!,3,0)</f>
        <v>#REF!</v>
      </c>
      <c r="DJ44" s="48" t="e">
        <f t="array" ref="DJ44">IF('Respuestas de formulario 1.1'!A44="","",INDEX(#REF!,MATCH('Respuestas de formulario 1.1'!B44,#REF!,0),MATCH('Respuestas de formulario 1.1'!$DH$1,#REF!,0)))</f>
        <v>#REF!</v>
      </c>
      <c r="DK44" s="52" t="str">
        <f>CONCATENATE("http://doc.google.com/uc?id=",MID('Respuestas de formulario 1.1'!G44,34,33))</f>
        <v>http://doc.google.com/uc?id=1cTN-nsAeLBbg49J0bYH0B8Xl_7nr-MSE</v>
      </c>
      <c r="DL44" s="49" t="str">
        <f>CONCATENATE("http://doc.google.com/uc?id=",MID('Respuestas de formulario 1.1'!AH44,34,33))</f>
        <v>http://doc.google.com/uc?id=1w_Cz98ZHG-ROR0R_5Ab-TesZCVNBX46Q</v>
      </c>
      <c r="DM44" s="50" t="str">
        <f>CONCATENATE("http://doc.google.com/uc?id=",MID('Respuestas de formulario 1.1'!AW44,34,33))</f>
        <v>http://doc.google.com/uc?id=1K9dlZzOPlKBXyiYHNpJceMWx87JcWHm8</v>
      </c>
      <c r="DN44" s="53" t="str">
        <f>CONCATENATE("http://doc.google.com/uc?id=",MID('Respuestas de formulario 1.1'!$BI44,34,33))</f>
        <v>http://doc.google.com/uc?id=19QfmfdSD4D6TRtBcbA-0xLYmL1Uf9ZDx</v>
      </c>
      <c r="DO44" s="45" t="str">
        <f>IFERROR(VLOOKUP(CONCATENATE('Respuestas de formulario 1.1'!$B44,MID('Respuestas de formulario 1.1'!DO$1,2,1)),#REF!,12,0),"")</f>
        <v/>
      </c>
      <c r="DP44" s="45" t="str">
        <f>IFERROR(VLOOKUP(CONCATENATE('Respuestas de formulario 1.1'!$B44,MID('Respuestas de formulario 1.1'!DP$1,2,1)),#REF!,12,0),"")</f>
        <v/>
      </c>
      <c r="DQ44" s="45" t="str">
        <f>IFERROR(VLOOKUP(CONCATENATE('Respuestas de formulario 1.1'!$B44,MID('Respuestas de formulario 1.1'!DQ$1,2,1)),#REF!,12,0),"")</f>
        <v/>
      </c>
      <c r="DR44" s="45" t="str">
        <f>IFERROR(VLOOKUP(CONCATENATE('Respuestas de formulario 1.1'!$B44,MID('Respuestas de formulario 1.1'!DR$1,2,1)),#REF!,12,0),"")</f>
        <v/>
      </c>
      <c r="DS44" s="45" t="str">
        <f>IFERROR(VLOOKUP(CONCATENATE('Respuestas de formulario 1.1'!$B44,MID('Respuestas de formulario 1.1'!DS$1,2,1)),#REF!,12,0),"")</f>
        <v/>
      </c>
      <c r="DT44" s="45" t="str">
        <f>IFERROR(VLOOKUP(CONCATENATE('Respuestas de formulario 1.1'!$B44,MID('Respuestas de formulario 1.1'!DT$1,2,1)),#REF!,12,0),"")</f>
        <v/>
      </c>
      <c r="DU44" s="45" t="str">
        <f>IFERROR(VLOOKUP(CONCATENATE('Respuestas de formulario 1.1'!$B44,MID('Respuestas de formulario 1.1'!DU$1,2,1)),#REF!,12,0),"")</f>
        <v/>
      </c>
      <c r="DV44" s="45" t="str">
        <f>IFERROR(VLOOKUP(CONCATENATE('Respuestas de formulario 1.1'!$B44,MID('Respuestas de formulario 1.1'!DV$1,2,1)),#REF!,12,0),"")</f>
        <v/>
      </c>
      <c r="DW44" s="45" t="str">
        <f>IFERROR(VLOOKUP(CONCATENATE('Respuestas de formulario 1.1'!$B44,MID('Respuestas de formulario 1.1'!DW$1,2,1)),#REF!,12,0),"")</f>
        <v/>
      </c>
      <c r="DX44" s="45" t="str">
        <f>IFERROR(VLOOKUP(CONCATENATE('Respuestas de formulario 1.1'!$B44,MID('Respuestas de formulario 1.1'!DX$1,2,1)),#REF!,12,0),"")</f>
        <v/>
      </c>
      <c r="DY44" s="45" t="str">
        <f>IFERROR(VLOOKUP(CONCATENATE('Respuestas de formulario 1.1'!$B44,MID('Respuestas de formulario 1.1'!DY$1,2,1)),#REF!,12,0),"")</f>
        <v/>
      </c>
      <c r="DZ44" s="45" t="str">
        <f>IFERROR(VLOOKUP(CONCATENATE('Respuestas de formulario 1.1'!$B44,MID('Respuestas de formulario 1.1'!DZ$1,2,1)),#REF!,12,0),"")</f>
        <v/>
      </c>
      <c r="EA44" s="45" t="str">
        <f>IFERROR(VLOOKUP(CONCATENATE('Respuestas de formulario 1.1'!$B44,MID('Respuestas de formulario 1.1'!EA$1,2,1)),#REF!,12,0),"")</f>
        <v/>
      </c>
      <c r="EB44" s="45" t="str">
        <f>IFERROR(VLOOKUP(CONCATENATE('Respuestas de formulario 1.1'!$B44,MID('Respuestas de formulario 1.1'!EB$1,2,1)),#REF!,12,0),"")</f>
        <v/>
      </c>
      <c r="EC44" s="45" t="str">
        <f>IFERROR(VLOOKUP(CONCATENATE('Respuestas de formulario 1.1'!$B44,MID('Respuestas de formulario 1.1'!EC$1,2,1)),#REF!,12,0),"")</f>
        <v/>
      </c>
      <c r="ED44" s="45" t="str">
        <f>IFERROR(VLOOKUP(CONCATENATE('Respuestas de formulario 1.1'!$B44,MID('Respuestas de formulario 1.1'!ED$1,2,1)),#REF!,12,0),"")</f>
        <v/>
      </c>
      <c r="EE44" s="45" t="str">
        <f>IFERROR(VLOOKUP(CONCATENATE('Respuestas de formulario 1.1'!$B44,MID('Respuestas de formulario 1.1'!EE$1,2,1)),#REF!,12,0),"")</f>
        <v/>
      </c>
      <c r="EF44" s="45" t="str">
        <f>IFERROR(VLOOKUP(CONCATENATE('Respuestas de formulario 1.1'!$B44,MID('Respuestas de formulario 1.1'!EF$1,2,1)),#REF!,12,0),"")</f>
        <v/>
      </c>
      <c r="EG44" s="45" t="str">
        <f>IFERROR(VLOOKUP(CONCATENATE('Respuestas de formulario 1.1'!$B44,MID('Respuestas de formulario 1.1'!EG$1,2,1)),#REF!,12,0),"")</f>
        <v/>
      </c>
      <c r="EH44" s="45" t="str">
        <f>IFERROR(VLOOKUP(CONCATENATE('Respuestas de formulario 1.1'!$B44,MID('Respuestas de formulario 1.1'!EH$1,2,1)),#REF!,12,0),"")</f>
        <v/>
      </c>
      <c r="EI44" s="45" t="str">
        <f>IFERROR(VLOOKUP(CONCATENATE('Respuestas de formulario 1.1'!$B44,MID('Respuestas de formulario 1.1'!EI$1,2,1)),#REF!,12,0),"")</f>
        <v/>
      </c>
      <c r="EJ44" s="45" t="str">
        <f t="array" ref="EJ44">IF(DO44="","", INDEX(#REF!,MATCH(CONCATENATE('Respuestas de formulario 1.1'!$B44,DO44),#REF!,0),MATCH('Respuestas de formulario 1.1'!EJ$1,#REF!,0)))</f>
        <v/>
      </c>
      <c r="EK44" s="56" t="str">
        <f t="array" ref="EK44">IF(DP44="","", INDEX(#REF!,MATCH(CONCATENATE('Respuestas de formulario 1.1'!$B44,DP44),#REF!,0),MATCH('Respuestas de formulario 1.1'!EK$1,#REF!,0)))</f>
        <v/>
      </c>
      <c r="EL44" s="56" t="str">
        <f t="array" ref="EL44">IF(DQ44="","", INDEX(#REF!,MATCH(CONCATENATE('Respuestas de formulario 1.1'!$B44,DQ44),#REF!,0),MATCH('Respuestas de formulario 1.1'!EL$1,#REF!,0)))</f>
        <v/>
      </c>
      <c r="EM44" s="56" t="str">
        <f t="array" ref="EM44">IF(DR44="","", INDEX(#REF!,MATCH(CONCATENATE('Respuestas de formulario 1.1'!$B44,DR44),#REF!,0),MATCH('Respuestas de formulario 1.1'!EM$1,#REF!,0)))</f>
        <v/>
      </c>
      <c r="EN44" s="56" t="str">
        <f t="array" ref="EN44">IF(DS44="","", INDEX(#REF!,MATCH(CONCATENATE('Respuestas de formulario 1.1'!$B44,DS44),#REF!,0),MATCH('Respuestas de formulario 1.1'!EN$1,#REF!,0)))</f>
        <v/>
      </c>
      <c r="EO44" s="56" t="str">
        <f t="array" ref="EO44">IF(DT44="","", INDEX(#REF!,MATCH(CONCATENATE('Respuestas de formulario 1.1'!$B44,DT44),#REF!,0),MATCH('Respuestas de formulario 1.1'!EO$1,#REF!,0)))</f>
        <v/>
      </c>
      <c r="EP44" s="45" t="str">
        <f t="array" ref="EP44">IF(DU44="","", INDEX(#REF!,MATCH(CONCATENATE('Respuestas de formulario 1.1'!$B44,DU44),#REF!,0),MATCH('Respuestas de formulario 1.1'!EP$1,#REF!,0)))</f>
        <v/>
      </c>
      <c r="EQ44" s="45" t="str">
        <f t="array" ref="EQ44">IF(DP44="","", INDEX(#REF!,MATCH(CONCATENATE('Respuestas de formulario 1.1'!$B44,DP44),#REF!,0),MATCH('Respuestas de formulario 1.1'!EQ$1,#REF!,0)))</f>
        <v/>
      </c>
      <c r="ER44" s="56" t="str">
        <f t="array" ref="ER44">IF(DQ44="","", INDEX(#REF!,MATCH(CONCATENATE('Respuestas de formulario 1.1'!$B44,DQ44),#REF!,0),MATCH('Respuestas de formulario 1.1'!ER$1,#REF!,0)))</f>
        <v/>
      </c>
      <c r="ES44" s="56" t="str">
        <f t="array" ref="ES44">IF(DR44="","", INDEX(#REF!,MATCH(CONCATENATE('Respuestas de formulario 1.1'!$B44,DR44),#REF!,0),MATCH('Respuestas de formulario 1.1'!ES$1,#REF!,0)))</f>
        <v/>
      </c>
      <c r="ET44" s="56" t="str">
        <f t="array" ref="ET44">IF(DS44="","", INDEX(#REF!,MATCH(CONCATENATE('Respuestas de formulario 1.1'!$B44,DS44),#REF!,0),MATCH('Respuestas de formulario 1.1'!ET$1,#REF!,0)))</f>
        <v/>
      </c>
      <c r="EU44" s="56" t="str">
        <f t="array" ref="EU44">IF(DT44="","", INDEX(#REF!,MATCH(CONCATENATE('Respuestas de formulario 1.1'!$B44,DT44),#REF!,0),MATCH('Respuestas de formulario 1.1'!EU$1,#REF!,0)))</f>
        <v/>
      </c>
      <c r="EV44" s="56" t="str">
        <f t="array" ref="EV44">IF(DU44="","", INDEX(#REF!,MATCH(CONCATENATE('Respuestas de formulario 1.1'!$B44,DU44),#REF!,0),MATCH('Respuestas de formulario 1.1'!EV$1,#REF!,0)))</f>
        <v/>
      </c>
      <c r="EW44" s="45" t="str">
        <f t="array" ref="EW44">IF(DV44="","", INDEX(#REF!,MATCH(CONCATENATE('Respuestas de formulario 1.1'!$B44,DV44),#REF!,0),MATCH('Respuestas de formulario 1.1'!EW$1,#REF!,0)))</f>
        <v/>
      </c>
      <c r="EX44" s="45" t="str">
        <f t="array" ref="EX44">IF($DQ44="","", INDEX(#REF!,MATCH(CONCATENATE('Respuestas de formulario 1.1'!$B44,$DQ44),#REF!,0),MATCH('Respuestas de formulario 1.1'!EX$1,#REF!,0)))</f>
        <v/>
      </c>
      <c r="EY44" s="56" t="str">
        <f t="array" ref="EY44">IF($DQ44="","", INDEX(#REF!,MATCH(CONCATENATE('Respuestas de formulario 1.1'!$B44,$DQ44),#REF!,0),MATCH('Respuestas de formulario 1.1'!EY$1,#REF!,0)))</f>
        <v/>
      </c>
      <c r="EZ44" s="56" t="str">
        <f t="array" ref="EZ44">IF($DQ44="","", INDEX(#REF!,MATCH(CONCATENATE('Respuestas de formulario 1.1'!$B44,$DQ44),#REF!,0),MATCH('Respuestas de formulario 1.1'!EZ$1,#REF!,0)))</f>
        <v/>
      </c>
      <c r="FA44" s="56" t="str">
        <f t="array" ref="FA44">IF($DQ44="","", INDEX(#REF!,MATCH(CONCATENATE('Respuestas de formulario 1.1'!$B44,$DQ44),#REF!,0),MATCH('Respuestas de formulario 1.1'!FA$1,#REF!,0)))</f>
        <v/>
      </c>
      <c r="FB44" s="56" t="str">
        <f t="array" ref="FB44">IF($DQ44="","", INDEX(#REF!,MATCH(CONCATENATE('Respuestas de formulario 1.1'!$B44,$DQ44),#REF!,0),MATCH('Respuestas de formulario 1.1'!FB$1,#REF!,0)))</f>
        <v/>
      </c>
      <c r="FC44" s="56" t="str">
        <f t="array" ref="FC44">IF($DQ44="","", INDEX(#REF!,MATCH(CONCATENATE('Respuestas de formulario 1.1'!$B44,$DQ44),#REF!,0),MATCH('Respuestas de formulario 1.1'!FC$1,#REF!,0)))</f>
        <v/>
      </c>
      <c r="FD44" s="45" t="str">
        <f t="array" ref="FD44">IF($DQ44="","", INDEX(#REF!,MATCH(CONCATENATE('Respuestas de formulario 1.1'!$B44,$DQ44),#REF!,0),MATCH('Respuestas de formulario 1.1'!FD$1,#REF!,0)))</f>
        <v/>
      </c>
      <c r="FE44" s="45" t="str">
        <f t="array" ref="FE44">IF($DR44="","", INDEX(#REF!,MATCH(CONCATENATE(#REF!,$DR44),#REF!,0),MATCH(#REF!,#REF!,0)))</f>
        <v/>
      </c>
      <c r="FF44" s="56" t="str">
        <f t="array" ref="FF44">IF($DR44="","", INDEX(#REF!,MATCH(CONCATENATE(#REF!,$DR44),#REF!,0),MATCH(#REF!,#REF!,0)))</f>
        <v/>
      </c>
      <c r="FG44" s="56" t="str">
        <f t="array" ref="FG44">IF($DR44="","", INDEX(#REF!,MATCH(CONCATENATE(#REF!,$DR44),#REF!,0),MATCH(#REF!,#REF!,0)))</f>
        <v/>
      </c>
      <c r="FH44" s="56" t="str">
        <f t="array" ref="FH44">IF($DR44="","", INDEX(#REF!,MATCH(CONCATENATE(#REF!,$DR44),#REF!,0),MATCH(#REF!,#REF!,0)))</f>
        <v/>
      </c>
      <c r="FI44" s="56" t="str">
        <f t="array" ref="FI44">IF($DR44="","", INDEX(#REF!,MATCH(CONCATENATE(#REF!,$DR44),#REF!,0),MATCH(#REF!,#REF!,0)))</f>
        <v/>
      </c>
      <c r="FJ44" s="56" t="str">
        <f t="array" ref="FJ44">IF($DR44="","", INDEX(#REF!,MATCH(CONCATENATE(#REF!,$DR44),#REF!,0),MATCH(#REF!,#REF!,0)))</f>
        <v/>
      </c>
      <c r="FK44" s="45" t="str">
        <f t="array" ref="FK44">IF($DR44="","", INDEX(#REF!,MATCH(CONCATENATE(#REF!,$DR44),#REF!,0),MATCH(#REF!,#REF!,0)))</f>
        <v/>
      </c>
      <c r="FL44" s="45" t="str">
        <f t="array" ref="FL44">IF($DT44="","", INDEX(#REF!,MATCH(CONCATENATE('Respuestas de formulario 1.1'!$B44,$DS44),#REF!,0),MATCH('Respuestas de formulario 1.1'!FL$1,#REF!,0)))</f>
        <v/>
      </c>
      <c r="FM44" s="56" t="str">
        <f t="array" ref="FM44">IF($DT44="","", INDEX(#REF!,MATCH(CONCATENATE('Respuestas de formulario 1.1'!$B44,$DS44),#REF!,0),MATCH('Respuestas de formulario 1.1'!FM$1,#REF!,0)))</f>
        <v/>
      </c>
      <c r="FN44" s="56" t="str">
        <f t="array" ref="FN44">IF($DT44="","", INDEX(#REF!,MATCH(CONCATENATE('Respuestas de formulario 1.1'!$B44,$DS44),#REF!,0),MATCH('Respuestas de formulario 1.1'!FN$1,#REF!,0)))</f>
        <v/>
      </c>
      <c r="FO44" s="56" t="str">
        <f t="array" ref="FO44">IF($DT44="","", INDEX(#REF!,MATCH(CONCATENATE('Respuestas de formulario 1.1'!$B44,$DS44),#REF!,0),MATCH('Respuestas de formulario 1.1'!FO$1,#REF!,0)))</f>
        <v/>
      </c>
      <c r="FP44" s="56" t="str">
        <f t="array" ref="FP44">IF($DT44="","", INDEX(#REF!,MATCH(CONCATENATE('Respuestas de formulario 1.1'!$B44,$DS44),#REF!,0),MATCH('Respuestas de formulario 1.1'!FP$1,#REF!,0)))</f>
        <v/>
      </c>
      <c r="FQ44" s="56" t="str">
        <f t="array" ref="FQ44">IF($DT44="","", INDEX(#REF!,MATCH(CONCATENATE('Respuestas de formulario 1.1'!$B44,$DS44),#REF!,0),MATCH('Respuestas de formulario 1.1'!FQ$1,#REF!,0)))</f>
        <v/>
      </c>
      <c r="FR44" s="45" t="str">
        <f t="array" ref="FR44">IF($DT44="","", INDEX(#REF!,MATCH(CONCATENATE('Respuestas de formulario 1.1'!$B44,$DS44),#REF!,0),MATCH('Respuestas de formulario 1.1'!FR$1,#REF!,0)))</f>
        <v/>
      </c>
      <c r="FS44" s="45" t="str">
        <f t="array" ref="FS44">IF($DU44="","", INDEX(#REF!,MATCH(CONCATENATE('Respuestas de formulario 1.1'!$B44,$DT44),#REF!,0),MATCH('Respuestas de formulario 1.1'!FS$1,#REF!,0)))</f>
        <v/>
      </c>
      <c r="FT44" s="56" t="str">
        <f t="array" ref="FT44">IF($DU44="","", INDEX(#REF!,MATCH(CONCATENATE('Respuestas de formulario 1.1'!$B44,$DT44),#REF!,0),MATCH('Respuestas de formulario 1.1'!FT$1,#REF!,0)))</f>
        <v/>
      </c>
      <c r="FU44" s="56" t="str">
        <f t="array" ref="FU44">IF($DU44="","", INDEX(#REF!,MATCH(CONCATENATE('Respuestas de formulario 1.1'!$B44,$DT44),#REF!,0),MATCH('Respuestas de formulario 1.1'!FU$1,#REF!,0)))</f>
        <v/>
      </c>
      <c r="FV44" s="56" t="str">
        <f t="array" ref="FV44">IF($DU44="","", INDEX(#REF!,MATCH(CONCATENATE('Respuestas de formulario 1.1'!$B44,$DT44),#REF!,0),MATCH('Respuestas de formulario 1.1'!FV$1,#REF!,0)))</f>
        <v/>
      </c>
      <c r="FW44" s="56" t="str">
        <f t="array" ref="FW44">IF($DU44="","", INDEX(#REF!,MATCH(CONCATENATE('Respuestas de formulario 1.1'!$B44,$DT44),#REF!,0),MATCH('Respuestas de formulario 1.1'!FW$1,#REF!,0)))</f>
        <v/>
      </c>
      <c r="FX44" s="56" t="str">
        <f t="array" ref="FX44">IF($DU44="","", INDEX(#REF!,MATCH(CONCATENATE('Respuestas de formulario 1.1'!$B44,$DT44),#REF!,0),MATCH('Respuestas de formulario 1.1'!FX$1,#REF!,0)))</f>
        <v/>
      </c>
      <c r="FY44" s="45" t="str">
        <f t="array" ref="FY44">IF($DU44="","", INDEX(#REF!,MATCH(CONCATENATE('Respuestas de formulario 1.1'!$B44,$DT44),#REF!,0),MATCH('Respuestas de formulario 1.1'!FY$1,#REF!,0)))</f>
        <v/>
      </c>
      <c r="FZ44" s="3" t="s">
        <v>2860</v>
      </c>
      <c r="GA44" s="1" t="s">
        <v>3564</v>
      </c>
      <c r="GB44" s="5" t="s">
        <v>3565</v>
      </c>
      <c r="GC44" s="4" t="str">
        <f>HYPERLINK("https://drive.google.com/file/d/1UD_JqQ1STqoOYyJHC54WUxfQ5-TFoPry/view?usp=drivesdk","CARIÑO RESENDIZ EMANUEL FROYLAN Formato de reinscripción y pago 2022-2")</f>
        <v>CARIÑO RESENDIZ EMANUEL FROYLAN Formato de reinscripción y pago 2022-2</v>
      </c>
      <c r="GD44" s="1" t="s">
        <v>3566</v>
      </c>
      <c r="GE44" s="1"/>
      <c r="GF44" s="1"/>
      <c r="GG44" s="1"/>
      <c r="GH44" s="1"/>
      <c r="GI44" s="1" t="s">
        <v>3567</v>
      </c>
      <c r="GJ44" s="5" t="s">
        <v>3568</v>
      </c>
      <c r="GK44" s="5" t="str">
        <f>HYPERLINK("https://drive.google.com/file/d/1iM7YFjCNXgy1RFgU5kzNAol0sXVZN43U/view?usp=drivesdk","CARIÑO RESENDIZ EMANUEL FROYLAN Formato de reinscripción y pago 2022-2")</f>
        <v>CARIÑO RESENDIZ EMANUEL FROYLAN Formato de reinscripción y pago 2022-2</v>
      </c>
      <c r="GL44" s="1" t="s">
        <v>3569</v>
      </c>
    </row>
    <row r="45" spans="1:194" ht="38.25" x14ac:dyDescent="0.2">
      <c r="A45" s="2">
        <v>45139.072547754629</v>
      </c>
      <c r="B45" s="1" t="s">
        <v>2558</v>
      </c>
      <c r="C45" s="1" t="s">
        <v>682</v>
      </c>
      <c r="D45" s="1" t="s">
        <v>1805</v>
      </c>
      <c r="E45" s="1" t="s">
        <v>2559</v>
      </c>
      <c r="F45" s="1" t="s">
        <v>262</v>
      </c>
      <c r="G45" s="5" t="s">
        <v>3570</v>
      </c>
      <c r="H45" s="41">
        <v>39264</v>
      </c>
      <c r="I45" s="1">
        <v>16</v>
      </c>
      <c r="J45" s="1">
        <v>5566786780</v>
      </c>
      <c r="K45" s="1">
        <v>5565831267</v>
      </c>
      <c r="L45" s="1" t="s">
        <v>2560</v>
      </c>
      <c r="M45" s="1">
        <v>223090605704</v>
      </c>
      <c r="N45" s="1" t="s">
        <v>562</v>
      </c>
      <c r="O45" s="1" t="s">
        <v>225</v>
      </c>
      <c r="P45" s="1" t="s">
        <v>226</v>
      </c>
      <c r="Q45" s="1" t="s">
        <v>248</v>
      </c>
      <c r="R45" s="1" t="s">
        <v>236</v>
      </c>
      <c r="S45" s="1" t="s">
        <v>236</v>
      </c>
      <c r="T45" s="1" t="s">
        <v>229</v>
      </c>
      <c r="U45" s="1" t="s">
        <v>264</v>
      </c>
      <c r="V45" s="1" t="s">
        <v>228</v>
      </c>
      <c r="W45" s="1" t="s">
        <v>3571</v>
      </c>
      <c r="X45" s="1" t="s">
        <v>264</v>
      </c>
      <c r="Y45" s="1" t="s">
        <v>823</v>
      </c>
      <c r="Z45" s="1" t="s">
        <v>231</v>
      </c>
      <c r="AA45" s="1">
        <v>57200</v>
      </c>
      <c r="AB45" s="1">
        <v>32</v>
      </c>
      <c r="AC45" s="1" t="s">
        <v>437</v>
      </c>
      <c r="AD45" s="1" t="s">
        <v>3572</v>
      </c>
      <c r="AE45" s="1" t="s">
        <v>3573</v>
      </c>
      <c r="AF45" s="1" t="s">
        <v>435</v>
      </c>
      <c r="AG45" s="1">
        <v>44</v>
      </c>
      <c r="AH45" s="5" t="s">
        <v>3574</v>
      </c>
      <c r="AI45" s="1">
        <v>5540191562</v>
      </c>
      <c r="AJ45" s="1">
        <v>5565831267</v>
      </c>
      <c r="AK45" s="1" t="s">
        <v>3575</v>
      </c>
      <c r="AL45" s="1" t="s">
        <v>1805</v>
      </c>
      <c r="AM45" s="1" t="s">
        <v>2561</v>
      </c>
      <c r="AN45" s="1" t="s">
        <v>1396</v>
      </c>
      <c r="AO45" s="1" t="s">
        <v>445</v>
      </c>
      <c r="AP45" s="1">
        <v>36</v>
      </c>
      <c r="AQ45" s="1" t="s">
        <v>328</v>
      </c>
      <c r="AR45" s="42">
        <v>0.5</v>
      </c>
      <c r="AS45" s="42">
        <v>0.5</v>
      </c>
      <c r="AT45" s="1">
        <v>5566255385</v>
      </c>
      <c r="AU45" s="1">
        <v>5565831267</v>
      </c>
      <c r="AV45" s="1" t="s">
        <v>3576</v>
      </c>
      <c r="AW45" s="5" t="s">
        <v>3577</v>
      </c>
      <c r="AX45" s="1" t="s">
        <v>682</v>
      </c>
      <c r="AY45" s="1" t="s">
        <v>1805</v>
      </c>
      <c r="AZ45" s="1" t="s">
        <v>3578</v>
      </c>
      <c r="BA45" s="1" t="s">
        <v>403</v>
      </c>
      <c r="BB45" s="1">
        <v>20</v>
      </c>
      <c r="BC45" s="1" t="s">
        <v>303</v>
      </c>
      <c r="BD45" s="43">
        <v>0.28472222221898846</v>
      </c>
      <c r="BE45" s="43">
        <v>0.58333333333575865</v>
      </c>
      <c r="BF45" s="1">
        <v>5566245987</v>
      </c>
      <c r="BG45" s="1">
        <v>5565831267</v>
      </c>
      <c r="BH45" s="1" t="s">
        <v>3579</v>
      </c>
      <c r="BI45" s="5" t="s">
        <v>3580</v>
      </c>
      <c r="BJ45" s="1" t="s">
        <v>236</v>
      </c>
      <c r="BK45" s="1" t="s">
        <v>437</v>
      </c>
      <c r="BL45" s="1">
        <v>174</v>
      </c>
      <c r="BM45" s="1">
        <v>78</v>
      </c>
      <c r="BN45" s="1" t="s">
        <v>228</v>
      </c>
      <c r="BO45" s="1" t="s">
        <v>228</v>
      </c>
      <c r="BP45" s="1" t="s">
        <v>437</v>
      </c>
      <c r="BQ45" s="1" t="s">
        <v>228</v>
      </c>
      <c r="BR45" s="1" t="s">
        <v>237</v>
      </c>
      <c r="BS45" s="1" t="s">
        <v>228</v>
      </c>
      <c r="BT45" s="1" t="s">
        <v>237</v>
      </c>
      <c r="BU45" s="1" t="s">
        <v>228</v>
      </c>
      <c r="BW45" s="1" t="s">
        <v>238</v>
      </c>
      <c r="BX45" s="1">
        <v>50</v>
      </c>
      <c r="BY45" s="1">
        <v>250</v>
      </c>
      <c r="BZ45" s="1" t="s">
        <v>253</v>
      </c>
      <c r="CA45" s="1" t="s">
        <v>1380</v>
      </c>
      <c r="CB45" s="1" t="s">
        <v>240</v>
      </c>
      <c r="CC45" s="1" t="s">
        <v>300</v>
      </c>
      <c r="CD45" s="1">
        <v>500</v>
      </c>
      <c r="CE45" s="1">
        <v>2500</v>
      </c>
      <c r="CF45" s="1" t="s">
        <v>236</v>
      </c>
      <c r="CG45" s="1" t="s">
        <v>256</v>
      </c>
      <c r="CH45" s="1" t="s">
        <v>243</v>
      </c>
      <c r="CI45" s="1" t="s">
        <v>243</v>
      </c>
      <c r="CJ45" s="1" t="s">
        <v>2848</v>
      </c>
      <c r="CL45" s="5" t="s">
        <v>3581</v>
      </c>
      <c r="CM45" s="1">
        <v>21220700351</v>
      </c>
      <c r="CN45" s="1" t="s">
        <v>228</v>
      </c>
      <c r="CQ45" s="42">
        <v>0.41666666666424135</v>
      </c>
      <c r="CR45" s="42">
        <v>0.83333333333575865</v>
      </c>
      <c r="CT45" s="45" t="str">
        <f t="array" ref="CT45">IFERROR(INDEX(#REF!,MATCH('Respuestas de formulario 1.1'!$B45,#REF!,0),MATCH('Respuestas de formulario 1.1'!CT$1,#REF!,0)),"")</f>
        <v/>
      </c>
      <c r="CU45" s="56" t="str">
        <f t="array" ref="CU45">IFERROR(INDEX(#REF!,MATCH('Respuestas de formulario 1.1'!$B45,#REF!,0),MATCH('Respuestas de formulario 1.1'!CU$1,#REF!,0)),"")</f>
        <v/>
      </c>
      <c r="CV45" s="56" t="str">
        <f t="array" ref="CV45">IFERROR(INDEX(#REF!,MATCH('Respuestas de formulario 1.1'!$B45,#REF!,0),MATCH('Respuestas de formulario 1.1'!CV$1,#REF!,0)),"")</f>
        <v/>
      </c>
      <c r="CW45" s="56" t="str">
        <f t="array" ref="CW45">IFERROR(INDEX(#REF!,MATCH('Respuestas de formulario 1.1'!$B45,#REF!,0),MATCH('Respuestas de formulario 1.1'!CW$1,#REF!,0)),"")</f>
        <v/>
      </c>
      <c r="CX45" s="56" t="str">
        <f t="array" ref="CX45">IFERROR(INDEX(#REF!,MATCH('Respuestas de formulario 1.1'!$B45,#REF!,0),MATCH('Respuestas de formulario 1.1'!CX$1,#REF!,0)),"")</f>
        <v/>
      </c>
      <c r="CY45" s="56" t="str">
        <f t="array" ref="CY45">IFERROR(INDEX(#REF!,MATCH('Respuestas de formulario 1.1'!$B45,#REF!,0),MATCH('Respuestas de formulario 1.1'!CY$1,#REF!,0)),"")</f>
        <v/>
      </c>
      <c r="CZ45" s="57" t="str">
        <f t="array" ref="CZ45">IFERROR(INDEX(#REF!,MATCH('Respuestas de formulario 1.1'!$B45,#REF!,0),MATCH('Respuestas de formulario 1.1'!CZ$1,#REF!,0)),"")</f>
        <v/>
      </c>
      <c r="DA45" s="45" t="e">
        <f t="array" ref="DA45">INDEX(#REF!,MATCH('Respuestas de formulario 1.1'!$B45,#REF!,0),MATCH('Respuestas de formulario 1.1'!DA$1,#REF!,0))</f>
        <v>#REF!</v>
      </c>
      <c r="DB45" s="45" t="e">
        <f t="array" ref="DB45">INDEX(#REF!,MATCH('Respuestas de formulario 1.1'!$B45,#REF!,0),MATCH('Respuestas de formulario 1.1'!DB$1,#REF!,0))</f>
        <v>#REF!</v>
      </c>
      <c r="DC45" s="45" t="e">
        <f t="array" ref="DC45">INDEX(#REF!,MATCH('Respuestas de formulario 1.1'!$B45,#REF!,0),MATCH('Respuestas de formulario 1.1'!DC$1,#REF!,0))</f>
        <v>#REF!</v>
      </c>
      <c r="DD45" s="45" t="e">
        <f t="array" ref="DD45">INDEX(#REF!,MATCH('Respuestas de formulario 1.1'!$B45,#REF!,0),MATCH('Respuestas de formulario 1.1'!DD$1,#REF!,0))</f>
        <v>#REF!</v>
      </c>
      <c r="DE45" s="45" t="e">
        <f t="array" ref="DE45">INDEX(#REF!,MATCH('Respuestas de formulario 1.1'!$B45,#REF!,0),MATCH('Respuestas de formulario 1.1'!DE$1,#REF!,0))</f>
        <v>#REF!</v>
      </c>
      <c r="DF45" s="45" t="e">
        <f t="array" ref="DF45">INDEX(#REF!,MATCH('Respuestas de formulario 1.1'!$B45,#REF!,0),MATCH('Respuestas de formulario 1.1'!DF$1,#REF!,0))</f>
        <v>#REF!</v>
      </c>
      <c r="DG45" s="45" t="e">
        <f t="array" ref="DG45">INDEX(#REF!,MATCH('Respuestas de formulario 1.1'!$B45,#REF!,0),MATCH('Respuestas de formulario 1.1'!DG$1,#REF!,0))</f>
        <v>#REF!</v>
      </c>
      <c r="DH45" s="45" t="e">
        <f t="array" ref="DH45">INDEX(#REF!,MATCH('Respuestas de formulario 1.1'!$B45,#REF!,0),MATCH('Respuestas de formulario 1.1'!DH$1,#REF!,0))</f>
        <v>#REF!</v>
      </c>
      <c r="DI45" s="48" t="e">
        <f>VLOOKUP(CONCATENATE($DF45," TUTO ",$DC45),#REF!,3,0)</f>
        <v>#REF!</v>
      </c>
      <c r="DJ45" s="48" t="e">
        <f t="array" ref="DJ45">IF('Respuestas de formulario 1.1'!A45="","",INDEX(#REF!,MATCH('Respuestas de formulario 1.1'!B45,#REF!,0),MATCH('Respuestas de formulario 1.1'!$DH$1,#REF!,0)))</f>
        <v>#REF!</v>
      </c>
      <c r="DK45" s="52" t="str">
        <f>CONCATENATE("http://doc.google.com/uc?id=",MID('Respuestas de formulario 1.1'!G45,34,33))</f>
        <v>http://doc.google.com/uc?id=18Wt-gRhp8LqOikan58dtcKgOfmT4zp6I</v>
      </c>
      <c r="DL45" s="49" t="str">
        <f>CONCATENATE("http://doc.google.com/uc?id=",MID('Respuestas de formulario 1.1'!AH45,34,33))</f>
        <v>http://doc.google.com/uc?id=1MnMJb2GLmFijvX27EDQcF1BJRESrMDxp</v>
      </c>
      <c r="DM45" s="50" t="str">
        <f>CONCATENATE("http://doc.google.com/uc?id=",MID('Respuestas de formulario 1.1'!AW45,34,33))</f>
        <v>http://doc.google.com/uc?id=1SEfcc3IIDwnNQOwlsmcM_WrwuGtnHA8L</v>
      </c>
      <c r="DN45" s="53" t="str">
        <f>CONCATENATE("http://doc.google.com/uc?id=",MID('Respuestas de formulario 1.1'!$BI45,34,33))</f>
        <v>http://doc.google.com/uc?id=1AynlkT2-7F_DKvgTm0-67R0g8TECaDfA</v>
      </c>
      <c r="DO45" s="45" t="str">
        <f>IFERROR(VLOOKUP(CONCATENATE('Respuestas de formulario 1.1'!$B45,MID('Respuestas de formulario 1.1'!DO$1,2,1)),#REF!,12,0),"")</f>
        <v/>
      </c>
      <c r="DP45" s="45" t="str">
        <f>IFERROR(VLOOKUP(CONCATENATE('Respuestas de formulario 1.1'!$B45,MID('Respuestas de formulario 1.1'!DP$1,2,1)),#REF!,12,0),"")</f>
        <v/>
      </c>
      <c r="DQ45" s="45" t="str">
        <f>IFERROR(VLOOKUP(CONCATENATE('Respuestas de formulario 1.1'!$B45,MID('Respuestas de formulario 1.1'!DQ$1,2,1)),#REF!,12,0),"")</f>
        <v/>
      </c>
      <c r="DR45" s="45" t="str">
        <f>IFERROR(VLOOKUP(CONCATENATE('Respuestas de formulario 1.1'!$B45,MID('Respuestas de formulario 1.1'!DR$1,2,1)),#REF!,12,0),"")</f>
        <v/>
      </c>
      <c r="DS45" s="45" t="str">
        <f>IFERROR(VLOOKUP(CONCATENATE('Respuestas de formulario 1.1'!$B45,MID('Respuestas de formulario 1.1'!DS$1,2,1)),#REF!,12,0),"")</f>
        <v/>
      </c>
      <c r="DT45" s="45" t="str">
        <f>IFERROR(VLOOKUP(CONCATENATE('Respuestas de formulario 1.1'!$B45,MID('Respuestas de formulario 1.1'!DT$1,2,1)),#REF!,12,0),"")</f>
        <v/>
      </c>
      <c r="DU45" s="45" t="str">
        <f>IFERROR(VLOOKUP(CONCATENATE('Respuestas de formulario 1.1'!$B45,MID('Respuestas de formulario 1.1'!DU$1,2,1)),#REF!,12,0),"")</f>
        <v/>
      </c>
      <c r="DV45" s="45" t="str">
        <f>IFERROR(VLOOKUP(CONCATENATE('Respuestas de formulario 1.1'!$B45,MID('Respuestas de formulario 1.1'!DV$1,2,1)),#REF!,12,0),"")</f>
        <v/>
      </c>
      <c r="DW45" s="45" t="str">
        <f>IFERROR(VLOOKUP(CONCATENATE('Respuestas de formulario 1.1'!$B45,MID('Respuestas de formulario 1.1'!DW$1,2,1)),#REF!,12,0),"")</f>
        <v/>
      </c>
      <c r="DX45" s="45" t="str">
        <f>IFERROR(VLOOKUP(CONCATENATE('Respuestas de formulario 1.1'!$B45,MID('Respuestas de formulario 1.1'!DX$1,2,1)),#REF!,12,0),"")</f>
        <v/>
      </c>
      <c r="DY45" s="45" t="str">
        <f>IFERROR(VLOOKUP(CONCATENATE('Respuestas de formulario 1.1'!$B45,MID('Respuestas de formulario 1.1'!DY$1,2,1)),#REF!,12,0),"")</f>
        <v/>
      </c>
      <c r="DZ45" s="45" t="str">
        <f>IFERROR(VLOOKUP(CONCATENATE('Respuestas de formulario 1.1'!$B45,MID('Respuestas de formulario 1.1'!DZ$1,2,1)),#REF!,12,0),"")</f>
        <v/>
      </c>
      <c r="EA45" s="45" t="str">
        <f>IFERROR(VLOOKUP(CONCATENATE('Respuestas de formulario 1.1'!$B45,MID('Respuestas de formulario 1.1'!EA$1,2,1)),#REF!,12,0),"")</f>
        <v/>
      </c>
      <c r="EB45" s="45" t="str">
        <f>IFERROR(VLOOKUP(CONCATENATE('Respuestas de formulario 1.1'!$B45,MID('Respuestas de formulario 1.1'!EB$1,2,1)),#REF!,12,0),"")</f>
        <v/>
      </c>
      <c r="EC45" s="45" t="str">
        <f>IFERROR(VLOOKUP(CONCATENATE('Respuestas de formulario 1.1'!$B45,MID('Respuestas de formulario 1.1'!EC$1,2,1)),#REF!,12,0),"")</f>
        <v/>
      </c>
      <c r="ED45" s="45" t="str">
        <f>IFERROR(VLOOKUP(CONCATENATE('Respuestas de formulario 1.1'!$B45,MID('Respuestas de formulario 1.1'!ED$1,2,1)),#REF!,12,0),"")</f>
        <v/>
      </c>
      <c r="EE45" s="45" t="str">
        <f>IFERROR(VLOOKUP(CONCATENATE('Respuestas de formulario 1.1'!$B45,MID('Respuestas de formulario 1.1'!EE$1,2,1)),#REF!,12,0),"")</f>
        <v/>
      </c>
      <c r="EF45" s="45" t="str">
        <f>IFERROR(VLOOKUP(CONCATENATE('Respuestas de formulario 1.1'!$B45,MID('Respuestas de formulario 1.1'!EF$1,2,1)),#REF!,12,0),"")</f>
        <v/>
      </c>
      <c r="EG45" s="45" t="str">
        <f>IFERROR(VLOOKUP(CONCATENATE('Respuestas de formulario 1.1'!$B45,MID('Respuestas de formulario 1.1'!EG$1,2,1)),#REF!,12,0),"")</f>
        <v/>
      </c>
      <c r="EH45" s="45" t="str">
        <f>IFERROR(VLOOKUP(CONCATENATE('Respuestas de formulario 1.1'!$B45,MID('Respuestas de formulario 1.1'!EH$1,2,1)),#REF!,12,0),"")</f>
        <v/>
      </c>
      <c r="EI45" s="45" t="str">
        <f>IFERROR(VLOOKUP(CONCATENATE('Respuestas de formulario 1.1'!$B45,MID('Respuestas de formulario 1.1'!EI$1,2,1)),#REF!,12,0),"")</f>
        <v/>
      </c>
      <c r="EJ45" s="45" t="str">
        <f t="array" ref="EJ45">IF(DO45="","", INDEX(#REF!,MATCH(CONCATENATE('Respuestas de formulario 1.1'!$B45,DO45),#REF!,0),MATCH('Respuestas de formulario 1.1'!EJ$1,#REF!,0)))</f>
        <v/>
      </c>
      <c r="EK45" s="56" t="str">
        <f t="array" ref="EK45">IF(DP45="","", INDEX(#REF!,MATCH(CONCATENATE('Respuestas de formulario 1.1'!$B45,DP45),#REF!,0),MATCH('Respuestas de formulario 1.1'!EK$1,#REF!,0)))</f>
        <v/>
      </c>
      <c r="EL45" s="56" t="str">
        <f t="array" ref="EL45">IF(DQ45="","", INDEX(#REF!,MATCH(CONCATENATE('Respuestas de formulario 1.1'!$B45,DQ45),#REF!,0),MATCH('Respuestas de formulario 1.1'!EL$1,#REF!,0)))</f>
        <v/>
      </c>
      <c r="EM45" s="56" t="str">
        <f t="array" ref="EM45">IF(DR45="","", INDEX(#REF!,MATCH(CONCATENATE('Respuestas de formulario 1.1'!$B45,DR45),#REF!,0),MATCH('Respuestas de formulario 1.1'!EM$1,#REF!,0)))</f>
        <v/>
      </c>
      <c r="EN45" s="56" t="str">
        <f t="array" ref="EN45">IF(DS45="","", INDEX(#REF!,MATCH(CONCATENATE('Respuestas de formulario 1.1'!$B45,DS45),#REF!,0),MATCH('Respuestas de formulario 1.1'!EN$1,#REF!,0)))</f>
        <v/>
      </c>
      <c r="EO45" s="56" t="str">
        <f t="array" ref="EO45">IF(DT45="","", INDEX(#REF!,MATCH(CONCATENATE('Respuestas de formulario 1.1'!$B45,DT45),#REF!,0),MATCH('Respuestas de formulario 1.1'!EO$1,#REF!,0)))</f>
        <v/>
      </c>
      <c r="EP45" s="45" t="str">
        <f t="array" ref="EP45">IF(DU45="","", INDEX(#REF!,MATCH(CONCATENATE('Respuestas de formulario 1.1'!$B45,DU45),#REF!,0),MATCH('Respuestas de formulario 1.1'!EP$1,#REF!,0)))</f>
        <v/>
      </c>
      <c r="EQ45" s="45" t="str">
        <f t="array" ref="EQ45">IF(DP45="","", INDEX(#REF!,MATCH(CONCATENATE('Respuestas de formulario 1.1'!$B45,DP45),#REF!,0),MATCH('Respuestas de formulario 1.1'!EQ$1,#REF!,0)))</f>
        <v/>
      </c>
      <c r="ER45" s="56" t="str">
        <f t="array" ref="ER45">IF(DQ45="","", INDEX(#REF!,MATCH(CONCATENATE('Respuestas de formulario 1.1'!$B45,DQ45),#REF!,0),MATCH('Respuestas de formulario 1.1'!ER$1,#REF!,0)))</f>
        <v/>
      </c>
      <c r="ES45" s="56" t="str">
        <f t="array" ref="ES45">IF(DR45="","", INDEX(#REF!,MATCH(CONCATENATE('Respuestas de formulario 1.1'!$B45,DR45),#REF!,0),MATCH('Respuestas de formulario 1.1'!ES$1,#REF!,0)))</f>
        <v/>
      </c>
      <c r="ET45" s="56" t="str">
        <f t="array" ref="ET45">IF(DS45="","", INDEX(#REF!,MATCH(CONCATENATE('Respuestas de formulario 1.1'!$B45,DS45),#REF!,0),MATCH('Respuestas de formulario 1.1'!ET$1,#REF!,0)))</f>
        <v/>
      </c>
      <c r="EU45" s="56" t="str">
        <f t="array" ref="EU45">IF(DT45="","", INDEX(#REF!,MATCH(CONCATENATE('Respuestas de formulario 1.1'!$B45,DT45),#REF!,0),MATCH('Respuestas de formulario 1.1'!EU$1,#REF!,0)))</f>
        <v/>
      </c>
      <c r="EV45" s="56" t="str">
        <f t="array" ref="EV45">IF(DU45="","", INDEX(#REF!,MATCH(CONCATENATE('Respuestas de formulario 1.1'!$B45,DU45),#REF!,0),MATCH('Respuestas de formulario 1.1'!EV$1,#REF!,0)))</f>
        <v/>
      </c>
      <c r="EW45" s="45" t="str">
        <f t="array" ref="EW45">IF(DV45="","", INDEX(#REF!,MATCH(CONCATENATE('Respuestas de formulario 1.1'!$B45,DV45),#REF!,0),MATCH('Respuestas de formulario 1.1'!EW$1,#REF!,0)))</f>
        <v/>
      </c>
      <c r="EX45" s="45" t="str">
        <f t="array" ref="EX45">IF($DQ45="","", INDEX(#REF!,MATCH(CONCATENATE('Respuestas de formulario 1.1'!$B45,$DQ45),#REF!,0),MATCH('Respuestas de formulario 1.1'!EX$1,#REF!,0)))</f>
        <v/>
      </c>
      <c r="EY45" s="56" t="str">
        <f t="array" ref="EY45">IF($DQ45="","", INDEX(#REF!,MATCH(CONCATENATE('Respuestas de formulario 1.1'!$B45,$DQ45),#REF!,0),MATCH('Respuestas de formulario 1.1'!EY$1,#REF!,0)))</f>
        <v/>
      </c>
      <c r="EZ45" s="56" t="str">
        <f t="array" ref="EZ45">IF($DQ45="","", INDEX(#REF!,MATCH(CONCATENATE('Respuestas de formulario 1.1'!$B45,$DQ45),#REF!,0),MATCH('Respuestas de formulario 1.1'!EZ$1,#REF!,0)))</f>
        <v/>
      </c>
      <c r="FA45" s="56" t="str">
        <f t="array" ref="FA45">IF($DQ45="","", INDEX(#REF!,MATCH(CONCATENATE('Respuestas de formulario 1.1'!$B45,$DQ45),#REF!,0),MATCH('Respuestas de formulario 1.1'!FA$1,#REF!,0)))</f>
        <v/>
      </c>
      <c r="FB45" s="56" t="str">
        <f t="array" ref="FB45">IF($DQ45="","", INDEX(#REF!,MATCH(CONCATENATE('Respuestas de formulario 1.1'!$B45,$DQ45),#REF!,0),MATCH('Respuestas de formulario 1.1'!FB$1,#REF!,0)))</f>
        <v/>
      </c>
      <c r="FC45" s="56" t="str">
        <f t="array" ref="FC45">IF($DQ45="","", INDEX(#REF!,MATCH(CONCATENATE('Respuestas de formulario 1.1'!$B45,$DQ45),#REF!,0),MATCH('Respuestas de formulario 1.1'!FC$1,#REF!,0)))</f>
        <v/>
      </c>
      <c r="FD45" s="45" t="str">
        <f t="array" ref="FD45">IF($DQ45="","", INDEX(#REF!,MATCH(CONCATENATE('Respuestas de formulario 1.1'!$B45,$DQ45),#REF!,0),MATCH('Respuestas de formulario 1.1'!FD$1,#REF!,0)))</f>
        <v/>
      </c>
      <c r="FE45" s="45" t="str">
        <f t="array" ref="FE45">IF($DR45="","", INDEX(#REF!,MATCH(CONCATENATE(#REF!,$DR45),#REF!,0),MATCH(#REF!,#REF!,0)))</f>
        <v/>
      </c>
      <c r="FF45" s="56" t="str">
        <f t="array" ref="FF45">IF($DR45="","", INDEX(#REF!,MATCH(CONCATENATE(#REF!,$DR45),#REF!,0),MATCH(#REF!,#REF!,0)))</f>
        <v/>
      </c>
      <c r="FG45" s="56" t="str">
        <f t="array" ref="FG45">IF($DR45="","", INDEX(#REF!,MATCH(CONCATENATE(#REF!,$DR45),#REF!,0),MATCH(#REF!,#REF!,0)))</f>
        <v/>
      </c>
      <c r="FH45" s="56" t="str">
        <f t="array" ref="FH45">IF($DR45="","", INDEX(#REF!,MATCH(CONCATENATE(#REF!,$DR45),#REF!,0),MATCH(#REF!,#REF!,0)))</f>
        <v/>
      </c>
      <c r="FI45" s="56" t="str">
        <f t="array" ref="FI45">IF($DR45="","", INDEX(#REF!,MATCH(CONCATENATE(#REF!,$DR45),#REF!,0),MATCH(#REF!,#REF!,0)))</f>
        <v/>
      </c>
      <c r="FJ45" s="56" t="str">
        <f t="array" ref="FJ45">IF($DR45="","", INDEX(#REF!,MATCH(CONCATENATE(#REF!,$DR45),#REF!,0),MATCH(#REF!,#REF!,0)))</f>
        <v/>
      </c>
      <c r="FK45" s="45" t="str">
        <f t="array" ref="FK45">IF($DR45="","", INDEX(#REF!,MATCH(CONCATENATE(#REF!,$DR45),#REF!,0),MATCH(#REF!,#REF!,0)))</f>
        <v/>
      </c>
      <c r="FL45" s="45" t="str">
        <f t="array" ref="FL45">IF($DT45="","", INDEX(#REF!,MATCH(CONCATENATE('Respuestas de formulario 1.1'!$B45,$DS45),#REF!,0),MATCH('Respuestas de formulario 1.1'!FL$1,#REF!,0)))</f>
        <v/>
      </c>
      <c r="FM45" s="56" t="str">
        <f t="array" ref="FM45">IF($DT45="","", INDEX(#REF!,MATCH(CONCATENATE('Respuestas de formulario 1.1'!$B45,$DS45),#REF!,0),MATCH('Respuestas de formulario 1.1'!FM$1,#REF!,0)))</f>
        <v/>
      </c>
      <c r="FN45" s="56" t="str">
        <f t="array" ref="FN45">IF($DT45="","", INDEX(#REF!,MATCH(CONCATENATE('Respuestas de formulario 1.1'!$B45,$DS45),#REF!,0),MATCH('Respuestas de formulario 1.1'!FN$1,#REF!,0)))</f>
        <v/>
      </c>
      <c r="FO45" s="56" t="str">
        <f t="array" ref="FO45">IF($DT45="","", INDEX(#REF!,MATCH(CONCATENATE('Respuestas de formulario 1.1'!$B45,$DS45),#REF!,0),MATCH('Respuestas de formulario 1.1'!FO$1,#REF!,0)))</f>
        <v/>
      </c>
      <c r="FP45" s="56" t="str">
        <f t="array" ref="FP45">IF($DT45="","", INDEX(#REF!,MATCH(CONCATENATE('Respuestas de formulario 1.1'!$B45,$DS45),#REF!,0),MATCH('Respuestas de formulario 1.1'!FP$1,#REF!,0)))</f>
        <v/>
      </c>
      <c r="FQ45" s="56" t="str">
        <f t="array" ref="FQ45">IF($DT45="","", INDEX(#REF!,MATCH(CONCATENATE('Respuestas de formulario 1.1'!$B45,$DS45),#REF!,0),MATCH('Respuestas de formulario 1.1'!FQ$1,#REF!,0)))</f>
        <v/>
      </c>
      <c r="FR45" s="45" t="str">
        <f t="array" ref="FR45">IF($DT45="","", INDEX(#REF!,MATCH(CONCATENATE('Respuestas de formulario 1.1'!$B45,$DS45),#REF!,0),MATCH('Respuestas de formulario 1.1'!FR$1,#REF!,0)))</f>
        <v/>
      </c>
      <c r="FS45" s="45" t="str">
        <f t="array" ref="FS45">IF($DU45="","", INDEX(#REF!,MATCH(CONCATENATE('Respuestas de formulario 1.1'!$B45,$DT45),#REF!,0),MATCH('Respuestas de formulario 1.1'!FS$1,#REF!,0)))</f>
        <v/>
      </c>
      <c r="FT45" s="56" t="str">
        <f t="array" ref="FT45">IF($DU45="","", INDEX(#REF!,MATCH(CONCATENATE('Respuestas de formulario 1.1'!$B45,$DT45),#REF!,0),MATCH('Respuestas de formulario 1.1'!FT$1,#REF!,0)))</f>
        <v/>
      </c>
      <c r="FU45" s="56" t="str">
        <f t="array" ref="FU45">IF($DU45="","", INDEX(#REF!,MATCH(CONCATENATE('Respuestas de formulario 1.1'!$B45,$DT45),#REF!,0),MATCH('Respuestas de formulario 1.1'!FU$1,#REF!,0)))</f>
        <v/>
      </c>
      <c r="FV45" s="56" t="str">
        <f t="array" ref="FV45">IF($DU45="","", INDEX(#REF!,MATCH(CONCATENATE('Respuestas de formulario 1.1'!$B45,$DT45),#REF!,0),MATCH('Respuestas de formulario 1.1'!FV$1,#REF!,0)))</f>
        <v/>
      </c>
      <c r="FW45" s="56" t="str">
        <f t="array" ref="FW45">IF($DU45="","", INDEX(#REF!,MATCH(CONCATENATE('Respuestas de formulario 1.1'!$B45,$DT45),#REF!,0),MATCH('Respuestas de formulario 1.1'!FW$1,#REF!,0)))</f>
        <v/>
      </c>
      <c r="FX45" s="56" t="str">
        <f t="array" ref="FX45">IF($DU45="","", INDEX(#REF!,MATCH(CONCATENATE('Respuestas de formulario 1.1'!$B45,$DT45),#REF!,0),MATCH('Respuestas de formulario 1.1'!FX$1,#REF!,0)))</f>
        <v/>
      </c>
      <c r="FY45" s="45" t="str">
        <f t="array" ref="FY45">IF($DU45="","", INDEX(#REF!,MATCH(CONCATENATE('Respuestas de formulario 1.1'!$B45,$DT45),#REF!,0),MATCH('Respuestas de formulario 1.1'!FY$1,#REF!,0)))</f>
        <v/>
      </c>
      <c r="FZ45" s="3" t="s">
        <v>2860</v>
      </c>
      <c r="GA45" s="1" t="s">
        <v>3582</v>
      </c>
      <c r="GB45" s="5" t="s">
        <v>3583</v>
      </c>
      <c r="GC45" s="4" t="str">
        <f>HYPERLINK("https://drive.google.com/file/d/15RkxYaQkdL9ISWDflHkezJE0csE5ETTl/view?usp=drivesdk","VILLA  ISLAS  KEVIN ENRIQUE  Formato de reinscripción y pago 2022-2")</f>
        <v>VILLA  ISLAS  KEVIN ENRIQUE  Formato de reinscripción y pago 2022-2</v>
      </c>
      <c r="GD45" s="1" t="s">
        <v>3584</v>
      </c>
      <c r="GE45" s="1"/>
      <c r="GF45" s="1"/>
      <c r="GG45" s="1"/>
      <c r="GH45" s="1"/>
      <c r="GI45" s="1" t="s">
        <v>3585</v>
      </c>
      <c r="GJ45" s="5" t="s">
        <v>3586</v>
      </c>
      <c r="GK45" s="5" t="str">
        <f>HYPERLINK("https://drive.google.com/file/d/1hd0593MMSQZM1oQbHtsJB497YArXlTme/view?usp=drivesdk","VILLA  ISLAS  KEVIN ENRIQUE  Formato de reinscripción y pago 2022-2")</f>
        <v>VILLA  ISLAS  KEVIN ENRIQUE  Formato de reinscripción y pago 2022-2</v>
      </c>
      <c r="GL45" s="1" t="s">
        <v>3587</v>
      </c>
    </row>
    <row r="46" spans="1:194" ht="38.25" x14ac:dyDescent="0.2">
      <c r="A46" s="2">
        <v>45139.727786585645</v>
      </c>
      <c r="B46" s="1" t="s">
        <v>1529</v>
      </c>
      <c r="C46" s="1" t="s">
        <v>489</v>
      </c>
      <c r="D46" s="1" t="s">
        <v>266</v>
      </c>
      <c r="E46" s="1" t="s">
        <v>3588</v>
      </c>
      <c r="F46" s="1" t="s">
        <v>223</v>
      </c>
      <c r="G46" s="5" t="s">
        <v>3589</v>
      </c>
      <c r="H46" s="41">
        <v>39220</v>
      </c>
      <c r="I46" s="1">
        <v>16</v>
      </c>
      <c r="J46" s="1">
        <v>5510971516</v>
      </c>
      <c r="K46" s="1">
        <v>5570354503</v>
      </c>
      <c r="L46" s="1" t="s">
        <v>3590</v>
      </c>
      <c r="M46" s="1">
        <v>22309060570751</v>
      </c>
      <c r="N46" s="1" t="s">
        <v>562</v>
      </c>
      <c r="O46" s="1" t="s">
        <v>247</v>
      </c>
      <c r="P46" s="1" t="s">
        <v>278</v>
      </c>
      <c r="Q46" s="1" t="s">
        <v>227</v>
      </c>
      <c r="R46" s="1" t="s">
        <v>236</v>
      </c>
      <c r="S46" s="1" t="s">
        <v>228</v>
      </c>
      <c r="T46" s="1" t="s">
        <v>411</v>
      </c>
      <c r="U46" s="1" t="s">
        <v>481</v>
      </c>
      <c r="V46" s="1" t="s">
        <v>228</v>
      </c>
      <c r="W46" s="1" t="s">
        <v>3591</v>
      </c>
      <c r="X46" s="1" t="s">
        <v>481</v>
      </c>
      <c r="Y46" s="1" t="s">
        <v>516</v>
      </c>
      <c r="Z46" s="1" t="s">
        <v>240</v>
      </c>
      <c r="AA46" s="1">
        <v>13319</v>
      </c>
      <c r="AB46" s="1" t="s">
        <v>3592</v>
      </c>
      <c r="AC46" s="1" t="s">
        <v>2571</v>
      </c>
      <c r="AD46" s="1" t="s">
        <v>3593</v>
      </c>
      <c r="AE46" s="1" t="s">
        <v>3594</v>
      </c>
      <c r="AF46" s="1" t="s">
        <v>461</v>
      </c>
      <c r="AG46" s="1">
        <v>38</v>
      </c>
      <c r="AH46" s="5" t="s">
        <v>3595</v>
      </c>
      <c r="AI46" s="1">
        <v>5631344073</v>
      </c>
      <c r="AJ46" s="1">
        <v>5570354503</v>
      </c>
      <c r="AK46" s="1" t="s">
        <v>1532</v>
      </c>
      <c r="AL46" s="1" t="s">
        <v>266</v>
      </c>
      <c r="AM46" s="1" t="s">
        <v>680</v>
      </c>
      <c r="AN46" s="1" t="s">
        <v>1448</v>
      </c>
      <c r="AO46" s="1" t="s">
        <v>461</v>
      </c>
      <c r="AP46" s="1">
        <v>38</v>
      </c>
      <c r="AQ46" s="1" t="s">
        <v>328</v>
      </c>
      <c r="AR46" s="42">
        <v>0.29166666666424135</v>
      </c>
      <c r="AS46" s="42">
        <v>0.29166666666424135</v>
      </c>
      <c r="AT46" s="1">
        <v>5631344073</v>
      </c>
      <c r="AU46" s="1">
        <v>5570354503</v>
      </c>
      <c r="AV46" s="1" t="s">
        <v>1532</v>
      </c>
      <c r="AW46" s="5" t="s">
        <v>3596</v>
      </c>
      <c r="AX46" s="1" t="s">
        <v>333</v>
      </c>
      <c r="AY46" s="1" t="s">
        <v>3597</v>
      </c>
      <c r="AZ46" s="1" t="s">
        <v>613</v>
      </c>
      <c r="BA46" s="1" t="s">
        <v>1732</v>
      </c>
      <c r="BB46" s="1">
        <v>51</v>
      </c>
      <c r="BC46" s="1" t="s">
        <v>235</v>
      </c>
      <c r="BD46" s="43">
        <v>0.29166666666424135</v>
      </c>
      <c r="BE46" s="43">
        <v>0.375</v>
      </c>
      <c r="BF46" s="1">
        <v>5543017647</v>
      </c>
      <c r="BG46" s="1">
        <v>5570354503</v>
      </c>
      <c r="BH46" s="1" t="s">
        <v>1531</v>
      </c>
      <c r="BI46" s="5" t="s">
        <v>3598</v>
      </c>
      <c r="BJ46" s="1" t="s">
        <v>236</v>
      </c>
      <c r="BL46" s="1">
        <v>1.58</v>
      </c>
      <c r="BM46" s="1">
        <v>58</v>
      </c>
      <c r="BN46" s="1" t="s">
        <v>228</v>
      </c>
      <c r="BO46" s="1" t="s">
        <v>228</v>
      </c>
      <c r="BQ46" s="1" t="s">
        <v>228</v>
      </c>
      <c r="BR46" s="1" t="s">
        <v>237</v>
      </c>
      <c r="BS46" s="1" t="s">
        <v>236</v>
      </c>
      <c r="BT46" s="1" t="s">
        <v>271</v>
      </c>
      <c r="BU46" s="1" t="s">
        <v>228</v>
      </c>
      <c r="BW46" s="1" t="s">
        <v>238</v>
      </c>
      <c r="BX46" s="1">
        <v>150</v>
      </c>
      <c r="BY46" s="1">
        <v>220</v>
      </c>
      <c r="BZ46" s="1" t="s">
        <v>814</v>
      </c>
      <c r="CA46" s="1" t="s">
        <v>343</v>
      </c>
      <c r="CB46" s="1" t="s">
        <v>240</v>
      </c>
      <c r="CC46" s="1" t="s">
        <v>322</v>
      </c>
      <c r="CD46" s="1">
        <v>900</v>
      </c>
      <c r="CE46" s="1">
        <v>3500</v>
      </c>
      <c r="CF46" s="1" t="s">
        <v>236</v>
      </c>
      <c r="CG46" s="1" t="s">
        <v>256</v>
      </c>
      <c r="CH46" s="1" t="s">
        <v>243</v>
      </c>
      <c r="CI46" s="1" t="s">
        <v>243</v>
      </c>
      <c r="CJ46" s="1" t="s">
        <v>2848</v>
      </c>
      <c r="CL46" s="5" t="s">
        <v>3599</v>
      </c>
      <c r="CM46" s="1">
        <v>29160718622</v>
      </c>
      <c r="CN46" s="1" t="s">
        <v>228</v>
      </c>
      <c r="CQ46" s="42">
        <v>0.29166666666424135</v>
      </c>
      <c r="CR46" s="42">
        <v>0.29166666666424135</v>
      </c>
      <c r="CT46" s="45" t="str">
        <f t="array" ref="CT46">IFERROR(INDEX(#REF!,MATCH('Respuestas de formulario 1.1'!$B46,#REF!,0),MATCH('Respuestas de formulario 1.1'!CT$1,#REF!,0)),"")</f>
        <v/>
      </c>
      <c r="CU46" s="56" t="str">
        <f t="array" ref="CU46">IFERROR(INDEX(#REF!,MATCH('Respuestas de formulario 1.1'!$B46,#REF!,0),MATCH('Respuestas de formulario 1.1'!CU$1,#REF!,0)),"")</f>
        <v/>
      </c>
      <c r="CV46" s="56" t="str">
        <f t="array" ref="CV46">IFERROR(INDEX(#REF!,MATCH('Respuestas de formulario 1.1'!$B46,#REF!,0),MATCH('Respuestas de formulario 1.1'!CV$1,#REF!,0)),"")</f>
        <v/>
      </c>
      <c r="CW46" s="56" t="str">
        <f t="array" ref="CW46">IFERROR(INDEX(#REF!,MATCH('Respuestas de formulario 1.1'!$B46,#REF!,0),MATCH('Respuestas de formulario 1.1'!CW$1,#REF!,0)),"")</f>
        <v/>
      </c>
      <c r="CX46" s="56" t="str">
        <f t="array" ref="CX46">IFERROR(INDEX(#REF!,MATCH('Respuestas de formulario 1.1'!$B46,#REF!,0),MATCH('Respuestas de formulario 1.1'!CX$1,#REF!,0)),"")</f>
        <v/>
      </c>
      <c r="CY46" s="56" t="str">
        <f t="array" ref="CY46">IFERROR(INDEX(#REF!,MATCH('Respuestas de formulario 1.1'!$B46,#REF!,0),MATCH('Respuestas de formulario 1.1'!CY$1,#REF!,0)),"")</f>
        <v/>
      </c>
      <c r="CZ46" s="57" t="str">
        <f t="array" ref="CZ46">IFERROR(INDEX(#REF!,MATCH('Respuestas de formulario 1.1'!$B46,#REF!,0),MATCH('Respuestas de formulario 1.1'!CZ$1,#REF!,0)),"")</f>
        <v/>
      </c>
      <c r="DA46" s="45" t="e">
        <f t="array" ref="DA46">INDEX(#REF!,MATCH('Respuestas de formulario 1.1'!$B46,#REF!,0),MATCH('Respuestas de formulario 1.1'!DA$1,#REF!,0))</f>
        <v>#REF!</v>
      </c>
      <c r="DB46" s="45" t="e">
        <f t="array" ref="DB46">INDEX(#REF!,MATCH('Respuestas de formulario 1.1'!$B46,#REF!,0),MATCH('Respuestas de formulario 1.1'!DB$1,#REF!,0))</f>
        <v>#REF!</v>
      </c>
      <c r="DC46" s="45" t="e">
        <f t="array" ref="DC46">INDEX(#REF!,MATCH('Respuestas de formulario 1.1'!$B46,#REF!,0),MATCH('Respuestas de formulario 1.1'!DC$1,#REF!,0))</f>
        <v>#REF!</v>
      </c>
      <c r="DD46" s="45" t="e">
        <f t="array" ref="DD46">INDEX(#REF!,MATCH('Respuestas de formulario 1.1'!$B46,#REF!,0),MATCH('Respuestas de formulario 1.1'!DD$1,#REF!,0))</f>
        <v>#REF!</v>
      </c>
      <c r="DE46" s="45" t="e">
        <f t="array" ref="DE46">INDEX(#REF!,MATCH('Respuestas de formulario 1.1'!$B46,#REF!,0),MATCH('Respuestas de formulario 1.1'!DE$1,#REF!,0))</f>
        <v>#REF!</v>
      </c>
      <c r="DF46" s="45" t="e">
        <f t="array" ref="DF46">INDEX(#REF!,MATCH('Respuestas de formulario 1.1'!$B46,#REF!,0),MATCH('Respuestas de formulario 1.1'!DF$1,#REF!,0))</f>
        <v>#REF!</v>
      </c>
      <c r="DG46" s="45" t="e">
        <f t="array" ref="DG46">INDEX(#REF!,MATCH('Respuestas de formulario 1.1'!$B46,#REF!,0),MATCH('Respuestas de formulario 1.1'!DG$1,#REF!,0))</f>
        <v>#REF!</v>
      </c>
      <c r="DH46" s="45" t="e">
        <f t="array" ref="DH46">INDEX(#REF!,MATCH('Respuestas de formulario 1.1'!$B46,#REF!,0),MATCH('Respuestas de formulario 1.1'!DH$1,#REF!,0))</f>
        <v>#REF!</v>
      </c>
      <c r="DI46" s="48" t="e">
        <f>VLOOKUP(CONCATENATE($DF46," TUTO ",$DC46),#REF!,3,0)</f>
        <v>#REF!</v>
      </c>
      <c r="DJ46" s="48" t="e">
        <f t="array" ref="DJ46">IF('Respuestas de formulario 1.1'!A46="","",INDEX(#REF!,MATCH('Respuestas de formulario 1.1'!B46,#REF!,0),MATCH('Respuestas de formulario 1.1'!$DH$1,#REF!,0)))</f>
        <v>#REF!</v>
      </c>
      <c r="DK46" s="52" t="str">
        <f>CONCATENATE("http://doc.google.com/uc?id=",MID('Respuestas de formulario 1.1'!G46,34,33))</f>
        <v>http://doc.google.com/uc?id=1tDdEx1F9LKhhYth6oJ9krd8hDBk86u97</v>
      </c>
      <c r="DL46" s="49" t="str">
        <f>CONCATENATE("http://doc.google.com/uc?id=",MID('Respuestas de formulario 1.1'!AH46,34,33))</f>
        <v>http://doc.google.com/uc?id=1Jbo7RWiTLoDSqLrajvcTIoXrJTwUFhYD</v>
      </c>
      <c r="DM46" s="50" t="str">
        <f>CONCATENATE("http://doc.google.com/uc?id=",MID('Respuestas de formulario 1.1'!AW46,34,33))</f>
        <v>http://doc.google.com/uc?id=1md0hdCKsO7DwCrYcgXRKzRDxgxt-d17-</v>
      </c>
      <c r="DN46" s="53" t="str">
        <f>CONCATENATE("http://doc.google.com/uc?id=",MID('Respuestas de formulario 1.1'!$BI46,34,33))</f>
        <v>http://doc.google.com/uc?id=14pXNuYYHlf4IuKg41nJEK1Twa-6wLeal</v>
      </c>
      <c r="DO46" s="45" t="str">
        <f>IFERROR(VLOOKUP(CONCATENATE('Respuestas de formulario 1.1'!$B46,MID('Respuestas de formulario 1.1'!DO$1,2,1)),#REF!,12,0),"")</f>
        <v/>
      </c>
      <c r="DP46" s="45" t="str">
        <f>IFERROR(VLOOKUP(CONCATENATE('Respuestas de formulario 1.1'!$B46,MID('Respuestas de formulario 1.1'!DP$1,2,1)),#REF!,12,0),"")</f>
        <v/>
      </c>
      <c r="DQ46" s="45" t="str">
        <f>IFERROR(VLOOKUP(CONCATENATE('Respuestas de formulario 1.1'!$B46,MID('Respuestas de formulario 1.1'!DQ$1,2,1)),#REF!,12,0),"")</f>
        <v/>
      </c>
      <c r="DR46" s="45" t="str">
        <f>IFERROR(VLOOKUP(CONCATENATE('Respuestas de formulario 1.1'!$B46,MID('Respuestas de formulario 1.1'!DR$1,2,1)),#REF!,12,0),"")</f>
        <v/>
      </c>
      <c r="DS46" s="45" t="str">
        <f>IFERROR(VLOOKUP(CONCATENATE('Respuestas de formulario 1.1'!$B46,MID('Respuestas de formulario 1.1'!DS$1,2,1)),#REF!,12,0),"")</f>
        <v/>
      </c>
      <c r="DT46" s="45" t="str">
        <f>IFERROR(VLOOKUP(CONCATENATE('Respuestas de formulario 1.1'!$B46,MID('Respuestas de formulario 1.1'!DT$1,2,1)),#REF!,12,0),"")</f>
        <v/>
      </c>
      <c r="DU46" s="45" t="str">
        <f>IFERROR(VLOOKUP(CONCATENATE('Respuestas de formulario 1.1'!$B46,MID('Respuestas de formulario 1.1'!DU$1,2,1)),#REF!,12,0),"")</f>
        <v/>
      </c>
      <c r="DV46" s="45" t="str">
        <f>IFERROR(VLOOKUP(CONCATENATE('Respuestas de formulario 1.1'!$B46,MID('Respuestas de formulario 1.1'!DV$1,2,1)),#REF!,12,0),"")</f>
        <v/>
      </c>
      <c r="DW46" s="45" t="str">
        <f>IFERROR(VLOOKUP(CONCATENATE('Respuestas de formulario 1.1'!$B46,MID('Respuestas de formulario 1.1'!DW$1,2,1)),#REF!,12,0),"")</f>
        <v/>
      </c>
      <c r="DX46" s="45" t="str">
        <f>IFERROR(VLOOKUP(CONCATENATE('Respuestas de formulario 1.1'!$B46,MID('Respuestas de formulario 1.1'!DX$1,2,1)),#REF!,12,0),"")</f>
        <v/>
      </c>
      <c r="DY46" s="45" t="str">
        <f>IFERROR(VLOOKUP(CONCATENATE('Respuestas de formulario 1.1'!$B46,MID('Respuestas de formulario 1.1'!DY$1,2,1)),#REF!,12,0),"")</f>
        <v/>
      </c>
      <c r="DZ46" s="45" t="str">
        <f>IFERROR(VLOOKUP(CONCATENATE('Respuestas de formulario 1.1'!$B46,MID('Respuestas de formulario 1.1'!DZ$1,2,1)),#REF!,12,0),"")</f>
        <v/>
      </c>
      <c r="EA46" s="45" t="str">
        <f>IFERROR(VLOOKUP(CONCATENATE('Respuestas de formulario 1.1'!$B46,MID('Respuestas de formulario 1.1'!EA$1,2,1)),#REF!,12,0),"")</f>
        <v/>
      </c>
      <c r="EB46" s="45" t="str">
        <f>IFERROR(VLOOKUP(CONCATENATE('Respuestas de formulario 1.1'!$B46,MID('Respuestas de formulario 1.1'!EB$1,2,1)),#REF!,12,0),"")</f>
        <v/>
      </c>
      <c r="EC46" s="45" t="str">
        <f>IFERROR(VLOOKUP(CONCATENATE('Respuestas de formulario 1.1'!$B46,MID('Respuestas de formulario 1.1'!EC$1,2,1)),#REF!,12,0),"")</f>
        <v/>
      </c>
      <c r="ED46" s="45" t="str">
        <f>IFERROR(VLOOKUP(CONCATENATE('Respuestas de formulario 1.1'!$B46,MID('Respuestas de formulario 1.1'!ED$1,2,1)),#REF!,12,0),"")</f>
        <v/>
      </c>
      <c r="EE46" s="45" t="str">
        <f>IFERROR(VLOOKUP(CONCATENATE('Respuestas de formulario 1.1'!$B46,MID('Respuestas de formulario 1.1'!EE$1,2,1)),#REF!,12,0),"")</f>
        <v/>
      </c>
      <c r="EF46" s="45" t="str">
        <f>IFERROR(VLOOKUP(CONCATENATE('Respuestas de formulario 1.1'!$B46,MID('Respuestas de formulario 1.1'!EF$1,2,1)),#REF!,12,0),"")</f>
        <v/>
      </c>
      <c r="EG46" s="45" t="str">
        <f>IFERROR(VLOOKUP(CONCATENATE('Respuestas de formulario 1.1'!$B46,MID('Respuestas de formulario 1.1'!EG$1,2,1)),#REF!,12,0),"")</f>
        <v/>
      </c>
      <c r="EH46" s="45" t="str">
        <f>IFERROR(VLOOKUP(CONCATENATE('Respuestas de formulario 1.1'!$B46,MID('Respuestas de formulario 1.1'!EH$1,2,1)),#REF!,12,0),"")</f>
        <v/>
      </c>
      <c r="EI46" s="45" t="str">
        <f>IFERROR(VLOOKUP(CONCATENATE('Respuestas de formulario 1.1'!$B46,MID('Respuestas de formulario 1.1'!EI$1,2,1)),#REF!,12,0),"")</f>
        <v/>
      </c>
      <c r="EJ46" s="45" t="str">
        <f t="array" ref="EJ46">IF(DO46="","", INDEX(#REF!,MATCH(CONCATENATE('Respuestas de formulario 1.1'!$B46,DO46),#REF!,0),MATCH('Respuestas de formulario 1.1'!EJ$1,#REF!,0)))</f>
        <v/>
      </c>
      <c r="EK46" s="56" t="str">
        <f t="array" ref="EK46">IF(DP46="","", INDEX(#REF!,MATCH(CONCATENATE('Respuestas de formulario 1.1'!$B46,DP46),#REF!,0),MATCH('Respuestas de formulario 1.1'!EK$1,#REF!,0)))</f>
        <v/>
      </c>
      <c r="EL46" s="56" t="str">
        <f t="array" ref="EL46">IF(DQ46="","", INDEX(#REF!,MATCH(CONCATENATE('Respuestas de formulario 1.1'!$B46,DQ46),#REF!,0),MATCH('Respuestas de formulario 1.1'!EL$1,#REF!,0)))</f>
        <v/>
      </c>
      <c r="EM46" s="56" t="str">
        <f t="array" ref="EM46">IF(DR46="","", INDEX(#REF!,MATCH(CONCATENATE('Respuestas de formulario 1.1'!$B46,DR46),#REF!,0),MATCH('Respuestas de formulario 1.1'!EM$1,#REF!,0)))</f>
        <v/>
      </c>
      <c r="EN46" s="56" t="str">
        <f t="array" ref="EN46">IF(DS46="","", INDEX(#REF!,MATCH(CONCATENATE('Respuestas de formulario 1.1'!$B46,DS46),#REF!,0),MATCH('Respuestas de formulario 1.1'!EN$1,#REF!,0)))</f>
        <v/>
      </c>
      <c r="EO46" s="56" t="str">
        <f t="array" ref="EO46">IF(DT46="","", INDEX(#REF!,MATCH(CONCATENATE('Respuestas de formulario 1.1'!$B46,DT46),#REF!,0),MATCH('Respuestas de formulario 1.1'!EO$1,#REF!,0)))</f>
        <v/>
      </c>
      <c r="EP46" s="45" t="str">
        <f t="array" ref="EP46">IF(DU46="","", INDEX(#REF!,MATCH(CONCATENATE('Respuestas de formulario 1.1'!$B46,DU46),#REF!,0),MATCH('Respuestas de formulario 1.1'!EP$1,#REF!,0)))</f>
        <v/>
      </c>
      <c r="EQ46" s="45" t="str">
        <f t="array" ref="EQ46">IF(DP46="","", INDEX(#REF!,MATCH(CONCATENATE('Respuestas de formulario 1.1'!$B46,DP46),#REF!,0),MATCH('Respuestas de formulario 1.1'!EQ$1,#REF!,0)))</f>
        <v/>
      </c>
      <c r="ER46" s="56" t="str">
        <f t="array" ref="ER46">IF(DQ46="","", INDEX(#REF!,MATCH(CONCATENATE('Respuestas de formulario 1.1'!$B46,DQ46),#REF!,0),MATCH('Respuestas de formulario 1.1'!ER$1,#REF!,0)))</f>
        <v/>
      </c>
      <c r="ES46" s="56" t="str">
        <f t="array" ref="ES46">IF(DR46="","", INDEX(#REF!,MATCH(CONCATENATE('Respuestas de formulario 1.1'!$B46,DR46),#REF!,0),MATCH('Respuestas de formulario 1.1'!ES$1,#REF!,0)))</f>
        <v/>
      </c>
      <c r="ET46" s="56" t="str">
        <f t="array" ref="ET46">IF(DS46="","", INDEX(#REF!,MATCH(CONCATENATE('Respuestas de formulario 1.1'!$B46,DS46),#REF!,0),MATCH('Respuestas de formulario 1.1'!ET$1,#REF!,0)))</f>
        <v/>
      </c>
      <c r="EU46" s="56" t="str">
        <f t="array" ref="EU46">IF(DT46="","", INDEX(#REF!,MATCH(CONCATENATE('Respuestas de formulario 1.1'!$B46,DT46),#REF!,0),MATCH('Respuestas de formulario 1.1'!EU$1,#REF!,0)))</f>
        <v/>
      </c>
      <c r="EV46" s="56" t="str">
        <f t="array" ref="EV46">IF(DU46="","", INDEX(#REF!,MATCH(CONCATENATE('Respuestas de formulario 1.1'!$B46,DU46),#REF!,0),MATCH('Respuestas de formulario 1.1'!EV$1,#REF!,0)))</f>
        <v/>
      </c>
      <c r="EW46" s="45" t="str">
        <f t="array" ref="EW46">IF(DV46="","", INDEX(#REF!,MATCH(CONCATENATE('Respuestas de formulario 1.1'!$B46,DV46),#REF!,0),MATCH('Respuestas de formulario 1.1'!EW$1,#REF!,0)))</f>
        <v/>
      </c>
      <c r="EX46" s="45" t="str">
        <f t="array" ref="EX46">IF($DQ46="","", INDEX(#REF!,MATCH(CONCATENATE('Respuestas de formulario 1.1'!$B46,$DQ46),#REF!,0),MATCH('Respuestas de formulario 1.1'!EX$1,#REF!,0)))</f>
        <v/>
      </c>
      <c r="EY46" s="56" t="str">
        <f t="array" ref="EY46">IF($DQ46="","", INDEX(#REF!,MATCH(CONCATENATE('Respuestas de formulario 1.1'!$B46,$DQ46),#REF!,0),MATCH('Respuestas de formulario 1.1'!EY$1,#REF!,0)))</f>
        <v/>
      </c>
      <c r="EZ46" s="56" t="str">
        <f t="array" ref="EZ46">IF($DQ46="","", INDEX(#REF!,MATCH(CONCATENATE('Respuestas de formulario 1.1'!$B46,$DQ46),#REF!,0),MATCH('Respuestas de formulario 1.1'!EZ$1,#REF!,0)))</f>
        <v/>
      </c>
      <c r="FA46" s="56" t="str">
        <f t="array" ref="FA46">IF($DQ46="","", INDEX(#REF!,MATCH(CONCATENATE('Respuestas de formulario 1.1'!$B46,$DQ46),#REF!,0),MATCH('Respuestas de formulario 1.1'!FA$1,#REF!,0)))</f>
        <v/>
      </c>
      <c r="FB46" s="56" t="str">
        <f t="array" ref="FB46">IF($DQ46="","", INDEX(#REF!,MATCH(CONCATENATE('Respuestas de formulario 1.1'!$B46,$DQ46),#REF!,0),MATCH('Respuestas de formulario 1.1'!FB$1,#REF!,0)))</f>
        <v/>
      </c>
      <c r="FC46" s="56" t="str">
        <f t="array" ref="FC46">IF($DQ46="","", INDEX(#REF!,MATCH(CONCATENATE('Respuestas de formulario 1.1'!$B46,$DQ46),#REF!,0),MATCH('Respuestas de formulario 1.1'!FC$1,#REF!,0)))</f>
        <v/>
      </c>
      <c r="FD46" s="45" t="str">
        <f t="array" ref="FD46">IF($DQ46="","", INDEX(#REF!,MATCH(CONCATENATE('Respuestas de formulario 1.1'!$B46,$DQ46),#REF!,0),MATCH('Respuestas de formulario 1.1'!FD$1,#REF!,0)))</f>
        <v/>
      </c>
      <c r="FE46" s="45" t="str">
        <f t="array" ref="FE46">IF($DR46="","", INDEX(#REF!,MATCH(CONCATENATE(#REF!,$DR46),#REF!,0),MATCH(#REF!,#REF!,0)))</f>
        <v/>
      </c>
      <c r="FF46" s="56" t="str">
        <f t="array" ref="FF46">IF($DR46="","", INDEX(#REF!,MATCH(CONCATENATE(#REF!,$DR46),#REF!,0),MATCH(#REF!,#REF!,0)))</f>
        <v/>
      </c>
      <c r="FG46" s="56" t="str">
        <f t="array" ref="FG46">IF($DR46="","", INDEX(#REF!,MATCH(CONCATENATE(#REF!,$DR46),#REF!,0),MATCH(#REF!,#REF!,0)))</f>
        <v/>
      </c>
      <c r="FH46" s="56" t="str">
        <f t="array" ref="FH46">IF($DR46="","", INDEX(#REF!,MATCH(CONCATENATE(#REF!,$DR46),#REF!,0),MATCH(#REF!,#REF!,0)))</f>
        <v/>
      </c>
      <c r="FI46" s="56" t="str">
        <f t="array" ref="FI46">IF($DR46="","", INDEX(#REF!,MATCH(CONCATENATE(#REF!,$DR46),#REF!,0),MATCH(#REF!,#REF!,0)))</f>
        <v/>
      </c>
      <c r="FJ46" s="56" t="str">
        <f t="array" ref="FJ46">IF($DR46="","", INDEX(#REF!,MATCH(CONCATENATE(#REF!,$DR46),#REF!,0),MATCH(#REF!,#REF!,0)))</f>
        <v/>
      </c>
      <c r="FK46" s="45" t="str">
        <f t="array" ref="FK46">IF($DR46="","", INDEX(#REF!,MATCH(CONCATENATE(#REF!,$DR46),#REF!,0),MATCH(#REF!,#REF!,0)))</f>
        <v/>
      </c>
      <c r="FL46" s="45" t="str">
        <f t="array" ref="FL46">IF($DT46="","", INDEX(#REF!,MATCH(CONCATENATE('Respuestas de formulario 1.1'!$B46,$DS46),#REF!,0),MATCH('Respuestas de formulario 1.1'!FL$1,#REF!,0)))</f>
        <v/>
      </c>
      <c r="FM46" s="56" t="str">
        <f t="array" ref="FM46">IF($DT46="","", INDEX(#REF!,MATCH(CONCATENATE('Respuestas de formulario 1.1'!$B46,$DS46),#REF!,0),MATCH('Respuestas de formulario 1.1'!FM$1,#REF!,0)))</f>
        <v/>
      </c>
      <c r="FN46" s="56" t="str">
        <f t="array" ref="FN46">IF($DT46="","", INDEX(#REF!,MATCH(CONCATENATE('Respuestas de formulario 1.1'!$B46,$DS46),#REF!,0),MATCH('Respuestas de formulario 1.1'!FN$1,#REF!,0)))</f>
        <v/>
      </c>
      <c r="FO46" s="56" t="str">
        <f t="array" ref="FO46">IF($DT46="","", INDEX(#REF!,MATCH(CONCATENATE('Respuestas de formulario 1.1'!$B46,$DS46),#REF!,0),MATCH('Respuestas de formulario 1.1'!FO$1,#REF!,0)))</f>
        <v/>
      </c>
      <c r="FP46" s="56" t="str">
        <f t="array" ref="FP46">IF($DT46="","", INDEX(#REF!,MATCH(CONCATENATE('Respuestas de formulario 1.1'!$B46,$DS46),#REF!,0),MATCH('Respuestas de formulario 1.1'!FP$1,#REF!,0)))</f>
        <v/>
      </c>
      <c r="FQ46" s="56" t="str">
        <f t="array" ref="FQ46">IF($DT46="","", INDEX(#REF!,MATCH(CONCATENATE('Respuestas de formulario 1.1'!$B46,$DS46),#REF!,0),MATCH('Respuestas de formulario 1.1'!FQ$1,#REF!,0)))</f>
        <v/>
      </c>
      <c r="FR46" s="45" t="str">
        <f t="array" ref="FR46">IF($DT46="","", INDEX(#REF!,MATCH(CONCATENATE('Respuestas de formulario 1.1'!$B46,$DS46),#REF!,0),MATCH('Respuestas de formulario 1.1'!FR$1,#REF!,0)))</f>
        <v/>
      </c>
      <c r="FS46" s="45" t="str">
        <f t="array" ref="FS46">IF($DU46="","", INDEX(#REF!,MATCH(CONCATENATE('Respuestas de formulario 1.1'!$B46,$DT46),#REF!,0),MATCH('Respuestas de formulario 1.1'!FS$1,#REF!,0)))</f>
        <v/>
      </c>
      <c r="FT46" s="56" t="str">
        <f t="array" ref="FT46">IF($DU46="","", INDEX(#REF!,MATCH(CONCATENATE('Respuestas de formulario 1.1'!$B46,$DT46),#REF!,0),MATCH('Respuestas de formulario 1.1'!FT$1,#REF!,0)))</f>
        <v/>
      </c>
      <c r="FU46" s="56" t="str">
        <f t="array" ref="FU46">IF($DU46="","", INDEX(#REF!,MATCH(CONCATENATE('Respuestas de formulario 1.1'!$B46,$DT46),#REF!,0),MATCH('Respuestas de formulario 1.1'!FU$1,#REF!,0)))</f>
        <v/>
      </c>
      <c r="FV46" s="56" t="str">
        <f t="array" ref="FV46">IF($DU46="","", INDEX(#REF!,MATCH(CONCATENATE('Respuestas de formulario 1.1'!$B46,$DT46),#REF!,0),MATCH('Respuestas de formulario 1.1'!FV$1,#REF!,0)))</f>
        <v/>
      </c>
      <c r="FW46" s="56" t="str">
        <f t="array" ref="FW46">IF($DU46="","", INDEX(#REF!,MATCH(CONCATENATE('Respuestas de formulario 1.1'!$B46,$DT46),#REF!,0),MATCH('Respuestas de formulario 1.1'!FW$1,#REF!,0)))</f>
        <v/>
      </c>
      <c r="FX46" s="56" t="str">
        <f t="array" ref="FX46">IF($DU46="","", INDEX(#REF!,MATCH(CONCATENATE('Respuestas de formulario 1.1'!$B46,$DT46),#REF!,0),MATCH('Respuestas de formulario 1.1'!FX$1,#REF!,0)))</f>
        <v/>
      </c>
      <c r="FY46" s="45" t="str">
        <f t="array" ref="FY46">IF($DU46="","", INDEX(#REF!,MATCH(CONCATENATE('Respuestas de formulario 1.1'!$B46,$DT46),#REF!,0),MATCH('Respuestas de formulario 1.1'!FY$1,#REF!,0)))</f>
        <v/>
      </c>
      <c r="FZ46" s="3" t="s">
        <v>2860</v>
      </c>
      <c r="GA46" s="1" t="s">
        <v>3600</v>
      </c>
      <c r="GB46" s="5" t="s">
        <v>3601</v>
      </c>
      <c r="GC46" s="4" t="str">
        <f>HYPERLINK("https://drive.google.com/file/d/1NL1uCzX9UI_RD-WHkRyormWhE9V8Ye30/view?usp=drivesdk","RODRIGUEZ ESPINOSA DAFNE LYNETTE Formato de reinscripción y pago 2022-2")</f>
        <v>RODRIGUEZ ESPINOSA DAFNE LYNETTE Formato de reinscripción y pago 2022-2</v>
      </c>
      <c r="GD46" s="1" t="s">
        <v>3602</v>
      </c>
      <c r="GE46" s="1"/>
      <c r="GF46" s="1"/>
      <c r="GG46" s="1"/>
      <c r="GH46" s="1"/>
      <c r="GI46" s="1" t="s">
        <v>3603</v>
      </c>
      <c r="GJ46" s="5" t="s">
        <v>3604</v>
      </c>
      <c r="GK46" s="5" t="str">
        <f>HYPERLINK("https://drive.google.com/file/d/1dYT9eSzldOhDlkLJGqh-2GKCzcjflCUf/view?usp=drivesdk","RODRIGUEZ ESPINOSA DAFNE LYNETTE Formato de reinscripción y pago 2022-2")</f>
        <v>RODRIGUEZ ESPINOSA DAFNE LYNETTE Formato de reinscripción y pago 2022-2</v>
      </c>
      <c r="GL46" s="1" t="s">
        <v>3605</v>
      </c>
    </row>
    <row r="47" spans="1:194" ht="38.25" x14ac:dyDescent="0.2">
      <c r="A47" s="2">
        <v>45139.074209629631</v>
      </c>
      <c r="B47" s="1" t="s">
        <v>2385</v>
      </c>
      <c r="C47" s="1" t="s">
        <v>433</v>
      </c>
      <c r="D47" s="1" t="s">
        <v>600</v>
      </c>
      <c r="E47" s="1" t="s">
        <v>2386</v>
      </c>
      <c r="F47" s="1" t="s">
        <v>262</v>
      </c>
      <c r="G47" s="5" t="s">
        <v>3606</v>
      </c>
      <c r="H47" s="41">
        <v>38720</v>
      </c>
      <c r="I47" s="1">
        <v>17</v>
      </c>
      <c r="J47" s="1">
        <v>5541586790</v>
      </c>
      <c r="K47" s="1">
        <v>5589821121</v>
      </c>
      <c r="L47" s="1" t="s">
        <v>2387</v>
      </c>
      <c r="M47" s="1">
        <v>223090605708</v>
      </c>
      <c r="N47" s="1" t="s">
        <v>562</v>
      </c>
      <c r="O47" s="1" t="s">
        <v>225</v>
      </c>
      <c r="P47" s="1" t="s">
        <v>278</v>
      </c>
      <c r="Q47" s="1" t="s">
        <v>315</v>
      </c>
      <c r="R47" s="1" t="s">
        <v>236</v>
      </c>
      <c r="S47" s="1" t="s">
        <v>236</v>
      </c>
      <c r="T47" s="1" t="s">
        <v>229</v>
      </c>
      <c r="U47" s="1" t="s">
        <v>289</v>
      </c>
      <c r="V47" s="1" t="s">
        <v>228</v>
      </c>
      <c r="W47" s="1" t="s">
        <v>3607</v>
      </c>
      <c r="X47" s="1" t="s">
        <v>289</v>
      </c>
      <c r="Y47" s="1" t="s">
        <v>2389</v>
      </c>
      <c r="Z47" s="1" t="s">
        <v>231</v>
      </c>
      <c r="AA47" s="1">
        <v>56567</v>
      </c>
      <c r="AB47" s="1" t="s">
        <v>278</v>
      </c>
      <c r="AC47" s="1">
        <v>24</v>
      </c>
      <c r="AD47" s="1" t="s">
        <v>3608</v>
      </c>
      <c r="AE47" s="1" t="s">
        <v>3609</v>
      </c>
      <c r="AF47" s="1" t="s">
        <v>265</v>
      </c>
      <c r="AG47" s="1">
        <v>40</v>
      </c>
      <c r="AH47" s="5" t="s">
        <v>3610</v>
      </c>
      <c r="AI47" s="1">
        <v>5578064181</v>
      </c>
      <c r="AJ47" s="1">
        <v>5511145678</v>
      </c>
      <c r="AK47" s="1" t="s">
        <v>3611</v>
      </c>
      <c r="AL47" s="1" t="s">
        <v>433</v>
      </c>
      <c r="AM47" s="1" t="s">
        <v>600</v>
      </c>
      <c r="AN47" s="1" t="s">
        <v>2648</v>
      </c>
      <c r="AO47" s="1" t="s">
        <v>586</v>
      </c>
      <c r="AP47" s="1">
        <v>19</v>
      </c>
      <c r="AQ47" s="1" t="s">
        <v>2758</v>
      </c>
      <c r="AR47" s="42">
        <v>0.5</v>
      </c>
      <c r="AS47" s="42">
        <v>0.5</v>
      </c>
      <c r="AT47" s="1">
        <v>5615920878</v>
      </c>
      <c r="AU47" s="1">
        <v>5546780931</v>
      </c>
      <c r="AV47" s="1" t="s">
        <v>3612</v>
      </c>
      <c r="AW47" s="5" t="s">
        <v>3613</v>
      </c>
      <c r="AX47" s="1" t="s">
        <v>433</v>
      </c>
      <c r="AY47" s="1" t="s">
        <v>600</v>
      </c>
      <c r="AZ47" s="1" t="s">
        <v>2388</v>
      </c>
      <c r="BA47" s="1" t="s">
        <v>586</v>
      </c>
      <c r="BB47" s="1">
        <v>21</v>
      </c>
      <c r="BC47" s="1" t="s">
        <v>476</v>
      </c>
      <c r="BD47" s="43">
        <v>4.1666666664241347E-2</v>
      </c>
      <c r="BE47" s="43">
        <v>0.5</v>
      </c>
      <c r="BF47" s="1">
        <v>5571979720</v>
      </c>
      <c r="BG47" s="1">
        <v>5567890765</v>
      </c>
      <c r="BH47" s="1"/>
      <c r="BI47" s="5" t="s">
        <v>3614</v>
      </c>
      <c r="BJ47" s="1" t="s">
        <v>228</v>
      </c>
      <c r="BK47" s="1" t="s">
        <v>3615</v>
      </c>
      <c r="BL47" s="1">
        <v>174</v>
      </c>
      <c r="BM47" s="1">
        <v>72</v>
      </c>
      <c r="BN47" s="1" t="s">
        <v>228</v>
      </c>
      <c r="BO47" s="1" t="s">
        <v>236</v>
      </c>
      <c r="BP47" s="1" t="s">
        <v>3616</v>
      </c>
      <c r="BQ47" s="1" t="s">
        <v>236</v>
      </c>
      <c r="BR47" s="1" t="s">
        <v>931</v>
      </c>
      <c r="BS47" s="1" t="s">
        <v>228</v>
      </c>
      <c r="BT47" s="1" t="s">
        <v>237</v>
      </c>
      <c r="BU47" s="1" t="s">
        <v>236</v>
      </c>
      <c r="BW47" s="1" t="s">
        <v>272</v>
      </c>
      <c r="BX47" s="1">
        <v>100</v>
      </c>
      <c r="BY47" s="1">
        <v>250</v>
      </c>
      <c r="BZ47" s="1" t="s">
        <v>253</v>
      </c>
      <c r="CA47" s="1" t="s">
        <v>652</v>
      </c>
      <c r="CB47" s="1" t="s">
        <v>240</v>
      </c>
      <c r="CC47" s="1" t="s">
        <v>1629</v>
      </c>
      <c r="CD47" s="1">
        <v>1500</v>
      </c>
      <c r="CE47" s="1">
        <v>2000</v>
      </c>
      <c r="CF47" s="1" t="s">
        <v>236</v>
      </c>
      <c r="CG47" s="1" t="s">
        <v>3617</v>
      </c>
      <c r="CH47" s="1" t="s">
        <v>243</v>
      </c>
      <c r="CI47" s="1" t="s">
        <v>243</v>
      </c>
      <c r="CJ47" s="1" t="s">
        <v>2848</v>
      </c>
      <c r="CL47" s="5" t="s">
        <v>3618</v>
      </c>
      <c r="CM47" s="1">
        <v>35220669036</v>
      </c>
      <c r="CN47" s="1" t="s">
        <v>228</v>
      </c>
      <c r="CQ47" s="42">
        <v>0.47916666666424135</v>
      </c>
      <c r="CR47" s="42">
        <v>0.39583333333575865</v>
      </c>
      <c r="CT47" s="45" t="str">
        <f t="array" ref="CT47">IFERROR(INDEX(#REF!,MATCH('Respuestas de formulario 1.1'!$B47,#REF!,0),MATCH('Respuestas de formulario 1.1'!CT$1,#REF!,0)),"")</f>
        <v/>
      </c>
      <c r="CU47" s="56" t="str">
        <f t="array" ref="CU47">IFERROR(INDEX(#REF!,MATCH('Respuestas de formulario 1.1'!$B47,#REF!,0),MATCH('Respuestas de formulario 1.1'!CU$1,#REF!,0)),"")</f>
        <v/>
      </c>
      <c r="CV47" s="56" t="str">
        <f t="array" ref="CV47">IFERROR(INDEX(#REF!,MATCH('Respuestas de formulario 1.1'!$B47,#REF!,0),MATCH('Respuestas de formulario 1.1'!CV$1,#REF!,0)),"")</f>
        <v/>
      </c>
      <c r="CW47" s="56" t="str">
        <f t="array" ref="CW47">IFERROR(INDEX(#REF!,MATCH('Respuestas de formulario 1.1'!$B47,#REF!,0),MATCH('Respuestas de formulario 1.1'!CW$1,#REF!,0)),"")</f>
        <v/>
      </c>
      <c r="CX47" s="56" t="str">
        <f t="array" ref="CX47">IFERROR(INDEX(#REF!,MATCH('Respuestas de formulario 1.1'!$B47,#REF!,0),MATCH('Respuestas de formulario 1.1'!CX$1,#REF!,0)),"")</f>
        <v/>
      </c>
      <c r="CY47" s="56" t="str">
        <f t="array" ref="CY47">IFERROR(INDEX(#REF!,MATCH('Respuestas de formulario 1.1'!$B47,#REF!,0),MATCH('Respuestas de formulario 1.1'!CY$1,#REF!,0)),"")</f>
        <v/>
      </c>
      <c r="CZ47" s="57" t="str">
        <f t="array" ref="CZ47">IFERROR(INDEX(#REF!,MATCH('Respuestas de formulario 1.1'!$B47,#REF!,0),MATCH('Respuestas de formulario 1.1'!CZ$1,#REF!,0)),"")</f>
        <v/>
      </c>
      <c r="DA47" s="45" t="e">
        <f t="array" ref="DA47">INDEX(#REF!,MATCH('Respuestas de formulario 1.1'!$B47,#REF!,0),MATCH('Respuestas de formulario 1.1'!DA$1,#REF!,0))</f>
        <v>#REF!</v>
      </c>
      <c r="DB47" s="45" t="e">
        <f t="array" ref="DB47">INDEX(#REF!,MATCH('Respuestas de formulario 1.1'!$B47,#REF!,0),MATCH('Respuestas de formulario 1.1'!DB$1,#REF!,0))</f>
        <v>#REF!</v>
      </c>
      <c r="DC47" s="45" t="e">
        <f t="array" ref="DC47">INDEX(#REF!,MATCH('Respuestas de formulario 1.1'!$B47,#REF!,0),MATCH('Respuestas de formulario 1.1'!DC$1,#REF!,0))</f>
        <v>#REF!</v>
      </c>
      <c r="DD47" s="45" t="e">
        <f t="array" ref="DD47">INDEX(#REF!,MATCH('Respuestas de formulario 1.1'!$B47,#REF!,0),MATCH('Respuestas de formulario 1.1'!DD$1,#REF!,0))</f>
        <v>#REF!</v>
      </c>
      <c r="DE47" s="45" t="e">
        <f t="array" ref="DE47">INDEX(#REF!,MATCH('Respuestas de formulario 1.1'!$B47,#REF!,0),MATCH('Respuestas de formulario 1.1'!DE$1,#REF!,0))</f>
        <v>#REF!</v>
      </c>
      <c r="DF47" s="45" t="e">
        <f t="array" ref="DF47">INDEX(#REF!,MATCH('Respuestas de formulario 1.1'!$B47,#REF!,0),MATCH('Respuestas de formulario 1.1'!DF$1,#REF!,0))</f>
        <v>#REF!</v>
      </c>
      <c r="DG47" s="45" t="e">
        <f t="array" ref="DG47">INDEX(#REF!,MATCH('Respuestas de formulario 1.1'!$B47,#REF!,0),MATCH('Respuestas de formulario 1.1'!DG$1,#REF!,0))</f>
        <v>#REF!</v>
      </c>
      <c r="DH47" s="45" t="e">
        <f t="array" ref="DH47">INDEX(#REF!,MATCH('Respuestas de formulario 1.1'!$B47,#REF!,0),MATCH('Respuestas de formulario 1.1'!DH$1,#REF!,0))</f>
        <v>#REF!</v>
      </c>
      <c r="DI47" s="48" t="e">
        <f>VLOOKUP(CONCATENATE($DF47," TUTO ",$DC47),#REF!,3,0)</f>
        <v>#REF!</v>
      </c>
      <c r="DJ47" s="48" t="e">
        <f t="array" ref="DJ47">IF('Respuestas de formulario 1.1'!A47="","",INDEX(#REF!,MATCH('Respuestas de formulario 1.1'!B47,#REF!,0),MATCH('Respuestas de formulario 1.1'!$DH$1,#REF!,0)))</f>
        <v>#REF!</v>
      </c>
      <c r="DK47" s="52" t="str">
        <f>CONCATENATE("http://doc.google.com/uc?id=",MID('Respuestas de formulario 1.1'!G47,34,33))</f>
        <v>http://doc.google.com/uc?id=1demYB3S4ICKrtV7L8d1yIS0rKT7GAuRH</v>
      </c>
      <c r="DL47" s="49" t="str">
        <f>CONCATENATE("http://doc.google.com/uc?id=",MID('Respuestas de formulario 1.1'!AH47,34,33))</f>
        <v>http://doc.google.com/uc?id=1ZtgGIbPkh-J7itDN1-vf1jyRu_qvJYN8</v>
      </c>
      <c r="DM47" s="50" t="str">
        <f>CONCATENATE("http://doc.google.com/uc?id=",MID('Respuestas de formulario 1.1'!AW47,34,33))</f>
        <v>http://doc.google.com/uc?id=1P0gMaVECX58gUOSoLhzpJ1E6rRDoD4PA</v>
      </c>
      <c r="DN47" s="53" t="str">
        <f>CONCATENATE("http://doc.google.com/uc?id=",MID('Respuestas de formulario 1.1'!$BI47,34,33))</f>
        <v>http://doc.google.com/uc?id=1SL-bNAmKVyR6FXIuhTLHQlWRGfM8P9BN</v>
      </c>
      <c r="DO47" s="45" t="str">
        <f>IFERROR(VLOOKUP(CONCATENATE('Respuestas de formulario 1.1'!$B47,MID('Respuestas de formulario 1.1'!DO$1,2,1)),#REF!,12,0),"")</f>
        <v/>
      </c>
      <c r="DP47" s="45" t="str">
        <f>IFERROR(VLOOKUP(CONCATENATE('Respuestas de formulario 1.1'!$B47,MID('Respuestas de formulario 1.1'!DP$1,2,1)),#REF!,12,0),"")</f>
        <v/>
      </c>
      <c r="DQ47" s="45" t="str">
        <f>IFERROR(VLOOKUP(CONCATENATE('Respuestas de formulario 1.1'!$B47,MID('Respuestas de formulario 1.1'!DQ$1,2,1)),#REF!,12,0),"")</f>
        <v/>
      </c>
      <c r="DR47" s="45" t="str">
        <f>IFERROR(VLOOKUP(CONCATENATE('Respuestas de formulario 1.1'!$B47,MID('Respuestas de formulario 1.1'!DR$1,2,1)),#REF!,12,0),"")</f>
        <v/>
      </c>
      <c r="DS47" s="45" t="str">
        <f>IFERROR(VLOOKUP(CONCATENATE('Respuestas de formulario 1.1'!$B47,MID('Respuestas de formulario 1.1'!DS$1,2,1)),#REF!,12,0),"")</f>
        <v/>
      </c>
      <c r="DT47" s="45" t="str">
        <f>IFERROR(VLOOKUP(CONCATENATE('Respuestas de formulario 1.1'!$B47,MID('Respuestas de formulario 1.1'!DT$1,2,1)),#REF!,12,0),"")</f>
        <v/>
      </c>
      <c r="DU47" s="45" t="str">
        <f>IFERROR(VLOOKUP(CONCATENATE('Respuestas de formulario 1.1'!$B47,MID('Respuestas de formulario 1.1'!DU$1,2,1)),#REF!,12,0),"")</f>
        <v/>
      </c>
      <c r="DV47" s="45" t="str">
        <f>IFERROR(VLOOKUP(CONCATENATE('Respuestas de formulario 1.1'!$B47,MID('Respuestas de formulario 1.1'!DV$1,2,1)),#REF!,12,0),"")</f>
        <v/>
      </c>
      <c r="DW47" s="45" t="str">
        <f>IFERROR(VLOOKUP(CONCATENATE('Respuestas de formulario 1.1'!$B47,MID('Respuestas de formulario 1.1'!DW$1,2,1)),#REF!,12,0),"")</f>
        <v/>
      </c>
      <c r="DX47" s="45" t="str">
        <f>IFERROR(VLOOKUP(CONCATENATE('Respuestas de formulario 1.1'!$B47,MID('Respuestas de formulario 1.1'!DX$1,2,1)),#REF!,12,0),"")</f>
        <v/>
      </c>
      <c r="DY47" s="45" t="str">
        <f>IFERROR(VLOOKUP(CONCATENATE('Respuestas de formulario 1.1'!$B47,MID('Respuestas de formulario 1.1'!DY$1,2,1)),#REF!,12,0),"")</f>
        <v/>
      </c>
      <c r="DZ47" s="45" t="str">
        <f>IFERROR(VLOOKUP(CONCATENATE('Respuestas de formulario 1.1'!$B47,MID('Respuestas de formulario 1.1'!DZ$1,2,1)),#REF!,12,0),"")</f>
        <v/>
      </c>
      <c r="EA47" s="45" t="str">
        <f>IFERROR(VLOOKUP(CONCATENATE('Respuestas de formulario 1.1'!$B47,MID('Respuestas de formulario 1.1'!EA$1,2,1)),#REF!,12,0),"")</f>
        <v/>
      </c>
      <c r="EB47" s="45" t="str">
        <f>IFERROR(VLOOKUP(CONCATENATE('Respuestas de formulario 1.1'!$B47,MID('Respuestas de formulario 1.1'!EB$1,2,1)),#REF!,12,0),"")</f>
        <v/>
      </c>
      <c r="EC47" s="45" t="str">
        <f>IFERROR(VLOOKUP(CONCATENATE('Respuestas de formulario 1.1'!$B47,MID('Respuestas de formulario 1.1'!EC$1,2,1)),#REF!,12,0),"")</f>
        <v/>
      </c>
      <c r="ED47" s="45" t="str">
        <f>IFERROR(VLOOKUP(CONCATENATE('Respuestas de formulario 1.1'!$B47,MID('Respuestas de formulario 1.1'!ED$1,2,1)),#REF!,12,0),"")</f>
        <v/>
      </c>
      <c r="EE47" s="45" t="str">
        <f>IFERROR(VLOOKUP(CONCATENATE('Respuestas de formulario 1.1'!$B47,MID('Respuestas de formulario 1.1'!EE$1,2,1)),#REF!,12,0),"")</f>
        <v/>
      </c>
      <c r="EF47" s="45" t="str">
        <f>IFERROR(VLOOKUP(CONCATENATE('Respuestas de formulario 1.1'!$B47,MID('Respuestas de formulario 1.1'!EF$1,2,1)),#REF!,12,0),"")</f>
        <v/>
      </c>
      <c r="EG47" s="45" t="str">
        <f>IFERROR(VLOOKUP(CONCATENATE('Respuestas de formulario 1.1'!$B47,MID('Respuestas de formulario 1.1'!EG$1,2,1)),#REF!,12,0),"")</f>
        <v/>
      </c>
      <c r="EH47" s="45" t="str">
        <f>IFERROR(VLOOKUP(CONCATENATE('Respuestas de formulario 1.1'!$B47,MID('Respuestas de formulario 1.1'!EH$1,2,1)),#REF!,12,0),"")</f>
        <v/>
      </c>
      <c r="EI47" s="45" t="str">
        <f>IFERROR(VLOOKUP(CONCATENATE('Respuestas de formulario 1.1'!$B47,MID('Respuestas de formulario 1.1'!EI$1,2,1)),#REF!,12,0),"")</f>
        <v/>
      </c>
      <c r="EJ47" s="45" t="str">
        <f t="array" ref="EJ47">IF(DO47="","", INDEX(#REF!,MATCH(CONCATENATE('Respuestas de formulario 1.1'!$B47,DO47),#REF!,0),MATCH('Respuestas de formulario 1.1'!EJ$1,#REF!,0)))</f>
        <v/>
      </c>
      <c r="EK47" s="56" t="str">
        <f t="array" ref="EK47">IF(DP47="","", INDEX(#REF!,MATCH(CONCATENATE('Respuestas de formulario 1.1'!$B47,DP47),#REF!,0),MATCH('Respuestas de formulario 1.1'!EK$1,#REF!,0)))</f>
        <v/>
      </c>
      <c r="EL47" s="56" t="str">
        <f t="array" ref="EL47">IF(DQ47="","", INDEX(#REF!,MATCH(CONCATENATE('Respuestas de formulario 1.1'!$B47,DQ47),#REF!,0),MATCH('Respuestas de formulario 1.1'!EL$1,#REF!,0)))</f>
        <v/>
      </c>
      <c r="EM47" s="56" t="str">
        <f t="array" ref="EM47">IF(DR47="","", INDEX(#REF!,MATCH(CONCATENATE('Respuestas de formulario 1.1'!$B47,DR47),#REF!,0),MATCH('Respuestas de formulario 1.1'!EM$1,#REF!,0)))</f>
        <v/>
      </c>
      <c r="EN47" s="56" t="str">
        <f t="array" ref="EN47">IF(DS47="","", INDEX(#REF!,MATCH(CONCATENATE('Respuestas de formulario 1.1'!$B47,DS47),#REF!,0),MATCH('Respuestas de formulario 1.1'!EN$1,#REF!,0)))</f>
        <v/>
      </c>
      <c r="EO47" s="56" t="str">
        <f t="array" ref="EO47">IF(DT47="","", INDEX(#REF!,MATCH(CONCATENATE('Respuestas de formulario 1.1'!$B47,DT47),#REF!,0),MATCH('Respuestas de formulario 1.1'!EO$1,#REF!,0)))</f>
        <v/>
      </c>
      <c r="EP47" s="45" t="str">
        <f t="array" ref="EP47">IF(DU47="","", INDEX(#REF!,MATCH(CONCATENATE('Respuestas de formulario 1.1'!$B47,DU47),#REF!,0),MATCH('Respuestas de formulario 1.1'!EP$1,#REF!,0)))</f>
        <v/>
      </c>
      <c r="EQ47" s="45" t="str">
        <f t="array" ref="EQ47">IF(DP47="","", INDEX(#REF!,MATCH(CONCATENATE('Respuestas de formulario 1.1'!$B47,DP47),#REF!,0),MATCH('Respuestas de formulario 1.1'!EQ$1,#REF!,0)))</f>
        <v/>
      </c>
      <c r="ER47" s="56" t="str">
        <f t="array" ref="ER47">IF(DQ47="","", INDEX(#REF!,MATCH(CONCATENATE('Respuestas de formulario 1.1'!$B47,DQ47),#REF!,0),MATCH('Respuestas de formulario 1.1'!ER$1,#REF!,0)))</f>
        <v/>
      </c>
      <c r="ES47" s="56" t="str">
        <f t="array" ref="ES47">IF(DR47="","", INDEX(#REF!,MATCH(CONCATENATE('Respuestas de formulario 1.1'!$B47,DR47),#REF!,0),MATCH('Respuestas de formulario 1.1'!ES$1,#REF!,0)))</f>
        <v/>
      </c>
      <c r="ET47" s="56" t="str">
        <f t="array" ref="ET47">IF(DS47="","", INDEX(#REF!,MATCH(CONCATENATE('Respuestas de formulario 1.1'!$B47,DS47),#REF!,0),MATCH('Respuestas de formulario 1.1'!ET$1,#REF!,0)))</f>
        <v/>
      </c>
      <c r="EU47" s="56" t="str">
        <f t="array" ref="EU47">IF(DT47="","", INDEX(#REF!,MATCH(CONCATENATE('Respuestas de formulario 1.1'!$B47,DT47),#REF!,0),MATCH('Respuestas de formulario 1.1'!EU$1,#REF!,0)))</f>
        <v/>
      </c>
      <c r="EV47" s="56" t="str">
        <f t="array" ref="EV47">IF(DU47="","", INDEX(#REF!,MATCH(CONCATENATE('Respuestas de formulario 1.1'!$B47,DU47),#REF!,0),MATCH('Respuestas de formulario 1.1'!EV$1,#REF!,0)))</f>
        <v/>
      </c>
      <c r="EW47" s="45" t="str">
        <f t="array" ref="EW47">IF(DV47="","", INDEX(#REF!,MATCH(CONCATENATE('Respuestas de formulario 1.1'!$B47,DV47),#REF!,0),MATCH('Respuestas de formulario 1.1'!EW$1,#REF!,0)))</f>
        <v/>
      </c>
      <c r="EX47" s="45" t="str">
        <f t="array" ref="EX47">IF($DQ47="","", INDEX(#REF!,MATCH(CONCATENATE('Respuestas de formulario 1.1'!$B47,$DQ47),#REF!,0),MATCH('Respuestas de formulario 1.1'!EX$1,#REF!,0)))</f>
        <v/>
      </c>
      <c r="EY47" s="56" t="str">
        <f t="array" ref="EY47">IF($DQ47="","", INDEX(#REF!,MATCH(CONCATENATE('Respuestas de formulario 1.1'!$B47,$DQ47),#REF!,0),MATCH('Respuestas de formulario 1.1'!EY$1,#REF!,0)))</f>
        <v/>
      </c>
      <c r="EZ47" s="56" t="str">
        <f t="array" ref="EZ47">IF($DQ47="","", INDEX(#REF!,MATCH(CONCATENATE('Respuestas de formulario 1.1'!$B47,$DQ47),#REF!,0),MATCH('Respuestas de formulario 1.1'!EZ$1,#REF!,0)))</f>
        <v/>
      </c>
      <c r="FA47" s="56" t="str">
        <f t="array" ref="FA47">IF($DQ47="","", INDEX(#REF!,MATCH(CONCATENATE('Respuestas de formulario 1.1'!$B47,$DQ47),#REF!,0),MATCH('Respuestas de formulario 1.1'!FA$1,#REF!,0)))</f>
        <v/>
      </c>
      <c r="FB47" s="56" t="str">
        <f t="array" ref="FB47">IF($DQ47="","", INDEX(#REF!,MATCH(CONCATENATE('Respuestas de formulario 1.1'!$B47,$DQ47),#REF!,0),MATCH('Respuestas de formulario 1.1'!FB$1,#REF!,0)))</f>
        <v/>
      </c>
      <c r="FC47" s="56" t="str">
        <f t="array" ref="FC47">IF($DQ47="","", INDEX(#REF!,MATCH(CONCATENATE('Respuestas de formulario 1.1'!$B47,$DQ47),#REF!,0),MATCH('Respuestas de formulario 1.1'!FC$1,#REF!,0)))</f>
        <v/>
      </c>
      <c r="FD47" s="45" t="str">
        <f t="array" ref="FD47">IF($DQ47="","", INDEX(#REF!,MATCH(CONCATENATE('Respuestas de formulario 1.1'!$B47,$DQ47),#REF!,0),MATCH('Respuestas de formulario 1.1'!FD$1,#REF!,0)))</f>
        <v/>
      </c>
      <c r="FE47" s="45" t="str">
        <f t="array" ref="FE47">IF($DR47="","", INDEX(#REF!,MATCH(CONCATENATE(#REF!,$DR47),#REF!,0),MATCH(#REF!,#REF!,0)))</f>
        <v/>
      </c>
      <c r="FF47" s="56" t="str">
        <f t="array" ref="FF47">IF($DR47="","", INDEX(#REF!,MATCH(CONCATENATE(#REF!,$DR47),#REF!,0),MATCH(#REF!,#REF!,0)))</f>
        <v/>
      </c>
      <c r="FG47" s="56" t="str">
        <f t="array" ref="FG47">IF($DR47="","", INDEX(#REF!,MATCH(CONCATENATE(#REF!,$DR47),#REF!,0),MATCH(#REF!,#REF!,0)))</f>
        <v/>
      </c>
      <c r="FH47" s="56" t="str">
        <f t="array" ref="FH47">IF($DR47="","", INDEX(#REF!,MATCH(CONCATENATE(#REF!,$DR47),#REF!,0),MATCH(#REF!,#REF!,0)))</f>
        <v/>
      </c>
      <c r="FI47" s="56" t="str">
        <f t="array" ref="FI47">IF($DR47="","", INDEX(#REF!,MATCH(CONCATENATE(#REF!,$DR47),#REF!,0),MATCH(#REF!,#REF!,0)))</f>
        <v/>
      </c>
      <c r="FJ47" s="56" t="str">
        <f t="array" ref="FJ47">IF($DR47="","", INDEX(#REF!,MATCH(CONCATENATE(#REF!,$DR47),#REF!,0),MATCH(#REF!,#REF!,0)))</f>
        <v/>
      </c>
      <c r="FK47" s="45" t="str">
        <f t="array" ref="FK47">IF($DR47="","", INDEX(#REF!,MATCH(CONCATENATE(#REF!,$DR47),#REF!,0),MATCH(#REF!,#REF!,0)))</f>
        <v/>
      </c>
      <c r="FL47" s="45" t="str">
        <f t="array" ref="FL47">IF($DT47="","", INDEX(#REF!,MATCH(CONCATENATE('Respuestas de formulario 1.1'!$B47,$DS47),#REF!,0),MATCH('Respuestas de formulario 1.1'!FL$1,#REF!,0)))</f>
        <v/>
      </c>
      <c r="FM47" s="56" t="str">
        <f t="array" ref="FM47">IF($DT47="","", INDEX(#REF!,MATCH(CONCATENATE('Respuestas de formulario 1.1'!$B47,$DS47),#REF!,0),MATCH('Respuestas de formulario 1.1'!FM$1,#REF!,0)))</f>
        <v/>
      </c>
      <c r="FN47" s="56" t="str">
        <f t="array" ref="FN47">IF($DT47="","", INDEX(#REF!,MATCH(CONCATENATE('Respuestas de formulario 1.1'!$B47,$DS47),#REF!,0),MATCH('Respuestas de formulario 1.1'!FN$1,#REF!,0)))</f>
        <v/>
      </c>
      <c r="FO47" s="56" t="str">
        <f t="array" ref="FO47">IF($DT47="","", INDEX(#REF!,MATCH(CONCATENATE('Respuestas de formulario 1.1'!$B47,$DS47),#REF!,0),MATCH('Respuestas de formulario 1.1'!FO$1,#REF!,0)))</f>
        <v/>
      </c>
      <c r="FP47" s="56" t="str">
        <f t="array" ref="FP47">IF($DT47="","", INDEX(#REF!,MATCH(CONCATENATE('Respuestas de formulario 1.1'!$B47,$DS47),#REF!,0),MATCH('Respuestas de formulario 1.1'!FP$1,#REF!,0)))</f>
        <v/>
      </c>
      <c r="FQ47" s="56" t="str">
        <f t="array" ref="FQ47">IF($DT47="","", INDEX(#REF!,MATCH(CONCATENATE('Respuestas de formulario 1.1'!$B47,$DS47),#REF!,0),MATCH('Respuestas de formulario 1.1'!FQ$1,#REF!,0)))</f>
        <v/>
      </c>
      <c r="FR47" s="45" t="str">
        <f t="array" ref="FR47">IF($DT47="","", INDEX(#REF!,MATCH(CONCATENATE('Respuestas de formulario 1.1'!$B47,$DS47),#REF!,0),MATCH('Respuestas de formulario 1.1'!FR$1,#REF!,0)))</f>
        <v/>
      </c>
      <c r="FS47" s="45" t="str">
        <f t="array" ref="FS47">IF($DU47="","", INDEX(#REF!,MATCH(CONCATENATE('Respuestas de formulario 1.1'!$B47,$DT47),#REF!,0),MATCH('Respuestas de formulario 1.1'!FS$1,#REF!,0)))</f>
        <v/>
      </c>
      <c r="FT47" s="56" t="str">
        <f t="array" ref="FT47">IF($DU47="","", INDEX(#REF!,MATCH(CONCATENATE('Respuestas de formulario 1.1'!$B47,$DT47),#REF!,0),MATCH('Respuestas de formulario 1.1'!FT$1,#REF!,0)))</f>
        <v/>
      </c>
      <c r="FU47" s="56" t="str">
        <f t="array" ref="FU47">IF($DU47="","", INDEX(#REF!,MATCH(CONCATENATE('Respuestas de formulario 1.1'!$B47,$DT47),#REF!,0),MATCH('Respuestas de formulario 1.1'!FU$1,#REF!,0)))</f>
        <v/>
      </c>
      <c r="FV47" s="56" t="str">
        <f t="array" ref="FV47">IF($DU47="","", INDEX(#REF!,MATCH(CONCATENATE('Respuestas de formulario 1.1'!$B47,$DT47),#REF!,0),MATCH('Respuestas de formulario 1.1'!FV$1,#REF!,0)))</f>
        <v/>
      </c>
      <c r="FW47" s="56" t="str">
        <f t="array" ref="FW47">IF($DU47="","", INDEX(#REF!,MATCH(CONCATENATE('Respuestas de formulario 1.1'!$B47,$DT47),#REF!,0),MATCH('Respuestas de formulario 1.1'!FW$1,#REF!,0)))</f>
        <v/>
      </c>
      <c r="FX47" s="56" t="str">
        <f t="array" ref="FX47">IF($DU47="","", INDEX(#REF!,MATCH(CONCATENATE('Respuestas de formulario 1.1'!$B47,$DT47),#REF!,0),MATCH('Respuestas de formulario 1.1'!FX$1,#REF!,0)))</f>
        <v/>
      </c>
      <c r="FY47" s="45" t="str">
        <f t="array" ref="FY47">IF($DU47="","", INDEX(#REF!,MATCH(CONCATENATE('Respuestas de formulario 1.1'!$B47,$DT47),#REF!,0),MATCH('Respuestas de formulario 1.1'!FY$1,#REF!,0)))</f>
        <v/>
      </c>
      <c r="FZ47" s="3" t="s">
        <v>2860</v>
      </c>
      <c r="GA47" s="1" t="s">
        <v>3619</v>
      </c>
      <c r="GB47" s="5" t="s">
        <v>3620</v>
      </c>
      <c r="GC47" s="4" t="str">
        <f>HYPERLINK("https://drive.google.com/file/d/1uBWNpAx3HTxwsYX9TRGbU9VAYjZJ4kDE/view?usp=drivesdk","MARTINEZ RUIZ ALAN MOISES Formato de reinscripción y pago 2022-2")</f>
        <v>MARTINEZ RUIZ ALAN MOISES Formato de reinscripción y pago 2022-2</v>
      </c>
      <c r="GD47" s="1" t="s">
        <v>3621</v>
      </c>
      <c r="GE47" s="1"/>
      <c r="GF47" s="1"/>
      <c r="GG47" s="1"/>
      <c r="GH47" s="1"/>
      <c r="GI47" s="1" t="s">
        <v>3622</v>
      </c>
      <c r="GJ47" s="5" t="s">
        <v>3623</v>
      </c>
      <c r="GK47" s="5" t="str">
        <f>HYPERLINK("https://drive.google.com/file/d/1O-_PLlxSYgEWze94aEWRxTIbHVCP6zVC/view?usp=drivesdk","MARTINEZ RUIZ ALAN MOISES Formato de reinscripción y pago 2022-2")</f>
        <v>MARTINEZ RUIZ ALAN MOISES Formato de reinscripción y pago 2022-2</v>
      </c>
      <c r="GL47" s="1" t="s">
        <v>3624</v>
      </c>
    </row>
    <row r="48" spans="1:194" ht="38.25" x14ac:dyDescent="0.2">
      <c r="A48" s="2">
        <v>45139.075303078702</v>
      </c>
      <c r="B48" s="1" t="s">
        <v>891</v>
      </c>
      <c r="C48" s="1" t="s">
        <v>892</v>
      </c>
      <c r="D48" s="1" t="s">
        <v>742</v>
      </c>
      <c r="E48" s="1" t="s">
        <v>893</v>
      </c>
      <c r="F48" s="1" t="s">
        <v>262</v>
      </c>
      <c r="G48" s="5" t="s">
        <v>3625</v>
      </c>
      <c r="H48" s="41">
        <v>33161</v>
      </c>
      <c r="I48" s="1">
        <v>32</v>
      </c>
      <c r="J48" s="1">
        <v>5585108082</v>
      </c>
      <c r="K48" s="1">
        <v>5558324283</v>
      </c>
      <c r="L48" s="1" t="s">
        <v>894</v>
      </c>
      <c r="M48" s="1">
        <v>213090605739</v>
      </c>
      <c r="N48" s="1" t="s">
        <v>1108</v>
      </c>
      <c r="O48" s="1" t="s">
        <v>225</v>
      </c>
      <c r="P48" s="1" t="s">
        <v>278</v>
      </c>
      <c r="Q48" s="1" t="s">
        <v>248</v>
      </c>
      <c r="R48" s="1" t="s">
        <v>236</v>
      </c>
      <c r="S48" s="1" t="s">
        <v>236</v>
      </c>
      <c r="T48" s="1" t="s">
        <v>411</v>
      </c>
      <c r="U48" s="1" t="s">
        <v>728</v>
      </c>
      <c r="V48" s="1" t="s">
        <v>228</v>
      </c>
      <c r="W48" s="1" t="s">
        <v>3626</v>
      </c>
      <c r="X48" s="1" t="s">
        <v>393</v>
      </c>
      <c r="Y48" s="1" t="s">
        <v>898</v>
      </c>
      <c r="Z48" s="1" t="s">
        <v>240</v>
      </c>
      <c r="AA48" s="44" t="s">
        <v>895</v>
      </c>
      <c r="AB48" s="1">
        <v>271</v>
      </c>
      <c r="AC48" s="1" t="s">
        <v>3627</v>
      </c>
      <c r="AD48" s="1" t="s">
        <v>3628</v>
      </c>
      <c r="AE48" s="1" t="s">
        <v>3629</v>
      </c>
      <c r="AF48" s="1" t="s">
        <v>3630</v>
      </c>
      <c r="AG48" s="1">
        <v>59</v>
      </c>
      <c r="AH48" s="5" t="s">
        <v>3631</v>
      </c>
      <c r="AI48" s="1">
        <v>5569814658</v>
      </c>
      <c r="AJ48" s="1">
        <v>5558324283</v>
      </c>
      <c r="AK48" s="1" t="s">
        <v>896</v>
      </c>
      <c r="AL48" s="1" t="s">
        <v>3632</v>
      </c>
      <c r="AM48" s="1" t="s">
        <v>742</v>
      </c>
      <c r="AN48" s="1" t="s">
        <v>897</v>
      </c>
      <c r="AO48" s="1" t="s">
        <v>466</v>
      </c>
      <c r="AP48" s="1">
        <v>32</v>
      </c>
      <c r="AQ48" s="1" t="s">
        <v>739</v>
      </c>
      <c r="AR48" s="42">
        <v>0.29166666666424135</v>
      </c>
      <c r="AS48" s="42">
        <v>0.625</v>
      </c>
      <c r="AT48" s="1">
        <v>5585108082</v>
      </c>
      <c r="AU48" s="1">
        <v>5585892369</v>
      </c>
      <c r="AV48" s="1" t="s">
        <v>896</v>
      </c>
      <c r="AW48" s="5" t="s">
        <v>3633</v>
      </c>
      <c r="AX48" s="1" t="s">
        <v>892</v>
      </c>
      <c r="AY48" s="1" t="s">
        <v>742</v>
      </c>
      <c r="AZ48" s="1" t="s">
        <v>897</v>
      </c>
      <c r="BA48" s="1" t="s">
        <v>466</v>
      </c>
      <c r="BB48" s="1">
        <v>32</v>
      </c>
      <c r="BC48" s="1" t="s">
        <v>306</v>
      </c>
      <c r="BD48" s="43">
        <v>0.29166666666424135</v>
      </c>
      <c r="BE48" s="43">
        <v>0.625</v>
      </c>
      <c r="BF48" s="1">
        <v>5585108082</v>
      </c>
      <c r="BG48" s="1">
        <v>5558324283</v>
      </c>
      <c r="BH48" s="1" t="s">
        <v>896</v>
      </c>
      <c r="BI48" s="5" t="s">
        <v>3634</v>
      </c>
      <c r="BJ48" s="1" t="s">
        <v>236</v>
      </c>
      <c r="BL48" s="1">
        <v>165</v>
      </c>
      <c r="BM48" s="1">
        <v>78</v>
      </c>
      <c r="BN48" s="1" t="s">
        <v>236</v>
      </c>
      <c r="BO48" s="1" t="s">
        <v>228</v>
      </c>
      <c r="BQ48" s="1" t="s">
        <v>228</v>
      </c>
      <c r="BR48" s="1" t="s">
        <v>237</v>
      </c>
      <c r="BS48" s="1" t="s">
        <v>228</v>
      </c>
      <c r="BT48" s="1" t="s">
        <v>237</v>
      </c>
      <c r="BU48" s="1" t="s">
        <v>228</v>
      </c>
      <c r="BW48" s="1" t="s">
        <v>349</v>
      </c>
      <c r="BX48" s="1">
        <v>120</v>
      </c>
      <c r="BY48" s="1">
        <v>50</v>
      </c>
      <c r="BZ48" s="1" t="s">
        <v>3635</v>
      </c>
      <c r="CA48" s="1" t="s">
        <v>786</v>
      </c>
      <c r="CB48" s="1" t="s">
        <v>3636</v>
      </c>
      <c r="CC48" s="1" t="s">
        <v>3636</v>
      </c>
      <c r="CD48" s="1">
        <v>10000</v>
      </c>
      <c r="CE48" s="1">
        <v>1500</v>
      </c>
      <c r="CF48" s="1" t="s">
        <v>236</v>
      </c>
      <c r="CG48" s="1" t="s">
        <v>323</v>
      </c>
      <c r="CH48" s="1" t="s">
        <v>243</v>
      </c>
      <c r="CI48" s="1" t="s">
        <v>243</v>
      </c>
      <c r="CJ48" s="1" t="s">
        <v>2848</v>
      </c>
      <c r="CL48" s="5" t="s">
        <v>3637</v>
      </c>
      <c r="CM48" s="1">
        <v>42019000068</v>
      </c>
      <c r="CN48" s="1" t="s">
        <v>228</v>
      </c>
      <c r="CQ48" s="42">
        <v>0.25</v>
      </c>
      <c r="CR48" s="42">
        <v>0.625</v>
      </c>
      <c r="CT48" s="45" t="str">
        <f t="array" ref="CT48">IFERROR(INDEX(#REF!,MATCH('Respuestas de formulario 1.1'!$B48,#REF!,0),MATCH('Respuestas de formulario 1.1'!CT$1,#REF!,0)),"")</f>
        <v/>
      </c>
      <c r="CU48" s="56" t="str">
        <f t="array" ref="CU48">IFERROR(INDEX(#REF!,MATCH('Respuestas de formulario 1.1'!$B48,#REF!,0),MATCH('Respuestas de formulario 1.1'!CU$1,#REF!,0)),"")</f>
        <v/>
      </c>
      <c r="CV48" s="56" t="str">
        <f t="array" ref="CV48">IFERROR(INDEX(#REF!,MATCH('Respuestas de formulario 1.1'!$B48,#REF!,0),MATCH('Respuestas de formulario 1.1'!CV$1,#REF!,0)),"")</f>
        <v/>
      </c>
      <c r="CW48" s="56" t="str">
        <f t="array" ref="CW48">IFERROR(INDEX(#REF!,MATCH('Respuestas de formulario 1.1'!$B48,#REF!,0),MATCH('Respuestas de formulario 1.1'!CW$1,#REF!,0)),"")</f>
        <v/>
      </c>
      <c r="CX48" s="56" t="str">
        <f t="array" ref="CX48">IFERROR(INDEX(#REF!,MATCH('Respuestas de formulario 1.1'!$B48,#REF!,0),MATCH('Respuestas de formulario 1.1'!CX$1,#REF!,0)),"")</f>
        <v/>
      </c>
      <c r="CY48" s="56" t="str">
        <f t="array" ref="CY48">IFERROR(INDEX(#REF!,MATCH('Respuestas de formulario 1.1'!$B48,#REF!,0),MATCH('Respuestas de formulario 1.1'!CY$1,#REF!,0)),"")</f>
        <v/>
      </c>
      <c r="CZ48" s="57" t="str">
        <f t="array" ref="CZ48">IFERROR(INDEX(#REF!,MATCH('Respuestas de formulario 1.1'!$B48,#REF!,0),MATCH('Respuestas de formulario 1.1'!CZ$1,#REF!,0)),"")</f>
        <v/>
      </c>
      <c r="DA48" s="45" t="e">
        <f t="array" ref="DA48">INDEX(#REF!,MATCH('Respuestas de formulario 1.1'!$B48,#REF!,0),MATCH('Respuestas de formulario 1.1'!DA$1,#REF!,0))</f>
        <v>#REF!</v>
      </c>
      <c r="DB48" s="45" t="e">
        <f t="array" ref="DB48">INDEX(#REF!,MATCH('Respuestas de formulario 1.1'!$B48,#REF!,0),MATCH('Respuestas de formulario 1.1'!DB$1,#REF!,0))</f>
        <v>#REF!</v>
      </c>
      <c r="DC48" s="45" t="e">
        <f t="array" ref="DC48">INDEX(#REF!,MATCH('Respuestas de formulario 1.1'!$B48,#REF!,0),MATCH('Respuestas de formulario 1.1'!DC$1,#REF!,0))</f>
        <v>#REF!</v>
      </c>
      <c r="DD48" s="45" t="e">
        <f t="array" ref="DD48">INDEX(#REF!,MATCH('Respuestas de formulario 1.1'!$B48,#REF!,0),MATCH('Respuestas de formulario 1.1'!DD$1,#REF!,0))</f>
        <v>#REF!</v>
      </c>
      <c r="DE48" s="45" t="e">
        <f t="array" ref="DE48">INDEX(#REF!,MATCH('Respuestas de formulario 1.1'!$B48,#REF!,0),MATCH('Respuestas de formulario 1.1'!DE$1,#REF!,0))</f>
        <v>#REF!</v>
      </c>
      <c r="DF48" s="45" t="e">
        <f t="array" ref="DF48">INDEX(#REF!,MATCH('Respuestas de formulario 1.1'!$B48,#REF!,0),MATCH('Respuestas de formulario 1.1'!DF$1,#REF!,0))</f>
        <v>#REF!</v>
      </c>
      <c r="DG48" s="45" t="e">
        <f t="array" ref="DG48">INDEX(#REF!,MATCH('Respuestas de formulario 1.1'!$B48,#REF!,0),MATCH('Respuestas de formulario 1.1'!DG$1,#REF!,0))</f>
        <v>#REF!</v>
      </c>
      <c r="DH48" s="45" t="e">
        <f t="array" ref="DH48">INDEX(#REF!,MATCH('Respuestas de formulario 1.1'!$B48,#REF!,0),MATCH('Respuestas de formulario 1.1'!DH$1,#REF!,0))</f>
        <v>#REF!</v>
      </c>
      <c r="DI48" s="48" t="e">
        <f>VLOOKUP(CONCATENATE($DF48," TUTO ",$DC48),#REF!,3,0)</f>
        <v>#REF!</v>
      </c>
      <c r="DJ48" s="48" t="e">
        <f t="array" ref="DJ48">IF('Respuestas de formulario 1.1'!A48="","",INDEX(#REF!,MATCH('Respuestas de formulario 1.1'!B48,#REF!,0),MATCH('Respuestas de formulario 1.1'!$DH$1,#REF!,0)))</f>
        <v>#REF!</v>
      </c>
      <c r="DK48" s="52" t="str">
        <f>CONCATENATE("http://doc.google.com/uc?id=",MID('Respuestas de formulario 1.1'!G48,34,33))</f>
        <v>http://doc.google.com/uc?id=1Go1MQxK6L8K2X5QUX_xqZRG1Fn7VP31p</v>
      </c>
      <c r="DL48" s="49" t="str">
        <f>CONCATENATE("http://doc.google.com/uc?id=",MID('Respuestas de formulario 1.1'!AH48,34,33))</f>
        <v>http://doc.google.com/uc?id=17HF5Ea8h1n-IBYkgtFSzhs4SKQztZFqZ</v>
      </c>
      <c r="DM48" s="50" t="str">
        <f>CONCATENATE("http://doc.google.com/uc?id=",MID('Respuestas de formulario 1.1'!AW48,34,33))</f>
        <v>http://doc.google.com/uc?id=1pqdB4K2x7VUh30FYpZo8Zs6keJPkZ3yK</v>
      </c>
      <c r="DN48" s="53" t="str">
        <f>CONCATENATE("http://doc.google.com/uc?id=",MID('Respuestas de formulario 1.1'!$BI48,34,33))</f>
        <v>http://doc.google.com/uc?id=1k0ko-rvmlJI6t784pH9JKDt_DOx2J5SM</v>
      </c>
      <c r="DO48" s="45" t="str">
        <f>IFERROR(VLOOKUP(CONCATENATE('Respuestas de formulario 1.1'!$B48,MID('Respuestas de formulario 1.1'!DO$1,2,1)),#REF!,12,0),"")</f>
        <v/>
      </c>
      <c r="DP48" s="45" t="str">
        <f>IFERROR(VLOOKUP(CONCATENATE('Respuestas de formulario 1.1'!$B48,MID('Respuestas de formulario 1.1'!DP$1,2,1)),#REF!,12,0),"")</f>
        <v/>
      </c>
      <c r="DQ48" s="45" t="str">
        <f>IFERROR(VLOOKUP(CONCATENATE('Respuestas de formulario 1.1'!$B48,MID('Respuestas de formulario 1.1'!DQ$1,2,1)),#REF!,12,0),"")</f>
        <v/>
      </c>
      <c r="DR48" s="45" t="str">
        <f>IFERROR(VLOOKUP(CONCATENATE('Respuestas de formulario 1.1'!$B48,MID('Respuestas de formulario 1.1'!DR$1,2,1)),#REF!,12,0),"")</f>
        <v/>
      </c>
      <c r="DS48" s="45" t="str">
        <f>IFERROR(VLOOKUP(CONCATENATE('Respuestas de formulario 1.1'!$B48,MID('Respuestas de formulario 1.1'!DS$1,2,1)),#REF!,12,0),"")</f>
        <v/>
      </c>
      <c r="DT48" s="45" t="str">
        <f>IFERROR(VLOOKUP(CONCATENATE('Respuestas de formulario 1.1'!$B48,MID('Respuestas de formulario 1.1'!DT$1,2,1)),#REF!,12,0),"")</f>
        <v/>
      </c>
      <c r="DU48" s="45" t="str">
        <f>IFERROR(VLOOKUP(CONCATENATE('Respuestas de formulario 1.1'!$B48,MID('Respuestas de formulario 1.1'!DU$1,2,1)),#REF!,12,0),"")</f>
        <v/>
      </c>
      <c r="DV48" s="45" t="str">
        <f>IFERROR(VLOOKUP(CONCATENATE('Respuestas de formulario 1.1'!$B48,MID('Respuestas de formulario 1.1'!DV$1,2,1)),#REF!,12,0),"")</f>
        <v/>
      </c>
      <c r="DW48" s="45" t="str">
        <f>IFERROR(VLOOKUP(CONCATENATE('Respuestas de formulario 1.1'!$B48,MID('Respuestas de formulario 1.1'!DW$1,2,1)),#REF!,12,0),"")</f>
        <v/>
      </c>
      <c r="DX48" s="45" t="str">
        <f>IFERROR(VLOOKUP(CONCATENATE('Respuestas de formulario 1.1'!$B48,MID('Respuestas de formulario 1.1'!DX$1,2,1)),#REF!,12,0),"")</f>
        <v/>
      </c>
      <c r="DY48" s="45" t="str">
        <f>IFERROR(VLOOKUP(CONCATENATE('Respuestas de formulario 1.1'!$B48,MID('Respuestas de formulario 1.1'!DY$1,2,1)),#REF!,12,0),"")</f>
        <v/>
      </c>
      <c r="DZ48" s="45" t="str">
        <f>IFERROR(VLOOKUP(CONCATENATE('Respuestas de formulario 1.1'!$B48,MID('Respuestas de formulario 1.1'!DZ$1,2,1)),#REF!,12,0),"")</f>
        <v/>
      </c>
      <c r="EA48" s="45" t="str">
        <f>IFERROR(VLOOKUP(CONCATENATE('Respuestas de formulario 1.1'!$B48,MID('Respuestas de formulario 1.1'!EA$1,2,1)),#REF!,12,0),"")</f>
        <v/>
      </c>
      <c r="EB48" s="45" t="str">
        <f>IFERROR(VLOOKUP(CONCATENATE('Respuestas de formulario 1.1'!$B48,MID('Respuestas de formulario 1.1'!EB$1,2,1)),#REF!,12,0),"")</f>
        <v/>
      </c>
      <c r="EC48" s="45" t="str">
        <f>IFERROR(VLOOKUP(CONCATENATE('Respuestas de formulario 1.1'!$B48,MID('Respuestas de formulario 1.1'!EC$1,2,1)),#REF!,12,0),"")</f>
        <v/>
      </c>
      <c r="ED48" s="45" t="str">
        <f>IFERROR(VLOOKUP(CONCATENATE('Respuestas de formulario 1.1'!$B48,MID('Respuestas de formulario 1.1'!ED$1,2,1)),#REF!,12,0),"")</f>
        <v/>
      </c>
      <c r="EE48" s="45" t="str">
        <f>IFERROR(VLOOKUP(CONCATENATE('Respuestas de formulario 1.1'!$B48,MID('Respuestas de formulario 1.1'!EE$1,2,1)),#REF!,12,0),"")</f>
        <v/>
      </c>
      <c r="EF48" s="45" t="str">
        <f>IFERROR(VLOOKUP(CONCATENATE('Respuestas de formulario 1.1'!$B48,MID('Respuestas de formulario 1.1'!EF$1,2,1)),#REF!,12,0),"")</f>
        <v/>
      </c>
      <c r="EG48" s="45" t="str">
        <f>IFERROR(VLOOKUP(CONCATENATE('Respuestas de formulario 1.1'!$B48,MID('Respuestas de formulario 1.1'!EG$1,2,1)),#REF!,12,0),"")</f>
        <v/>
      </c>
      <c r="EH48" s="45" t="str">
        <f>IFERROR(VLOOKUP(CONCATENATE('Respuestas de formulario 1.1'!$B48,MID('Respuestas de formulario 1.1'!EH$1,2,1)),#REF!,12,0),"")</f>
        <v/>
      </c>
      <c r="EI48" s="45" t="str">
        <f>IFERROR(VLOOKUP(CONCATENATE('Respuestas de formulario 1.1'!$B48,MID('Respuestas de formulario 1.1'!EI$1,2,1)),#REF!,12,0),"")</f>
        <v/>
      </c>
      <c r="EJ48" s="45" t="str">
        <f t="array" ref="EJ48">IF(DO48="","", INDEX(#REF!,MATCH(CONCATENATE('Respuestas de formulario 1.1'!$B48,DO48),#REF!,0),MATCH('Respuestas de formulario 1.1'!EJ$1,#REF!,0)))</f>
        <v/>
      </c>
      <c r="EK48" s="56" t="str">
        <f t="array" ref="EK48">IF(DP48="","", INDEX(#REF!,MATCH(CONCATENATE('Respuestas de formulario 1.1'!$B48,DP48),#REF!,0),MATCH('Respuestas de formulario 1.1'!EK$1,#REF!,0)))</f>
        <v/>
      </c>
      <c r="EL48" s="56" t="str">
        <f t="array" ref="EL48">IF(DQ48="","", INDEX(#REF!,MATCH(CONCATENATE('Respuestas de formulario 1.1'!$B48,DQ48),#REF!,0),MATCH('Respuestas de formulario 1.1'!EL$1,#REF!,0)))</f>
        <v/>
      </c>
      <c r="EM48" s="56" t="str">
        <f t="array" ref="EM48">IF(DR48="","", INDEX(#REF!,MATCH(CONCATENATE('Respuestas de formulario 1.1'!$B48,DR48),#REF!,0),MATCH('Respuestas de formulario 1.1'!EM$1,#REF!,0)))</f>
        <v/>
      </c>
      <c r="EN48" s="56" t="str">
        <f t="array" ref="EN48">IF(DS48="","", INDEX(#REF!,MATCH(CONCATENATE('Respuestas de formulario 1.1'!$B48,DS48),#REF!,0),MATCH('Respuestas de formulario 1.1'!EN$1,#REF!,0)))</f>
        <v/>
      </c>
      <c r="EO48" s="56" t="str">
        <f t="array" ref="EO48">IF(DT48="","", INDEX(#REF!,MATCH(CONCATENATE('Respuestas de formulario 1.1'!$B48,DT48),#REF!,0),MATCH('Respuestas de formulario 1.1'!EO$1,#REF!,0)))</f>
        <v/>
      </c>
      <c r="EP48" s="45" t="str">
        <f t="array" ref="EP48">IF(DU48="","", INDEX(#REF!,MATCH(CONCATENATE('Respuestas de formulario 1.1'!$B48,DU48),#REF!,0),MATCH('Respuestas de formulario 1.1'!EP$1,#REF!,0)))</f>
        <v/>
      </c>
      <c r="EQ48" s="45" t="str">
        <f t="array" ref="EQ48">IF(DP48="","", INDEX(#REF!,MATCH(CONCATENATE('Respuestas de formulario 1.1'!$B48,DP48),#REF!,0),MATCH('Respuestas de formulario 1.1'!EQ$1,#REF!,0)))</f>
        <v/>
      </c>
      <c r="ER48" s="56" t="str">
        <f t="array" ref="ER48">IF(DQ48="","", INDEX(#REF!,MATCH(CONCATENATE('Respuestas de formulario 1.1'!$B48,DQ48),#REF!,0),MATCH('Respuestas de formulario 1.1'!ER$1,#REF!,0)))</f>
        <v/>
      </c>
      <c r="ES48" s="56" t="str">
        <f t="array" ref="ES48">IF(DR48="","", INDEX(#REF!,MATCH(CONCATENATE('Respuestas de formulario 1.1'!$B48,DR48),#REF!,0),MATCH('Respuestas de formulario 1.1'!ES$1,#REF!,0)))</f>
        <v/>
      </c>
      <c r="ET48" s="56" t="str">
        <f t="array" ref="ET48">IF(DS48="","", INDEX(#REF!,MATCH(CONCATENATE('Respuestas de formulario 1.1'!$B48,DS48),#REF!,0),MATCH('Respuestas de formulario 1.1'!ET$1,#REF!,0)))</f>
        <v/>
      </c>
      <c r="EU48" s="56" t="str">
        <f t="array" ref="EU48">IF(DT48="","", INDEX(#REF!,MATCH(CONCATENATE('Respuestas de formulario 1.1'!$B48,DT48),#REF!,0),MATCH('Respuestas de formulario 1.1'!EU$1,#REF!,0)))</f>
        <v/>
      </c>
      <c r="EV48" s="56" t="str">
        <f t="array" ref="EV48">IF(DU48="","", INDEX(#REF!,MATCH(CONCATENATE('Respuestas de formulario 1.1'!$B48,DU48),#REF!,0),MATCH('Respuestas de formulario 1.1'!EV$1,#REF!,0)))</f>
        <v/>
      </c>
      <c r="EW48" s="45" t="str">
        <f t="array" ref="EW48">IF(DV48="","", INDEX(#REF!,MATCH(CONCATENATE('Respuestas de formulario 1.1'!$B48,DV48),#REF!,0),MATCH('Respuestas de formulario 1.1'!EW$1,#REF!,0)))</f>
        <v/>
      </c>
      <c r="EX48" s="45" t="str">
        <f t="array" ref="EX48">IF($DQ48="","", INDEX(#REF!,MATCH(CONCATENATE('Respuestas de formulario 1.1'!$B48,$DQ48),#REF!,0),MATCH('Respuestas de formulario 1.1'!EX$1,#REF!,0)))</f>
        <v/>
      </c>
      <c r="EY48" s="56" t="str">
        <f t="array" ref="EY48">IF($DQ48="","", INDEX(#REF!,MATCH(CONCATENATE('Respuestas de formulario 1.1'!$B48,$DQ48),#REF!,0),MATCH('Respuestas de formulario 1.1'!EY$1,#REF!,0)))</f>
        <v/>
      </c>
      <c r="EZ48" s="56" t="str">
        <f t="array" ref="EZ48">IF($DQ48="","", INDEX(#REF!,MATCH(CONCATENATE('Respuestas de formulario 1.1'!$B48,$DQ48),#REF!,0),MATCH('Respuestas de formulario 1.1'!EZ$1,#REF!,0)))</f>
        <v/>
      </c>
      <c r="FA48" s="56" t="str">
        <f t="array" ref="FA48">IF($DQ48="","", INDEX(#REF!,MATCH(CONCATENATE('Respuestas de formulario 1.1'!$B48,$DQ48),#REF!,0),MATCH('Respuestas de formulario 1.1'!FA$1,#REF!,0)))</f>
        <v/>
      </c>
      <c r="FB48" s="56" t="str">
        <f t="array" ref="FB48">IF($DQ48="","", INDEX(#REF!,MATCH(CONCATENATE('Respuestas de formulario 1.1'!$B48,$DQ48),#REF!,0),MATCH('Respuestas de formulario 1.1'!FB$1,#REF!,0)))</f>
        <v/>
      </c>
      <c r="FC48" s="56" t="str">
        <f t="array" ref="FC48">IF($DQ48="","", INDEX(#REF!,MATCH(CONCATENATE('Respuestas de formulario 1.1'!$B48,$DQ48),#REF!,0),MATCH('Respuestas de formulario 1.1'!FC$1,#REF!,0)))</f>
        <v/>
      </c>
      <c r="FD48" s="45" t="str">
        <f t="array" ref="FD48">IF($DQ48="","", INDEX(#REF!,MATCH(CONCATENATE('Respuestas de formulario 1.1'!$B48,$DQ48),#REF!,0),MATCH('Respuestas de formulario 1.1'!FD$1,#REF!,0)))</f>
        <v/>
      </c>
      <c r="FE48" s="45" t="str">
        <f t="array" ref="FE48">IF($DR48="","", INDEX(#REF!,MATCH(CONCATENATE(#REF!,$DR48),#REF!,0),MATCH(#REF!,#REF!,0)))</f>
        <v/>
      </c>
      <c r="FF48" s="56" t="str">
        <f t="array" ref="FF48">IF($DR48="","", INDEX(#REF!,MATCH(CONCATENATE(#REF!,$DR48),#REF!,0),MATCH(#REF!,#REF!,0)))</f>
        <v/>
      </c>
      <c r="FG48" s="56" t="str">
        <f t="array" ref="FG48">IF($DR48="","", INDEX(#REF!,MATCH(CONCATENATE(#REF!,$DR48),#REF!,0),MATCH(#REF!,#REF!,0)))</f>
        <v/>
      </c>
      <c r="FH48" s="56" t="str">
        <f t="array" ref="FH48">IF($DR48="","", INDEX(#REF!,MATCH(CONCATENATE(#REF!,$DR48),#REF!,0),MATCH(#REF!,#REF!,0)))</f>
        <v/>
      </c>
      <c r="FI48" s="56" t="str">
        <f t="array" ref="FI48">IF($DR48="","", INDEX(#REF!,MATCH(CONCATENATE(#REF!,$DR48),#REF!,0),MATCH(#REF!,#REF!,0)))</f>
        <v/>
      </c>
      <c r="FJ48" s="56" t="str">
        <f t="array" ref="FJ48">IF($DR48="","", INDEX(#REF!,MATCH(CONCATENATE(#REF!,$DR48),#REF!,0),MATCH(#REF!,#REF!,0)))</f>
        <v/>
      </c>
      <c r="FK48" s="45" t="str">
        <f t="array" ref="FK48">IF($DR48="","", INDEX(#REF!,MATCH(CONCATENATE(#REF!,$DR48),#REF!,0),MATCH(#REF!,#REF!,0)))</f>
        <v/>
      </c>
      <c r="FL48" s="45" t="str">
        <f t="array" ref="FL48">IF($DT48="","", INDEX(#REF!,MATCH(CONCATENATE('Respuestas de formulario 1.1'!$B48,$DS48),#REF!,0),MATCH('Respuestas de formulario 1.1'!FL$1,#REF!,0)))</f>
        <v/>
      </c>
      <c r="FM48" s="56" t="str">
        <f t="array" ref="FM48">IF($DT48="","", INDEX(#REF!,MATCH(CONCATENATE('Respuestas de formulario 1.1'!$B48,$DS48),#REF!,0),MATCH('Respuestas de formulario 1.1'!FM$1,#REF!,0)))</f>
        <v/>
      </c>
      <c r="FN48" s="56" t="str">
        <f t="array" ref="FN48">IF($DT48="","", INDEX(#REF!,MATCH(CONCATENATE('Respuestas de formulario 1.1'!$B48,$DS48),#REF!,0),MATCH('Respuestas de formulario 1.1'!FN$1,#REF!,0)))</f>
        <v/>
      </c>
      <c r="FO48" s="56" t="str">
        <f t="array" ref="FO48">IF($DT48="","", INDEX(#REF!,MATCH(CONCATENATE('Respuestas de formulario 1.1'!$B48,$DS48),#REF!,0),MATCH('Respuestas de formulario 1.1'!FO$1,#REF!,0)))</f>
        <v/>
      </c>
      <c r="FP48" s="56" t="str">
        <f t="array" ref="FP48">IF($DT48="","", INDEX(#REF!,MATCH(CONCATENATE('Respuestas de formulario 1.1'!$B48,$DS48),#REF!,0),MATCH('Respuestas de formulario 1.1'!FP$1,#REF!,0)))</f>
        <v/>
      </c>
      <c r="FQ48" s="56" t="str">
        <f t="array" ref="FQ48">IF($DT48="","", INDEX(#REF!,MATCH(CONCATENATE('Respuestas de formulario 1.1'!$B48,$DS48),#REF!,0),MATCH('Respuestas de formulario 1.1'!FQ$1,#REF!,0)))</f>
        <v/>
      </c>
      <c r="FR48" s="45" t="str">
        <f t="array" ref="FR48">IF($DT48="","", INDEX(#REF!,MATCH(CONCATENATE('Respuestas de formulario 1.1'!$B48,$DS48),#REF!,0),MATCH('Respuestas de formulario 1.1'!FR$1,#REF!,0)))</f>
        <v/>
      </c>
      <c r="FS48" s="45" t="str">
        <f t="array" ref="FS48">IF($DU48="","", INDEX(#REF!,MATCH(CONCATENATE('Respuestas de formulario 1.1'!$B48,$DT48),#REF!,0),MATCH('Respuestas de formulario 1.1'!FS$1,#REF!,0)))</f>
        <v/>
      </c>
      <c r="FT48" s="56" t="str">
        <f t="array" ref="FT48">IF($DU48="","", INDEX(#REF!,MATCH(CONCATENATE('Respuestas de formulario 1.1'!$B48,$DT48),#REF!,0),MATCH('Respuestas de formulario 1.1'!FT$1,#REF!,0)))</f>
        <v/>
      </c>
      <c r="FU48" s="56" t="str">
        <f t="array" ref="FU48">IF($DU48="","", INDEX(#REF!,MATCH(CONCATENATE('Respuestas de formulario 1.1'!$B48,$DT48),#REF!,0),MATCH('Respuestas de formulario 1.1'!FU$1,#REF!,0)))</f>
        <v/>
      </c>
      <c r="FV48" s="56" t="str">
        <f t="array" ref="FV48">IF($DU48="","", INDEX(#REF!,MATCH(CONCATENATE('Respuestas de formulario 1.1'!$B48,$DT48),#REF!,0),MATCH('Respuestas de formulario 1.1'!FV$1,#REF!,0)))</f>
        <v/>
      </c>
      <c r="FW48" s="56" t="str">
        <f t="array" ref="FW48">IF($DU48="","", INDEX(#REF!,MATCH(CONCATENATE('Respuestas de formulario 1.1'!$B48,$DT48),#REF!,0),MATCH('Respuestas de formulario 1.1'!FW$1,#REF!,0)))</f>
        <v/>
      </c>
      <c r="FX48" s="56" t="str">
        <f t="array" ref="FX48">IF($DU48="","", INDEX(#REF!,MATCH(CONCATENATE('Respuestas de formulario 1.1'!$B48,$DT48),#REF!,0),MATCH('Respuestas de formulario 1.1'!FX$1,#REF!,0)))</f>
        <v/>
      </c>
      <c r="FY48" s="45" t="str">
        <f t="array" ref="FY48">IF($DU48="","", INDEX(#REF!,MATCH(CONCATENATE('Respuestas de formulario 1.1'!$B48,$DT48),#REF!,0),MATCH('Respuestas de formulario 1.1'!FY$1,#REF!,0)))</f>
        <v/>
      </c>
      <c r="FZ48" s="3" t="s">
        <v>2860</v>
      </c>
      <c r="GA48" s="1" t="s">
        <v>3638</v>
      </c>
      <c r="GB48" s="5" t="s">
        <v>3639</v>
      </c>
      <c r="GC48" s="4" t="str">
        <f>HYPERLINK("https://drive.google.com/file/d/1_TjY0tuU1WjF7LQF1zl4Q1aIwJ6Ra_73/view?usp=drivesdk","GALLARDO RAMOS  JONATHAN  Formato de reinscripción y pago 2022-2")</f>
        <v>GALLARDO RAMOS  JONATHAN  Formato de reinscripción y pago 2022-2</v>
      </c>
      <c r="GD48" s="1" t="s">
        <v>3640</v>
      </c>
      <c r="GE48" s="1"/>
      <c r="GF48" s="1"/>
      <c r="GG48" s="1"/>
      <c r="GH48" s="1"/>
      <c r="GI48" s="1" t="s">
        <v>3641</v>
      </c>
      <c r="GJ48" s="5" t="s">
        <v>3642</v>
      </c>
      <c r="GK48" s="5" t="str">
        <f>HYPERLINK("https://drive.google.com/file/d/1fnPZZpzgbgvELnTohf68RT381FSwADTh/view?usp=drivesdk","GALLARDO RAMOS  JONATHAN  Formato de reinscripción y pago 2022-2")</f>
        <v>GALLARDO RAMOS  JONATHAN  Formato de reinscripción y pago 2022-2</v>
      </c>
      <c r="GL48" s="1" t="s">
        <v>3643</v>
      </c>
    </row>
    <row r="49" spans="1:194" ht="38.25" x14ac:dyDescent="0.2">
      <c r="A49" s="2">
        <v>45139.091685914347</v>
      </c>
      <c r="B49" s="1" t="s">
        <v>33</v>
      </c>
      <c r="C49" s="1" t="s">
        <v>1074</v>
      </c>
      <c r="D49" s="1" t="s">
        <v>1853</v>
      </c>
      <c r="E49" s="1" t="s">
        <v>2083</v>
      </c>
      <c r="F49" s="1" t="s">
        <v>223</v>
      </c>
      <c r="G49" s="5" t="s">
        <v>3644</v>
      </c>
      <c r="H49" s="41">
        <v>39425</v>
      </c>
      <c r="I49" s="1">
        <v>15</v>
      </c>
      <c r="J49" s="1">
        <v>5619095825</v>
      </c>
      <c r="K49" s="1">
        <v>5631301502</v>
      </c>
      <c r="L49" s="1" t="s">
        <v>2084</v>
      </c>
      <c r="M49" s="1">
        <v>209060570158</v>
      </c>
      <c r="N49" s="1" t="s">
        <v>562</v>
      </c>
      <c r="O49" s="1" t="s">
        <v>247</v>
      </c>
      <c r="P49" s="1" t="s">
        <v>278</v>
      </c>
      <c r="Q49" s="1" t="s">
        <v>248</v>
      </c>
      <c r="R49" s="1" t="s">
        <v>236</v>
      </c>
      <c r="S49" s="1" t="s">
        <v>228</v>
      </c>
      <c r="T49" s="1" t="s">
        <v>411</v>
      </c>
      <c r="U49" s="1" t="s">
        <v>289</v>
      </c>
      <c r="V49" s="1" t="s">
        <v>228</v>
      </c>
      <c r="W49" s="1" t="s">
        <v>1854</v>
      </c>
      <c r="X49" s="1" t="s">
        <v>289</v>
      </c>
      <c r="Y49" s="1" t="s">
        <v>352</v>
      </c>
      <c r="Z49" s="1" t="s">
        <v>231</v>
      </c>
      <c r="AA49" s="1">
        <v>56577</v>
      </c>
      <c r="AB49" s="1" t="s">
        <v>688</v>
      </c>
      <c r="AC49" s="1" t="s">
        <v>688</v>
      </c>
      <c r="AD49" s="1" t="s">
        <v>1855</v>
      </c>
      <c r="AE49" s="1" t="s">
        <v>3645</v>
      </c>
      <c r="AF49" s="1" t="s">
        <v>445</v>
      </c>
      <c r="AG49" s="1">
        <v>38</v>
      </c>
      <c r="AH49" s="5" t="s">
        <v>3646</v>
      </c>
      <c r="AI49" s="1">
        <v>5631301502</v>
      </c>
      <c r="AJ49" s="1">
        <v>5631301502</v>
      </c>
      <c r="AK49" s="1" t="s">
        <v>3647</v>
      </c>
      <c r="AL49" s="1" t="s">
        <v>727</v>
      </c>
      <c r="AM49" s="1" t="s">
        <v>1853</v>
      </c>
      <c r="AN49" s="1" t="s">
        <v>1782</v>
      </c>
      <c r="AO49" s="1" t="s">
        <v>493</v>
      </c>
      <c r="AP49" s="1">
        <v>36</v>
      </c>
      <c r="AQ49" s="1" t="s">
        <v>328</v>
      </c>
      <c r="AR49" s="42">
        <v>0.20833333333575865</v>
      </c>
      <c r="AS49" s="42">
        <v>0.45833333333575865</v>
      </c>
      <c r="AT49" s="1">
        <v>5532171194</v>
      </c>
      <c r="AU49" s="1">
        <v>5532171194</v>
      </c>
      <c r="AV49" s="1" t="s">
        <v>3647</v>
      </c>
      <c r="AW49" s="5" t="s">
        <v>3648</v>
      </c>
      <c r="AX49" s="1" t="s">
        <v>1074</v>
      </c>
      <c r="AY49" s="1" t="s">
        <v>308</v>
      </c>
      <c r="AZ49" s="1" t="s">
        <v>1856</v>
      </c>
      <c r="BA49" s="1" t="s">
        <v>650</v>
      </c>
      <c r="BB49" s="1">
        <v>45</v>
      </c>
      <c r="BC49" s="1" t="s">
        <v>663</v>
      </c>
      <c r="BD49" s="43">
        <v>0.16666666666424135</v>
      </c>
      <c r="BE49" s="43">
        <v>0.45833333333575865</v>
      </c>
      <c r="BF49" s="1">
        <v>5631301502</v>
      </c>
      <c r="BG49" s="1">
        <v>5631301502</v>
      </c>
      <c r="BH49" s="1" t="s">
        <v>3647</v>
      </c>
      <c r="BI49" s="5" t="s">
        <v>3649</v>
      </c>
      <c r="BJ49" s="1" t="s">
        <v>236</v>
      </c>
      <c r="BL49" s="1">
        <v>173</v>
      </c>
      <c r="BM49" s="1">
        <v>78</v>
      </c>
      <c r="BN49" s="1" t="s">
        <v>236</v>
      </c>
      <c r="BO49" s="1" t="s">
        <v>228</v>
      </c>
      <c r="BQ49" s="1" t="s">
        <v>228</v>
      </c>
      <c r="BR49" s="1" t="s">
        <v>237</v>
      </c>
      <c r="BS49" s="1" t="s">
        <v>236</v>
      </c>
      <c r="BT49" s="1" t="s">
        <v>457</v>
      </c>
      <c r="BU49" s="1" t="s">
        <v>228</v>
      </c>
      <c r="BW49" s="1" t="s">
        <v>238</v>
      </c>
      <c r="BX49" s="1">
        <v>100</v>
      </c>
      <c r="BY49" s="1">
        <v>120</v>
      </c>
      <c r="BZ49" s="1" t="s">
        <v>253</v>
      </c>
      <c r="CA49" s="1" t="s">
        <v>237</v>
      </c>
      <c r="CB49" s="1" t="s">
        <v>240</v>
      </c>
      <c r="CC49" s="1" t="s">
        <v>255</v>
      </c>
      <c r="CD49" s="1">
        <v>1000</v>
      </c>
      <c r="CE49" s="1">
        <v>3000</v>
      </c>
      <c r="CF49" s="1" t="s">
        <v>236</v>
      </c>
      <c r="CG49" s="1" t="s">
        <v>242</v>
      </c>
      <c r="CH49" s="1" t="s">
        <v>243</v>
      </c>
      <c r="CI49" s="1" t="s">
        <v>243</v>
      </c>
      <c r="CJ49" s="1" t="s">
        <v>2848</v>
      </c>
      <c r="CL49" s="5" t="s">
        <v>3650</v>
      </c>
      <c r="CM49" s="44" t="s">
        <v>2085</v>
      </c>
      <c r="CN49" s="1" t="s">
        <v>228</v>
      </c>
      <c r="CQ49" s="42">
        <v>0.20833333333575865</v>
      </c>
      <c r="CR49" s="42">
        <v>0.41666666666424135</v>
      </c>
      <c r="CT49" s="45" t="str">
        <f t="array" ref="CT49">IFERROR(INDEX(#REF!,MATCH('Respuestas de formulario 1.1'!$B49,#REF!,0),MATCH('Respuestas de formulario 1.1'!CT$1,#REF!,0)),"")</f>
        <v/>
      </c>
      <c r="CU49" s="56" t="str">
        <f t="array" ref="CU49">IFERROR(INDEX(#REF!,MATCH('Respuestas de formulario 1.1'!$B49,#REF!,0),MATCH('Respuestas de formulario 1.1'!CU$1,#REF!,0)),"")</f>
        <v/>
      </c>
      <c r="CV49" s="56" t="str">
        <f t="array" ref="CV49">IFERROR(INDEX(#REF!,MATCH('Respuestas de formulario 1.1'!$B49,#REF!,0),MATCH('Respuestas de formulario 1.1'!CV$1,#REF!,0)),"")</f>
        <v/>
      </c>
      <c r="CW49" s="56" t="str">
        <f t="array" ref="CW49">IFERROR(INDEX(#REF!,MATCH('Respuestas de formulario 1.1'!$B49,#REF!,0),MATCH('Respuestas de formulario 1.1'!CW$1,#REF!,0)),"")</f>
        <v/>
      </c>
      <c r="CX49" s="56" t="str">
        <f t="array" ref="CX49">IFERROR(INDEX(#REF!,MATCH('Respuestas de formulario 1.1'!$B49,#REF!,0),MATCH('Respuestas de formulario 1.1'!CX$1,#REF!,0)),"")</f>
        <v/>
      </c>
      <c r="CY49" s="56" t="str">
        <f t="array" ref="CY49">IFERROR(INDEX(#REF!,MATCH('Respuestas de formulario 1.1'!$B49,#REF!,0),MATCH('Respuestas de formulario 1.1'!CY$1,#REF!,0)),"")</f>
        <v/>
      </c>
      <c r="CZ49" s="57" t="str">
        <f t="array" ref="CZ49">IFERROR(INDEX(#REF!,MATCH('Respuestas de formulario 1.1'!$B49,#REF!,0),MATCH('Respuestas de formulario 1.1'!CZ$1,#REF!,0)),"")</f>
        <v/>
      </c>
      <c r="DA49" s="45" t="e">
        <f t="array" ref="DA49">INDEX(#REF!,MATCH('Respuestas de formulario 1.1'!$B49,#REF!,0),MATCH('Respuestas de formulario 1.1'!DA$1,#REF!,0))</f>
        <v>#REF!</v>
      </c>
      <c r="DB49" s="45" t="e">
        <f t="array" ref="DB49">INDEX(#REF!,MATCH('Respuestas de formulario 1.1'!$B49,#REF!,0),MATCH('Respuestas de formulario 1.1'!DB$1,#REF!,0))</f>
        <v>#REF!</v>
      </c>
      <c r="DC49" s="45" t="e">
        <f t="array" ref="DC49">INDEX(#REF!,MATCH('Respuestas de formulario 1.1'!$B49,#REF!,0),MATCH('Respuestas de formulario 1.1'!DC$1,#REF!,0))</f>
        <v>#REF!</v>
      </c>
      <c r="DD49" s="45" t="e">
        <f t="array" ref="DD49">INDEX(#REF!,MATCH('Respuestas de formulario 1.1'!$B49,#REF!,0),MATCH('Respuestas de formulario 1.1'!DD$1,#REF!,0))</f>
        <v>#REF!</v>
      </c>
      <c r="DE49" s="45" t="e">
        <f t="array" ref="DE49">INDEX(#REF!,MATCH('Respuestas de formulario 1.1'!$B49,#REF!,0),MATCH('Respuestas de formulario 1.1'!DE$1,#REF!,0))</f>
        <v>#REF!</v>
      </c>
      <c r="DF49" s="45" t="e">
        <f t="array" ref="DF49">INDEX(#REF!,MATCH('Respuestas de formulario 1.1'!$B49,#REF!,0),MATCH('Respuestas de formulario 1.1'!DF$1,#REF!,0))</f>
        <v>#REF!</v>
      </c>
      <c r="DG49" s="45" t="e">
        <f t="array" ref="DG49">INDEX(#REF!,MATCH('Respuestas de formulario 1.1'!$B49,#REF!,0),MATCH('Respuestas de formulario 1.1'!DG$1,#REF!,0))</f>
        <v>#REF!</v>
      </c>
      <c r="DH49" s="45" t="e">
        <f t="array" ref="DH49">INDEX(#REF!,MATCH('Respuestas de formulario 1.1'!$B49,#REF!,0),MATCH('Respuestas de formulario 1.1'!DH$1,#REF!,0))</f>
        <v>#REF!</v>
      </c>
      <c r="DI49" s="48" t="e">
        <f>VLOOKUP(CONCATENATE($DF49," TUTO ",$DC49),#REF!,3,0)</f>
        <v>#REF!</v>
      </c>
      <c r="DJ49" s="48" t="e">
        <f t="array" ref="DJ49">IF('Respuestas de formulario 1.1'!A49="","",INDEX(#REF!,MATCH('Respuestas de formulario 1.1'!B49,#REF!,0),MATCH('Respuestas de formulario 1.1'!$DH$1,#REF!,0)))</f>
        <v>#REF!</v>
      </c>
      <c r="DK49" s="52" t="str">
        <f>CONCATENATE("http://doc.google.com/uc?id=",MID('Respuestas de formulario 1.1'!G49,34,33))</f>
        <v>http://doc.google.com/uc?id=1nhyIm413yMTA3aeet1Qp8nxl7R_Tqnap</v>
      </c>
      <c r="DL49" s="49" t="str">
        <f>CONCATENATE("http://doc.google.com/uc?id=",MID('Respuestas de formulario 1.1'!AH49,34,33))</f>
        <v>http://doc.google.com/uc?id=1hfVpmqnfKVmPC4rN1UgfFJ0vw_MEi0I1</v>
      </c>
      <c r="DM49" s="50" t="str">
        <f>CONCATENATE("http://doc.google.com/uc?id=",MID('Respuestas de formulario 1.1'!AW49,34,33))</f>
        <v>http://doc.google.com/uc?id=1AaN_Zl223JI0eVDQRgFLcMI9wHanONmx</v>
      </c>
      <c r="DN49" s="53" t="str">
        <f>CONCATENATE("http://doc.google.com/uc?id=",MID('Respuestas de formulario 1.1'!$BI49,34,33))</f>
        <v>http://doc.google.com/uc?id=1Py0BVt2lAgh3n1-IAaYDxZGL1WEQyl3S</v>
      </c>
      <c r="DO49" s="45" t="str">
        <f>IFERROR(VLOOKUP(CONCATENATE('Respuestas de formulario 1.1'!$B49,MID('Respuestas de formulario 1.1'!DO$1,2,1)),#REF!,12,0),"")</f>
        <v/>
      </c>
      <c r="DP49" s="45" t="str">
        <f>IFERROR(VLOOKUP(CONCATENATE('Respuestas de formulario 1.1'!$B49,MID('Respuestas de formulario 1.1'!DP$1,2,1)),#REF!,12,0),"")</f>
        <v/>
      </c>
      <c r="DQ49" s="45" t="str">
        <f>IFERROR(VLOOKUP(CONCATENATE('Respuestas de formulario 1.1'!$B49,MID('Respuestas de formulario 1.1'!DQ$1,2,1)),#REF!,12,0),"")</f>
        <v/>
      </c>
      <c r="DR49" s="45" t="str">
        <f>IFERROR(VLOOKUP(CONCATENATE('Respuestas de formulario 1.1'!$B49,MID('Respuestas de formulario 1.1'!DR$1,2,1)),#REF!,12,0),"")</f>
        <v/>
      </c>
      <c r="DS49" s="45" t="str">
        <f>IFERROR(VLOOKUP(CONCATENATE('Respuestas de formulario 1.1'!$B49,MID('Respuestas de formulario 1.1'!DS$1,2,1)),#REF!,12,0),"")</f>
        <v/>
      </c>
      <c r="DT49" s="45" t="str">
        <f>IFERROR(VLOOKUP(CONCATENATE('Respuestas de formulario 1.1'!$B49,MID('Respuestas de formulario 1.1'!DT$1,2,1)),#REF!,12,0),"")</f>
        <v/>
      </c>
      <c r="DU49" s="45" t="str">
        <f>IFERROR(VLOOKUP(CONCATENATE('Respuestas de formulario 1.1'!$B49,MID('Respuestas de formulario 1.1'!DU$1,2,1)),#REF!,12,0),"")</f>
        <v/>
      </c>
      <c r="DV49" s="45" t="str">
        <f>IFERROR(VLOOKUP(CONCATENATE('Respuestas de formulario 1.1'!$B49,MID('Respuestas de formulario 1.1'!DV$1,2,1)),#REF!,12,0),"")</f>
        <v/>
      </c>
      <c r="DW49" s="45" t="str">
        <f>IFERROR(VLOOKUP(CONCATENATE('Respuestas de formulario 1.1'!$B49,MID('Respuestas de formulario 1.1'!DW$1,2,1)),#REF!,12,0),"")</f>
        <v/>
      </c>
      <c r="DX49" s="45" t="str">
        <f>IFERROR(VLOOKUP(CONCATENATE('Respuestas de formulario 1.1'!$B49,MID('Respuestas de formulario 1.1'!DX$1,2,1)),#REF!,12,0),"")</f>
        <v/>
      </c>
      <c r="DY49" s="45" t="str">
        <f>IFERROR(VLOOKUP(CONCATENATE('Respuestas de formulario 1.1'!$B49,MID('Respuestas de formulario 1.1'!DY$1,2,1)),#REF!,12,0),"")</f>
        <v/>
      </c>
      <c r="DZ49" s="45" t="str">
        <f>IFERROR(VLOOKUP(CONCATENATE('Respuestas de formulario 1.1'!$B49,MID('Respuestas de formulario 1.1'!DZ$1,2,1)),#REF!,12,0),"")</f>
        <v/>
      </c>
      <c r="EA49" s="45" t="str">
        <f>IFERROR(VLOOKUP(CONCATENATE('Respuestas de formulario 1.1'!$B49,MID('Respuestas de formulario 1.1'!EA$1,2,1)),#REF!,12,0),"")</f>
        <v/>
      </c>
      <c r="EB49" s="45" t="str">
        <f>IFERROR(VLOOKUP(CONCATENATE('Respuestas de formulario 1.1'!$B49,MID('Respuestas de formulario 1.1'!EB$1,2,1)),#REF!,12,0),"")</f>
        <v/>
      </c>
      <c r="EC49" s="45" t="str">
        <f>IFERROR(VLOOKUP(CONCATENATE('Respuestas de formulario 1.1'!$B49,MID('Respuestas de formulario 1.1'!EC$1,2,1)),#REF!,12,0),"")</f>
        <v/>
      </c>
      <c r="ED49" s="45" t="str">
        <f>IFERROR(VLOOKUP(CONCATENATE('Respuestas de formulario 1.1'!$B49,MID('Respuestas de formulario 1.1'!ED$1,2,1)),#REF!,12,0),"")</f>
        <v/>
      </c>
      <c r="EE49" s="45" t="str">
        <f>IFERROR(VLOOKUP(CONCATENATE('Respuestas de formulario 1.1'!$B49,MID('Respuestas de formulario 1.1'!EE$1,2,1)),#REF!,12,0),"")</f>
        <v/>
      </c>
      <c r="EF49" s="45" t="str">
        <f>IFERROR(VLOOKUP(CONCATENATE('Respuestas de formulario 1.1'!$B49,MID('Respuestas de formulario 1.1'!EF$1,2,1)),#REF!,12,0),"")</f>
        <v/>
      </c>
      <c r="EG49" s="45" t="str">
        <f>IFERROR(VLOOKUP(CONCATENATE('Respuestas de formulario 1.1'!$B49,MID('Respuestas de formulario 1.1'!EG$1,2,1)),#REF!,12,0),"")</f>
        <v/>
      </c>
      <c r="EH49" s="45" t="str">
        <f>IFERROR(VLOOKUP(CONCATENATE('Respuestas de formulario 1.1'!$B49,MID('Respuestas de formulario 1.1'!EH$1,2,1)),#REF!,12,0),"")</f>
        <v/>
      </c>
      <c r="EI49" s="45" t="str">
        <f>IFERROR(VLOOKUP(CONCATENATE('Respuestas de formulario 1.1'!$B49,MID('Respuestas de formulario 1.1'!EI$1,2,1)),#REF!,12,0),"")</f>
        <v/>
      </c>
      <c r="EJ49" s="45" t="str">
        <f t="array" ref="EJ49">IF(DO49="","", INDEX(#REF!,MATCH(CONCATENATE('Respuestas de formulario 1.1'!$B49,DO49),#REF!,0),MATCH('Respuestas de formulario 1.1'!EJ$1,#REF!,0)))</f>
        <v/>
      </c>
      <c r="EK49" s="56" t="str">
        <f t="array" ref="EK49">IF(DP49="","", INDEX(#REF!,MATCH(CONCATENATE('Respuestas de formulario 1.1'!$B49,DP49),#REF!,0),MATCH('Respuestas de formulario 1.1'!EK$1,#REF!,0)))</f>
        <v/>
      </c>
      <c r="EL49" s="56" t="str">
        <f t="array" ref="EL49">IF(DQ49="","", INDEX(#REF!,MATCH(CONCATENATE('Respuestas de formulario 1.1'!$B49,DQ49),#REF!,0),MATCH('Respuestas de formulario 1.1'!EL$1,#REF!,0)))</f>
        <v/>
      </c>
      <c r="EM49" s="56" t="str">
        <f t="array" ref="EM49">IF(DR49="","", INDEX(#REF!,MATCH(CONCATENATE('Respuestas de formulario 1.1'!$B49,DR49),#REF!,0),MATCH('Respuestas de formulario 1.1'!EM$1,#REF!,0)))</f>
        <v/>
      </c>
      <c r="EN49" s="56" t="str">
        <f t="array" ref="EN49">IF(DS49="","", INDEX(#REF!,MATCH(CONCATENATE('Respuestas de formulario 1.1'!$B49,DS49),#REF!,0),MATCH('Respuestas de formulario 1.1'!EN$1,#REF!,0)))</f>
        <v/>
      </c>
      <c r="EO49" s="56" t="str">
        <f t="array" ref="EO49">IF(DT49="","", INDEX(#REF!,MATCH(CONCATENATE('Respuestas de formulario 1.1'!$B49,DT49),#REF!,0),MATCH('Respuestas de formulario 1.1'!EO$1,#REF!,0)))</f>
        <v/>
      </c>
      <c r="EP49" s="45" t="str">
        <f t="array" ref="EP49">IF(DU49="","", INDEX(#REF!,MATCH(CONCATENATE('Respuestas de formulario 1.1'!$B49,DU49),#REF!,0),MATCH('Respuestas de formulario 1.1'!EP$1,#REF!,0)))</f>
        <v/>
      </c>
      <c r="EQ49" s="45" t="str">
        <f t="array" ref="EQ49">IF(DP49="","", INDEX(#REF!,MATCH(CONCATENATE('Respuestas de formulario 1.1'!$B49,DP49),#REF!,0),MATCH('Respuestas de formulario 1.1'!EQ$1,#REF!,0)))</f>
        <v/>
      </c>
      <c r="ER49" s="56" t="str">
        <f t="array" ref="ER49">IF(DQ49="","", INDEX(#REF!,MATCH(CONCATENATE('Respuestas de formulario 1.1'!$B49,DQ49),#REF!,0),MATCH('Respuestas de formulario 1.1'!ER$1,#REF!,0)))</f>
        <v/>
      </c>
      <c r="ES49" s="56" t="str">
        <f t="array" ref="ES49">IF(DR49="","", INDEX(#REF!,MATCH(CONCATENATE('Respuestas de formulario 1.1'!$B49,DR49),#REF!,0),MATCH('Respuestas de formulario 1.1'!ES$1,#REF!,0)))</f>
        <v/>
      </c>
      <c r="ET49" s="56" t="str">
        <f t="array" ref="ET49">IF(DS49="","", INDEX(#REF!,MATCH(CONCATENATE('Respuestas de formulario 1.1'!$B49,DS49),#REF!,0),MATCH('Respuestas de formulario 1.1'!ET$1,#REF!,0)))</f>
        <v/>
      </c>
      <c r="EU49" s="56" t="str">
        <f t="array" ref="EU49">IF(DT49="","", INDEX(#REF!,MATCH(CONCATENATE('Respuestas de formulario 1.1'!$B49,DT49),#REF!,0),MATCH('Respuestas de formulario 1.1'!EU$1,#REF!,0)))</f>
        <v/>
      </c>
      <c r="EV49" s="56" t="str">
        <f t="array" ref="EV49">IF(DU49="","", INDEX(#REF!,MATCH(CONCATENATE('Respuestas de formulario 1.1'!$B49,DU49),#REF!,0),MATCH('Respuestas de formulario 1.1'!EV$1,#REF!,0)))</f>
        <v/>
      </c>
      <c r="EW49" s="45" t="str">
        <f t="array" ref="EW49">IF(DV49="","", INDEX(#REF!,MATCH(CONCATENATE('Respuestas de formulario 1.1'!$B49,DV49),#REF!,0),MATCH('Respuestas de formulario 1.1'!EW$1,#REF!,0)))</f>
        <v/>
      </c>
      <c r="EX49" s="45" t="str">
        <f t="array" ref="EX49">IF($DQ49="","", INDEX(#REF!,MATCH(CONCATENATE('Respuestas de formulario 1.1'!$B49,$DQ49),#REF!,0),MATCH('Respuestas de formulario 1.1'!EX$1,#REF!,0)))</f>
        <v/>
      </c>
      <c r="EY49" s="56" t="str">
        <f t="array" ref="EY49">IF($DQ49="","", INDEX(#REF!,MATCH(CONCATENATE('Respuestas de formulario 1.1'!$B49,$DQ49),#REF!,0),MATCH('Respuestas de formulario 1.1'!EY$1,#REF!,0)))</f>
        <v/>
      </c>
      <c r="EZ49" s="56" t="str">
        <f t="array" ref="EZ49">IF($DQ49="","", INDEX(#REF!,MATCH(CONCATENATE('Respuestas de formulario 1.1'!$B49,$DQ49),#REF!,0),MATCH('Respuestas de formulario 1.1'!EZ$1,#REF!,0)))</f>
        <v/>
      </c>
      <c r="FA49" s="56" t="str">
        <f t="array" ref="FA49">IF($DQ49="","", INDEX(#REF!,MATCH(CONCATENATE('Respuestas de formulario 1.1'!$B49,$DQ49),#REF!,0),MATCH('Respuestas de formulario 1.1'!FA$1,#REF!,0)))</f>
        <v/>
      </c>
      <c r="FB49" s="56" t="str">
        <f t="array" ref="FB49">IF($DQ49="","", INDEX(#REF!,MATCH(CONCATENATE('Respuestas de formulario 1.1'!$B49,$DQ49),#REF!,0),MATCH('Respuestas de formulario 1.1'!FB$1,#REF!,0)))</f>
        <v/>
      </c>
      <c r="FC49" s="56" t="str">
        <f t="array" ref="FC49">IF($DQ49="","", INDEX(#REF!,MATCH(CONCATENATE('Respuestas de formulario 1.1'!$B49,$DQ49),#REF!,0),MATCH('Respuestas de formulario 1.1'!FC$1,#REF!,0)))</f>
        <v/>
      </c>
      <c r="FD49" s="45" t="str">
        <f t="array" ref="FD49">IF($DQ49="","", INDEX(#REF!,MATCH(CONCATENATE('Respuestas de formulario 1.1'!$B49,$DQ49),#REF!,0),MATCH('Respuestas de formulario 1.1'!FD$1,#REF!,0)))</f>
        <v/>
      </c>
      <c r="FE49" s="45" t="str">
        <f t="array" ref="FE49">IF($DR49="","", INDEX(#REF!,MATCH(CONCATENATE(#REF!,$DR49),#REF!,0),MATCH(#REF!,#REF!,0)))</f>
        <v/>
      </c>
      <c r="FF49" s="56" t="str">
        <f t="array" ref="FF49">IF($DR49="","", INDEX(#REF!,MATCH(CONCATENATE(#REF!,$DR49),#REF!,0),MATCH(#REF!,#REF!,0)))</f>
        <v/>
      </c>
      <c r="FG49" s="56" t="str">
        <f t="array" ref="FG49">IF($DR49="","", INDEX(#REF!,MATCH(CONCATENATE(#REF!,$DR49),#REF!,0),MATCH(#REF!,#REF!,0)))</f>
        <v/>
      </c>
      <c r="FH49" s="56" t="str">
        <f t="array" ref="FH49">IF($DR49="","", INDEX(#REF!,MATCH(CONCATENATE(#REF!,$DR49),#REF!,0),MATCH(#REF!,#REF!,0)))</f>
        <v/>
      </c>
      <c r="FI49" s="56" t="str">
        <f t="array" ref="FI49">IF($DR49="","", INDEX(#REF!,MATCH(CONCATENATE(#REF!,$DR49),#REF!,0),MATCH(#REF!,#REF!,0)))</f>
        <v/>
      </c>
      <c r="FJ49" s="56" t="str">
        <f t="array" ref="FJ49">IF($DR49="","", INDEX(#REF!,MATCH(CONCATENATE(#REF!,$DR49),#REF!,0),MATCH(#REF!,#REF!,0)))</f>
        <v/>
      </c>
      <c r="FK49" s="45" t="str">
        <f t="array" ref="FK49">IF($DR49="","", INDEX(#REF!,MATCH(CONCATENATE(#REF!,$DR49),#REF!,0),MATCH(#REF!,#REF!,0)))</f>
        <v/>
      </c>
      <c r="FL49" s="45" t="str">
        <f t="array" ref="FL49">IF($DT49="","", INDEX(#REF!,MATCH(CONCATENATE('Respuestas de formulario 1.1'!$B49,$DS49),#REF!,0),MATCH('Respuestas de formulario 1.1'!FL$1,#REF!,0)))</f>
        <v/>
      </c>
      <c r="FM49" s="56" t="str">
        <f t="array" ref="FM49">IF($DT49="","", INDEX(#REF!,MATCH(CONCATENATE('Respuestas de formulario 1.1'!$B49,$DS49),#REF!,0),MATCH('Respuestas de formulario 1.1'!FM$1,#REF!,0)))</f>
        <v/>
      </c>
      <c r="FN49" s="56" t="str">
        <f t="array" ref="FN49">IF($DT49="","", INDEX(#REF!,MATCH(CONCATENATE('Respuestas de formulario 1.1'!$B49,$DS49),#REF!,0),MATCH('Respuestas de formulario 1.1'!FN$1,#REF!,0)))</f>
        <v/>
      </c>
      <c r="FO49" s="56" t="str">
        <f t="array" ref="FO49">IF($DT49="","", INDEX(#REF!,MATCH(CONCATENATE('Respuestas de formulario 1.1'!$B49,$DS49),#REF!,0),MATCH('Respuestas de formulario 1.1'!FO$1,#REF!,0)))</f>
        <v/>
      </c>
      <c r="FP49" s="56" t="str">
        <f t="array" ref="FP49">IF($DT49="","", INDEX(#REF!,MATCH(CONCATENATE('Respuestas de formulario 1.1'!$B49,$DS49),#REF!,0),MATCH('Respuestas de formulario 1.1'!FP$1,#REF!,0)))</f>
        <v/>
      </c>
      <c r="FQ49" s="56" t="str">
        <f t="array" ref="FQ49">IF($DT49="","", INDEX(#REF!,MATCH(CONCATENATE('Respuestas de formulario 1.1'!$B49,$DS49),#REF!,0),MATCH('Respuestas de formulario 1.1'!FQ$1,#REF!,0)))</f>
        <v/>
      </c>
      <c r="FR49" s="45" t="str">
        <f t="array" ref="FR49">IF($DT49="","", INDEX(#REF!,MATCH(CONCATENATE('Respuestas de formulario 1.1'!$B49,$DS49),#REF!,0),MATCH('Respuestas de formulario 1.1'!FR$1,#REF!,0)))</f>
        <v/>
      </c>
      <c r="FS49" s="45" t="str">
        <f t="array" ref="FS49">IF($DU49="","", INDEX(#REF!,MATCH(CONCATENATE('Respuestas de formulario 1.1'!$B49,$DT49),#REF!,0),MATCH('Respuestas de formulario 1.1'!FS$1,#REF!,0)))</f>
        <v/>
      </c>
      <c r="FT49" s="56" t="str">
        <f t="array" ref="FT49">IF($DU49="","", INDEX(#REF!,MATCH(CONCATENATE('Respuestas de formulario 1.1'!$B49,$DT49),#REF!,0),MATCH('Respuestas de formulario 1.1'!FT$1,#REF!,0)))</f>
        <v/>
      </c>
      <c r="FU49" s="56" t="str">
        <f t="array" ref="FU49">IF($DU49="","", INDEX(#REF!,MATCH(CONCATENATE('Respuestas de formulario 1.1'!$B49,$DT49),#REF!,0),MATCH('Respuestas de formulario 1.1'!FU$1,#REF!,0)))</f>
        <v/>
      </c>
      <c r="FV49" s="56" t="str">
        <f t="array" ref="FV49">IF($DU49="","", INDEX(#REF!,MATCH(CONCATENATE('Respuestas de formulario 1.1'!$B49,$DT49),#REF!,0),MATCH('Respuestas de formulario 1.1'!FV$1,#REF!,0)))</f>
        <v/>
      </c>
      <c r="FW49" s="56" t="str">
        <f t="array" ref="FW49">IF($DU49="","", INDEX(#REF!,MATCH(CONCATENATE('Respuestas de formulario 1.1'!$B49,$DT49),#REF!,0),MATCH('Respuestas de formulario 1.1'!FW$1,#REF!,0)))</f>
        <v/>
      </c>
      <c r="FX49" s="56" t="str">
        <f t="array" ref="FX49">IF($DU49="","", INDEX(#REF!,MATCH(CONCATENATE('Respuestas de formulario 1.1'!$B49,$DT49),#REF!,0),MATCH('Respuestas de formulario 1.1'!FX$1,#REF!,0)))</f>
        <v/>
      </c>
      <c r="FY49" s="45" t="str">
        <f t="array" ref="FY49">IF($DU49="","", INDEX(#REF!,MATCH(CONCATENATE('Respuestas de formulario 1.1'!$B49,$DT49),#REF!,0),MATCH('Respuestas de formulario 1.1'!FY$1,#REF!,0)))</f>
        <v/>
      </c>
      <c r="FZ49" s="3" t="s">
        <v>2860</v>
      </c>
      <c r="GA49" s="1" t="s">
        <v>3651</v>
      </c>
      <c r="GB49" s="5" t="s">
        <v>3652</v>
      </c>
      <c r="GC49" s="4" t="str">
        <f>HYPERLINK("https://drive.google.com/file/d/1EVd61B9fzs1siRNN7zD_UbapqLQFbHg7/view?usp=drivesdk","CRUZ  NAPOLEON  NAHOMI LINNET  Formato de reinscripción y pago 2022-2")</f>
        <v>CRUZ  NAPOLEON  NAHOMI LINNET  Formato de reinscripción y pago 2022-2</v>
      </c>
      <c r="GD49" s="1" t="s">
        <v>3653</v>
      </c>
      <c r="GE49" s="1"/>
      <c r="GF49" s="1"/>
      <c r="GG49" s="1"/>
      <c r="GH49" s="1"/>
      <c r="GI49" s="1" t="s">
        <v>3654</v>
      </c>
      <c r="GJ49" s="5" t="s">
        <v>3655</v>
      </c>
      <c r="GK49" s="5" t="str">
        <f>HYPERLINK("https://drive.google.com/file/d/1OLdBLoNG734CiwcqxtAerlhq8i2n_kwF/view?usp=drivesdk","CRUZ  NAPOLEON  NAHOMI LINNET  Formato de reinscripción y pago 2022-2")</f>
        <v>CRUZ  NAPOLEON  NAHOMI LINNET  Formato de reinscripción y pago 2022-2</v>
      </c>
      <c r="GL49" s="1" t="s">
        <v>3656</v>
      </c>
    </row>
    <row r="50" spans="1:194" ht="38.25" x14ac:dyDescent="0.2">
      <c r="A50" s="2">
        <v>45139.093881504625</v>
      </c>
      <c r="B50" s="1" t="s">
        <v>2719</v>
      </c>
      <c r="C50" s="1" t="s">
        <v>244</v>
      </c>
      <c r="D50" s="1" t="s">
        <v>494</v>
      </c>
      <c r="E50" s="1" t="s">
        <v>2188</v>
      </c>
      <c r="F50" s="1" t="s">
        <v>262</v>
      </c>
      <c r="G50" s="5" t="s">
        <v>3657</v>
      </c>
      <c r="H50" s="41">
        <v>38497</v>
      </c>
      <c r="I50" s="1">
        <v>18</v>
      </c>
      <c r="J50" s="1">
        <v>5639786269</v>
      </c>
      <c r="K50" s="1">
        <v>26040145</v>
      </c>
      <c r="L50" s="1" t="s">
        <v>2720</v>
      </c>
      <c r="M50" s="1">
        <v>203090605705</v>
      </c>
      <c r="N50" s="1" t="s">
        <v>562</v>
      </c>
      <c r="O50" s="1" t="s">
        <v>225</v>
      </c>
      <c r="P50" s="1" t="s">
        <v>278</v>
      </c>
      <c r="Q50" s="1" t="s">
        <v>248</v>
      </c>
      <c r="R50" s="1" t="s">
        <v>228</v>
      </c>
      <c r="S50" s="1" t="s">
        <v>236</v>
      </c>
      <c r="T50" s="1" t="s">
        <v>686</v>
      </c>
      <c r="U50" s="1" t="s">
        <v>249</v>
      </c>
      <c r="V50" s="1" t="s">
        <v>228</v>
      </c>
      <c r="W50" s="1" t="s">
        <v>3658</v>
      </c>
      <c r="X50" s="1" t="s">
        <v>249</v>
      </c>
      <c r="Y50" s="1" t="s">
        <v>1790</v>
      </c>
      <c r="Z50" s="1" t="s">
        <v>240</v>
      </c>
      <c r="AA50" s="44" t="s">
        <v>530</v>
      </c>
      <c r="AB50" s="1" t="s">
        <v>1642</v>
      </c>
      <c r="AC50" s="1">
        <v>626</v>
      </c>
      <c r="AD50" s="1" t="s">
        <v>3659</v>
      </c>
      <c r="AE50" s="1" t="s">
        <v>3660</v>
      </c>
      <c r="AF50" s="1" t="s">
        <v>265</v>
      </c>
      <c r="AG50" s="1">
        <v>33</v>
      </c>
      <c r="AH50" s="5" t="s">
        <v>3661</v>
      </c>
      <c r="AI50" s="1">
        <v>5639786269</v>
      </c>
      <c r="AJ50" s="1">
        <v>2604014555</v>
      </c>
      <c r="AK50" s="1" t="s">
        <v>2721</v>
      </c>
      <c r="AL50" s="1" t="s">
        <v>244</v>
      </c>
      <c r="AM50" s="1" t="s">
        <v>2255</v>
      </c>
      <c r="AN50" s="1" t="s">
        <v>1413</v>
      </c>
      <c r="AO50" s="1" t="s">
        <v>435</v>
      </c>
      <c r="AP50" s="1">
        <v>53</v>
      </c>
      <c r="AQ50" s="1" t="s">
        <v>1916</v>
      </c>
      <c r="AR50" s="42">
        <v>0.20833333333575865</v>
      </c>
      <c r="AS50" s="42">
        <v>0.33333333333575865</v>
      </c>
      <c r="AT50" s="1">
        <v>5639786269</v>
      </c>
      <c r="AU50" s="1">
        <v>2604014555</v>
      </c>
      <c r="AV50" s="1" t="s">
        <v>2721</v>
      </c>
      <c r="AW50" s="5" t="s">
        <v>3662</v>
      </c>
      <c r="AX50" s="1" t="s">
        <v>244</v>
      </c>
      <c r="AY50" s="1" t="s">
        <v>494</v>
      </c>
      <c r="AZ50" s="1" t="s">
        <v>1444</v>
      </c>
      <c r="BA50" s="1" t="s">
        <v>586</v>
      </c>
      <c r="BB50" s="1">
        <v>27</v>
      </c>
      <c r="BC50" s="1" t="s">
        <v>328</v>
      </c>
      <c r="BD50" s="43">
        <v>1</v>
      </c>
      <c r="BE50" s="43">
        <v>1</v>
      </c>
      <c r="BF50" s="1">
        <v>5639786269</v>
      </c>
      <c r="BG50" s="1">
        <v>2604014555</v>
      </c>
      <c r="BH50" s="1" t="s">
        <v>3663</v>
      </c>
      <c r="BI50" s="5" t="s">
        <v>3664</v>
      </c>
      <c r="BJ50" s="1" t="s">
        <v>236</v>
      </c>
      <c r="BK50" s="1" t="s">
        <v>3665</v>
      </c>
      <c r="BL50" s="1">
        <v>1.73</v>
      </c>
      <c r="BM50" s="1">
        <v>55</v>
      </c>
      <c r="BN50" s="1" t="s">
        <v>236</v>
      </c>
      <c r="BO50" s="1" t="s">
        <v>236</v>
      </c>
      <c r="BP50" s="1" t="s">
        <v>3666</v>
      </c>
      <c r="BQ50" s="1" t="s">
        <v>228</v>
      </c>
      <c r="BR50" s="1" t="s">
        <v>237</v>
      </c>
      <c r="BS50" s="1" t="s">
        <v>236</v>
      </c>
      <c r="BT50" s="1" t="s">
        <v>457</v>
      </c>
      <c r="BU50" s="1" t="s">
        <v>228</v>
      </c>
      <c r="BW50" s="1" t="s">
        <v>349</v>
      </c>
      <c r="BX50" s="1">
        <v>30</v>
      </c>
      <c r="BY50" s="1">
        <v>500</v>
      </c>
      <c r="BZ50" s="1" t="s">
        <v>3667</v>
      </c>
      <c r="CA50" s="1" t="s">
        <v>1962</v>
      </c>
      <c r="CB50" s="1" t="s">
        <v>240</v>
      </c>
      <c r="CC50" s="1" t="s">
        <v>1790</v>
      </c>
      <c r="CD50" s="1">
        <v>3000</v>
      </c>
      <c r="CE50" s="1">
        <v>1500</v>
      </c>
      <c r="CF50" s="1" t="s">
        <v>236</v>
      </c>
      <c r="CG50" s="1" t="s">
        <v>323</v>
      </c>
      <c r="CH50" s="1" t="s">
        <v>243</v>
      </c>
      <c r="CI50" s="1" t="s">
        <v>243</v>
      </c>
      <c r="CJ50" s="1" t="s">
        <v>2848</v>
      </c>
      <c r="CL50" s="5" t="s">
        <v>3668</v>
      </c>
      <c r="CM50" s="1">
        <v>72200568250</v>
      </c>
      <c r="CN50" s="1" t="s">
        <v>236</v>
      </c>
      <c r="CO50" s="1" t="s">
        <v>2762</v>
      </c>
      <c r="CP50" s="1" t="s">
        <v>237</v>
      </c>
      <c r="CQ50" s="42">
        <v>0.5</v>
      </c>
      <c r="CR50" s="42">
        <v>0.20833333333575865</v>
      </c>
      <c r="CT50" s="45" t="str">
        <f t="array" ref="CT50">IFERROR(INDEX(#REF!,MATCH('Respuestas de formulario 1.1'!$B50,#REF!,0),MATCH('Respuestas de formulario 1.1'!CT$1,#REF!,0)),"")</f>
        <v/>
      </c>
      <c r="CU50" s="56" t="str">
        <f t="array" ref="CU50">IFERROR(INDEX(#REF!,MATCH('Respuestas de formulario 1.1'!$B50,#REF!,0),MATCH('Respuestas de formulario 1.1'!CU$1,#REF!,0)),"")</f>
        <v/>
      </c>
      <c r="CV50" s="56" t="str">
        <f t="array" ref="CV50">IFERROR(INDEX(#REF!,MATCH('Respuestas de formulario 1.1'!$B50,#REF!,0),MATCH('Respuestas de formulario 1.1'!CV$1,#REF!,0)),"")</f>
        <v/>
      </c>
      <c r="CW50" s="56" t="str">
        <f t="array" ref="CW50">IFERROR(INDEX(#REF!,MATCH('Respuestas de formulario 1.1'!$B50,#REF!,0),MATCH('Respuestas de formulario 1.1'!CW$1,#REF!,0)),"")</f>
        <v/>
      </c>
      <c r="CX50" s="56" t="str">
        <f t="array" ref="CX50">IFERROR(INDEX(#REF!,MATCH('Respuestas de formulario 1.1'!$B50,#REF!,0),MATCH('Respuestas de formulario 1.1'!CX$1,#REF!,0)),"")</f>
        <v/>
      </c>
      <c r="CY50" s="56" t="str">
        <f t="array" ref="CY50">IFERROR(INDEX(#REF!,MATCH('Respuestas de formulario 1.1'!$B50,#REF!,0),MATCH('Respuestas de formulario 1.1'!CY$1,#REF!,0)),"")</f>
        <v/>
      </c>
      <c r="CZ50" s="57" t="str">
        <f t="array" ref="CZ50">IFERROR(INDEX(#REF!,MATCH('Respuestas de formulario 1.1'!$B50,#REF!,0),MATCH('Respuestas de formulario 1.1'!CZ$1,#REF!,0)),"")</f>
        <v/>
      </c>
      <c r="DA50" s="45" t="e">
        <f t="array" ref="DA50">INDEX(#REF!,MATCH('Respuestas de formulario 1.1'!$B50,#REF!,0),MATCH('Respuestas de formulario 1.1'!DA$1,#REF!,0))</f>
        <v>#REF!</v>
      </c>
      <c r="DB50" s="45" t="e">
        <f t="array" ref="DB50">INDEX(#REF!,MATCH('Respuestas de formulario 1.1'!$B50,#REF!,0),MATCH('Respuestas de formulario 1.1'!DB$1,#REF!,0))</f>
        <v>#REF!</v>
      </c>
      <c r="DC50" s="45" t="e">
        <f t="array" ref="DC50">INDEX(#REF!,MATCH('Respuestas de formulario 1.1'!$B50,#REF!,0),MATCH('Respuestas de formulario 1.1'!DC$1,#REF!,0))</f>
        <v>#REF!</v>
      </c>
      <c r="DD50" s="45" t="e">
        <f t="array" ref="DD50">INDEX(#REF!,MATCH('Respuestas de formulario 1.1'!$B50,#REF!,0),MATCH('Respuestas de formulario 1.1'!DD$1,#REF!,0))</f>
        <v>#REF!</v>
      </c>
      <c r="DE50" s="45" t="e">
        <f t="array" ref="DE50">INDEX(#REF!,MATCH('Respuestas de formulario 1.1'!$B50,#REF!,0),MATCH('Respuestas de formulario 1.1'!DE$1,#REF!,0))</f>
        <v>#REF!</v>
      </c>
      <c r="DF50" s="45" t="e">
        <f t="array" ref="DF50">INDEX(#REF!,MATCH('Respuestas de formulario 1.1'!$B50,#REF!,0),MATCH('Respuestas de formulario 1.1'!DF$1,#REF!,0))</f>
        <v>#REF!</v>
      </c>
      <c r="DG50" s="45" t="e">
        <f t="array" ref="DG50">INDEX(#REF!,MATCH('Respuestas de formulario 1.1'!$B50,#REF!,0),MATCH('Respuestas de formulario 1.1'!DG$1,#REF!,0))</f>
        <v>#REF!</v>
      </c>
      <c r="DH50" s="45" t="e">
        <f t="array" ref="DH50">INDEX(#REF!,MATCH('Respuestas de formulario 1.1'!$B50,#REF!,0),MATCH('Respuestas de formulario 1.1'!DH$1,#REF!,0))</f>
        <v>#REF!</v>
      </c>
      <c r="DI50" s="48" t="e">
        <f>VLOOKUP(CONCATENATE($DF50," TUTO ",$DC50),#REF!,3,0)</f>
        <v>#REF!</v>
      </c>
      <c r="DJ50" s="48" t="e">
        <f t="array" ref="DJ50">IF('Respuestas de formulario 1.1'!A50="","",INDEX(#REF!,MATCH('Respuestas de formulario 1.1'!B50,#REF!,0),MATCH('Respuestas de formulario 1.1'!$DH$1,#REF!,0)))</f>
        <v>#REF!</v>
      </c>
      <c r="DK50" s="52" t="str">
        <f>CONCATENATE("http://doc.google.com/uc?id=",MID('Respuestas de formulario 1.1'!G50,34,33))</f>
        <v>http://doc.google.com/uc?id=1yRJkIpPaQgW33L_JCkiwBzo7XkgMwICM</v>
      </c>
      <c r="DL50" s="49" t="str">
        <f>CONCATENATE("http://doc.google.com/uc?id=",MID('Respuestas de formulario 1.1'!AH50,34,33))</f>
        <v>http://doc.google.com/uc?id=18N-Z0eSe5tEr3KDZVgo3h5ztj_Mne3_w</v>
      </c>
      <c r="DM50" s="50" t="str">
        <f>CONCATENATE("http://doc.google.com/uc?id=",MID('Respuestas de formulario 1.1'!AW50,34,33))</f>
        <v>http://doc.google.com/uc?id=1w2CtSBDoRaG6j7GSsNqAa563hY7m3IWi</v>
      </c>
      <c r="DN50" s="53" t="str">
        <f>CONCATENATE("http://doc.google.com/uc?id=",MID('Respuestas de formulario 1.1'!$BI50,34,33))</f>
        <v>http://doc.google.com/uc?id=12sfOVr20mZlXbxH96vklhqJc9WzApHA9</v>
      </c>
      <c r="DO50" s="45" t="str">
        <f>IFERROR(VLOOKUP(CONCATENATE('Respuestas de formulario 1.1'!$B50,MID('Respuestas de formulario 1.1'!DO$1,2,1)),#REF!,12,0),"")</f>
        <v/>
      </c>
      <c r="DP50" s="45" t="str">
        <f>IFERROR(VLOOKUP(CONCATENATE('Respuestas de formulario 1.1'!$B50,MID('Respuestas de formulario 1.1'!DP$1,2,1)),#REF!,12,0),"")</f>
        <v/>
      </c>
      <c r="DQ50" s="45" t="str">
        <f>IFERROR(VLOOKUP(CONCATENATE('Respuestas de formulario 1.1'!$B50,MID('Respuestas de formulario 1.1'!DQ$1,2,1)),#REF!,12,0),"")</f>
        <v/>
      </c>
      <c r="DR50" s="45" t="str">
        <f>IFERROR(VLOOKUP(CONCATENATE('Respuestas de formulario 1.1'!$B50,MID('Respuestas de formulario 1.1'!DR$1,2,1)),#REF!,12,0),"")</f>
        <v/>
      </c>
      <c r="DS50" s="45" t="str">
        <f>IFERROR(VLOOKUP(CONCATENATE('Respuestas de formulario 1.1'!$B50,MID('Respuestas de formulario 1.1'!DS$1,2,1)),#REF!,12,0),"")</f>
        <v/>
      </c>
      <c r="DT50" s="45" t="str">
        <f>IFERROR(VLOOKUP(CONCATENATE('Respuestas de formulario 1.1'!$B50,MID('Respuestas de formulario 1.1'!DT$1,2,1)),#REF!,12,0),"")</f>
        <v/>
      </c>
      <c r="DU50" s="45" t="str">
        <f>IFERROR(VLOOKUP(CONCATENATE('Respuestas de formulario 1.1'!$B50,MID('Respuestas de formulario 1.1'!DU$1,2,1)),#REF!,12,0),"")</f>
        <v/>
      </c>
      <c r="DV50" s="45" t="str">
        <f>IFERROR(VLOOKUP(CONCATENATE('Respuestas de formulario 1.1'!$B50,MID('Respuestas de formulario 1.1'!DV$1,2,1)),#REF!,12,0),"")</f>
        <v/>
      </c>
      <c r="DW50" s="45" t="str">
        <f>IFERROR(VLOOKUP(CONCATENATE('Respuestas de formulario 1.1'!$B50,MID('Respuestas de formulario 1.1'!DW$1,2,1)),#REF!,12,0),"")</f>
        <v/>
      </c>
      <c r="DX50" s="45" t="str">
        <f>IFERROR(VLOOKUP(CONCATENATE('Respuestas de formulario 1.1'!$B50,MID('Respuestas de formulario 1.1'!DX$1,2,1)),#REF!,12,0),"")</f>
        <v/>
      </c>
      <c r="DY50" s="45" t="str">
        <f>IFERROR(VLOOKUP(CONCATENATE('Respuestas de formulario 1.1'!$B50,MID('Respuestas de formulario 1.1'!DY$1,2,1)),#REF!,12,0),"")</f>
        <v/>
      </c>
      <c r="DZ50" s="45" t="str">
        <f>IFERROR(VLOOKUP(CONCATENATE('Respuestas de formulario 1.1'!$B50,MID('Respuestas de formulario 1.1'!DZ$1,2,1)),#REF!,12,0),"")</f>
        <v/>
      </c>
      <c r="EA50" s="45" t="str">
        <f>IFERROR(VLOOKUP(CONCATENATE('Respuestas de formulario 1.1'!$B50,MID('Respuestas de formulario 1.1'!EA$1,2,1)),#REF!,12,0),"")</f>
        <v/>
      </c>
      <c r="EB50" s="45" t="str">
        <f>IFERROR(VLOOKUP(CONCATENATE('Respuestas de formulario 1.1'!$B50,MID('Respuestas de formulario 1.1'!EB$1,2,1)),#REF!,12,0),"")</f>
        <v/>
      </c>
      <c r="EC50" s="45" t="str">
        <f>IFERROR(VLOOKUP(CONCATENATE('Respuestas de formulario 1.1'!$B50,MID('Respuestas de formulario 1.1'!EC$1,2,1)),#REF!,12,0),"")</f>
        <v/>
      </c>
      <c r="ED50" s="45" t="str">
        <f>IFERROR(VLOOKUP(CONCATENATE('Respuestas de formulario 1.1'!$B50,MID('Respuestas de formulario 1.1'!ED$1,2,1)),#REF!,12,0),"")</f>
        <v/>
      </c>
      <c r="EE50" s="45" t="str">
        <f>IFERROR(VLOOKUP(CONCATENATE('Respuestas de formulario 1.1'!$B50,MID('Respuestas de formulario 1.1'!EE$1,2,1)),#REF!,12,0),"")</f>
        <v/>
      </c>
      <c r="EF50" s="45" t="str">
        <f>IFERROR(VLOOKUP(CONCATENATE('Respuestas de formulario 1.1'!$B50,MID('Respuestas de formulario 1.1'!EF$1,2,1)),#REF!,12,0),"")</f>
        <v/>
      </c>
      <c r="EG50" s="45" t="str">
        <f>IFERROR(VLOOKUP(CONCATENATE('Respuestas de formulario 1.1'!$B50,MID('Respuestas de formulario 1.1'!EG$1,2,1)),#REF!,12,0),"")</f>
        <v/>
      </c>
      <c r="EH50" s="45" t="str">
        <f>IFERROR(VLOOKUP(CONCATENATE('Respuestas de formulario 1.1'!$B50,MID('Respuestas de formulario 1.1'!EH$1,2,1)),#REF!,12,0),"")</f>
        <v/>
      </c>
      <c r="EI50" s="45" t="str">
        <f>IFERROR(VLOOKUP(CONCATENATE('Respuestas de formulario 1.1'!$B50,MID('Respuestas de formulario 1.1'!EI$1,2,1)),#REF!,12,0),"")</f>
        <v/>
      </c>
      <c r="EJ50" s="45" t="str">
        <f t="array" ref="EJ50">IF(DO50="","", INDEX(#REF!,MATCH(CONCATENATE('Respuestas de formulario 1.1'!$B50,DO50),#REF!,0),MATCH('Respuestas de formulario 1.1'!EJ$1,#REF!,0)))</f>
        <v/>
      </c>
      <c r="EK50" s="56" t="str">
        <f t="array" ref="EK50">IF(DP50="","", INDEX(#REF!,MATCH(CONCATENATE('Respuestas de formulario 1.1'!$B50,DP50),#REF!,0),MATCH('Respuestas de formulario 1.1'!EK$1,#REF!,0)))</f>
        <v/>
      </c>
      <c r="EL50" s="56" t="str">
        <f t="array" ref="EL50">IF(DQ50="","", INDEX(#REF!,MATCH(CONCATENATE('Respuestas de formulario 1.1'!$B50,DQ50),#REF!,0),MATCH('Respuestas de formulario 1.1'!EL$1,#REF!,0)))</f>
        <v/>
      </c>
      <c r="EM50" s="56" t="str">
        <f t="array" ref="EM50">IF(DR50="","", INDEX(#REF!,MATCH(CONCATENATE('Respuestas de formulario 1.1'!$B50,DR50),#REF!,0),MATCH('Respuestas de formulario 1.1'!EM$1,#REF!,0)))</f>
        <v/>
      </c>
      <c r="EN50" s="56" t="str">
        <f t="array" ref="EN50">IF(DS50="","", INDEX(#REF!,MATCH(CONCATENATE('Respuestas de formulario 1.1'!$B50,DS50),#REF!,0),MATCH('Respuestas de formulario 1.1'!EN$1,#REF!,0)))</f>
        <v/>
      </c>
      <c r="EO50" s="56" t="str">
        <f t="array" ref="EO50">IF(DT50="","", INDEX(#REF!,MATCH(CONCATENATE('Respuestas de formulario 1.1'!$B50,DT50),#REF!,0),MATCH('Respuestas de formulario 1.1'!EO$1,#REF!,0)))</f>
        <v/>
      </c>
      <c r="EP50" s="45" t="str">
        <f t="array" ref="EP50">IF(DU50="","", INDEX(#REF!,MATCH(CONCATENATE('Respuestas de formulario 1.1'!$B50,DU50),#REF!,0),MATCH('Respuestas de formulario 1.1'!EP$1,#REF!,0)))</f>
        <v/>
      </c>
      <c r="EQ50" s="45" t="str">
        <f t="array" ref="EQ50">IF(DP50="","", INDEX(#REF!,MATCH(CONCATENATE('Respuestas de formulario 1.1'!$B50,DP50),#REF!,0),MATCH('Respuestas de formulario 1.1'!EQ$1,#REF!,0)))</f>
        <v/>
      </c>
      <c r="ER50" s="56" t="str">
        <f t="array" ref="ER50">IF(DQ50="","", INDEX(#REF!,MATCH(CONCATENATE('Respuestas de formulario 1.1'!$B50,DQ50),#REF!,0),MATCH('Respuestas de formulario 1.1'!ER$1,#REF!,0)))</f>
        <v/>
      </c>
      <c r="ES50" s="56" t="str">
        <f t="array" ref="ES50">IF(DR50="","", INDEX(#REF!,MATCH(CONCATENATE('Respuestas de formulario 1.1'!$B50,DR50),#REF!,0),MATCH('Respuestas de formulario 1.1'!ES$1,#REF!,0)))</f>
        <v/>
      </c>
      <c r="ET50" s="56" t="str">
        <f t="array" ref="ET50">IF(DS50="","", INDEX(#REF!,MATCH(CONCATENATE('Respuestas de formulario 1.1'!$B50,DS50),#REF!,0),MATCH('Respuestas de formulario 1.1'!ET$1,#REF!,0)))</f>
        <v/>
      </c>
      <c r="EU50" s="56" t="str">
        <f t="array" ref="EU50">IF(DT50="","", INDEX(#REF!,MATCH(CONCATENATE('Respuestas de formulario 1.1'!$B50,DT50),#REF!,0),MATCH('Respuestas de formulario 1.1'!EU$1,#REF!,0)))</f>
        <v/>
      </c>
      <c r="EV50" s="56" t="str">
        <f t="array" ref="EV50">IF(DU50="","", INDEX(#REF!,MATCH(CONCATENATE('Respuestas de formulario 1.1'!$B50,DU50),#REF!,0),MATCH('Respuestas de formulario 1.1'!EV$1,#REF!,0)))</f>
        <v/>
      </c>
      <c r="EW50" s="45" t="str">
        <f t="array" ref="EW50">IF(DV50="","", INDEX(#REF!,MATCH(CONCATENATE('Respuestas de formulario 1.1'!$B50,DV50),#REF!,0),MATCH('Respuestas de formulario 1.1'!EW$1,#REF!,0)))</f>
        <v/>
      </c>
      <c r="EX50" s="45" t="str">
        <f t="array" ref="EX50">IF($DQ50="","", INDEX(#REF!,MATCH(CONCATENATE('Respuestas de formulario 1.1'!$B50,$DQ50),#REF!,0),MATCH('Respuestas de formulario 1.1'!EX$1,#REF!,0)))</f>
        <v/>
      </c>
      <c r="EY50" s="56" t="str">
        <f t="array" ref="EY50">IF($DQ50="","", INDEX(#REF!,MATCH(CONCATENATE('Respuestas de formulario 1.1'!$B50,$DQ50),#REF!,0),MATCH('Respuestas de formulario 1.1'!EY$1,#REF!,0)))</f>
        <v/>
      </c>
      <c r="EZ50" s="56" t="str">
        <f t="array" ref="EZ50">IF($DQ50="","", INDEX(#REF!,MATCH(CONCATENATE('Respuestas de formulario 1.1'!$B50,$DQ50),#REF!,0),MATCH('Respuestas de formulario 1.1'!EZ$1,#REF!,0)))</f>
        <v/>
      </c>
      <c r="FA50" s="56" t="str">
        <f t="array" ref="FA50">IF($DQ50="","", INDEX(#REF!,MATCH(CONCATENATE('Respuestas de formulario 1.1'!$B50,$DQ50),#REF!,0),MATCH('Respuestas de formulario 1.1'!FA$1,#REF!,0)))</f>
        <v/>
      </c>
      <c r="FB50" s="56" t="str">
        <f t="array" ref="FB50">IF($DQ50="","", INDEX(#REF!,MATCH(CONCATENATE('Respuestas de formulario 1.1'!$B50,$DQ50),#REF!,0),MATCH('Respuestas de formulario 1.1'!FB$1,#REF!,0)))</f>
        <v/>
      </c>
      <c r="FC50" s="56" t="str">
        <f t="array" ref="FC50">IF($DQ50="","", INDEX(#REF!,MATCH(CONCATENATE('Respuestas de formulario 1.1'!$B50,$DQ50),#REF!,0),MATCH('Respuestas de formulario 1.1'!FC$1,#REF!,0)))</f>
        <v/>
      </c>
      <c r="FD50" s="45" t="str">
        <f t="array" ref="FD50">IF($DQ50="","", INDEX(#REF!,MATCH(CONCATENATE('Respuestas de formulario 1.1'!$B50,$DQ50),#REF!,0),MATCH('Respuestas de formulario 1.1'!FD$1,#REF!,0)))</f>
        <v/>
      </c>
      <c r="FE50" s="45" t="str">
        <f t="array" ref="FE50">IF($DR50="","", INDEX(#REF!,MATCH(CONCATENATE(#REF!,$DR50),#REF!,0),MATCH(#REF!,#REF!,0)))</f>
        <v/>
      </c>
      <c r="FF50" s="56" t="str">
        <f t="array" ref="FF50">IF($DR50="","", INDEX(#REF!,MATCH(CONCATENATE(#REF!,$DR50),#REF!,0),MATCH(#REF!,#REF!,0)))</f>
        <v/>
      </c>
      <c r="FG50" s="56" t="str">
        <f t="array" ref="FG50">IF($DR50="","", INDEX(#REF!,MATCH(CONCATENATE(#REF!,$DR50),#REF!,0),MATCH(#REF!,#REF!,0)))</f>
        <v/>
      </c>
      <c r="FH50" s="56" t="str">
        <f t="array" ref="FH50">IF($DR50="","", INDEX(#REF!,MATCH(CONCATENATE(#REF!,$DR50),#REF!,0),MATCH(#REF!,#REF!,0)))</f>
        <v/>
      </c>
      <c r="FI50" s="56" t="str">
        <f t="array" ref="FI50">IF($DR50="","", INDEX(#REF!,MATCH(CONCATENATE(#REF!,$DR50),#REF!,0),MATCH(#REF!,#REF!,0)))</f>
        <v/>
      </c>
      <c r="FJ50" s="56" t="str">
        <f t="array" ref="FJ50">IF($DR50="","", INDEX(#REF!,MATCH(CONCATENATE(#REF!,$DR50),#REF!,0),MATCH(#REF!,#REF!,0)))</f>
        <v/>
      </c>
      <c r="FK50" s="45" t="str">
        <f t="array" ref="FK50">IF($DR50="","", INDEX(#REF!,MATCH(CONCATENATE(#REF!,$DR50),#REF!,0),MATCH(#REF!,#REF!,0)))</f>
        <v/>
      </c>
      <c r="FL50" s="45" t="str">
        <f t="array" ref="FL50">IF($DT50="","", INDEX(#REF!,MATCH(CONCATENATE('Respuestas de formulario 1.1'!$B50,$DS50),#REF!,0),MATCH('Respuestas de formulario 1.1'!FL$1,#REF!,0)))</f>
        <v/>
      </c>
      <c r="FM50" s="56" t="str">
        <f t="array" ref="FM50">IF($DT50="","", INDEX(#REF!,MATCH(CONCATENATE('Respuestas de formulario 1.1'!$B50,$DS50),#REF!,0),MATCH('Respuestas de formulario 1.1'!FM$1,#REF!,0)))</f>
        <v/>
      </c>
      <c r="FN50" s="56" t="str">
        <f t="array" ref="FN50">IF($DT50="","", INDEX(#REF!,MATCH(CONCATENATE('Respuestas de formulario 1.1'!$B50,$DS50),#REF!,0),MATCH('Respuestas de formulario 1.1'!FN$1,#REF!,0)))</f>
        <v/>
      </c>
      <c r="FO50" s="56" t="str">
        <f t="array" ref="FO50">IF($DT50="","", INDEX(#REF!,MATCH(CONCATENATE('Respuestas de formulario 1.1'!$B50,$DS50),#REF!,0),MATCH('Respuestas de formulario 1.1'!FO$1,#REF!,0)))</f>
        <v/>
      </c>
      <c r="FP50" s="56" t="str">
        <f t="array" ref="FP50">IF($DT50="","", INDEX(#REF!,MATCH(CONCATENATE('Respuestas de formulario 1.1'!$B50,$DS50),#REF!,0),MATCH('Respuestas de formulario 1.1'!FP$1,#REF!,0)))</f>
        <v/>
      </c>
      <c r="FQ50" s="56" t="str">
        <f t="array" ref="FQ50">IF($DT50="","", INDEX(#REF!,MATCH(CONCATENATE('Respuestas de formulario 1.1'!$B50,$DS50),#REF!,0),MATCH('Respuestas de formulario 1.1'!FQ$1,#REF!,0)))</f>
        <v/>
      </c>
      <c r="FR50" s="45" t="str">
        <f t="array" ref="FR50">IF($DT50="","", INDEX(#REF!,MATCH(CONCATENATE('Respuestas de formulario 1.1'!$B50,$DS50),#REF!,0),MATCH('Respuestas de formulario 1.1'!FR$1,#REF!,0)))</f>
        <v/>
      </c>
      <c r="FS50" s="45" t="str">
        <f t="array" ref="FS50">IF($DU50="","", INDEX(#REF!,MATCH(CONCATENATE('Respuestas de formulario 1.1'!$B50,$DT50),#REF!,0),MATCH('Respuestas de formulario 1.1'!FS$1,#REF!,0)))</f>
        <v/>
      </c>
      <c r="FT50" s="56" t="str">
        <f t="array" ref="FT50">IF($DU50="","", INDEX(#REF!,MATCH(CONCATENATE('Respuestas de formulario 1.1'!$B50,$DT50),#REF!,0),MATCH('Respuestas de formulario 1.1'!FT$1,#REF!,0)))</f>
        <v/>
      </c>
      <c r="FU50" s="56" t="str">
        <f t="array" ref="FU50">IF($DU50="","", INDEX(#REF!,MATCH(CONCATENATE('Respuestas de formulario 1.1'!$B50,$DT50),#REF!,0),MATCH('Respuestas de formulario 1.1'!FU$1,#REF!,0)))</f>
        <v/>
      </c>
      <c r="FV50" s="56" t="str">
        <f t="array" ref="FV50">IF($DU50="","", INDEX(#REF!,MATCH(CONCATENATE('Respuestas de formulario 1.1'!$B50,$DT50),#REF!,0),MATCH('Respuestas de formulario 1.1'!FV$1,#REF!,0)))</f>
        <v/>
      </c>
      <c r="FW50" s="56" t="str">
        <f t="array" ref="FW50">IF($DU50="","", INDEX(#REF!,MATCH(CONCATENATE('Respuestas de formulario 1.1'!$B50,$DT50),#REF!,0),MATCH('Respuestas de formulario 1.1'!FW$1,#REF!,0)))</f>
        <v/>
      </c>
      <c r="FX50" s="56" t="str">
        <f t="array" ref="FX50">IF($DU50="","", INDEX(#REF!,MATCH(CONCATENATE('Respuestas de formulario 1.1'!$B50,$DT50),#REF!,0),MATCH('Respuestas de formulario 1.1'!FX$1,#REF!,0)))</f>
        <v/>
      </c>
      <c r="FY50" s="45" t="str">
        <f t="array" ref="FY50">IF($DU50="","", INDEX(#REF!,MATCH(CONCATENATE('Respuestas de formulario 1.1'!$B50,$DT50),#REF!,0),MATCH('Respuestas de formulario 1.1'!FY$1,#REF!,0)))</f>
        <v/>
      </c>
      <c r="FZ50" s="3" t="s">
        <v>2860</v>
      </c>
      <c r="GA50" s="1" t="s">
        <v>3669</v>
      </c>
      <c r="GB50" s="5" t="s">
        <v>3670</v>
      </c>
      <c r="GC50" s="4" t="str">
        <f>HYPERLINK("https://drive.google.com/file/d/1NVb5PJjRJbwtzvg3SzKUIjhgAylxFMbG/view?usp=drivesdk","HERNANDEZ NAVARRETE JESUS  Formato de reinscripción y pago 2022-2")</f>
        <v>HERNANDEZ NAVARRETE JESUS  Formato de reinscripción y pago 2022-2</v>
      </c>
      <c r="GD50" s="1" t="s">
        <v>3671</v>
      </c>
      <c r="GE50" s="1" t="s">
        <v>3672</v>
      </c>
      <c r="GF50" s="5" t="s">
        <v>3673</v>
      </c>
      <c r="GG50" s="5" t="str">
        <f>HYPERLINK("https://drive.google.com/file/d/1yzW16xAPD4zDzmSYoFHKnF_HeP8B9Gel/view?usp=drivesdk","HERNANDEZ NAVARRETE JESUS  Formato de reinscripción y pago 2022-2")</f>
        <v>HERNANDEZ NAVARRETE JESUS  Formato de reinscripción y pago 2022-2</v>
      </c>
      <c r="GH50" s="1" t="s">
        <v>3674</v>
      </c>
      <c r="GI50" s="1" t="s">
        <v>3675</v>
      </c>
      <c r="GJ50" s="5" t="s">
        <v>3676</v>
      </c>
      <c r="GK50" s="5" t="str">
        <f>HYPERLINK("https://drive.google.com/file/d/18IjRf3MrPCKhpAByF9UT18_BX03poFPB/view?usp=drivesdk","HERNANDEZ NAVARRETE JESUS  Formato de reinscripción y pago 2022-2")</f>
        <v>HERNANDEZ NAVARRETE JESUS  Formato de reinscripción y pago 2022-2</v>
      </c>
      <c r="GL50" s="1" t="s">
        <v>3677</v>
      </c>
    </row>
    <row r="51" spans="1:194" ht="38.25" x14ac:dyDescent="0.2">
      <c r="A51" s="2">
        <v>45139.56523576389</v>
      </c>
      <c r="B51" s="1" t="s">
        <v>990</v>
      </c>
      <c r="C51" s="1" t="s">
        <v>392</v>
      </c>
      <c r="D51" s="1" t="s">
        <v>991</v>
      </c>
      <c r="E51" s="1" t="s">
        <v>470</v>
      </c>
      <c r="F51" s="1" t="s">
        <v>223</v>
      </c>
      <c r="G51" s="5" t="s">
        <v>3678</v>
      </c>
      <c r="H51" s="41">
        <v>38767</v>
      </c>
      <c r="I51" s="1">
        <v>17</v>
      </c>
      <c r="J51" s="1">
        <v>5540483049</v>
      </c>
      <c r="K51" s="1">
        <v>1</v>
      </c>
      <c r="L51" s="1" t="s">
        <v>992</v>
      </c>
      <c r="M51" s="1">
        <v>22309060570354</v>
      </c>
      <c r="N51" s="1" t="s">
        <v>562</v>
      </c>
      <c r="O51" s="1" t="s">
        <v>225</v>
      </c>
      <c r="P51" s="1" t="s">
        <v>226</v>
      </c>
      <c r="Q51" s="1" t="s">
        <v>227</v>
      </c>
      <c r="R51" s="1" t="s">
        <v>236</v>
      </c>
      <c r="S51" s="1" t="s">
        <v>228</v>
      </c>
      <c r="T51" s="1" t="s">
        <v>686</v>
      </c>
      <c r="U51" s="1" t="s">
        <v>728</v>
      </c>
      <c r="V51" s="1" t="s">
        <v>228</v>
      </c>
      <c r="W51" s="1" t="s">
        <v>3679</v>
      </c>
      <c r="X51" s="1" t="s">
        <v>728</v>
      </c>
      <c r="Y51" s="1" t="s">
        <v>3680</v>
      </c>
      <c r="Z51" s="1" t="s">
        <v>231</v>
      </c>
      <c r="AA51" s="1">
        <v>55415</v>
      </c>
      <c r="AB51" s="1">
        <v>1</v>
      </c>
      <c r="AC51" s="1">
        <v>1</v>
      </c>
      <c r="AD51" s="1" t="s">
        <v>3681</v>
      </c>
      <c r="AE51" s="1" t="s">
        <v>3682</v>
      </c>
      <c r="AF51" s="1" t="s">
        <v>265</v>
      </c>
      <c r="AG51" s="1">
        <v>54</v>
      </c>
      <c r="AH51" s="5" t="s">
        <v>3683</v>
      </c>
      <c r="AI51" s="1">
        <v>5521518617</v>
      </c>
      <c r="AJ51" s="1">
        <v>5521518617</v>
      </c>
      <c r="AK51" s="1" t="s">
        <v>993</v>
      </c>
      <c r="AL51" s="1" t="s">
        <v>560</v>
      </c>
      <c r="AM51" s="1" t="s">
        <v>671</v>
      </c>
      <c r="AN51" s="1" t="s">
        <v>994</v>
      </c>
      <c r="AO51" s="1" t="s">
        <v>297</v>
      </c>
      <c r="AP51" s="1">
        <v>31</v>
      </c>
      <c r="AQ51" s="1" t="s">
        <v>235</v>
      </c>
      <c r="AR51" s="42">
        <v>0.29166666666424135</v>
      </c>
      <c r="AS51" s="42">
        <v>0.66666666666424135</v>
      </c>
      <c r="AT51" s="1">
        <v>5551454618</v>
      </c>
      <c r="AU51" s="1">
        <v>5551454618</v>
      </c>
      <c r="AV51" s="1" t="s">
        <v>3684</v>
      </c>
      <c r="AW51" s="5" t="s">
        <v>3685</v>
      </c>
      <c r="AX51" s="1" t="s">
        <v>991</v>
      </c>
      <c r="AY51" s="1" t="s">
        <v>671</v>
      </c>
      <c r="AZ51" s="1" t="s">
        <v>511</v>
      </c>
      <c r="BA51" s="1" t="s">
        <v>265</v>
      </c>
      <c r="BB51" s="1">
        <v>54</v>
      </c>
      <c r="BC51" s="1" t="s">
        <v>328</v>
      </c>
      <c r="BD51" s="43">
        <v>0.33333333333575865</v>
      </c>
      <c r="BE51" s="43">
        <v>0.66666666666424135</v>
      </c>
      <c r="BF51" s="1">
        <v>5521518617</v>
      </c>
      <c r="BG51" s="1">
        <v>5521518617</v>
      </c>
      <c r="BH51" s="1" t="s">
        <v>993</v>
      </c>
      <c r="BI51" s="5" t="s">
        <v>3686</v>
      </c>
      <c r="BJ51" s="1" t="s">
        <v>228</v>
      </c>
      <c r="BK51" s="1" t="s">
        <v>3687</v>
      </c>
      <c r="BL51" s="1">
        <v>160</v>
      </c>
      <c r="BM51" s="1">
        <v>58</v>
      </c>
      <c r="BN51" s="1" t="s">
        <v>236</v>
      </c>
      <c r="BO51" s="1" t="s">
        <v>228</v>
      </c>
      <c r="BP51" s="1" t="s">
        <v>237</v>
      </c>
      <c r="BQ51" s="1" t="s">
        <v>228</v>
      </c>
      <c r="BR51" s="1" t="s">
        <v>237</v>
      </c>
      <c r="BS51" s="1" t="s">
        <v>236</v>
      </c>
      <c r="BT51" s="1" t="s">
        <v>331</v>
      </c>
      <c r="BU51" s="1" t="s">
        <v>228</v>
      </c>
      <c r="BW51" s="1" t="s">
        <v>238</v>
      </c>
      <c r="BX51" s="1">
        <v>100</v>
      </c>
      <c r="BY51" s="1">
        <v>500</v>
      </c>
      <c r="BZ51" s="1" t="s">
        <v>253</v>
      </c>
      <c r="CA51" s="1" t="s">
        <v>343</v>
      </c>
      <c r="CB51" s="1" t="s">
        <v>240</v>
      </c>
      <c r="CC51" s="1" t="s">
        <v>581</v>
      </c>
      <c r="CD51" s="1">
        <v>1500</v>
      </c>
      <c r="CE51" s="1">
        <v>1000</v>
      </c>
      <c r="CF51" s="1" t="s">
        <v>228</v>
      </c>
      <c r="CG51" s="1" t="s">
        <v>242</v>
      </c>
      <c r="CH51" s="1" t="s">
        <v>243</v>
      </c>
      <c r="CI51" s="1" t="s">
        <v>243</v>
      </c>
      <c r="CJ51" s="1" t="s">
        <v>2848</v>
      </c>
      <c r="CL51" s="5" t="s">
        <v>3688</v>
      </c>
      <c r="CM51" s="44" t="s">
        <v>995</v>
      </c>
      <c r="CN51" s="1" t="s">
        <v>228</v>
      </c>
      <c r="CQ51" s="42">
        <v>0.29166666666424135</v>
      </c>
      <c r="CR51" s="42">
        <v>0.66666666666424135</v>
      </c>
      <c r="CT51" s="45" t="str">
        <f t="array" ref="CT51">IFERROR(INDEX(#REF!,MATCH('Respuestas de formulario 1.1'!$B51,#REF!,0),MATCH('Respuestas de formulario 1.1'!CT$1,#REF!,0)),"")</f>
        <v/>
      </c>
      <c r="CU51" s="56" t="str">
        <f t="array" ref="CU51">IFERROR(INDEX(#REF!,MATCH('Respuestas de formulario 1.1'!$B51,#REF!,0),MATCH('Respuestas de formulario 1.1'!CU$1,#REF!,0)),"")</f>
        <v/>
      </c>
      <c r="CV51" s="56" t="str">
        <f t="array" ref="CV51">IFERROR(INDEX(#REF!,MATCH('Respuestas de formulario 1.1'!$B51,#REF!,0),MATCH('Respuestas de formulario 1.1'!CV$1,#REF!,0)),"")</f>
        <v/>
      </c>
      <c r="CW51" s="56" t="str">
        <f t="array" ref="CW51">IFERROR(INDEX(#REF!,MATCH('Respuestas de formulario 1.1'!$B51,#REF!,0),MATCH('Respuestas de formulario 1.1'!CW$1,#REF!,0)),"")</f>
        <v/>
      </c>
      <c r="CX51" s="56" t="str">
        <f t="array" ref="CX51">IFERROR(INDEX(#REF!,MATCH('Respuestas de formulario 1.1'!$B51,#REF!,0),MATCH('Respuestas de formulario 1.1'!CX$1,#REF!,0)),"")</f>
        <v/>
      </c>
      <c r="CY51" s="56" t="str">
        <f t="array" ref="CY51">IFERROR(INDEX(#REF!,MATCH('Respuestas de formulario 1.1'!$B51,#REF!,0),MATCH('Respuestas de formulario 1.1'!CY$1,#REF!,0)),"")</f>
        <v/>
      </c>
      <c r="CZ51" s="57" t="str">
        <f t="array" ref="CZ51">IFERROR(INDEX(#REF!,MATCH('Respuestas de formulario 1.1'!$B51,#REF!,0),MATCH('Respuestas de formulario 1.1'!CZ$1,#REF!,0)),"")</f>
        <v/>
      </c>
      <c r="DA51" s="45" t="e">
        <f t="array" ref="DA51">INDEX(#REF!,MATCH('Respuestas de formulario 1.1'!$B51,#REF!,0),MATCH('Respuestas de formulario 1.1'!DA$1,#REF!,0))</f>
        <v>#REF!</v>
      </c>
      <c r="DB51" s="45" t="e">
        <f t="array" ref="DB51">INDEX(#REF!,MATCH('Respuestas de formulario 1.1'!$B51,#REF!,0),MATCH('Respuestas de formulario 1.1'!DB$1,#REF!,0))</f>
        <v>#REF!</v>
      </c>
      <c r="DC51" s="45" t="e">
        <f t="array" ref="DC51">INDEX(#REF!,MATCH('Respuestas de formulario 1.1'!$B51,#REF!,0),MATCH('Respuestas de formulario 1.1'!DC$1,#REF!,0))</f>
        <v>#REF!</v>
      </c>
      <c r="DD51" s="45" t="e">
        <f t="array" ref="DD51">INDEX(#REF!,MATCH('Respuestas de formulario 1.1'!$B51,#REF!,0),MATCH('Respuestas de formulario 1.1'!DD$1,#REF!,0))</f>
        <v>#REF!</v>
      </c>
      <c r="DE51" s="45" t="e">
        <f t="array" ref="DE51">INDEX(#REF!,MATCH('Respuestas de formulario 1.1'!$B51,#REF!,0),MATCH('Respuestas de formulario 1.1'!DE$1,#REF!,0))</f>
        <v>#REF!</v>
      </c>
      <c r="DF51" s="45" t="e">
        <f t="array" ref="DF51">INDEX(#REF!,MATCH('Respuestas de formulario 1.1'!$B51,#REF!,0),MATCH('Respuestas de formulario 1.1'!DF$1,#REF!,0))</f>
        <v>#REF!</v>
      </c>
      <c r="DG51" s="45" t="e">
        <f t="array" ref="DG51">INDEX(#REF!,MATCH('Respuestas de formulario 1.1'!$B51,#REF!,0),MATCH('Respuestas de formulario 1.1'!DG$1,#REF!,0))</f>
        <v>#REF!</v>
      </c>
      <c r="DH51" s="45" t="e">
        <f t="array" ref="DH51">INDEX(#REF!,MATCH('Respuestas de formulario 1.1'!$B51,#REF!,0),MATCH('Respuestas de formulario 1.1'!DH$1,#REF!,0))</f>
        <v>#REF!</v>
      </c>
      <c r="DI51" s="48" t="e">
        <f>VLOOKUP(CONCATENATE($DF51," TUTO ",$DC51),#REF!,3,0)</f>
        <v>#REF!</v>
      </c>
      <c r="DJ51" s="48" t="e">
        <f t="array" ref="DJ51">IF('Respuestas de formulario 1.1'!A51="","",INDEX(#REF!,MATCH('Respuestas de formulario 1.1'!B51,#REF!,0),MATCH('Respuestas de formulario 1.1'!$DH$1,#REF!,0)))</f>
        <v>#REF!</v>
      </c>
      <c r="DK51" s="52" t="str">
        <f>CONCATENATE("http://doc.google.com/uc?id=",MID('Respuestas de formulario 1.1'!G51,34,33))</f>
        <v>http://doc.google.com/uc?id=1HQcUGtgT0yWCTy36FSueJiwS9dhSAcUb</v>
      </c>
      <c r="DL51" s="49" t="str">
        <f>CONCATENATE("http://doc.google.com/uc?id=",MID('Respuestas de formulario 1.1'!AH51,34,33))</f>
        <v>http://doc.google.com/uc?id=1zILz-GBkrlk_IEUtD6RUTN6WujIiHPgX</v>
      </c>
      <c r="DM51" s="50" t="str">
        <f>CONCATENATE("http://doc.google.com/uc?id=",MID('Respuestas de formulario 1.1'!AW51,34,33))</f>
        <v>http://doc.google.com/uc?id=1BisaqYlw5KcBMbjKaV9E6QkspvibtuSs</v>
      </c>
      <c r="DN51" s="53" t="str">
        <f>CONCATENATE("http://doc.google.com/uc?id=",MID('Respuestas de formulario 1.1'!$BI51,34,33))</f>
        <v>http://doc.google.com/uc?id=1FywGfOXVplITK2c3x0jkmkHXjfi78aCe</v>
      </c>
      <c r="DO51" s="45" t="str">
        <f>IFERROR(VLOOKUP(CONCATENATE('Respuestas de formulario 1.1'!$B51,MID('Respuestas de formulario 1.1'!DO$1,2,1)),#REF!,12,0),"")</f>
        <v/>
      </c>
      <c r="DP51" s="45" t="str">
        <f>IFERROR(VLOOKUP(CONCATENATE('Respuestas de formulario 1.1'!$B51,MID('Respuestas de formulario 1.1'!DP$1,2,1)),#REF!,12,0),"")</f>
        <v/>
      </c>
      <c r="DQ51" s="45" t="str">
        <f>IFERROR(VLOOKUP(CONCATENATE('Respuestas de formulario 1.1'!$B51,MID('Respuestas de formulario 1.1'!DQ$1,2,1)),#REF!,12,0),"")</f>
        <v/>
      </c>
      <c r="DR51" s="45" t="str">
        <f>IFERROR(VLOOKUP(CONCATENATE('Respuestas de formulario 1.1'!$B51,MID('Respuestas de formulario 1.1'!DR$1,2,1)),#REF!,12,0),"")</f>
        <v/>
      </c>
      <c r="DS51" s="45" t="str">
        <f>IFERROR(VLOOKUP(CONCATENATE('Respuestas de formulario 1.1'!$B51,MID('Respuestas de formulario 1.1'!DS$1,2,1)),#REF!,12,0),"")</f>
        <v/>
      </c>
      <c r="DT51" s="45" t="str">
        <f>IFERROR(VLOOKUP(CONCATENATE('Respuestas de formulario 1.1'!$B51,MID('Respuestas de formulario 1.1'!DT$1,2,1)),#REF!,12,0),"")</f>
        <v/>
      </c>
      <c r="DU51" s="45" t="str">
        <f>IFERROR(VLOOKUP(CONCATENATE('Respuestas de formulario 1.1'!$B51,MID('Respuestas de formulario 1.1'!DU$1,2,1)),#REF!,12,0),"")</f>
        <v/>
      </c>
      <c r="DV51" s="45" t="str">
        <f>IFERROR(VLOOKUP(CONCATENATE('Respuestas de formulario 1.1'!$B51,MID('Respuestas de formulario 1.1'!DV$1,2,1)),#REF!,12,0),"")</f>
        <v/>
      </c>
      <c r="DW51" s="45" t="str">
        <f>IFERROR(VLOOKUP(CONCATENATE('Respuestas de formulario 1.1'!$B51,MID('Respuestas de formulario 1.1'!DW$1,2,1)),#REF!,12,0),"")</f>
        <v/>
      </c>
      <c r="DX51" s="45" t="str">
        <f>IFERROR(VLOOKUP(CONCATENATE('Respuestas de formulario 1.1'!$B51,MID('Respuestas de formulario 1.1'!DX$1,2,1)),#REF!,12,0),"")</f>
        <v/>
      </c>
      <c r="DY51" s="45" t="str">
        <f>IFERROR(VLOOKUP(CONCATENATE('Respuestas de formulario 1.1'!$B51,MID('Respuestas de formulario 1.1'!DY$1,2,1)),#REF!,12,0),"")</f>
        <v/>
      </c>
      <c r="DZ51" s="45" t="str">
        <f>IFERROR(VLOOKUP(CONCATENATE('Respuestas de formulario 1.1'!$B51,MID('Respuestas de formulario 1.1'!DZ$1,2,1)),#REF!,12,0),"")</f>
        <v/>
      </c>
      <c r="EA51" s="45" t="str">
        <f>IFERROR(VLOOKUP(CONCATENATE('Respuestas de formulario 1.1'!$B51,MID('Respuestas de formulario 1.1'!EA$1,2,1)),#REF!,12,0),"")</f>
        <v/>
      </c>
      <c r="EB51" s="45" t="str">
        <f>IFERROR(VLOOKUP(CONCATENATE('Respuestas de formulario 1.1'!$B51,MID('Respuestas de formulario 1.1'!EB$1,2,1)),#REF!,12,0),"")</f>
        <v/>
      </c>
      <c r="EC51" s="45" t="str">
        <f>IFERROR(VLOOKUP(CONCATENATE('Respuestas de formulario 1.1'!$B51,MID('Respuestas de formulario 1.1'!EC$1,2,1)),#REF!,12,0),"")</f>
        <v/>
      </c>
      <c r="ED51" s="45" t="str">
        <f>IFERROR(VLOOKUP(CONCATENATE('Respuestas de formulario 1.1'!$B51,MID('Respuestas de formulario 1.1'!ED$1,2,1)),#REF!,12,0),"")</f>
        <v/>
      </c>
      <c r="EE51" s="45" t="str">
        <f>IFERROR(VLOOKUP(CONCATENATE('Respuestas de formulario 1.1'!$B51,MID('Respuestas de formulario 1.1'!EE$1,2,1)),#REF!,12,0),"")</f>
        <v/>
      </c>
      <c r="EF51" s="45" t="str">
        <f>IFERROR(VLOOKUP(CONCATENATE('Respuestas de formulario 1.1'!$B51,MID('Respuestas de formulario 1.1'!EF$1,2,1)),#REF!,12,0),"")</f>
        <v/>
      </c>
      <c r="EG51" s="45" t="str">
        <f>IFERROR(VLOOKUP(CONCATENATE('Respuestas de formulario 1.1'!$B51,MID('Respuestas de formulario 1.1'!EG$1,2,1)),#REF!,12,0),"")</f>
        <v/>
      </c>
      <c r="EH51" s="45" t="str">
        <f>IFERROR(VLOOKUP(CONCATENATE('Respuestas de formulario 1.1'!$B51,MID('Respuestas de formulario 1.1'!EH$1,2,1)),#REF!,12,0),"")</f>
        <v/>
      </c>
      <c r="EI51" s="45" t="str">
        <f>IFERROR(VLOOKUP(CONCATENATE('Respuestas de formulario 1.1'!$B51,MID('Respuestas de formulario 1.1'!EI$1,2,1)),#REF!,12,0),"")</f>
        <v/>
      </c>
      <c r="EJ51" s="45" t="str">
        <f t="array" ref="EJ51">IF(DO51="","", INDEX(#REF!,MATCH(CONCATENATE('Respuestas de formulario 1.1'!$B51,DO51),#REF!,0),MATCH('Respuestas de formulario 1.1'!EJ$1,#REF!,0)))</f>
        <v/>
      </c>
      <c r="EK51" s="56" t="str">
        <f t="array" ref="EK51">IF(DP51="","", INDEX(#REF!,MATCH(CONCATENATE('Respuestas de formulario 1.1'!$B51,DP51),#REF!,0),MATCH('Respuestas de formulario 1.1'!EK$1,#REF!,0)))</f>
        <v/>
      </c>
      <c r="EL51" s="56" t="str">
        <f t="array" ref="EL51">IF(DQ51="","", INDEX(#REF!,MATCH(CONCATENATE('Respuestas de formulario 1.1'!$B51,DQ51),#REF!,0),MATCH('Respuestas de formulario 1.1'!EL$1,#REF!,0)))</f>
        <v/>
      </c>
      <c r="EM51" s="56" t="str">
        <f t="array" ref="EM51">IF(DR51="","", INDEX(#REF!,MATCH(CONCATENATE('Respuestas de formulario 1.1'!$B51,DR51),#REF!,0),MATCH('Respuestas de formulario 1.1'!EM$1,#REF!,0)))</f>
        <v/>
      </c>
      <c r="EN51" s="56" t="str">
        <f t="array" ref="EN51">IF(DS51="","", INDEX(#REF!,MATCH(CONCATENATE('Respuestas de formulario 1.1'!$B51,DS51),#REF!,0),MATCH('Respuestas de formulario 1.1'!EN$1,#REF!,0)))</f>
        <v/>
      </c>
      <c r="EO51" s="56" t="str">
        <f t="array" ref="EO51">IF(DT51="","", INDEX(#REF!,MATCH(CONCATENATE('Respuestas de formulario 1.1'!$B51,DT51),#REF!,0),MATCH('Respuestas de formulario 1.1'!EO$1,#REF!,0)))</f>
        <v/>
      </c>
      <c r="EP51" s="45" t="str">
        <f t="array" ref="EP51">IF(DU51="","", INDEX(#REF!,MATCH(CONCATENATE('Respuestas de formulario 1.1'!$B51,DU51),#REF!,0),MATCH('Respuestas de formulario 1.1'!EP$1,#REF!,0)))</f>
        <v/>
      </c>
      <c r="EQ51" s="45" t="str">
        <f t="array" ref="EQ51">IF(DP51="","", INDEX(#REF!,MATCH(CONCATENATE('Respuestas de formulario 1.1'!$B51,DP51),#REF!,0),MATCH('Respuestas de formulario 1.1'!EQ$1,#REF!,0)))</f>
        <v/>
      </c>
      <c r="ER51" s="56" t="str">
        <f t="array" ref="ER51">IF(DQ51="","", INDEX(#REF!,MATCH(CONCATENATE('Respuestas de formulario 1.1'!$B51,DQ51),#REF!,0),MATCH('Respuestas de formulario 1.1'!ER$1,#REF!,0)))</f>
        <v/>
      </c>
      <c r="ES51" s="56" t="str">
        <f t="array" ref="ES51">IF(DR51="","", INDEX(#REF!,MATCH(CONCATENATE('Respuestas de formulario 1.1'!$B51,DR51),#REF!,0),MATCH('Respuestas de formulario 1.1'!ES$1,#REF!,0)))</f>
        <v/>
      </c>
      <c r="ET51" s="56" t="str">
        <f t="array" ref="ET51">IF(DS51="","", INDEX(#REF!,MATCH(CONCATENATE('Respuestas de formulario 1.1'!$B51,DS51),#REF!,0),MATCH('Respuestas de formulario 1.1'!ET$1,#REF!,0)))</f>
        <v/>
      </c>
      <c r="EU51" s="56" t="str">
        <f t="array" ref="EU51">IF(DT51="","", INDEX(#REF!,MATCH(CONCATENATE('Respuestas de formulario 1.1'!$B51,DT51),#REF!,0),MATCH('Respuestas de formulario 1.1'!EU$1,#REF!,0)))</f>
        <v/>
      </c>
      <c r="EV51" s="56" t="str">
        <f t="array" ref="EV51">IF(DU51="","", INDEX(#REF!,MATCH(CONCATENATE('Respuestas de formulario 1.1'!$B51,DU51),#REF!,0),MATCH('Respuestas de formulario 1.1'!EV$1,#REF!,0)))</f>
        <v/>
      </c>
      <c r="EW51" s="45" t="str">
        <f t="array" ref="EW51">IF(DV51="","", INDEX(#REF!,MATCH(CONCATENATE('Respuestas de formulario 1.1'!$B51,DV51),#REF!,0),MATCH('Respuestas de formulario 1.1'!EW$1,#REF!,0)))</f>
        <v/>
      </c>
      <c r="EX51" s="45" t="str">
        <f t="array" ref="EX51">IF($DQ51="","", INDEX(#REF!,MATCH(CONCATENATE('Respuestas de formulario 1.1'!$B51,$DQ51),#REF!,0),MATCH('Respuestas de formulario 1.1'!EX$1,#REF!,0)))</f>
        <v/>
      </c>
      <c r="EY51" s="56" t="str">
        <f t="array" ref="EY51">IF($DQ51="","", INDEX(#REF!,MATCH(CONCATENATE('Respuestas de formulario 1.1'!$B51,$DQ51),#REF!,0),MATCH('Respuestas de formulario 1.1'!EY$1,#REF!,0)))</f>
        <v/>
      </c>
      <c r="EZ51" s="56" t="str">
        <f t="array" ref="EZ51">IF($DQ51="","", INDEX(#REF!,MATCH(CONCATENATE('Respuestas de formulario 1.1'!$B51,$DQ51),#REF!,0),MATCH('Respuestas de formulario 1.1'!EZ$1,#REF!,0)))</f>
        <v/>
      </c>
      <c r="FA51" s="56" t="str">
        <f t="array" ref="FA51">IF($DQ51="","", INDEX(#REF!,MATCH(CONCATENATE('Respuestas de formulario 1.1'!$B51,$DQ51),#REF!,0),MATCH('Respuestas de formulario 1.1'!FA$1,#REF!,0)))</f>
        <v/>
      </c>
      <c r="FB51" s="56" t="str">
        <f t="array" ref="FB51">IF($DQ51="","", INDEX(#REF!,MATCH(CONCATENATE('Respuestas de formulario 1.1'!$B51,$DQ51),#REF!,0),MATCH('Respuestas de formulario 1.1'!FB$1,#REF!,0)))</f>
        <v/>
      </c>
      <c r="FC51" s="56" t="str">
        <f t="array" ref="FC51">IF($DQ51="","", INDEX(#REF!,MATCH(CONCATENATE('Respuestas de formulario 1.1'!$B51,$DQ51),#REF!,0),MATCH('Respuestas de formulario 1.1'!FC$1,#REF!,0)))</f>
        <v/>
      </c>
      <c r="FD51" s="45" t="str">
        <f t="array" ref="FD51">IF($DQ51="","", INDEX(#REF!,MATCH(CONCATENATE('Respuestas de formulario 1.1'!$B51,$DQ51),#REF!,0),MATCH('Respuestas de formulario 1.1'!FD$1,#REF!,0)))</f>
        <v/>
      </c>
      <c r="FE51" s="45" t="str">
        <f t="array" ref="FE51">IF($DR51="","", INDEX(#REF!,MATCH(CONCATENATE(#REF!,$DR51),#REF!,0),MATCH(#REF!,#REF!,0)))</f>
        <v/>
      </c>
      <c r="FF51" s="56" t="str">
        <f t="array" ref="FF51">IF($DR51="","", INDEX(#REF!,MATCH(CONCATENATE(#REF!,$DR51),#REF!,0),MATCH(#REF!,#REF!,0)))</f>
        <v/>
      </c>
      <c r="FG51" s="56" t="str">
        <f t="array" ref="FG51">IF($DR51="","", INDEX(#REF!,MATCH(CONCATENATE(#REF!,$DR51),#REF!,0),MATCH(#REF!,#REF!,0)))</f>
        <v/>
      </c>
      <c r="FH51" s="56" t="str">
        <f t="array" ref="FH51">IF($DR51="","", INDEX(#REF!,MATCH(CONCATENATE(#REF!,$DR51),#REF!,0),MATCH(#REF!,#REF!,0)))</f>
        <v/>
      </c>
      <c r="FI51" s="56" t="str">
        <f t="array" ref="FI51">IF($DR51="","", INDEX(#REF!,MATCH(CONCATENATE(#REF!,$DR51),#REF!,0),MATCH(#REF!,#REF!,0)))</f>
        <v/>
      </c>
      <c r="FJ51" s="56" t="str">
        <f t="array" ref="FJ51">IF($DR51="","", INDEX(#REF!,MATCH(CONCATENATE(#REF!,$DR51),#REF!,0),MATCH(#REF!,#REF!,0)))</f>
        <v/>
      </c>
      <c r="FK51" s="45" t="str">
        <f t="array" ref="FK51">IF($DR51="","", INDEX(#REF!,MATCH(CONCATENATE(#REF!,$DR51),#REF!,0),MATCH(#REF!,#REF!,0)))</f>
        <v/>
      </c>
      <c r="FL51" s="45" t="str">
        <f t="array" ref="FL51">IF($DT51="","", INDEX(#REF!,MATCH(CONCATENATE('Respuestas de formulario 1.1'!$B51,$DS51),#REF!,0),MATCH('Respuestas de formulario 1.1'!FL$1,#REF!,0)))</f>
        <v/>
      </c>
      <c r="FM51" s="56" t="str">
        <f t="array" ref="FM51">IF($DT51="","", INDEX(#REF!,MATCH(CONCATENATE('Respuestas de formulario 1.1'!$B51,$DS51),#REF!,0),MATCH('Respuestas de formulario 1.1'!FM$1,#REF!,0)))</f>
        <v/>
      </c>
      <c r="FN51" s="56" t="str">
        <f t="array" ref="FN51">IF($DT51="","", INDEX(#REF!,MATCH(CONCATENATE('Respuestas de formulario 1.1'!$B51,$DS51),#REF!,0),MATCH('Respuestas de formulario 1.1'!FN$1,#REF!,0)))</f>
        <v/>
      </c>
      <c r="FO51" s="56" t="str">
        <f t="array" ref="FO51">IF($DT51="","", INDEX(#REF!,MATCH(CONCATENATE('Respuestas de formulario 1.1'!$B51,$DS51),#REF!,0),MATCH('Respuestas de formulario 1.1'!FO$1,#REF!,0)))</f>
        <v/>
      </c>
      <c r="FP51" s="56" t="str">
        <f t="array" ref="FP51">IF($DT51="","", INDEX(#REF!,MATCH(CONCATENATE('Respuestas de formulario 1.1'!$B51,$DS51),#REF!,0),MATCH('Respuestas de formulario 1.1'!FP$1,#REF!,0)))</f>
        <v/>
      </c>
      <c r="FQ51" s="56" t="str">
        <f t="array" ref="FQ51">IF($DT51="","", INDEX(#REF!,MATCH(CONCATENATE('Respuestas de formulario 1.1'!$B51,$DS51),#REF!,0),MATCH('Respuestas de formulario 1.1'!FQ$1,#REF!,0)))</f>
        <v/>
      </c>
      <c r="FR51" s="45" t="str">
        <f t="array" ref="FR51">IF($DT51="","", INDEX(#REF!,MATCH(CONCATENATE('Respuestas de formulario 1.1'!$B51,$DS51),#REF!,0),MATCH('Respuestas de formulario 1.1'!FR$1,#REF!,0)))</f>
        <v/>
      </c>
      <c r="FS51" s="45" t="str">
        <f t="array" ref="FS51">IF($DU51="","", INDEX(#REF!,MATCH(CONCATENATE('Respuestas de formulario 1.1'!$B51,$DT51),#REF!,0),MATCH('Respuestas de formulario 1.1'!FS$1,#REF!,0)))</f>
        <v/>
      </c>
      <c r="FT51" s="56" t="str">
        <f t="array" ref="FT51">IF($DU51="","", INDEX(#REF!,MATCH(CONCATENATE('Respuestas de formulario 1.1'!$B51,$DT51),#REF!,0),MATCH('Respuestas de formulario 1.1'!FT$1,#REF!,0)))</f>
        <v/>
      </c>
      <c r="FU51" s="56" t="str">
        <f t="array" ref="FU51">IF($DU51="","", INDEX(#REF!,MATCH(CONCATENATE('Respuestas de formulario 1.1'!$B51,$DT51),#REF!,0),MATCH('Respuestas de formulario 1.1'!FU$1,#REF!,0)))</f>
        <v/>
      </c>
      <c r="FV51" s="56" t="str">
        <f t="array" ref="FV51">IF($DU51="","", INDEX(#REF!,MATCH(CONCATENATE('Respuestas de formulario 1.1'!$B51,$DT51),#REF!,0),MATCH('Respuestas de formulario 1.1'!FV$1,#REF!,0)))</f>
        <v/>
      </c>
      <c r="FW51" s="56" t="str">
        <f t="array" ref="FW51">IF($DU51="","", INDEX(#REF!,MATCH(CONCATENATE('Respuestas de formulario 1.1'!$B51,$DT51),#REF!,0),MATCH('Respuestas de formulario 1.1'!FW$1,#REF!,0)))</f>
        <v/>
      </c>
      <c r="FX51" s="56" t="str">
        <f t="array" ref="FX51">IF($DU51="","", INDEX(#REF!,MATCH(CONCATENATE('Respuestas de formulario 1.1'!$B51,$DT51),#REF!,0),MATCH('Respuestas de formulario 1.1'!FX$1,#REF!,0)))</f>
        <v/>
      </c>
      <c r="FY51" s="45" t="str">
        <f t="array" ref="FY51">IF($DU51="","", INDEX(#REF!,MATCH(CONCATENATE('Respuestas de formulario 1.1'!$B51,$DT51),#REF!,0),MATCH('Respuestas de formulario 1.1'!FY$1,#REF!,0)))</f>
        <v/>
      </c>
      <c r="FZ51" s="3" t="s">
        <v>2860</v>
      </c>
      <c r="GA51" s="1" t="s">
        <v>3689</v>
      </c>
      <c r="GB51" s="5" t="s">
        <v>3690</v>
      </c>
      <c r="GC51" s="4" t="str">
        <f>HYPERLINK("https://drive.google.com/file/d/1BQgXcR2aTQJYXAWXvWOdpsa7w1HvJm9m/view?usp=drivesdk","HERNANDEZ  ESPARRAGOZA  VALERIA  Formato de reinscripción y pago 2022-2")</f>
        <v>HERNANDEZ  ESPARRAGOZA  VALERIA  Formato de reinscripción y pago 2022-2</v>
      </c>
      <c r="GD51" s="1" t="s">
        <v>3691</v>
      </c>
      <c r="GE51" s="1"/>
      <c r="GF51" s="1"/>
      <c r="GG51" s="1"/>
      <c r="GH51" s="1"/>
      <c r="GI51" s="1" t="s">
        <v>3692</v>
      </c>
      <c r="GJ51" s="5" t="s">
        <v>3693</v>
      </c>
      <c r="GK51" s="5" t="str">
        <f>HYPERLINK("https://drive.google.com/file/d/1rf0Ga5PkCxoCx92_zMQ_DZ2CfIFbGYy6/view?usp=drivesdk","HERNANDEZ  ESPARRAGOZA  VALERIA  Formato de reinscripción y pago 2022-2")</f>
        <v>HERNANDEZ  ESPARRAGOZA  VALERIA  Formato de reinscripción y pago 2022-2</v>
      </c>
      <c r="GL51" s="1" t="s">
        <v>3694</v>
      </c>
    </row>
    <row r="52" spans="1:194" ht="38.25" x14ac:dyDescent="0.2">
      <c r="A52" s="2">
        <v>45139.722642824076</v>
      </c>
      <c r="B52" s="1" t="s">
        <v>1321</v>
      </c>
      <c r="C52" s="1" t="s">
        <v>489</v>
      </c>
      <c r="D52" s="1" t="s">
        <v>1322</v>
      </c>
      <c r="E52" s="1" t="s">
        <v>3695</v>
      </c>
      <c r="F52" s="1" t="s">
        <v>223</v>
      </c>
      <c r="G52" s="5" t="s">
        <v>3696</v>
      </c>
      <c r="H52" s="41">
        <v>39086</v>
      </c>
      <c r="I52" s="1">
        <v>16</v>
      </c>
      <c r="J52" s="1">
        <v>5563454817</v>
      </c>
      <c r="K52" s="1">
        <v>5530505044</v>
      </c>
      <c r="L52" s="1" t="s">
        <v>1323</v>
      </c>
      <c r="M52" s="1">
        <v>22309060570987</v>
      </c>
      <c r="N52" s="1" t="s">
        <v>562</v>
      </c>
      <c r="O52" s="1" t="s">
        <v>247</v>
      </c>
      <c r="P52" s="1" t="s">
        <v>278</v>
      </c>
      <c r="Q52" s="1" t="s">
        <v>227</v>
      </c>
      <c r="R52" s="1" t="s">
        <v>236</v>
      </c>
      <c r="S52" s="1" t="s">
        <v>228</v>
      </c>
      <c r="T52" s="1" t="s">
        <v>229</v>
      </c>
      <c r="U52" s="1" t="s">
        <v>249</v>
      </c>
      <c r="V52" s="1" t="s">
        <v>228</v>
      </c>
      <c r="W52" s="1" t="s">
        <v>3697</v>
      </c>
      <c r="X52" s="1" t="s">
        <v>264</v>
      </c>
      <c r="Y52" s="1" t="s">
        <v>626</v>
      </c>
      <c r="Z52" s="1" t="s">
        <v>231</v>
      </c>
      <c r="AA52" s="1">
        <v>57460</v>
      </c>
      <c r="AB52" s="1">
        <v>183</v>
      </c>
      <c r="AC52" s="1">
        <v>6</v>
      </c>
      <c r="AD52" s="1" t="s">
        <v>3698</v>
      </c>
      <c r="AE52" s="1" t="s">
        <v>3699</v>
      </c>
      <c r="AF52" s="1" t="s">
        <v>1069</v>
      </c>
      <c r="AG52" s="1">
        <v>73</v>
      </c>
      <c r="AH52" s="5" t="s">
        <v>3700</v>
      </c>
      <c r="AI52" s="1">
        <v>5527175490</v>
      </c>
      <c r="AJ52" s="1">
        <v>5527175490</v>
      </c>
      <c r="AK52" s="1" t="s">
        <v>3701</v>
      </c>
      <c r="AL52" s="1" t="s">
        <v>465</v>
      </c>
      <c r="AM52" s="1" t="s">
        <v>1325</v>
      </c>
      <c r="AN52" s="1" t="s">
        <v>3702</v>
      </c>
      <c r="AO52" s="1" t="s">
        <v>461</v>
      </c>
      <c r="AP52" s="1">
        <v>41</v>
      </c>
      <c r="AQ52" s="1" t="s">
        <v>267</v>
      </c>
      <c r="AR52" s="42">
        <v>8.3333333335758653E-2</v>
      </c>
      <c r="AS52" s="42">
        <v>0.41666666666424135</v>
      </c>
      <c r="AT52" s="1">
        <v>5530505044</v>
      </c>
      <c r="AU52" s="1">
        <v>5530505044</v>
      </c>
      <c r="AV52" s="1" t="s">
        <v>3701</v>
      </c>
      <c r="AW52" s="5" t="s">
        <v>3703</v>
      </c>
      <c r="AX52" s="1" t="s">
        <v>486</v>
      </c>
      <c r="AY52" s="1" t="s">
        <v>1322</v>
      </c>
      <c r="AZ52" s="1" t="s">
        <v>3704</v>
      </c>
      <c r="BA52" s="1" t="s">
        <v>586</v>
      </c>
      <c r="BB52" s="1">
        <v>21</v>
      </c>
      <c r="BC52" s="1" t="s">
        <v>303</v>
      </c>
      <c r="BD52" s="43">
        <v>0.29166666666424135</v>
      </c>
      <c r="BE52" s="43">
        <v>0.16666666666424135</v>
      </c>
      <c r="BF52" s="1">
        <v>5566181771</v>
      </c>
      <c r="BG52" s="1">
        <v>5566181771</v>
      </c>
      <c r="BH52" s="1" t="s">
        <v>1324</v>
      </c>
      <c r="BI52" s="5" t="s">
        <v>3705</v>
      </c>
      <c r="BJ52" s="1" t="s">
        <v>236</v>
      </c>
      <c r="BL52" s="1">
        <v>1.56</v>
      </c>
      <c r="BM52" s="1">
        <v>46</v>
      </c>
      <c r="BN52" s="1" t="s">
        <v>236</v>
      </c>
      <c r="BO52" s="1" t="s">
        <v>228</v>
      </c>
      <c r="BQ52" s="1" t="s">
        <v>228</v>
      </c>
      <c r="BR52" s="1" t="s">
        <v>237</v>
      </c>
      <c r="BS52" s="1" t="s">
        <v>228</v>
      </c>
      <c r="BT52" s="1" t="s">
        <v>237</v>
      </c>
      <c r="BU52" s="1" t="s">
        <v>228</v>
      </c>
      <c r="BW52" s="1" t="s">
        <v>349</v>
      </c>
      <c r="BX52" s="1">
        <v>75</v>
      </c>
      <c r="BY52" s="1">
        <v>66</v>
      </c>
      <c r="BZ52" s="1" t="s">
        <v>3706</v>
      </c>
      <c r="CA52" s="1" t="s">
        <v>3707</v>
      </c>
      <c r="CB52" s="1" t="s">
        <v>240</v>
      </c>
      <c r="CC52" s="1" t="s">
        <v>255</v>
      </c>
      <c r="CD52" s="1">
        <v>1000</v>
      </c>
      <c r="CE52" s="1">
        <v>3000</v>
      </c>
      <c r="CF52" s="1" t="s">
        <v>236</v>
      </c>
      <c r="CG52" s="1" t="s">
        <v>242</v>
      </c>
      <c r="CH52" s="1" t="s">
        <v>243</v>
      </c>
      <c r="CI52" s="1" t="s">
        <v>243</v>
      </c>
      <c r="CJ52" s="1" t="s">
        <v>2848</v>
      </c>
      <c r="CL52" s="5" t="s">
        <v>3708</v>
      </c>
      <c r="CM52" s="1">
        <v>16220707174</v>
      </c>
      <c r="CN52" s="1" t="s">
        <v>228</v>
      </c>
      <c r="CQ52" s="42">
        <v>0</v>
      </c>
      <c r="CR52" s="42">
        <v>0</v>
      </c>
      <c r="CT52" s="45" t="str">
        <f t="array" ref="CT52">IFERROR(INDEX(#REF!,MATCH('Respuestas de formulario 1.1'!$B52,#REF!,0),MATCH('Respuestas de formulario 1.1'!CT$1,#REF!,0)),"")</f>
        <v/>
      </c>
      <c r="CU52" s="56" t="str">
        <f t="array" ref="CU52">IFERROR(INDEX(#REF!,MATCH('Respuestas de formulario 1.1'!$B52,#REF!,0),MATCH('Respuestas de formulario 1.1'!CU$1,#REF!,0)),"")</f>
        <v/>
      </c>
      <c r="CV52" s="56" t="str">
        <f t="array" ref="CV52">IFERROR(INDEX(#REF!,MATCH('Respuestas de formulario 1.1'!$B52,#REF!,0),MATCH('Respuestas de formulario 1.1'!CV$1,#REF!,0)),"")</f>
        <v/>
      </c>
      <c r="CW52" s="56" t="str">
        <f t="array" ref="CW52">IFERROR(INDEX(#REF!,MATCH('Respuestas de formulario 1.1'!$B52,#REF!,0),MATCH('Respuestas de formulario 1.1'!CW$1,#REF!,0)),"")</f>
        <v/>
      </c>
      <c r="CX52" s="56" t="str">
        <f t="array" ref="CX52">IFERROR(INDEX(#REF!,MATCH('Respuestas de formulario 1.1'!$B52,#REF!,0),MATCH('Respuestas de formulario 1.1'!CX$1,#REF!,0)),"")</f>
        <v/>
      </c>
      <c r="CY52" s="56" t="str">
        <f t="array" ref="CY52">IFERROR(INDEX(#REF!,MATCH('Respuestas de formulario 1.1'!$B52,#REF!,0),MATCH('Respuestas de formulario 1.1'!CY$1,#REF!,0)),"")</f>
        <v/>
      </c>
      <c r="CZ52" s="57" t="str">
        <f t="array" ref="CZ52">IFERROR(INDEX(#REF!,MATCH('Respuestas de formulario 1.1'!$B52,#REF!,0),MATCH('Respuestas de formulario 1.1'!CZ$1,#REF!,0)),"")</f>
        <v/>
      </c>
      <c r="DA52" s="45" t="e">
        <f t="array" ref="DA52">INDEX(#REF!,MATCH('Respuestas de formulario 1.1'!$B52,#REF!,0),MATCH('Respuestas de formulario 1.1'!DA$1,#REF!,0))</f>
        <v>#REF!</v>
      </c>
      <c r="DB52" s="45" t="e">
        <f t="array" ref="DB52">INDEX(#REF!,MATCH('Respuestas de formulario 1.1'!$B52,#REF!,0),MATCH('Respuestas de formulario 1.1'!DB$1,#REF!,0))</f>
        <v>#REF!</v>
      </c>
      <c r="DC52" s="45" t="e">
        <f t="array" ref="DC52">INDEX(#REF!,MATCH('Respuestas de formulario 1.1'!$B52,#REF!,0),MATCH('Respuestas de formulario 1.1'!DC$1,#REF!,0))</f>
        <v>#REF!</v>
      </c>
      <c r="DD52" s="45" t="e">
        <f t="array" ref="DD52">INDEX(#REF!,MATCH('Respuestas de formulario 1.1'!$B52,#REF!,0),MATCH('Respuestas de formulario 1.1'!DD$1,#REF!,0))</f>
        <v>#REF!</v>
      </c>
      <c r="DE52" s="45" t="e">
        <f t="array" ref="DE52">INDEX(#REF!,MATCH('Respuestas de formulario 1.1'!$B52,#REF!,0),MATCH('Respuestas de formulario 1.1'!DE$1,#REF!,0))</f>
        <v>#REF!</v>
      </c>
      <c r="DF52" s="45" t="e">
        <f t="array" ref="DF52">INDEX(#REF!,MATCH('Respuestas de formulario 1.1'!$B52,#REF!,0),MATCH('Respuestas de formulario 1.1'!DF$1,#REF!,0))</f>
        <v>#REF!</v>
      </c>
      <c r="DG52" s="45" t="e">
        <f t="array" ref="DG52">INDEX(#REF!,MATCH('Respuestas de formulario 1.1'!$B52,#REF!,0),MATCH('Respuestas de formulario 1.1'!DG$1,#REF!,0))</f>
        <v>#REF!</v>
      </c>
      <c r="DH52" s="45" t="e">
        <f t="array" ref="DH52">INDEX(#REF!,MATCH('Respuestas de formulario 1.1'!$B52,#REF!,0),MATCH('Respuestas de formulario 1.1'!DH$1,#REF!,0))</f>
        <v>#REF!</v>
      </c>
      <c r="DI52" s="48" t="e">
        <f>VLOOKUP(CONCATENATE($DF52," TUTO ",$DC52),#REF!,3,0)</f>
        <v>#REF!</v>
      </c>
      <c r="DJ52" s="48" t="e">
        <f t="array" ref="DJ52">IF('Respuestas de formulario 1.1'!A52="","",INDEX(#REF!,MATCH('Respuestas de formulario 1.1'!B52,#REF!,0),MATCH('Respuestas de formulario 1.1'!$DH$1,#REF!,0)))</f>
        <v>#REF!</v>
      </c>
      <c r="DK52" s="52" t="str">
        <f>CONCATENATE("http://doc.google.com/uc?id=",MID('Respuestas de formulario 1.1'!G52,34,33))</f>
        <v>http://doc.google.com/uc?id=1evibt4BR76RbIAPyjw0jlZ6U2NDAOq6V</v>
      </c>
      <c r="DL52" s="49" t="str">
        <f>CONCATENATE("http://doc.google.com/uc?id=",MID('Respuestas de formulario 1.1'!AH52,34,33))</f>
        <v>http://doc.google.com/uc?id=1ooMxvWHVqWuBIBUIL-_b8aLVLZ4jcdBt</v>
      </c>
      <c r="DM52" s="50" t="str">
        <f>CONCATENATE("http://doc.google.com/uc?id=",MID('Respuestas de formulario 1.1'!AW52,34,33))</f>
        <v>http://doc.google.com/uc?id=19hK4SvSLIgLJ8qXzrKeYxcJEVe7l5Ooh</v>
      </c>
      <c r="DN52" s="53" t="str">
        <f>CONCATENATE("http://doc.google.com/uc?id=",MID('Respuestas de formulario 1.1'!$BI52,34,33))</f>
        <v>http://doc.google.com/uc?id=1i0hxTvlhsgNIB5lDwspfVYHKaQazJOCd</v>
      </c>
      <c r="DO52" s="45" t="str">
        <f>IFERROR(VLOOKUP(CONCATENATE('Respuestas de formulario 1.1'!$B52,MID('Respuestas de formulario 1.1'!DO$1,2,1)),#REF!,12,0),"")</f>
        <v/>
      </c>
      <c r="DP52" s="45" t="str">
        <f>IFERROR(VLOOKUP(CONCATENATE('Respuestas de formulario 1.1'!$B52,MID('Respuestas de formulario 1.1'!DP$1,2,1)),#REF!,12,0),"")</f>
        <v/>
      </c>
      <c r="DQ52" s="45" t="str">
        <f>IFERROR(VLOOKUP(CONCATENATE('Respuestas de formulario 1.1'!$B52,MID('Respuestas de formulario 1.1'!DQ$1,2,1)),#REF!,12,0),"")</f>
        <v/>
      </c>
      <c r="DR52" s="45" t="str">
        <f>IFERROR(VLOOKUP(CONCATENATE('Respuestas de formulario 1.1'!$B52,MID('Respuestas de formulario 1.1'!DR$1,2,1)),#REF!,12,0),"")</f>
        <v/>
      </c>
      <c r="DS52" s="45" t="str">
        <f>IFERROR(VLOOKUP(CONCATENATE('Respuestas de formulario 1.1'!$B52,MID('Respuestas de formulario 1.1'!DS$1,2,1)),#REF!,12,0),"")</f>
        <v/>
      </c>
      <c r="DT52" s="45" t="str">
        <f>IFERROR(VLOOKUP(CONCATENATE('Respuestas de formulario 1.1'!$B52,MID('Respuestas de formulario 1.1'!DT$1,2,1)),#REF!,12,0),"")</f>
        <v/>
      </c>
      <c r="DU52" s="45" t="str">
        <f>IFERROR(VLOOKUP(CONCATENATE('Respuestas de formulario 1.1'!$B52,MID('Respuestas de formulario 1.1'!DU$1,2,1)),#REF!,12,0),"")</f>
        <v/>
      </c>
      <c r="DV52" s="45" t="str">
        <f>IFERROR(VLOOKUP(CONCATENATE('Respuestas de formulario 1.1'!$B52,MID('Respuestas de formulario 1.1'!DV$1,2,1)),#REF!,12,0),"")</f>
        <v/>
      </c>
      <c r="DW52" s="45" t="str">
        <f>IFERROR(VLOOKUP(CONCATENATE('Respuestas de formulario 1.1'!$B52,MID('Respuestas de formulario 1.1'!DW$1,2,1)),#REF!,12,0),"")</f>
        <v/>
      </c>
      <c r="DX52" s="45" t="str">
        <f>IFERROR(VLOOKUP(CONCATENATE('Respuestas de formulario 1.1'!$B52,MID('Respuestas de formulario 1.1'!DX$1,2,1)),#REF!,12,0),"")</f>
        <v/>
      </c>
      <c r="DY52" s="45" t="str">
        <f>IFERROR(VLOOKUP(CONCATENATE('Respuestas de formulario 1.1'!$B52,MID('Respuestas de formulario 1.1'!DY$1,2,1)),#REF!,12,0),"")</f>
        <v/>
      </c>
      <c r="DZ52" s="45" t="str">
        <f>IFERROR(VLOOKUP(CONCATENATE('Respuestas de formulario 1.1'!$B52,MID('Respuestas de formulario 1.1'!DZ$1,2,1)),#REF!,12,0),"")</f>
        <v/>
      </c>
      <c r="EA52" s="45" t="str">
        <f>IFERROR(VLOOKUP(CONCATENATE('Respuestas de formulario 1.1'!$B52,MID('Respuestas de formulario 1.1'!EA$1,2,1)),#REF!,12,0),"")</f>
        <v/>
      </c>
      <c r="EB52" s="45" t="str">
        <f>IFERROR(VLOOKUP(CONCATENATE('Respuestas de formulario 1.1'!$B52,MID('Respuestas de formulario 1.1'!EB$1,2,1)),#REF!,12,0),"")</f>
        <v/>
      </c>
      <c r="EC52" s="45" t="str">
        <f>IFERROR(VLOOKUP(CONCATENATE('Respuestas de formulario 1.1'!$B52,MID('Respuestas de formulario 1.1'!EC$1,2,1)),#REF!,12,0),"")</f>
        <v/>
      </c>
      <c r="ED52" s="45" t="str">
        <f>IFERROR(VLOOKUP(CONCATENATE('Respuestas de formulario 1.1'!$B52,MID('Respuestas de formulario 1.1'!ED$1,2,1)),#REF!,12,0),"")</f>
        <v/>
      </c>
      <c r="EE52" s="45" t="str">
        <f>IFERROR(VLOOKUP(CONCATENATE('Respuestas de formulario 1.1'!$B52,MID('Respuestas de formulario 1.1'!EE$1,2,1)),#REF!,12,0),"")</f>
        <v/>
      </c>
      <c r="EF52" s="45" t="str">
        <f>IFERROR(VLOOKUP(CONCATENATE('Respuestas de formulario 1.1'!$B52,MID('Respuestas de formulario 1.1'!EF$1,2,1)),#REF!,12,0),"")</f>
        <v/>
      </c>
      <c r="EG52" s="45" t="str">
        <f>IFERROR(VLOOKUP(CONCATENATE('Respuestas de formulario 1.1'!$B52,MID('Respuestas de formulario 1.1'!EG$1,2,1)),#REF!,12,0),"")</f>
        <v/>
      </c>
      <c r="EH52" s="45" t="str">
        <f>IFERROR(VLOOKUP(CONCATENATE('Respuestas de formulario 1.1'!$B52,MID('Respuestas de formulario 1.1'!EH$1,2,1)),#REF!,12,0),"")</f>
        <v/>
      </c>
      <c r="EI52" s="45" t="str">
        <f>IFERROR(VLOOKUP(CONCATENATE('Respuestas de formulario 1.1'!$B52,MID('Respuestas de formulario 1.1'!EI$1,2,1)),#REF!,12,0),"")</f>
        <v/>
      </c>
      <c r="EJ52" s="45" t="str">
        <f t="array" ref="EJ52">IF(DO52="","", INDEX(#REF!,MATCH(CONCATENATE('Respuestas de formulario 1.1'!$B52,DO52),#REF!,0),MATCH('Respuestas de formulario 1.1'!EJ$1,#REF!,0)))</f>
        <v/>
      </c>
      <c r="EK52" s="56" t="str">
        <f t="array" ref="EK52">IF(DP52="","", INDEX(#REF!,MATCH(CONCATENATE('Respuestas de formulario 1.1'!$B52,DP52),#REF!,0),MATCH('Respuestas de formulario 1.1'!EK$1,#REF!,0)))</f>
        <v/>
      </c>
      <c r="EL52" s="56" t="str">
        <f t="array" ref="EL52">IF(DQ52="","", INDEX(#REF!,MATCH(CONCATENATE('Respuestas de formulario 1.1'!$B52,DQ52),#REF!,0),MATCH('Respuestas de formulario 1.1'!EL$1,#REF!,0)))</f>
        <v/>
      </c>
      <c r="EM52" s="56" t="str">
        <f t="array" ref="EM52">IF(DR52="","", INDEX(#REF!,MATCH(CONCATENATE('Respuestas de formulario 1.1'!$B52,DR52),#REF!,0),MATCH('Respuestas de formulario 1.1'!EM$1,#REF!,0)))</f>
        <v/>
      </c>
      <c r="EN52" s="56" t="str">
        <f t="array" ref="EN52">IF(DS52="","", INDEX(#REF!,MATCH(CONCATENATE('Respuestas de formulario 1.1'!$B52,DS52),#REF!,0),MATCH('Respuestas de formulario 1.1'!EN$1,#REF!,0)))</f>
        <v/>
      </c>
      <c r="EO52" s="56" t="str">
        <f t="array" ref="EO52">IF(DT52="","", INDEX(#REF!,MATCH(CONCATENATE('Respuestas de formulario 1.1'!$B52,DT52),#REF!,0),MATCH('Respuestas de formulario 1.1'!EO$1,#REF!,0)))</f>
        <v/>
      </c>
      <c r="EP52" s="45" t="str">
        <f t="array" ref="EP52">IF(DU52="","", INDEX(#REF!,MATCH(CONCATENATE('Respuestas de formulario 1.1'!$B52,DU52),#REF!,0),MATCH('Respuestas de formulario 1.1'!EP$1,#REF!,0)))</f>
        <v/>
      </c>
      <c r="EQ52" s="45" t="str">
        <f t="array" ref="EQ52">IF(DP52="","", INDEX(#REF!,MATCH(CONCATENATE('Respuestas de formulario 1.1'!$B52,DP52),#REF!,0),MATCH('Respuestas de formulario 1.1'!EQ$1,#REF!,0)))</f>
        <v/>
      </c>
      <c r="ER52" s="56" t="str">
        <f t="array" ref="ER52">IF(DQ52="","", INDEX(#REF!,MATCH(CONCATENATE('Respuestas de formulario 1.1'!$B52,DQ52),#REF!,0),MATCH('Respuestas de formulario 1.1'!ER$1,#REF!,0)))</f>
        <v/>
      </c>
      <c r="ES52" s="56" t="str">
        <f t="array" ref="ES52">IF(DR52="","", INDEX(#REF!,MATCH(CONCATENATE('Respuestas de formulario 1.1'!$B52,DR52),#REF!,0),MATCH('Respuestas de formulario 1.1'!ES$1,#REF!,0)))</f>
        <v/>
      </c>
      <c r="ET52" s="56" t="str">
        <f t="array" ref="ET52">IF(DS52="","", INDEX(#REF!,MATCH(CONCATENATE('Respuestas de formulario 1.1'!$B52,DS52),#REF!,0),MATCH('Respuestas de formulario 1.1'!ET$1,#REF!,0)))</f>
        <v/>
      </c>
      <c r="EU52" s="56" t="str">
        <f t="array" ref="EU52">IF(DT52="","", INDEX(#REF!,MATCH(CONCATENATE('Respuestas de formulario 1.1'!$B52,DT52),#REF!,0),MATCH('Respuestas de formulario 1.1'!EU$1,#REF!,0)))</f>
        <v/>
      </c>
      <c r="EV52" s="56" t="str">
        <f t="array" ref="EV52">IF(DU52="","", INDEX(#REF!,MATCH(CONCATENATE('Respuestas de formulario 1.1'!$B52,DU52),#REF!,0),MATCH('Respuestas de formulario 1.1'!EV$1,#REF!,0)))</f>
        <v/>
      </c>
      <c r="EW52" s="45" t="str">
        <f t="array" ref="EW52">IF(DV52="","", INDEX(#REF!,MATCH(CONCATENATE('Respuestas de formulario 1.1'!$B52,DV52),#REF!,0),MATCH('Respuestas de formulario 1.1'!EW$1,#REF!,0)))</f>
        <v/>
      </c>
      <c r="EX52" s="45" t="str">
        <f t="array" ref="EX52">IF($DQ52="","", INDEX(#REF!,MATCH(CONCATENATE('Respuestas de formulario 1.1'!$B52,$DQ52),#REF!,0),MATCH('Respuestas de formulario 1.1'!EX$1,#REF!,0)))</f>
        <v/>
      </c>
      <c r="EY52" s="56" t="str">
        <f t="array" ref="EY52">IF($DQ52="","", INDEX(#REF!,MATCH(CONCATENATE('Respuestas de formulario 1.1'!$B52,$DQ52),#REF!,0),MATCH('Respuestas de formulario 1.1'!EY$1,#REF!,0)))</f>
        <v/>
      </c>
      <c r="EZ52" s="56" t="str">
        <f t="array" ref="EZ52">IF($DQ52="","", INDEX(#REF!,MATCH(CONCATENATE('Respuestas de formulario 1.1'!$B52,$DQ52),#REF!,0),MATCH('Respuestas de formulario 1.1'!EZ$1,#REF!,0)))</f>
        <v/>
      </c>
      <c r="FA52" s="56" t="str">
        <f t="array" ref="FA52">IF($DQ52="","", INDEX(#REF!,MATCH(CONCATENATE('Respuestas de formulario 1.1'!$B52,$DQ52),#REF!,0),MATCH('Respuestas de formulario 1.1'!FA$1,#REF!,0)))</f>
        <v/>
      </c>
      <c r="FB52" s="56" t="str">
        <f t="array" ref="FB52">IF($DQ52="","", INDEX(#REF!,MATCH(CONCATENATE('Respuestas de formulario 1.1'!$B52,$DQ52),#REF!,0),MATCH('Respuestas de formulario 1.1'!FB$1,#REF!,0)))</f>
        <v/>
      </c>
      <c r="FC52" s="56" t="str">
        <f t="array" ref="FC52">IF($DQ52="","", INDEX(#REF!,MATCH(CONCATENATE('Respuestas de formulario 1.1'!$B52,$DQ52),#REF!,0),MATCH('Respuestas de formulario 1.1'!FC$1,#REF!,0)))</f>
        <v/>
      </c>
      <c r="FD52" s="45" t="str">
        <f t="array" ref="FD52">IF($DQ52="","", INDEX(#REF!,MATCH(CONCATENATE('Respuestas de formulario 1.1'!$B52,$DQ52),#REF!,0),MATCH('Respuestas de formulario 1.1'!FD$1,#REF!,0)))</f>
        <v/>
      </c>
      <c r="FE52" s="45" t="str">
        <f t="array" ref="FE52">IF($DR52="","", INDEX(#REF!,MATCH(CONCATENATE(#REF!,$DR52),#REF!,0),MATCH(#REF!,#REF!,0)))</f>
        <v/>
      </c>
      <c r="FF52" s="56" t="str">
        <f t="array" ref="FF52">IF($DR52="","", INDEX(#REF!,MATCH(CONCATENATE(#REF!,$DR52),#REF!,0),MATCH(#REF!,#REF!,0)))</f>
        <v/>
      </c>
      <c r="FG52" s="56" t="str">
        <f t="array" ref="FG52">IF($DR52="","", INDEX(#REF!,MATCH(CONCATENATE(#REF!,$DR52),#REF!,0),MATCH(#REF!,#REF!,0)))</f>
        <v/>
      </c>
      <c r="FH52" s="56" t="str">
        <f t="array" ref="FH52">IF($DR52="","", INDEX(#REF!,MATCH(CONCATENATE(#REF!,$DR52),#REF!,0),MATCH(#REF!,#REF!,0)))</f>
        <v/>
      </c>
      <c r="FI52" s="56" t="str">
        <f t="array" ref="FI52">IF($DR52="","", INDEX(#REF!,MATCH(CONCATENATE(#REF!,$DR52),#REF!,0),MATCH(#REF!,#REF!,0)))</f>
        <v/>
      </c>
      <c r="FJ52" s="56" t="str">
        <f t="array" ref="FJ52">IF($DR52="","", INDEX(#REF!,MATCH(CONCATENATE(#REF!,$DR52),#REF!,0),MATCH(#REF!,#REF!,0)))</f>
        <v/>
      </c>
      <c r="FK52" s="45" t="str">
        <f t="array" ref="FK52">IF($DR52="","", INDEX(#REF!,MATCH(CONCATENATE(#REF!,$DR52),#REF!,0),MATCH(#REF!,#REF!,0)))</f>
        <v/>
      </c>
      <c r="FL52" s="45" t="str">
        <f t="array" ref="FL52">IF($DT52="","", INDEX(#REF!,MATCH(CONCATENATE('Respuestas de formulario 1.1'!$B52,$DS52),#REF!,0),MATCH('Respuestas de formulario 1.1'!FL$1,#REF!,0)))</f>
        <v/>
      </c>
      <c r="FM52" s="56" t="str">
        <f t="array" ref="FM52">IF($DT52="","", INDEX(#REF!,MATCH(CONCATENATE('Respuestas de formulario 1.1'!$B52,$DS52),#REF!,0),MATCH('Respuestas de formulario 1.1'!FM$1,#REF!,0)))</f>
        <v/>
      </c>
      <c r="FN52" s="56" t="str">
        <f t="array" ref="FN52">IF($DT52="","", INDEX(#REF!,MATCH(CONCATENATE('Respuestas de formulario 1.1'!$B52,$DS52),#REF!,0),MATCH('Respuestas de formulario 1.1'!FN$1,#REF!,0)))</f>
        <v/>
      </c>
      <c r="FO52" s="56" t="str">
        <f t="array" ref="FO52">IF($DT52="","", INDEX(#REF!,MATCH(CONCATENATE('Respuestas de formulario 1.1'!$B52,$DS52),#REF!,0),MATCH('Respuestas de formulario 1.1'!FO$1,#REF!,0)))</f>
        <v/>
      </c>
      <c r="FP52" s="56" t="str">
        <f t="array" ref="FP52">IF($DT52="","", INDEX(#REF!,MATCH(CONCATENATE('Respuestas de formulario 1.1'!$B52,$DS52),#REF!,0),MATCH('Respuestas de formulario 1.1'!FP$1,#REF!,0)))</f>
        <v/>
      </c>
      <c r="FQ52" s="56" t="str">
        <f t="array" ref="FQ52">IF($DT52="","", INDEX(#REF!,MATCH(CONCATENATE('Respuestas de formulario 1.1'!$B52,$DS52),#REF!,0),MATCH('Respuestas de formulario 1.1'!FQ$1,#REF!,0)))</f>
        <v/>
      </c>
      <c r="FR52" s="45" t="str">
        <f t="array" ref="FR52">IF($DT52="","", INDEX(#REF!,MATCH(CONCATENATE('Respuestas de formulario 1.1'!$B52,$DS52),#REF!,0),MATCH('Respuestas de formulario 1.1'!FR$1,#REF!,0)))</f>
        <v/>
      </c>
      <c r="FS52" s="45" t="str">
        <f t="array" ref="FS52">IF($DU52="","", INDEX(#REF!,MATCH(CONCATENATE('Respuestas de formulario 1.1'!$B52,$DT52),#REF!,0),MATCH('Respuestas de formulario 1.1'!FS$1,#REF!,0)))</f>
        <v/>
      </c>
      <c r="FT52" s="56" t="str">
        <f t="array" ref="FT52">IF($DU52="","", INDEX(#REF!,MATCH(CONCATENATE('Respuestas de formulario 1.1'!$B52,$DT52),#REF!,0),MATCH('Respuestas de formulario 1.1'!FT$1,#REF!,0)))</f>
        <v/>
      </c>
      <c r="FU52" s="56" t="str">
        <f t="array" ref="FU52">IF($DU52="","", INDEX(#REF!,MATCH(CONCATENATE('Respuestas de formulario 1.1'!$B52,$DT52),#REF!,0),MATCH('Respuestas de formulario 1.1'!FU$1,#REF!,0)))</f>
        <v/>
      </c>
      <c r="FV52" s="56" t="str">
        <f t="array" ref="FV52">IF($DU52="","", INDEX(#REF!,MATCH(CONCATENATE('Respuestas de formulario 1.1'!$B52,$DT52),#REF!,0),MATCH('Respuestas de formulario 1.1'!FV$1,#REF!,0)))</f>
        <v/>
      </c>
      <c r="FW52" s="56" t="str">
        <f t="array" ref="FW52">IF($DU52="","", INDEX(#REF!,MATCH(CONCATENATE('Respuestas de formulario 1.1'!$B52,$DT52),#REF!,0),MATCH('Respuestas de formulario 1.1'!FW$1,#REF!,0)))</f>
        <v/>
      </c>
      <c r="FX52" s="56" t="str">
        <f t="array" ref="FX52">IF($DU52="","", INDEX(#REF!,MATCH(CONCATENATE('Respuestas de formulario 1.1'!$B52,$DT52),#REF!,0),MATCH('Respuestas de formulario 1.1'!FX$1,#REF!,0)))</f>
        <v/>
      </c>
      <c r="FY52" s="45" t="str">
        <f t="array" ref="FY52">IF($DU52="","", INDEX(#REF!,MATCH(CONCATENATE('Respuestas de formulario 1.1'!$B52,$DT52),#REF!,0),MATCH('Respuestas de formulario 1.1'!FY$1,#REF!,0)))</f>
        <v/>
      </c>
      <c r="FZ52" s="3" t="s">
        <v>2860</v>
      </c>
      <c r="GA52" s="1" t="s">
        <v>3709</v>
      </c>
      <c r="GB52" s="5" t="s">
        <v>3710</v>
      </c>
      <c r="GC52" s="4" t="str">
        <f>HYPERLINK("https://drive.google.com/file/d/1Ekj5Wqj4rHDRvAC7lmIRuk0nr8l56wxh/view?usp=drivesdk","RODRIGUEZ SORIANO ANDREA SHERLINE Formato de reinscripción y pago 2022-2")</f>
        <v>RODRIGUEZ SORIANO ANDREA SHERLINE Formato de reinscripción y pago 2022-2</v>
      </c>
      <c r="GD52" s="1" t="s">
        <v>3711</v>
      </c>
      <c r="GE52" s="1"/>
      <c r="GF52" s="1"/>
      <c r="GG52" s="1"/>
      <c r="GH52" s="1"/>
      <c r="GI52" s="1" t="s">
        <v>3712</v>
      </c>
      <c r="GJ52" s="5" t="s">
        <v>3713</v>
      </c>
      <c r="GK52" s="5" t="str">
        <f>HYPERLINK("https://drive.google.com/file/d/1LKT5B8m2gvKBH6hFEXUp7kEMurDzF38x/view?usp=drivesdk","RODRIGUEZ SORIANO ANDREA SHERLINE Formato de reinscripción y pago 2022-2")</f>
        <v>RODRIGUEZ SORIANO ANDREA SHERLINE Formato de reinscripción y pago 2022-2</v>
      </c>
      <c r="GL52" s="1" t="s">
        <v>3714</v>
      </c>
    </row>
    <row r="53" spans="1:194" ht="38.25" x14ac:dyDescent="0.2">
      <c r="A53" s="2">
        <v>45139.119838935185</v>
      </c>
      <c r="B53" s="1" t="s">
        <v>2381</v>
      </c>
      <c r="C53" s="1" t="s">
        <v>2313</v>
      </c>
      <c r="D53" s="1" t="s">
        <v>2382</v>
      </c>
      <c r="E53" s="1" t="s">
        <v>2383</v>
      </c>
      <c r="F53" s="1" t="s">
        <v>223</v>
      </c>
      <c r="G53" s="5" t="s">
        <v>3715</v>
      </c>
      <c r="H53" s="41">
        <v>39165</v>
      </c>
      <c r="I53" s="1">
        <v>16</v>
      </c>
      <c r="J53" s="1">
        <v>5573458317</v>
      </c>
      <c r="K53" s="1">
        <v>5526785056</v>
      </c>
      <c r="L53" s="1" t="s">
        <v>3716</v>
      </c>
      <c r="M53" s="1">
        <v>223090605708</v>
      </c>
      <c r="N53" s="1" t="s">
        <v>562</v>
      </c>
      <c r="O53" s="1" t="s">
        <v>225</v>
      </c>
      <c r="P53" s="1" t="s">
        <v>278</v>
      </c>
      <c r="Q53" s="1" t="s">
        <v>227</v>
      </c>
      <c r="R53" s="1" t="s">
        <v>236</v>
      </c>
      <c r="S53" s="1" t="s">
        <v>228</v>
      </c>
      <c r="T53" s="1" t="s">
        <v>229</v>
      </c>
      <c r="U53" s="1" t="s">
        <v>249</v>
      </c>
      <c r="V53" s="1" t="s">
        <v>228</v>
      </c>
      <c r="W53" s="1" t="s">
        <v>3717</v>
      </c>
      <c r="X53" s="1" t="s">
        <v>249</v>
      </c>
      <c r="Y53" s="1" t="s">
        <v>274</v>
      </c>
      <c r="Z53" s="1" t="s">
        <v>240</v>
      </c>
      <c r="AA53" s="44" t="s">
        <v>346</v>
      </c>
      <c r="AB53" s="1">
        <v>50</v>
      </c>
      <c r="AC53" s="1">
        <v>403</v>
      </c>
      <c r="AD53" s="1" t="s">
        <v>3718</v>
      </c>
      <c r="AE53" s="1" t="s">
        <v>3719</v>
      </c>
      <c r="AF53" s="1" t="s">
        <v>461</v>
      </c>
      <c r="AG53" s="1">
        <v>44</v>
      </c>
      <c r="AH53" s="5" t="s">
        <v>3720</v>
      </c>
      <c r="AI53" s="1">
        <v>5526785056</v>
      </c>
      <c r="AJ53" s="1">
        <v>5526785056</v>
      </c>
      <c r="AK53" s="1" t="s">
        <v>3721</v>
      </c>
      <c r="AL53" s="1" t="s">
        <v>2313</v>
      </c>
      <c r="AM53" s="1" t="s">
        <v>304</v>
      </c>
      <c r="AN53" s="1" t="s">
        <v>2223</v>
      </c>
      <c r="AO53" s="1" t="s">
        <v>420</v>
      </c>
      <c r="AP53" s="1">
        <v>46</v>
      </c>
      <c r="AQ53" s="1" t="s">
        <v>546</v>
      </c>
      <c r="AR53" s="42">
        <v>0.33333333333575865</v>
      </c>
      <c r="AS53" s="42">
        <v>0.16666666666424135</v>
      </c>
      <c r="AT53" s="1">
        <v>5544670930</v>
      </c>
      <c r="AU53" s="1">
        <v>5544670930</v>
      </c>
      <c r="AV53" s="1" t="s">
        <v>3722</v>
      </c>
      <c r="AW53" s="5" t="s">
        <v>3723</v>
      </c>
      <c r="AX53" s="1" t="s">
        <v>2313</v>
      </c>
      <c r="AY53" s="1" t="s">
        <v>304</v>
      </c>
      <c r="AZ53" s="1" t="s">
        <v>3724</v>
      </c>
      <c r="BA53" s="1" t="s">
        <v>453</v>
      </c>
      <c r="BB53" s="1">
        <v>40</v>
      </c>
      <c r="BC53" s="1" t="s">
        <v>546</v>
      </c>
      <c r="BD53" s="43">
        <v>0.33333333333575865</v>
      </c>
      <c r="BE53" s="43">
        <v>0.16666666666424135</v>
      </c>
      <c r="BF53" s="1">
        <v>5571087415</v>
      </c>
      <c r="BG53" s="1">
        <v>5571087415</v>
      </c>
      <c r="BH53" s="1" t="s">
        <v>3725</v>
      </c>
      <c r="BI53" s="5" t="s">
        <v>3726</v>
      </c>
      <c r="BJ53" s="1" t="s">
        <v>236</v>
      </c>
      <c r="BK53" s="1" t="s">
        <v>929</v>
      </c>
      <c r="BL53" s="1">
        <v>1.6</v>
      </c>
      <c r="BM53" s="1">
        <v>57</v>
      </c>
      <c r="BN53" s="1" t="s">
        <v>236</v>
      </c>
      <c r="BO53" s="1" t="s">
        <v>228</v>
      </c>
      <c r="BP53" s="1" t="s">
        <v>270</v>
      </c>
      <c r="BQ53" s="1" t="s">
        <v>228</v>
      </c>
      <c r="BR53" s="1" t="s">
        <v>237</v>
      </c>
      <c r="BS53" s="1" t="s">
        <v>236</v>
      </c>
      <c r="BT53" s="1" t="s">
        <v>462</v>
      </c>
      <c r="BU53" s="1" t="s">
        <v>228</v>
      </c>
      <c r="BW53" s="1" t="s">
        <v>349</v>
      </c>
      <c r="BX53" s="1">
        <v>40</v>
      </c>
      <c r="BY53" s="1">
        <v>100</v>
      </c>
      <c r="BZ53" s="1" t="s">
        <v>253</v>
      </c>
      <c r="CA53" s="1" t="s">
        <v>343</v>
      </c>
      <c r="CB53" s="1" t="s">
        <v>2461</v>
      </c>
      <c r="CC53" s="1" t="s">
        <v>255</v>
      </c>
      <c r="CD53" s="1">
        <v>3000</v>
      </c>
      <c r="CE53" s="1">
        <v>2000</v>
      </c>
      <c r="CF53" s="1" t="s">
        <v>236</v>
      </c>
      <c r="CG53" s="1" t="s">
        <v>242</v>
      </c>
      <c r="CH53" s="1" t="s">
        <v>243</v>
      </c>
      <c r="CI53" s="1" t="s">
        <v>243</v>
      </c>
      <c r="CJ53" s="1" t="s">
        <v>2848</v>
      </c>
      <c r="CL53" s="5" t="s">
        <v>3727</v>
      </c>
      <c r="CM53" s="1">
        <v>4201790601</v>
      </c>
      <c r="CN53" s="1" t="s">
        <v>228</v>
      </c>
      <c r="CQ53" s="42">
        <v>0.29166666666424135</v>
      </c>
      <c r="CR53" s="42">
        <v>0.16666666666424135</v>
      </c>
      <c r="CT53" s="45" t="str">
        <f t="array" ref="CT53">IFERROR(INDEX(#REF!,MATCH('Respuestas de formulario 1.1'!$B53,#REF!,0),MATCH('Respuestas de formulario 1.1'!CT$1,#REF!,0)),"")</f>
        <v/>
      </c>
      <c r="CU53" s="56" t="str">
        <f t="array" ref="CU53">IFERROR(INDEX(#REF!,MATCH('Respuestas de formulario 1.1'!$B53,#REF!,0),MATCH('Respuestas de formulario 1.1'!CU$1,#REF!,0)),"")</f>
        <v/>
      </c>
      <c r="CV53" s="56" t="str">
        <f t="array" ref="CV53">IFERROR(INDEX(#REF!,MATCH('Respuestas de formulario 1.1'!$B53,#REF!,0),MATCH('Respuestas de formulario 1.1'!CV$1,#REF!,0)),"")</f>
        <v/>
      </c>
      <c r="CW53" s="56" t="str">
        <f t="array" ref="CW53">IFERROR(INDEX(#REF!,MATCH('Respuestas de formulario 1.1'!$B53,#REF!,0),MATCH('Respuestas de formulario 1.1'!CW$1,#REF!,0)),"")</f>
        <v/>
      </c>
      <c r="CX53" s="56" t="str">
        <f t="array" ref="CX53">IFERROR(INDEX(#REF!,MATCH('Respuestas de formulario 1.1'!$B53,#REF!,0),MATCH('Respuestas de formulario 1.1'!CX$1,#REF!,0)),"")</f>
        <v/>
      </c>
      <c r="CY53" s="56" t="str">
        <f t="array" ref="CY53">IFERROR(INDEX(#REF!,MATCH('Respuestas de formulario 1.1'!$B53,#REF!,0),MATCH('Respuestas de formulario 1.1'!CY$1,#REF!,0)),"")</f>
        <v/>
      </c>
      <c r="CZ53" s="57" t="str">
        <f t="array" ref="CZ53">IFERROR(INDEX(#REF!,MATCH('Respuestas de formulario 1.1'!$B53,#REF!,0),MATCH('Respuestas de formulario 1.1'!CZ$1,#REF!,0)),"")</f>
        <v/>
      </c>
      <c r="DA53" s="45" t="e">
        <f t="array" ref="DA53">INDEX(#REF!,MATCH('Respuestas de formulario 1.1'!$B53,#REF!,0),MATCH('Respuestas de formulario 1.1'!DA$1,#REF!,0))</f>
        <v>#REF!</v>
      </c>
      <c r="DB53" s="45" t="e">
        <f t="array" ref="DB53">INDEX(#REF!,MATCH('Respuestas de formulario 1.1'!$B53,#REF!,0),MATCH('Respuestas de formulario 1.1'!DB$1,#REF!,0))</f>
        <v>#REF!</v>
      </c>
      <c r="DC53" s="45" t="e">
        <f t="array" ref="DC53">INDEX(#REF!,MATCH('Respuestas de formulario 1.1'!$B53,#REF!,0),MATCH('Respuestas de formulario 1.1'!DC$1,#REF!,0))</f>
        <v>#REF!</v>
      </c>
      <c r="DD53" s="45" t="e">
        <f t="array" ref="DD53">INDEX(#REF!,MATCH('Respuestas de formulario 1.1'!$B53,#REF!,0),MATCH('Respuestas de formulario 1.1'!DD$1,#REF!,0))</f>
        <v>#REF!</v>
      </c>
      <c r="DE53" s="45" t="e">
        <f t="array" ref="DE53">INDEX(#REF!,MATCH('Respuestas de formulario 1.1'!$B53,#REF!,0),MATCH('Respuestas de formulario 1.1'!DE$1,#REF!,0))</f>
        <v>#REF!</v>
      </c>
      <c r="DF53" s="45" t="e">
        <f t="array" ref="DF53">INDEX(#REF!,MATCH('Respuestas de formulario 1.1'!$B53,#REF!,0),MATCH('Respuestas de formulario 1.1'!DF$1,#REF!,0))</f>
        <v>#REF!</v>
      </c>
      <c r="DG53" s="45" t="e">
        <f t="array" ref="DG53">INDEX(#REF!,MATCH('Respuestas de formulario 1.1'!$B53,#REF!,0),MATCH('Respuestas de formulario 1.1'!DG$1,#REF!,0))</f>
        <v>#REF!</v>
      </c>
      <c r="DH53" s="45" t="e">
        <f t="array" ref="DH53">INDEX(#REF!,MATCH('Respuestas de formulario 1.1'!$B53,#REF!,0),MATCH('Respuestas de formulario 1.1'!DH$1,#REF!,0))</f>
        <v>#REF!</v>
      </c>
      <c r="DI53" s="48" t="e">
        <f>VLOOKUP(CONCATENATE($DF53," TUTO ",$DC53),#REF!,3,0)</f>
        <v>#REF!</v>
      </c>
      <c r="DJ53" s="48" t="e">
        <f t="array" ref="DJ53">IF('Respuestas de formulario 1.1'!A53="","",INDEX(#REF!,MATCH('Respuestas de formulario 1.1'!B53,#REF!,0),MATCH('Respuestas de formulario 1.1'!$DH$1,#REF!,0)))</f>
        <v>#REF!</v>
      </c>
      <c r="DK53" s="52" t="str">
        <f>CONCATENATE("http://doc.google.com/uc?id=",MID('Respuestas de formulario 1.1'!G53,34,33))</f>
        <v>http://doc.google.com/uc?id=1M1H74k2EIqQ26IAYytWlPHUCpQTTnp2u</v>
      </c>
      <c r="DL53" s="49" t="str">
        <f>CONCATENATE("http://doc.google.com/uc?id=",MID('Respuestas de formulario 1.1'!AH53,34,33))</f>
        <v>http://doc.google.com/uc?id=1owwAKhymawp5NQ4dhnx3CAh3dwC3QTp-</v>
      </c>
      <c r="DM53" s="50" t="str">
        <f>CONCATENATE("http://doc.google.com/uc?id=",MID('Respuestas de formulario 1.1'!AW53,34,33))</f>
        <v>http://doc.google.com/uc?id=18BbBi9MaMF3R3HeSmRjphm3RRHU1BBIc</v>
      </c>
      <c r="DN53" s="53" t="str">
        <f>CONCATENATE("http://doc.google.com/uc?id=",MID('Respuestas de formulario 1.1'!$BI53,34,33))</f>
        <v>http://doc.google.com/uc?id=1IavJlM-aM8LsHvnRhNUsomBe8aprfuUa</v>
      </c>
      <c r="DO53" s="45" t="str">
        <f>IFERROR(VLOOKUP(CONCATENATE('Respuestas de formulario 1.1'!$B53,MID('Respuestas de formulario 1.1'!DO$1,2,1)),#REF!,12,0),"")</f>
        <v/>
      </c>
      <c r="DP53" s="45" t="str">
        <f>IFERROR(VLOOKUP(CONCATENATE('Respuestas de formulario 1.1'!$B53,MID('Respuestas de formulario 1.1'!DP$1,2,1)),#REF!,12,0),"")</f>
        <v/>
      </c>
      <c r="DQ53" s="45" t="str">
        <f>IFERROR(VLOOKUP(CONCATENATE('Respuestas de formulario 1.1'!$B53,MID('Respuestas de formulario 1.1'!DQ$1,2,1)),#REF!,12,0),"")</f>
        <v/>
      </c>
      <c r="DR53" s="45" t="str">
        <f>IFERROR(VLOOKUP(CONCATENATE('Respuestas de formulario 1.1'!$B53,MID('Respuestas de formulario 1.1'!DR$1,2,1)),#REF!,12,0),"")</f>
        <v/>
      </c>
      <c r="DS53" s="45" t="str">
        <f>IFERROR(VLOOKUP(CONCATENATE('Respuestas de formulario 1.1'!$B53,MID('Respuestas de formulario 1.1'!DS$1,2,1)),#REF!,12,0),"")</f>
        <v/>
      </c>
      <c r="DT53" s="45" t="str">
        <f>IFERROR(VLOOKUP(CONCATENATE('Respuestas de formulario 1.1'!$B53,MID('Respuestas de formulario 1.1'!DT$1,2,1)),#REF!,12,0),"")</f>
        <v/>
      </c>
      <c r="DU53" s="45" t="str">
        <f>IFERROR(VLOOKUP(CONCATENATE('Respuestas de formulario 1.1'!$B53,MID('Respuestas de formulario 1.1'!DU$1,2,1)),#REF!,12,0),"")</f>
        <v/>
      </c>
      <c r="DV53" s="45" t="str">
        <f>IFERROR(VLOOKUP(CONCATENATE('Respuestas de formulario 1.1'!$B53,MID('Respuestas de formulario 1.1'!DV$1,2,1)),#REF!,12,0),"")</f>
        <v/>
      </c>
      <c r="DW53" s="45" t="str">
        <f>IFERROR(VLOOKUP(CONCATENATE('Respuestas de formulario 1.1'!$B53,MID('Respuestas de formulario 1.1'!DW$1,2,1)),#REF!,12,0),"")</f>
        <v/>
      </c>
      <c r="DX53" s="45" t="str">
        <f>IFERROR(VLOOKUP(CONCATENATE('Respuestas de formulario 1.1'!$B53,MID('Respuestas de formulario 1.1'!DX$1,2,1)),#REF!,12,0),"")</f>
        <v/>
      </c>
      <c r="DY53" s="45" t="str">
        <f>IFERROR(VLOOKUP(CONCATENATE('Respuestas de formulario 1.1'!$B53,MID('Respuestas de formulario 1.1'!DY$1,2,1)),#REF!,12,0),"")</f>
        <v/>
      </c>
      <c r="DZ53" s="45" t="str">
        <f>IFERROR(VLOOKUP(CONCATENATE('Respuestas de formulario 1.1'!$B53,MID('Respuestas de formulario 1.1'!DZ$1,2,1)),#REF!,12,0),"")</f>
        <v/>
      </c>
      <c r="EA53" s="45" t="str">
        <f>IFERROR(VLOOKUP(CONCATENATE('Respuestas de formulario 1.1'!$B53,MID('Respuestas de formulario 1.1'!EA$1,2,1)),#REF!,12,0),"")</f>
        <v/>
      </c>
      <c r="EB53" s="45" t="str">
        <f>IFERROR(VLOOKUP(CONCATENATE('Respuestas de formulario 1.1'!$B53,MID('Respuestas de formulario 1.1'!EB$1,2,1)),#REF!,12,0),"")</f>
        <v/>
      </c>
      <c r="EC53" s="45" t="str">
        <f>IFERROR(VLOOKUP(CONCATENATE('Respuestas de formulario 1.1'!$B53,MID('Respuestas de formulario 1.1'!EC$1,2,1)),#REF!,12,0),"")</f>
        <v/>
      </c>
      <c r="ED53" s="45" t="str">
        <f>IFERROR(VLOOKUP(CONCATENATE('Respuestas de formulario 1.1'!$B53,MID('Respuestas de formulario 1.1'!ED$1,2,1)),#REF!,12,0),"")</f>
        <v/>
      </c>
      <c r="EE53" s="45" t="str">
        <f>IFERROR(VLOOKUP(CONCATENATE('Respuestas de formulario 1.1'!$B53,MID('Respuestas de formulario 1.1'!EE$1,2,1)),#REF!,12,0),"")</f>
        <v/>
      </c>
      <c r="EF53" s="45" t="str">
        <f>IFERROR(VLOOKUP(CONCATENATE('Respuestas de formulario 1.1'!$B53,MID('Respuestas de formulario 1.1'!EF$1,2,1)),#REF!,12,0),"")</f>
        <v/>
      </c>
      <c r="EG53" s="45" t="str">
        <f>IFERROR(VLOOKUP(CONCATENATE('Respuestas de formulario 1.1'!$B53,MID('Respuestas de formulario 1.1'!EG$1,2,1)),#REF!,12,0),"")</f>
        <v/>
      </c>
      <c r="EH53" s="45" t="str">
        <f>IFERROR(VLOOKUP(CONCATENATE('Respuestas de formulario 1.1'!$B53,MID('Respuestas de formulario 1.1'!EH$1,2,1)),#REF!,12,0),"")</f>
        <v/>
      </c>
      <c r="EI53" s="45" t="str">
        <f>IFERROR(VLOOKUP(CONCATENATE('Respuestas de formulario 1.1'!$B53,MID('Respuestas de formulario 1.1'!EI$1,2,1)),#REF!,12,0),"")</f>
        <v/>
      </c>
      <c r="EJ53" s="45" t="str">
        <f t="array" ref="EJ53">IF(DO53="","", INDEX(#REF!,MATCH(CONCATENATE('Respuestas de formulario 1.1'!$B53,DO53),#REF!,0),MATCH('Respuestas de formulario 1.1'!EJ$1,#REF!,0)))</f>
        <v/>
      </c>
      <c r="EK53" s="56" t="str">
        <f t="array" ref="EK53">IF(DP53="","", INDEX(#REF!,MATCH(CONCATENATE('Respuestas de formulario 1.1'!$B53,DP53),#REF!,0),MATCH('Respuestas de formulario 1.1'!EK$1,#REF!,0)))</f>
        <v/>
      </c>
      <c r="EL53" s="56" t="str">
        <f t="array" ref="EL53">IF(DQ53="","", INDEX(#REF!,MATCH(CONCATENATE('Respuestas de formulario 1.1'!$B53,DQ53),#REF!,0),MATCH('Respuestas de formulario 1.1'!EL$1,#REF!,0)))</f>
        <v/>
      </c>
      <c r="EM53" s="56" t="str">
        <f t="array" ref="EM53">IF(DR53="","", INDEX(#REF!,MATCH(CONCATENATE('Respuestas de formulario 1.1'!$B53,DR53),#REF!,0),MATCH('Respuestas de formulario 1.1'!EM$1,#REF!,0)))</f>
        <v/>
      </c>
      <c r="EN53" s="56" t="str">
        <f t="array" ref="EN53">IF(DS53="","", INDEX(#REF!,MATCH(CONCATENATE('Respuestas de formulario 1.1'!$B53,DS53),#REF!,0),MATCH('Respuestas de formulario 1.1'!EN$1,#REF!,0)))</f>
        <v/>
      </c>
      <c r="EO53" s="56" t="str">
        <f t="array" ref="EO53">IF(DT53="","", INDEX(#REF!,MATCH(CONCATENATE('Respuestas de formulario 1.1'!$B53,DT53),#REF!,0),MATCH('Respuestas de formulario 1.1'!EO$1,#REF!,0)))</f>
        <v/>
      </c>
      <c r="EP53" s="45" t="str">
        <f t="array" ref="EP53">IF(DU53="","", INDEX(#REF!,MATCH(CONCATENATE('Respuestas de formulario 1.1'!$B53,DU53),#REF!,0),MATCH('Respuestas de formulario 1.1'!EP$1,#REF!,0)))</f>
        <v/>
      </c>
      <c r="EQ53" s="45" t="str">
        <f t="array" ref="EQ53">IF(DP53="","", INDEX(#REF!,MATCH(CONCATENATE('Respuestas de formulario 1.1'!$B53,DP53),#REF!,0),MATCH('Respuestas de formulario 1.1'!EQ$1,#REF!,0)))</f>
        <v/>
      </c>
      <c r="ER53" s="56" t="str">
        <f t="array" ref="ER53">IF(DQ53="","", INDEX(#REF!,MATCH(CONCATENATE('Respuestas de formulario 1.1'!$B53,DQ53),#REF!,0),MATCH('Respuestas de formulario 1.1'!ER$1,#REF!,0)))</f>
        <v/>
      </c>
      <c r="ES53" s="56" t="str">
        <f t="array" ref="ES53">IF(DR53="","", INDEX(#REF!,MATCH(CONCATENATE('Respuestas de formulario 1.1'!$B53,DR53),#REF!,0),MATCH('Respuestas de formulario 1.1'!ES$1,#REF!,0)))</f>
        <v/>
      </c>
      <c r="ET53" s="56" t="str">
        <f t="array" ref="ET53">IF(DS53="","", INDEX(#REF!,MATCH(CONCATENATE('Respuestas de formulario 1.1'!$B53,DS53),#REF!,0),MATCH('Respuestas de formulario 1.1'!ET$1,#REF!,0)))</f>
        <v/>
      </c>
      <c r="EU53" s="56" t="str">
        <f t="array" ref="EU53">IF(DT53="","", INDEX(#REF!,MATCH(CONCATENATE('Respuestas de formulario 1.1'!$B53,DT53),#REF!,0),MATCH('Respuestas de formulario 1.1'!EU$1,#REF!,0)))</f>
        <v/>
      </c>
      <c r="EV53" s="56" t="str">
        <f t="array" ref="EV53">IF(DU53="","", INDEX(#REF!,MATCH(CONCATENATE('Respuestas de formulario 1.1'!$B53,DU53),#REF!,0),MATCH('Respuestas de formulario 1.1'!EV$1,#REF!,0)))</f>
        <v/>
      </c>
      <c r="EW53" s="45" t="str">
        <f t="array" ref="EW53">IF(DV53="","", INDEX(#REF!,MATCH(CONCATENATE('Respuestas de formulario 1.1'!$B53,DV53),#REF!,0),MATCH('Respuestas de formulario 1.1'!EW$1,#REF!,0)))</f>
        <v/>
      </c>
      <c r="EX53" s="45" t="str">
        <f t="array" ref="EX53">IF($DQ53="","", INDEX(#REF!,MATCH(CONCATENATE('Respuestas de formulario 1.1'!$B53,$DQ53),#REF!,0),MATCH('Respuestas de formulario 1.1'!EX$1,#REF!,0)))</f>
        <v/>
      </c>
      <c r="EY53" s="56" t="str">
        <f t="array" ref="EY53">IF($DQ53="","", INDEX(#REF!,MATCH(CONCATENATE('Respuestas de formulario 1.1'!$B53,$DQ53),#REF!,0),MATCH('Respuestas de formulario 1.1'!EY$1,#REF!,0)))</f>
        <v/>
      </c>
      <c r="EZ53" s="56" t="str">
        <f t="array" ref="EZ53">IF($DQ53="","", INDEX(#REF!,MATCH(CONCATENATE('Respuestas de formulario 1.1'!$B53,$DQ53),#REF!,0),MATCH('Respuestas de formulario 1.1'!EZ$1,#REF!,0)))</f>
        <v/>
      </c>
      <c r="FA53" s="56" t="str">
        <f t="array" ref="FA53">IF($DQ53="","", INDEX(#REF!,MATCH(CONCATENATE('Respuestas de formulario 1.1'!$B53,$DQ53),#REF!,0),MATCH('Respuestas de formulario 1.1'!FA$1,#REF!,0)))</f>
        <v/>
      </c>
      <c r="FB53" s="56" t="str">
        <f t="array" ref="FB53">IF($DQ53="","", INDEX(#REF!,MATCH(CONCATENATE('Respuestas de formulario 1.1'!$B53,$DQ53),#REF!,0),MATCH('Respuestas de formulario 1.1'!FB$1,#REF!,0)))</f>
        <v/>
      </c>
      <c r="FC53" s="56" t="str">
        <f t="array" ref="FC53">IF($DQ53="","", INDEX(#REF!,MATCH(CONCATENATE('Respuestas de formulario 1.1'!$B53,$DQ53),#REF!,0),MATCH('Respuestas de formulario 1.1'!FC$1,#REF!,0)))</f>
        <v/>
      </c>
      <c r="FD53" s="45" t="str">
        <f t="array" ref="FD53">IF($DQ53="","", INDEX(#REF!,MATCH(CONCATENATE('Respuestas de formulario 1.1'!$B53,$DQ53),#REF!,0),MATCH('Respuestas de formulario 1.1'!FD$1,#REF!,0)))</f>
        <v/>
      </c>
      <c r="FE53" s="45" t="str">
        <f t="array" ref="FE53">IF($DR53="","", INDEX(#REF!,MATCH(CONCATENATE(#REF!,$DR53),#REF!,0),MATCH(#REF!,#REF!,0)))</f>
        <v/>
      </c>
      <c r="FF53" s="56" t="str">
        <f t="array" ref="FF53">IF($DR53="","", INDEX(#REF!,MATCH(CONCATENATE(#REF!,$DR53),#REF!,0),MATCH(#REF!,#REF!,0)))</f>
        <v/>
      </c>
      <c r="FG53" s="56" t="str">
        <f t="array" ref="FG53">IF($DR53="","", INDEX(#REF!,MATCH(CONCATENATE(#REF!,$DR53),#REF!,0),MATCH(#REF!,#REF!,0)))</f>
        <v/>
      </c>
      <c r="FH53" s="56" t="str">
        <f t="array" ref="FH53">IF($DR53="","", INDEX(#REF!,MATCH(CONCATENATE(#REF!,$DR53),#REF!,0),MATCH(#REF!,#REF!,0)))</f>
        <v/>
      </c>
      <c r="FI53" s="56" t="str">
        <f t="array" ref="FI53">IF($DR53="","", INDEX(#REF!,MATCH(CONCATENATE(#REF!,$DR53),#REF!,0),MATCH(#REF!,#REF!,0)))</f>
        <v/>
      </c>
      <c r="FJ53" s="56" t="str">
        <f t="array" ref="FJ53">IF($DR53="","", INDEX(#REF!,MATCH(CONCATENATE(#REF!,$DR53),#REF!,0),MATCH(#REF!,#REF!,0)))</f>
        <v/>
      </c>
      <c r="FK53" s="45" t="str">
        <f t="array" ref="FK53">IF($DR53="","", INDEX(#REF!,MATCH(CONCATENATE(#REF!,$DR53),#REF!,0),MATCH(#REF!,#REF!,0)))</f>
        <v/>
      </c>
      <c r="FL53" s="45" t="str">
        <f t="array" ref="FL53">IF($DT53="","", INDEX(#REF!,MATCH(CONCATENATE('Respuestas de formulario 1.1'!$B53,$DS53),#REF!,0),MATCH('Respuestas de formulario 1.1'!FL$1,#REF!,0)))</f>
        <v/>
      </c>
      <c r="FM53" s="56" t="str">
        <f t="array" ref="FM53">IF($DT53="","", INDEX(#REF!,MATCH(CONCATENATE('Respuestas de formulario 1.1'!$B53,$DS53),#REF!,0),MATCH('Respuestas de formulario 1.1'!FM$1,#REF!,0)))</f>
        <v/>
      </c>
      <c r="FN53" s="56" t="str">
        <f t="array" ref="FN53">IF($DT53="","", INDEX(#REF!,MATCH(CONCATENATE('Respuestas de formulario 1.1'!$B53,$DS53),#REF!,0),MATCH('Respuestas de formulario 1.1'!FN$1,#REF!,0)))</f>
        <v/>
      </c>
      <c r="FO53" s="56" t="str">
        <f t="array" ref="FO53">IF($DT53="","", INDEX(#REF!,MATCH(CONCATENATE('Respuestas de formulario 1.1'!$B53,$DS53),#REF!,0),MATCH('Respuestas de formulario 1.1'!FO$1,#REF!,0)))</f>
        <v/>
      </c>
      <c r="FP53" s="56" t="str">
        <f t="array" ref="FP53">IF($DT53="","", INDEX(#REF!,MATCH(CONCATENATE('Respuestas de formulario 1.1'!$B53,$DS53),#REF!,0),MATCH('Respuestas de formulario 1.1'!FP$1,#REF!,0)))</f>
        <v/>
      </c>
      <c r="FQ53" s="56" t="str">
        <f t="array" ref="FQ53">IF($DT53="","", INDEX(#REF!,MATCH(CONCATENATE('Respuestas de formulario 1.1'!$B53,$DS53),#REF!,0),MATCH('Respuestas de formulario 1.1'!FQ$1,#REF!,0)))</f>
        <v/>
      </c>
      <c r="FR53" s="45" t="str">
        <f t="array" ref="FR53">IF($DT53="","", INDEX(#REF!,MATCH(CONCATENATE('Respuestas de formulario 1.1'!$B53,$DS53),#REF!,0),MATCH('Respuestas de formulario 1.1'!FR$1,#REF!,0)))</f>
        <v/>
      </c>
      <c r="FS53" s="45" t="str">
        <f t="array" ref="FS53">IF($DU53="","", INDEX(#REF!,MATCH(CONCATENATE('Respuestas de formulario 1.1'!$B53,$DT53),#REF!,0),MATCH('Respuestas de formulario 1.1'!FS$1,#REF!,0)))</f>
        <v/>
      </c>
      <c r="FT53" s="56" t="str">
        <f t="array" ref="FT53">IF($DU53="","", INDEX(#REF!,MATCH(CONCATENATE('Respuestas de formulario 1.1'!$B53,$DT53),#REF!,0),MATCH('Respuestas de formulario 1.1'!FT$1,#REF!,0)))</f>
        <v/>
      </c>
      <c r="FU53" s="56" t="str">
        <f t="array" ref="FU53">IF($DU53="","", INDEX(#REF!,MATCH(CONCATENATE('Respuestas de formulario 1.1'!$B53,$DT53),#REF!,0),MATCH('Respuestas de formulario 1.1'!FU$1,#REF!,0)))</f>
        <v/>
      </c>
      <c r="FV53" s="56" t="str">
        <f t="array" ref="FV53">IF($DU53="","", INDEX(#REF!,MATCH(CONCATENATE('Respuestas de formulario 1.1'!$B53,$DT53),#REF!,0),MATCH('Respuestas de formulario 1.1'!FV$1,#REF!,0)))</f>
        <v/>
      </c>
      <c r="FW53" s="56" t="str">
        <f t="array" ref="FW53">IF($DU53="","", INDEX(#REF!,MATCH(CONCATENATE('Respuestas de formulario 1.1'!$B53,$DT53),#REF!,0),MATCH('Respuestas de formulario 1.1'!FW$1,#REF!,0)))</f>
        <v/>
      </c>
      <c r="FX53" s="56" t="str">
        <f t="array" ref="FX53">IF($DU53="","", INDEX(#REF!,MATCH(CONCATENATE('Respuestas de formulario 1.1'!$B53,$DT53),#REF!,0),MATCH('Respuestas de formulario 1.1'!FX$1,#REF!,0)))</f>
        <v/>
      </c>
      <c r="FY53" s="45" t="str">
        <f t="array" ref="FY53">IF($DU53="","", INDEX(#REF!,MATCH(CONCATENATE('Respuestas de formulario 1.1'!$B53,$DT53),#REF!,0),MATCH('Respuestas de formulario 1.1'!FY$1,#REF!,0)))</f>
        <v/>
      </c>
      <c r="FZ53" s="3" t="s">
        <v>2860</v>
      </c>
      <c r="GA53" s="1" t="s">
        <v>3728</v>
      </c>
      <c r="GB53" s="5" t="s">
        <v>3729</v>
      </c>
      <c r="GC53" s="4" t="str">
        <f>HYPERLINK("https://drive.google.com/file/d/1wojAO2PQA7SLRpMPZdK__bnlNlhivIt5/view?usp=drivesdk","PALOMO QUIJADA DAMIA YOALI Formato de reinscripción y pago 2022-2")</f>
        <v>PALOMO QUIJADA DAMIA YOALI Formato de reinscripción y pago 2022-2</v>
      </c>
      <c r="GD53" s="1" t="s">
        <v>3730</v>
      </c>
      <c r="GE53" s="1"/>
      <c r="GF53" s="1"/>
      <c r="GG53" s="1"/>
      <c r="GH53" s="1"/>
      <c r="GI53" s="1" t="s">
        <v>3731</v>
      </c>
      <c r="GJ53" s="5" t="s">
        <v>3732</v>
      </c>
      <c r="GK53" s="5" t="str">
        <f>HYPERLINK("https://drive.google.com/file/d/112k3thbXkTHF2skTWW7BjRi3nI6XRDqJ/view?usp=drivesdk","PALOMO QUIJADA DAMIA YOALI Formato de reinscripción y pago 2022-2")</f>
        <v>PALOMO QUIJADA DAMIA YOALI Formato de reinscripción y pago 2022-2</v>
      </c>
      <c r="GL53" s="1" t="s">
        <v>3733</v>
      </c>
    </row>
    <row r="54" spans="1:194" ht="38.25" x14ac:dyDescent="0.2">
      <c r="A54" s="2">
        <v>45139.121704050922</v>
      </c>
      <c r="B54" s="1" t="s">
        <v>50</v>
      </c>
      <c r="C54" s="1" t="s">
        <v>433</v>
      </c>
      <c r="D54" s="1" t="s">
        <v>286</v>
      </c>
      <c r="E54" s="1" t="s">
        <v>3734</v>
      </c>
      <c r="F54" s="1" t="s">
        <v>223</v>
      </c>
      <c r="G54" s="5" t="s">
        <v>3735</v>
      </c>
      <c r="H54" s="41">
        <v>39104</v>
      </c>
      <c r="I54" s="1">
        <v>16</v>
      </c>
      <c r="J54" s="1">
        <v>5630542934</v>
      </c>
      <c r="K54" s="1">
        <v>5592249336</v>
      </c>
      <c r="L54" s="1" t="s">
        <v>2433</v>
      </c>
      <c r="M54" s="1">
        <v>223090605708</v>
      </c>
      <c r="N54" s="1" t="s">
        <v>246</v>
      </c>
      <c r="O54" s="1" t="s">
        <v>225</v>
      </c>
      <c r="P54" s="1" t="s">
        <v>226</v>
      </c>
      <c r="Q54" s="1" t="s">
        <v>315</v>
      </c>
      <c r="R54" s="1" t="s">
        <v>236</v>
      </c>
      <c r="S54" s="1" t="s">
        <v>228</v>
      </c>
      <c r="T54" s="1" t="s">
        <v>411</v>
      </c>
      <c r="U54" s="1" t="s">
        <v>327</v>
      </c>
      <c r="V54" s="1" t="s">
        <v>228</v>
      </c>
      <c r="W54" s="1" t="s">
        <v>3736</v>
      </c>
      <c r="X54" s="1" t="s">
        <v>327</v>
      </c>
      <c r="Y54" s="1" t="s">
        <v>2287</v>
      </c>
      <c r="Z54" s="1" t="s">
        <v>240</v>
      </c>
      <c r="AA54" s="1">
        <v>56337</v>
      </c>
      <c r="AB54" s="1" t="s">
        <v>1771</v>
      </c>
      <c r="AC54" s="1" t="s">
        <v>2434</v>
      </c>
      <c r="AD54" s="1" t="s">
        <v>3737</v>
      </c>
      <c r="AE54" s="1" t="s">
        <v>3738</v>
      </c>
      <c r="AF54" s="1" t="s">
        <v>493</v>
      </c>
      <c r="AG54" s="1">
        <v>30</v>
      </c>
      <c r="AH54" s="5" t="s">
        <v>3739</v>
      </c>
      <c r="AI54" s="1">
        <v>5634080525</v>
      </c>
      <c r="AJ54" s="1">
        <v>5592249336</v>
      </c>
      <c r="AK54" s="1"/>
      <c r="AL54" s="1" t="s">
        <v>286</v>
      </c>
      <c r="AM54" s="1" t="s">
        <v>421</v>
      </c>
      <c r="AN54" s="1" t="s">
        <v>2095</v>
      </c>
      <c r="AO54" s="1" t="s">
        <v>453</v>
      </c>
      <c r="AP54" s="1">
        <v>34</v>
      </c>
      <c r="AQ54" s="1" t="s">
        <v>3740</v>
      </c>
      <c r="AR54" s="42">
        <v>3.4722222189884633E-3</v>
      </c>
      <c r="AS54" s="42">
        <v>4.166666665696539E-3</v>
      </c>
      <c r="AT54" s="1">
        <v>5534854264</v>
      </c>
      <c r="AU54" s="1">
        <v>5534854264</v>
      </c>
      <c r="AV54" s="1"/>
      <c r="AW54" s="5" t="s">
        <v>3741</v>
      </c>
      <c r="AX54" s="1" t="s">
        <v>286</v>
      </c>
      <c r="AY54" s="1" t="s">
        <v>560</v>
      </c>
      <c r="AZ54" s="1" t="s">
        <v>3742</v>
      </c>
      <c r="BA54" s="1" t="s">
        <v>493</v>
      </c>
      <c r="BB54" s="1">
        <v>30</v>
      </c>
      <c r="BC54" s="1" t="s">
        <v>376</v>
      </c>
      <c r="BD54" s="43">
        <v>0</v>
      </c>
      <c r="BE54" s="43">
        <v>0</v>
      </c>
      <c r="BF54" s="1">
        <v>5634080525</v>
      </c>
      <c r="BG54" s="1">
        <v>5592249336</v>
      </c>
      <c r="BH54" s="1"/>
      <c r="BI54" s="5" t="s">
        <v>3743</v>
      </c>
      <c r="BJ54" s="1" t="s">
        <v>228</v>
      </c>
      <c r="BK54" s="1" t="s">
        <v>3744</v>
      </c>
      <c r="BL54" s="1">
        <v>1.7</v>
      </c>
      <c r="BM54" s="1">
        <v>70</v>
      </c>
      <c r="BN54" s="1" t="s">
        <v>228</v>
      </c>
      <c r="BO54" s="1" t="s">
        <v>228</v>
      </c>
      <c r="BQ54" s="1" t="s">
        <v>228</v>
      </c>
      <c r="BR54" s="1" t="s">
        <v>237</v>
      </c>
      <c r="BS54" s="1" t="s">
        <v>228</v>
      </c>
      <c r="BT54" s="1" t="s">
        <v>237</v>
      </c>
      <c r="BU54" s="1" t="s">
        <v>228</v>
      </c>
      <c r="BW54" s="1" t="s">
        <v>272</v>
      </c>
      <c r="BX54" s="1">
        <v>70</v>
      </c>
      <c r="BY54" s="1">
        <v>500</v>
      </c>
      <c r="BZ54" s="1" t="s">
        <v>3745</v>
      </c>
      <c r="CA54" s="1" t="s">
        <v>1186</v>
      </c>
      <c r="CB54" s="1" t="s">
        <v>240</v>
      </c>
      <c r="CC54" s="1" t="s">
        <v>2471</v>
      </c>
      <c r="CD54" s="1">
        <v>2000</v>
      </c>
      <c r="CE54" s="1">
        <v>2000</v>
      </c>
      <c r="CF54" s="1" t="s">
        <v>236</v>
      </c>
      <c r="CG54" s="1" t="s">
        <v>242</v>
      </c>
      <c r="CH54" s="1" t="s">
        <v>243</v>
      </c>
      <c r="CI54" s="1" t="s">
        <v>243</v>
      </c>
      <c r="CJ54" s="1" t="s">
        <v>2848</v>
      </c>
      <c r="CL54" s="5" t="s">
        <v>3746</v>
      </c>
      <c r="CM54" s="1">
        <v>12220776285</v>
      </c>
      <c r="CN54" s="1" t="s">
        <v>228</v>
      </c>
      <c r="CQ54" s="42">
        <v>0</v>
      </c>
      <c r="CR54" s="42">
        <v>0</v>
      </c>
      <c r="CT54" s="45" t="str">
        <f t="array" ref="CT54">IFERROR(INDEX(#REF!,MATCH('Respuestas de formulario 1.1'!$B54,#REF!,0),MATCH('Respuestas de formulario 1.1'!CT$1,#REF!,0)),"")</f>
        <v/>
      </c>
      <c r="CU54" s="56" t="str">
        <f t="array" ref="CU54">IFERROR(INDEX(#REF!,MATCH('Respuestas de formulario 1.1'!$B54,#REF!,0),MATCH('Respuestas de formulario 1.1'!CU$1,#REF!,0)),"")</f>
        <v/>
      </c>
      <c r="CV54" s="56" t="str">
        <f t="array" ref="CV54">IFERROR(INDEX(#REF!,MATCH('Respuestas de formulario 1.1'!$B54,#REF!,0),MATCH('Respuestas de formulario 1.1'!CV$1,#REF!,0)),"")</f>
        <v/>
      </c>
      <c r="CW54" s="56" t="str">
        <f t="array" ref="CW54">IFERROR(INDEX(#REF!,MATCH('Respuestas de formulario 1.1'!$B54,#REF!,0),MATCH('Respuestas de formulario 1.1'!CW$1,#REF!,0)),"")</f>
        <v/>
      </c>
      <c r="CX54" s="56" t="str">
        <f t="array" ref="CX54">IFERROR(INDEX(#REF!,MATCH('Respuestas de formulario 1.1'!$B54,#REF!,0),MATCH('Respuestas de formulario 1.1'!CX$1,#REF!,0)),"")</f>
        <v/>
      </c>
      <c r="CY54" s="56" t="str">
        <f t="array" ref="CY54">IFERROR(INDEX(#REF!,MATCH('Respuestas de formulario 1.1'!$B54,#REF!,0),MATCH('Respuestas de formulario 1.1'!CY$1,#REF!,0)),"")</f>
        <v/>
      </c>
      <c r="CZ54" s="57" t="str">
        <f t="array" ref="CZ54">IFERROR(INDEX(#REF!,MATCH('Respuestas de formulario 1.1'!$B54,#REF!,0),MATCH('Respuestas de formulario 1.1'!CZ$1,#REF!,0)),"")</f>
        <v/>
      </c>
      <c r="DA54" s="45" t="e">
        <f t="array" ref="DA54">INDEX(#REF!,MATCH('Respuestas de formulario 1.1'!$B54,#REF!,0),MATCH('Respuestas de formulario 1.1'!DA$1,#REF!,0))</f>
        <v>#REF!</v>
      </c>
      <c r="DB54" s="45" t="e">
        <f t="array" ref="DB54">INDEX(#REF!,MATCH('Respuestas de formulario 1.1'!$B54,#REF!,0),MATCH('Respuestas de formulario 1.1'!DB$1,#REF!,0))</f>
        <v>#REF!</v>
      </c>
      <c r="DC54" s="45" t="e">
        <f t="array" ref="DC54">INDEX(#REF!,MATCH('Respuestas de formulario 1.1'!$B54,#REF!,0),MATCH('Respuestas de formulario 1.1'!DC$1,#REF!,0))</f>
        <v>#REF!</v>
      </c>
      <c r="DD54" s="45" t="e">
        <f t="array" ref="DD54">INDEX(#REF!,MATCH('Respuestas de formulario 1.1'!$B54,#REF!,0),MATCH('Respuestas de formulario 1.1'!DD$1,#REF!,0))</f>
        <v>#REF!</v>
      </c>
      <c r="DE54" s="45" t="e">
        <f t="array" ref="DE54">INDEX(#REF!,MATCH('Respuestas de formulario 1.1'!$B54,#REF!,0),MATCH('Respuestas de formulario 1.1'!DE$1,#REF!,0))</f>
        <v>#REF!</v>
      </c>
      <c r="DF54" s="45" t="e">
        <f t="array" ref="DF54">INDEX(#REF!,MATCH('Respuestas de formulario 1.1'!$B54,#REF!,0),MATCH('Respuestas de formulario 1.1'!DF$1,#REF!,0))</f>
        <v>#REF!</v>
      </c>
      <c r="DG54" s="45" t="e">
        <f t="array" ref="DG54">INDEX(#REF!,MATCH('Respuestas de formulario 1.1'!$B54,#REF!,0),MATCH('Respuestas de formulario 1.1'!DG$1,#REF!,0))</f>
        <v>#REF!</v>
      </c>
      <c r="DH54" s="45" t="e">
        <f t="array" ref="DH54">INDEX(#REF!,MATCH('Respuestas de formulario 1.1'!$B54,#REF!,0),MATCH('Respuestas de formulario 1.1'!DH$1,#REF!,0))</f>
        <v>#REF!</v>
      </c>
      <c r="DI54" s="48" t="e">
        <f>VLOOKUP(CONCATENATE($DF54," TUTO ",$DC54),#REF!,3,0)</f>
        <v>#REF!</v>
      </c>
      <c r="DJ54" s="48" t="e">
        <f t="array" ref="DJ54">IF('Respuestas de formulario 1.1'!A54="","",INDEX(#REF!,MATCH('Respuestas de formulario 1.1'!B54,#REF!,0),MATCH('Respuestas de formulario 1.1'!$DH$1,#REF!,0)))</f>
        <v>#REF!</v>
      </c>
      <c r="DK54" s="52" t="str">
        <f>CONCATENATE("http://doc.google.com/uc?id=",MID('Respuestas de formulario 1.1'!G54,34,33))</f>
        <v>http://doc.google.com/uc?id=1OURaM714IMwZg3IfY5-JBmMEgKW-agwL</v>
      </c>
      <c r="DL54" s="49" t="str">
        <f>CONCATENATE("http://doc.google.com/uc?id=",MID('Respuestas de formulario 1.1'!AH54,34,33))</f>
        <v>http://doc.google.com/uc?id=1_WXGk2mNW72GqozhOXD7SPBYG5EbQMVl</v>
      </c>
      <c r="DM54" s="50" t="str">
        <f>CONCATENATE("http://doc.google.com/uc?id=",MID('Respuestas de formulario 1.1'!AW54,34,33))</f>
        <v>http://doc.google.com/uc?id=1JfjZjwacILh_dLvKkXzepBxsfw1alxW2</v>
      </c>
      <c r="DN54" s="53" t="str">
        <f>CONCATENATE("http://doc.google.com/uc?id=",MID('Respuestas de formulario 1.1'!$BI54,34,33))</f>
        <v>http://doc.google.com/uc?id=14B5ZJdE5M_yWXunDz4r5gMD5-Y1GtBJ5</v>
      </c>
      <c r="DO54" s="45" t="str">
        <f>IFERROR(VLOOKUP(CONCATENATE('Respuestas de formulario 1.1'!$B54,MID('Respuestas de formulario 1.1'!DO$1,2,1)),#REF!,12,0),"")</f>
        <v/>
      </c>
      <c r="DP54" s="45" t="str">
        <f>IFERROR(VLOOKUP(CONCATENATE('Respuestas de formulario 1.1'!$B54,MID('Respuestas de formulario 1.1'!DP$1,2,1)),#REF!,12,0),"")</f>
        <v/>
      </c>
      <c r="DQ54" s="45" t="str">
        <f>IFERROR(VLOOKUP(CONCATENATE('Respuestas de formulario 1.1'!$B54,MID('Respuestas de formulario 1.1'!DQ$1,2,1)),#REF!,12,0),"")</f>
        <v/>
      </c>
      <c r="DR54" s="45" t="str">
        <f>IFERROR(VLOOKUP(CONCATENATE('Respuestas de formulario 1.1'!$B54,MID('Respuestas de formulario 1.1'!DR$1,2,1)),#REF!,12,0),"")</f>
        <v/>
      </c>
      <c r="DS54" s="45" t="str">
        <f>IFERROR(VLOOKUP(CONCATENATE('Respuestas de formulario 1.1'!$B54,MID('Respuestas de formulario 1.1'!DS$1,2,1)),#REF!,12,0),"")</f>
        <v/>
      </c>
      <c r="DT54" s="45" t="str">
        <f>IFERROR(VLOOKUP(CONCATENATE('Respuestas de formulario 1.1'!$B54,MID('Respuestas de formulario 1.1'!DT$1,2,1)),#REF!,12,0),"")</f>
        <v/>
      </c>
      <c r="DU54" s="45" t="str">
        <f>IFERROR(VLOOKUP(CONCATENATE('Respuestas de formulario 1.1'!$B54,MID('Respuestas de formulario 1.1'!DU$1,2,1)),#REF!,12,0),"")</f>
        <v/>
      </c>
      <c r="DV54" s="45" t="str">
        <f>IFERROR(VLOOKUP(CONCATENATE('Respuestas de formulario 1.1'!$B54,MID('Respuestas de formulario 1.1'!DV$1,2,1)),#REF!,12,0),"")</f>
        <v/>
      </c>
      <c r="DW54" s="45" t="str">
        <f>IFERROR(VLOOKUP(CONCATENATE('Respuestas de formulario 1.1'!$B54,MID('Respuestas de formulario 1.1'!DW$1,2,1)),#REF!,12,0),"")</f>
        <v/>
      </c>
      <c r="DX54" s="45" t="str">
        <f>IFERROR(VLOOKUP(CONCATENATE('Respuestas de formulario 1.1'!$B54,MID('Respuestas de formulario 1.1'!DX$1,2,1)),#REF!,12,0),"")</f>
        <v/>
      </c>
      <c r="DY54" s="45" t="str">
        <f>IFERROR(VLOOKUP(CONCATENATE('Respuestas de formulario 1.1'!$B54,MID('Respuestas de formulario 1.1'!DY$1,2,1)),#REF!,12,0),"")</f>
        <v/>
      </c>
      <c r="DZ54" s="45" t="str">
        <f>IFERROR(VLOOKUP(CONCATENATE('Respuestas de formulario 1.1'!$B54,MID('Respuestas de formulario 1.1'!DZ$1,2,1)),#REF!,12,0),"")</f>
        <v/>
      </c>
      <c r="EA54" s="45" t="str">
        <f>IFERROR(VLOOKUP(CONCATENATE('Respuestas de formulario 1.1'!$B54,MID('Respuestas de formulario 1.1'!EA$1,2,1)),#REF!,12,0),"")</f>
        <v/>
      </c>
      <c r="EB54" s="45" t="str">
        <f>IFERROR(VLOOKUP(CONCATENATE('Respuestas de formulario 1.1'!$B54,MID('Respuestas de formulario 1.1'!EB$1,2,1)),#REF!,12,0),"")</f>
        <v/>
      </c>
      <c r="EC54" s="45" t="str">
        <f>IFERROR(VLOOKUP(CONCATENATE('Respuestas de formulario 1.1'!$B54,MID('Respuestas de formulario 1.1'!EC$1,2,1)),#REF!,12,0),"")</f>
        <v/>
      </c>
      <c r="ED54" s="45" t="str">
        <f>IFERROR(VLOOKUP(CONCATENATE('Respuestas de formulario 1.1'!$B54,MID('Respuestas de formulario 1.1'!ED$1,2,1)),#REF!,12,0),"")</f>
        <v/>
      </c>
      <c r="EE54" s="45" t="str">
        <f>IFERROR(VLOOKUP(CONCATENATE('Respuestas de formulario 1.1'!$B54,MID('Respuestas de formulario 1.1'!EE$1,2,1)),#REF!,12,0),"")</f>
        <v/>
      </c>
      <c r="EF54" s="45" t="str">
        <f>IFERROR(VLOOKUP(CONCATENATE('Respuestas de formulario 1.1'!$B54,MID('Respuestas de formulario 1.1'!EF$1,2,1)),#REF!,12,0),"")</f>
        <v/>
      </c>
      <c r="EG54" s="45" t="str">
        <f>IFERROR(VLOOKUP(CONCATENATE('Respuestas de formulario 1.1'!$B54,MID('Respuestas de formulario 1.1'!EG$1,2,1)),#REF!,12,0),"")</f>
        <v/>
      </c>
      <c r="EH54" s="45" t="str">
        <f>IFERROR(VLOOKUP(CONCATENATE('Respuestas de formulario 1.1'!$B54,MID('Respuestas de formulario 1.1'!EH$1,2,1)),#REF!,12,0),"")</f>
        <v/>
      </c>
      <c r="EI54" s="45" t="str">
        <f>IFERROR(VLOOKUP(CONCATENATE('Respuestas de formulario 1.1'!$B54,MID('Respuestas de formulario 1.1'!EI$1,2,1)),#REF!,12,0),"")</f>
        <v/>
      </c>
      <c r="EJ54" s="45" t="str">
        <f t="array" ref="EJ54">IF(DO54="","", INDEX(#REF!,MATCH(CONCATENATE('Respuestas de formulario 1.1'!$B54,DO54),#REF!,0),MATCH('Respuestas de formulario 1.1'!EJ$1,#REF!,0)))</f>
        <v/>
      </c>
      <c r="EK54" s="56" t="str">
        <f t="array" ref="EK54">IF(DP54="","", INDEX(#REF!,MATCH(CONCATENATE('Respuestas de formulario 1.1'!$B54,DP54),#REF!,0),MATCH('Respuestas de formulario 1.1'!EK$1,#REF!,0)))</f>
        <v/>
      </c>
      <c r="EL54" s="56" t="str">
        <f t="array" ref="EL54">IF(DQ54="","", INDEX(#REF!,MATCH(CONCATENATE('Respuestas de formulario 1.1'!$B54,DQ54),#REF!,0),MATCH('Respuestas de formulario 1.1'!EL$1,#REF!,0)))</f>
        <v/>
      </c>
      <c r="EM54" s="56" t="str">
        <f t="array" ref="EM54">IF(DR54="","", INDEX(#REF!,MATCH(CONCATENATE('Respuestas de formulario 1.1'!$B54,DR54),#REF!,0),MATCH('Respuestas de formulario 1.1'!EM$1,#REF!,0)))</f>
        <v/>
      </c>
      <c r="EN54" s="56" t="str">
        <f t="array" ref="EN54">IF(DS54="","", INDEX(#REF!,MATCH(CONCATENATE('Respuestas de formulario 1.1'!$B54,DS54),#REF!,0),MATCH('Respuestas de formulario 1.1'!EN$1,#REF!,0)))</f>
        <v/>
      </c>
      <c r="EO54" s="56" t="str">
        <f t="array" ref="EO54">IF(DT54="","", INDEX(#REF!,MATCH(CONCATENATE('Respuestas de formulario 1.1'!$B54,DT54),#REF!,0),MATCH('Respuestas de formulario 1.1'!EO$1,#REF!,0)))</f>
        <v/>
      </c>
      <c r="EP54" s="45" t="str">
        <f t="array" ref="EP54">IF(DU54="","", INDEX(#REF!,MATCH(CONCATENATE('Respuestas de formulario 1.1'!$B54,DU54),#REF!,0),MATCH('Respuestas de formulario 1.1'!EP$1,#REF!,0)))</f>
        <v/>
      </c>
      <c r="EQ54" s="45" t="str">
        <f t="array" ref="EQ54">IF(DP54="","", INDEX(#REF!,MATCH(CONCATENATE('Respuestas de formulario 1.1'!$B54,DP54),#REF!,0),MATCH('Respuestas de formulario 1.1'!EQ$1,#REF!,0)))</f>
        <v/>
      </c>
      <c r="ER54" s="56" t="str">
        <f t="array" ref="ER54">IF(DQ54="","", INDEX(#REF!,MATCH(CONCATENATE('Respuestas de formulario 1.1'!$B54,DQ54),#REF!,0),MATCH('Respuestas de formulario 1.1'!ER$1,#REF!,0)))</f>
        <v/>
      </c>
      <c r="ES54" s="56" t="str">
        <f t="array" ref="ES54">IF(DR54="","", INDEX(#REF!,MATCH(CONCATENATE('Respuestas de formulario 1.1'!$B54,DR54),#REF!,0),MATCH('Respuestas de formulario 1.1'!ES$1,#REF!,0)))</f>
        <v/>
      </c>
      <c r="ET54" s="56" t="str">
        <f t="array" ref="ET54">IF(DS54="","", INDEX(#REF!,MATCH(CONCATENATE('Respuestas de formulario 1.1'!$B54,DS54),#REF!,0),MATCH('Respuestas de formulario 1.1'!ET$1,#REF!,0)))</f>
        <v/>
      </c>
      <c r="EU54" s="56" t="str">
        <f t="array" ref="EU54">IF(DT54="","", INDEX(#REF!,MATCH(CONCATENATE('Respuestas de formulario 1.1'!$B54,DT54),#REF!,0),MATCH('Respuestas de formulario 1.1'!EU$1,#REF!,0)))</f>
        <v/>
      </c>
      <c r="EV54" s="56" t="str">
        <f t="array" ref="EV54">IF(DU54="","", INDEX(#REF!,MATCH(CONCATENATE('Respuestas de formulario 1.1'!$B54,DU54),#REF!,0),MATCH('Respuestas de formulario 1.1'!EV$1,#REF!,0)))</f>
        <v/>
      </c>
      <c r="EW54" s="45" t="str">
        <f t="array" ref="EW54">IF(DV54="","", INDEX(#REF!,MATCH(CONCATENATE('Respuestas de formulario 1.1'!$B54,DV54),#REF!,0),MATCH('Respuestas de formulario 1.1'!EW$1,#REF!,0)))</f>
        <v/>
      </c>
      <c r="EX54" s="45" t="str">
        <f t="array" ref="EX54">IF($DQ54="","", INDEX(#REF!,MATCH(CONCATENATE('Respuestas de formulario 1.1'!$B54,$DQ54),#REF!,0),MATCH('Respuestas de formulario 1.1'!EX$1,#REF!,0)))</f>
        <v/>
      </c>
      <c r="EY54" s="56" t="str">
        <f t="array" ref="EY54">IF($DQ54="","", INDEX(#REF!,MATCH(CONCATENATE('Respuestas de formulario 1.1'!$B54,$DQ54),#REF!,0),MATCH('Respuestas de formulario 1.1'!EY$1,#REF!,0)))</f>
        <v/>
      </c>
      <c r="EZ54" s="56" t="str">
        <f t="array" ref="EZ54">IF($DQ54="","", INDEX(#REF!,MATCH(CONCATENATE('Respuestas de formulario 1.1'!$B54,$DQ54),#REF!,0),MATCH('Respuestas de formulario 1.1'!EZ$1,#REF!,0)))</f>
        <v/>
      </c>
      <c r="FA54" s="56" t="str">
        <f t="array" ref="FA54">IF($DQ54="","", INDEX(#REF!,MATCH(CONCATENATE('Respuestas de formulario 1.1'!$B54,$DQ54),#REF!,0),MATCH('Respuestas de formulario 1.1'!FA$1,#REF!,0)))</f>
        <v/>
      </c>
      <c r="FB54" s="56" t="str">
        <f t="array" ref="FB54">IF($DQ54="","", INDEX(#REF!,MATCH(CONCATENATE('Respuestas de formulario 1.1'!$B54,$DQ54),#REF!,0),MATCH('Respuestas de formulario 1.1'!FB$1,#REF!,0)))</f>
        <v/>
      </c>
      <c r="FC54" s="56" t="str">
        <f t="array" ref="FC54">IF($DQ54="","", INDEX(#REF!,MATCH(CONCATENATE('Respuestas de formulario 1.1'!$B54,$DQ54),#REF!,0),MATCH('Respuestas de formulario 1.1'!FC$1,#REF!,0)))</f>
        <v/>
      </c>
      <c r="FD54" s="45" t="str">
        <f t="array" ref="FD54">IF($DQ54="","", INDEX(#REF!,MATCH(CONCATENATE('Respuestas de formulario 1.1'!$B54,$DQ54),#REF!,0),MATCH('Respuestas de formulario 1.1'!FD$1,#REF!,0)))</f>
        <v/>
      </c>
      <c r="FE54" s="45" t="str">
        <f t="array" ref="FE54">IF($DR54="","", INDEX(#REF!,MATCH(CONCATENATE(#REF!,$DR54),#REF!,0),MATCH(#REF!,#REF!,0)))</f>
        <v/>
      </c>
      <c r="FF54" s="56" t="str">
        <f t="array" ref="FF54">IF($DR54="","", INDEX(#REF!,MATCH(CONCATENATE(#REF!,$DR54),#REF!,0),MATCH(#REF!,#REF!,0)))</f>
        <v/>
      </c>
      <c r="FG54" s="56" t="str">
        <f t="array" ref="FG54">IF($DR54="","", INDEX(#REF!,MATCH(CONCATENATE(#REF!,$DR54),#REF!,0),MATCH(#REF!,#REF!,0)))</f>
        <v/>
      </c>
      <c r="FH54" s="56" t="str">
        <f t="array" ref="FH54">IF($DR54="","", INDEX(#REF!,MATCH(CONCATENATE(#REF!,$DR54),#REF!,0),MATCH(#REF!,#REF!,0)))</f>
        <v/>
      </c>
      <c r="FI54" s="56" t="str">
        <f t="array" ref="FI54">IF($DR54="","", INDEX(#REF!,MATCH(CONCATENATE(#REF!,$DR54),#REF!,0),MATCH(#REF!,#REF!,0)))</f>
        <v/>
      </c>
      <c r="FJ54" s="56" t="str">
        <f t="array" ref="FJ54">IF($DR54="","", INDEX(#REF!,MATCH(CONCATENATE(#REF!,$DR54),#REF!,0),MATCH(#REF!,#REF!,0)))</f>
        <v/>
      </c>
      <c r="FK54" s="45" t="str">
        <f t="array" ref="FK54">IF($DR54="","", INDEX(#REF!,MATCH(CONCATENATE(#REF!,$DR54),#REF!,0),MATCH(#REF!,#REF!,0)))</f>
        <v/>
      </c>
      <c r="FL54" s="45" t="str">
        <f t="array" ref="FL54">IF($DT54="","", INDEX(#REF!,MATCH(CONCATENATE('Respuestas de formulario 1.1'!$B54,$DS54),#REF!,0),MATCH('Respuestas de formulario 1.1'!FL$1,#REF!,0)))</f>
        <v/>
      </c>
      <c r="FM54" s="56" t="str">
        <f t="array" ref="FM54">IF($DT54="","", INDEX(#REF!,MATCH(CONCATENATE('Respuestas de formulario 1.1'!$B54,$DS54),#REF!,0),MATCH('Respuestas de formulario 1.1'!FM$1,#REF!,0)))</f>
        <v/>
      </c>
      <c r="FN54" s="56" t="str">
        <f t="array" ref="FN54">IF($DT54="","", INDEX(#REF!,MATCH(CONCATENATE('Respuestas de formulario 1.1'!$B54,$DS54),#REF!,0),MATCH('Respuestas de formulario 1.1'!FN$1,#REF!,0)))</f>
        <v/>
      </c>
      <c r="FO54" s="56" t="str">
        <f t="array" ref="FO54">IF($DT54="","", INDEX(#REF!,MATCH(CONCATENATE('Respuestas de formulario 1.1'!$B54,$DS54),#REF!,0),MATCH('Respuestas de formulario 1.1'!FO$1,#REF!,0)))</f>
        <v/>
      </c>
      <c r="FP54" s="56" t="str">
        <f t="array" ref="FP54">IF($DT54="","", INDEX(#REF!,MATCH(CONCATENATE('Respuestas de formulario 1.1'!$B54,$DS54),#REF!,0),MATCH('Respuestas de formulario 1.1'!FP$1,#REF!,0)))</f>
        <v/>
      </c>
      <c r="FQ54" s="56" t="str">
        <f t="array" ref="FQ54">IF($DT54="","", INDEX(#REF!,MATCH(CONCATENATE('Respuestas de formulario 1.1'!$B54,$DS54),#REF!,0),MATCH('Respuestas de formulario 1.1'!FQ$1,#REF!,0)))</f>
        <v/>
      </c>
      <c r="FR54" s="45" t="str">
        <f t="array" ref="FR54">IF($DT54="","", INDEX(#REF!,MATCH(CONCATENATE('Respuestas de formulario 1.1'!$B54,$DS54),#REF!,0),MATCH('Respuestas de formulario 1.1'!FR$1,#REF!,0)))</f>
        <v/>
      </c>
      <c r="FS54" s="45" t="str">
        <f t="array" ref="FS54">IF($DU54="","", INDEX(#REF!,MATCH(CONCATENATE('Respuestas de formulario 1.1'!$B54,$DT54),#REF!,0),MATCH('Respuestas de formulario 1.1'!FS$1,#REF!,0)))</f>
        <v/>
      </c>
      <c r="FT54" s="56" t="str">
        <f t="array" ref="FT54">IF($DU54="","", INDEX(#REF!,MATCH(CONCATENATE('Respuestas de formulario 1.1'!$B54,$DT54),#REF!,0),MATCH('Respuestas de formulario 1.1'!FT$1,#REF!,0)))</f>
        <v/>
      </c>
      <c r="FU54" s="56" t="str">
        <f t="array" ref="FU54">IF($DU54="","", INDEX(#REF!,MATCH(CONCATENATE('Respuestas de formulario 1.1'!$B54,$DT54),#REF!,0),MATCH('Respuestas de formulario 1.1'!FU$1,#REF!,0)))</f>
        <v/>
      </c>
      <c r="FV54" s="56" t="str">
        <f t="array" ref="FV54">IF($DU54="","", INDEX(#REF!,MATCH(CONCATENATE('Respuestas de formulario 1.1'!$B54,$DT54),#REF!,0),MATCH('Respuestas de formulario 1.1'!FV$1,#REF!,0)))</f>
        <v/>
      </c>
      <c r="FW54" s="56" t="str">
        <f t="array" ref="FW54">IF($DU54="","", INDEX(#REF!,MATCH(CONCATENATE('Respuestas de formulario 1.1'!$B54,$DT54),#REF!,0),MATCH('Respuestas de formulario 1.1'!FW$1,#REF!,0)))</f>
        <v/>
      </c>
      <c r="FX54" s="56" t="str">
        <f t="array" ref="FX54">IF($DU54="","", INDEX(#REF!,MATCH(CONCATENATE('Respuestas de formulario 1.1'!$B54,$DT54),#REF!,0),MATCH('Respuestas de formulario 1.1'!FX$1,#REF!,0)))</f>
        <v/>
      </c>
      <c r="FY54" s="45" t="str">
        <f t="array" ref="FY54">IF($DU54="","", INDEX(#REF!,MATCH(CONCATENATE('Respuestas de formulario 1.1'!$B54,$DT54),#REF!,0),MATCH('Respuestas de formulario 1.1'!FY$1,#REF!,0)))</f>
        <v/>
      </c>
      <c r="FZ54" s="3" t="s">
        <v>2860</v>
      </c>
      <c r="GA54" s="1" t="s">
        <v>3747</v>
      </c>
      <c r="GB54" s="5" t="s">
        <v>3748</v>
      </c>
      <c r="GC54" s="4" t="str">
        <f>HYPERLINK("https://drive.google.com/file/d/1ce-lc1B3HLtxZxfxr-Ii4YB4cUhxehkX/view?usp=drivesdk","MARTINEZ RAMIREZ  BRISEIDA JISEL Formato de reinscripción y pago 2022-2")</f>
        <v>MARTINEZ RAMIREZ  BRISEIDA JISEL Formato de reinscripción y pago 2022-2</v>
      </c>
      <c r="GD54" s="1" t="s">
        <v>3749</v>
      </c>
      <c r="GE54" s="1"/>
      <c r="GF54" s="1"/>
      <c r="GG54" s="1"/>
      <c r="GH54" s="1"/>
      <c r="GI54" s="1" t="s">
        <v>3750</v>
      </c>
      <c r="GJ54" s="5" t="s">
        <v>3751</v>
      </c>
      <c r="GK54" s="5" t="str">
        <f>HYPERLINK("https://drive.google.com/file/d/1R-OH4-DZW5jaWA9NYEPOvORRZgNeTplR/view?usp=drivesdk","MARTINEZ RAMIREZ  BRISEIDA JISEL Formato de reinscripción y pago 2022-2")</f>
        <v>MARTINEZ RAMIREZ  BRISEIDA JISEL Formato de reinscripción y pago 2022-2</v>
      </c>
      <c r="GL54" s="1" t="s">
        <v>3752</v>
      </c>
    </row>
    <row r="55" spans="1:194" ht="38.25" x14ac:dyDescent="0.2">
      <c r="A55" s="2">
        <v>45139.122226307867</v>
      </c>
      <c r="B55" s="1" t="s">
        <v>2681</v>
      </c>
      <c r="C55" s="1" t="s">
        <v>501</v>
      </c>
      <c r="D55" s="1" t="s">
        <v>1052</v>
      </c>
      <c r="E55" s="1" t="s">
        <v>2682</v>
      </c>
      <c r="F55" s="1" t="s">
        <v>223</v>
      </c>
      <c r="G55" s="5" t="s">
        <v>3753</v>
      </c>
      <c r="H55" s="41">
        <v>39195</v>
      </c>
      <c r="I55" s="1">
        <v>16</v>
      </c>
      <c r="J55" s="1">
        <v>5618645055</v>
      </c>
      <c r="K55" s="1">
        <v>5591802016</v>
      </c>
      <c r="L55" s="1" t="s">
        <v>2683</v>
      </c>
      <c r="M55" s="1">
        <v>223090605700</v>
      </c>
      <c r="N55" s="1" t="s">
        <v>562</v>
      </c>
      <c r="O55" s="1" t="s">
        <v>225</v>
      </c>
      <c r="P55" s="1" t="s">
        <v>226</v>
      </c>
      <c r="Q55" s="1" t="s">
        <v>315</v>
      </c>
      <c r="R55" s="1" t="s">
        <v>236</v>
      </c>
      <c r="S55" s="1" t="s">
        <v>228</v>
      </c>
      <c r="T55" s="1" t="s">
        <v>411</v>
      </c>
      <c r="U55" s="1" t="s">
        <v>1503</v>
      </c>
      <c r="V55" s="1" t="s">
        <v>228</v>
      </c>
      <c r="W55" s="1" t="s">
        <v>3754</v>
      </c>
      <c r="X55" s="1" t="s">
        <v>393</v>
      </c>
      <c r="Y55" s="1" t="s">
        <v>2505</v>
      </c>
      <c r="Z55" s="1" t="s">
        <v>240</v>
      </c>
      <c r="AA55" s="44" t="s">
        <v>2684</v>
      </c>
      <c r="AB55" s="1">
        <v>4</v>
      </c>
      <c r="AC55" s="1">
        <v>2</v>
      </c>
      <c r="AD55" s="1" t="s">
        <v>3755</v>
      </c>
      <c r="AE55" s="1" t="s">
        <v>3756</v>
      </c>
      <c r="AF55" s="1" t="s">
        <v>420</v>
      </c>
      <c r="AG55" s="1">
        <v>48</v>
      </c>
      <c r="AH55" s="5" t="s">
        <v>3757</v>
      </c>
      <c r="AI55" s="1">
        <v>5512986609</v>
      </c>
      <c r="AJ55" s="1">
        <v>5591802016</v>
      </c>
      <c r="AK55" s="1" t="s">
        <v>2686</v>
      </c>
      <c r="AL55" s="1" t="s">
        <v>714</v>
      </c>
      <c r="AM55" s="1" t="s">
        <v>611</v>
      </c>
      <c r="AN55" s="1" t="s">
        <v>2685</v>
      </c>
      <c r="AO55" s="1" t="s">
        <v>461</v>
      </c>
      <c r="AP55" s="1">
        <v>45</v>
      </c>
      <c r="AQ55" s="1" t="s">
        <v>454</v>
      </c>
      <c r="AR55" s="42">
        <v>0.33333333333575865</v>
      </c>
      <c r="AS55" s="42">
        <v>0.33333333333575865</v>
      </c>
      <c r="AT55" s="1">
        <v>5518531975</v>
      </c>
      <c r="AU55" s="1">
        <v>5591802016</v>
      </c>
      <c r="AV55" s="1" t="s">
        <v>3758</v>
      </c>
      <c r="AW55" s="5" t="s">
        <v>3759</v>
      </c>
      <c r="AX55" s="1" t="s">
        <v>501</v>
      </c>
      <c r="AY55" s="1" t="s">
        <v>714</v>
      </c>
      <c r="AZ55" s="1" t="s">
        <v>3760</v>
      </c>
      <c r="BA55" s="1" t="s">
        <v>403</v>
      </c>
      <c r="BB55" s="1">
        <v>28</v>
      </c>
      <c r="BC55" s="1" t="s">
        <v>1100</v>
      </c>
      <c r="BD55" s="43">
        <v>0.29166666666424135</v>
      </c>
      <c r="BE55" s="43">
        <v>0.625</v>
      </c>
      <c r="BF55" s="1">
        <v>5530351360</v>
      </c>
      <c r="BG55" s="1">
        <v>5591802016</v>
      </c>
      <c r="BH55" s="1" t="s">
        <v>2686</v>
      </c>
      <c r="BI55" s="5" t="s">
        <v>3761</v>
      </c>
      <c r="BJ55" s="1" t="s">
        <v>236</v>
      </c>
      <c r="BL55" s="1">
        <v>155</v>
      </c>
      <c r="BM55" s="1">
        <v>50</v>
      </c>
      <c r="BN55" s="1" t="s">
        <v>228</v>
      </c>
      <c r="BO55" s="1" t="s">
        <v>228</v>
      </c>
      <c r="BQ55" s="1" t="s">
        <v>228</v>
      </c>
      <c r="BR55" s="1" t="s">
        <v>237</v>
      </c>
      <c r="BS55" s="1" t="s">
        <v>228</v>
      </c>
      <c r="BT55" s="1" t="s">
        <v>237</v>
      </c>
      <c r="BU55" s="1" t="s">
        <v>228</v>
      </c>
      <c r="BW55" s="1" t="s">
        <v>349</v>
      </c>
      <c r="BX55" s="1">
        <v>2</v>
      </c>
      <c r="BY55" s="1">
        <v>20</v>
      </c>
      <c r="BZ55" s="1" t="s">
        <v>253</v>
      </c>
      <c r="CA55" s="1" t="s">
        <v>652</v>
      </c>
      <c r="CB55" s="1" t="s">
        <v>240</v>
      </c>
      <c r="CC55" s="1" t="s">
        <v>255</v>
      </c>
      <c r="CD55" s="1">
        <v>2000</v>
      </c>
      <c r="CE55" s="1">
        <v>1500</v>
      </c>
      <c r="CF55" s="1" t="s">
        <v>236</v>
      </c>
      <c r="CG55" s="1" t="s">
        <v>242</v>
      </c>
      <c r="CH55" s="1" t="s">
        <v>243</v>
      </c>
      <c r="CI55" s="1" t="s">
        <v>243</v>
      </c>
      <c r="CJ55" s="1" t="s">
        <v>2848</v>
      </c>
      <c r="CL55" s="5" t="s">
        <v>3762</v>
      </c>
      <c r="CM55" s="1">
        <v>4212950649</v>
      </c>
      <c r="CN55" s="1" t="s">
        <v>228</v>
      </c>
      <c r="CQ55" s="42">
        <v>0.375</v>
      </c>
      <c r="CR55" s="42">
        <v>0.75</v>
      </c>
      <c r="CT55" s="45" t="str">
        <f t="array" ref="CT55">IFERROR(INDEX(#REF!,MATCH('Respuestas de formulario 1.1'!$B55,#REF!,0),MATCH('Respuestas de formulario 1.1'!CT$1,#REF!,0)),"")</f>
        <v/>
      </c>
      <c r="CU55" s="56" t="str">
        <f t="array" ref="CU55">IFERROR(INDEX(#REF!,MATCH('Respuestas de formulario 1.1'!$B55,#REF!,0),MATCH('Respuestas de formulario 1.1'!CU$1,#REF!,0)),"")</f>
        <v/>
      </c>
      <c r="CV55" s="56" t="str">
        <f t="array" ref="CV55">IFERROR(INDEX(#REF!,MATCH('Respuestas de formulario 1.1'!$B55,#REF!,0),MATCH('Respuestas de formulario 1.1'!CV$1,#REF!,0)),"")</f>
        <v/>
      </c>
      <c r="CW55" s="56" t="str">
        <f t="array" ref="CW55">IFERROR(INDEX(#REF!,MATCH('Respuestas de formulario 1.1'!$B55,#REF!,0),MATCH('Respuestas de formulario 1.1'!CW$1,#REF!,0)),"")</f>
        <v/>
      </c>
      <c r="CX55" s="56" t="str">
        <f t="array" ref="CX55">IFERROR(INDEX(#REF!,MATCH('Respuestas de formulario 1.1'!$B55,#REF!,0),MATCH('Respuestas de formulario 1.1'!CX$1,#REF!,0)),"")</f>
        <v/>
      </c>
      <c r="CY55" s="56" t="str">
        <f t="array" ref="CY55">IFERROR(INDEX(#REF!,MATCH('Respuestas de formulario 1.1'!$B55,#REF!,0),MATCH('Respuestas de formulario 1.1'!CY$1,#REF!,0)),"")</f>
        <v/>
      </c>
      <c r="CZ55" s="57" t="str">
        <f t="array" ref="CZ55">IFERROR(INDEX(#REF!,MATCH('Respuestas de formulario 1.1'!$B55,#REF!,0),MATCH('Respuestas de formulario 1.1'!CZ$1,#REF!,0)),"")</f>
        <v/>
      </c>
      <c r="DA55" s="45" t="e">
        <f t="array" ref="DA55">INDEX(#REF!,MATCH('Respuestas de formulario 1.1'!$B55,#REF!,0),MATCH('Respuestas de formulario 1.1'!DA$1,#REF!,0))</f>
        <v>#REF!</v>
      </c>
      <c r="DB55" s="45" t="e">
        <f t="array" ref="DB55">INDEX(#REF!,MATCH('Respuestas de formulario 1.1'!$B55,#REF!,0),MATCH('Respuestas de formulario 1.1'!DB$1,#REF!,0))</f>
        <v>#REF!</v>
      </c>
      <c r="DC55" s="45" t="e">
        <f t="array" ref="DC55">INDEX(#REF!,MATCH('Respuestas de formulario 1.1'!$B55,#REF!,0),MATCH('Respuestas de formulario 1.1'!DC$1,#REF!,0))</f>
        <v>#REF!</v>
      </c>
      <c r="DD55" s="45" t="e">
        <f t="array" ref="DD55">INDEX(#REF!,MATCH('Respuestas de formulario 1.1'!$B55,#REF!,0),MATCH('Respuestas de formulario 1.1'!DD$1,#REF!,0))</f>
        <v>#REF!</v>
      </c>
      <c r="DE55" s="45" t="e">
        <f t="array" ref="DE55">INDEX(#REF!,MATCH('Respuestas de formulario 1.1'!$B55,#REF!,0),MATCH('Respuestas de formulario 1.1'!DE$1,#REF!,0))</f>
        <v>#REF!</v>
      </c>
      <c r="DF55" s="45" t="e">
        <f t="array" ref="DF55">INDEX(#REF!,MATCH('Respuestas de formulario 1.1'!$B55,#REF!,0),MATCH('Respuestas de formulario 1.1'!DF$1,#REF!,0))</f>
        <v>#REF!</v>
      </c>
      <c r="DG55" s="45" t="e">
        <f t="array" ref="DG55">INDEX(#REF!,MATCH('Respuestas de formulario 1.1'!$B55,#REF!,0),MATCH('Respuestas de formulario 1.1'!DG$1,#REF!,0))</f>
        <v>#REF!</v>
      </c>
      <c r="DH55" s="45" t="e">
        <f t="array" ref="DH55">INDEX(#REF!,MATCH('Respuestas de formulario 1.1'!$B55,#REF!,0),MATCH('Respuestas de formulario 1.1'!DH$1,#REF!,0))</f>
        <v>#REF!</v>
      </c>
      <c r="DI55" s="48" t="e">
        <f>VLOOKUP(CONCATENATE($DF55," TUTO ",$DC55),#REF!,3,0)</f>
        <v>#REF!</v>
      </c>
      <c r="DJ55" s="48" t="e">
        <f t="array" ref="DJ55">IF('Respuestas de formulario 1.1'!A55="","",INDEX(#REF!,MATCH('Respuestas de formulario 1.1'!B55,#REF!,0),MATCH('Respuestas de formulario 1.1'!$DH$1,#REF!,0)))</f>
        <v>#REF!</v>
      </c>
      <c r="DK55" s="52" t="str">
        <f>CONCATENATE("http://doc.google.com/uc?id=",MID('Respuestas de formulario 1.1'!G55,34,33))</f>
        <v>http://doc.google.com/uc?id=1iWelmCRgUH_j4Imv06ClT0OUpf9MyaNR</v>
      </c>
      <c r="DL55" s="49" t="str">
        <f>CONCATENATE("http://doc.google.com/uc?id=",MID('Respuestas de formulario 1.1'!AH55,34,33))</f>
        <v>http://doc.google.com/uc?id=1-mEZ_Dtkm5xcCeWCZr72uBOjdkmVl2Lt</v>
      </c>
      <c r="DM55" s="50" t="str">
        <f>CONCATENATE("http://doc.google.com/uc?id=",MID('Respuestas de formulario 1.1'!AW55,34,33))</f>
        <v>http://doc.google.com/uc?id=1cixoHZ2HfA-c074GpjGXdCW1ui9Mg9yb</v>
      </c>
      <c r="DN55" s="53" t="str">
        <f>CONCATENATE("http://doc.google.com/uc?id=",MID('Respuestas de formulario 1.1'!$BI55,34,33))</f>
        <v>http://doc.google.com/uc?id=1MDwUnYn3B7UskTz0Fju5Ue7eNRw4hVab</v>
      </c>
      <c r="DO55" s="45" t="str">
        <f>IFERROR(VLOOKUP(CONCATENATE('Respuestas de formulario 1.1'!$B55,MID('Respuestas de formulario 1.1'!DO$1,2,1)),#REF!,12,0),"")</f>
        <v/>
      </c>
      <c r="DP55" s="45" t="str">
        <f>IFERROR(VLOOKUP(CONCATENATE('Respuestas de formulario 1.1'!$B55,MID('Respuestas de formulario 1.1'!DP$1,2,1)),#REF!,12,0),"")</f>
        <v/>
      </c>
      <c r="DQ55" s="45" t="str">
        <f>IFERROR(VLOOKUP(CONCATENATE('Respuestas de formulario 1.1'!$B55,MID('Respuestas de formulario 1.1'!DQ$1,2,1)),#REF!,12,0),"")</f>
        <v/>
      </c>
      <c r="DR55" s="45" t="str">
        <f>IFERROR(VLOOKUP(CONCATENATE('Respuestas de formulario 1.1'!$B55,MID('Respuestas de formulario 1.1'!DR$1,2,1)),#REF!,12,0),"")</f>
        <v/>
      </c>
      <c r="DS55" s="45" t="str">
        <f>IFERROR(VLOOKUP(CONCATENATE('Respuestas de formulario 1.1'!$B55,MID('Respuestas de formulario 1.1'!DS$1,2,1)),#REF!,12,0),"")</f>
        <v/>
      </c>
      <c r="DT55" s="45" t="str">
        <f>IFERROR(VLOOKUP(CONCATENATE('Respuestas de formulario 1.1'!$B55,MID('Respuestas de formulario 1.1'!DT$1,2,1)),#REF!,12,0),"")</f>
        <v/>
      </c>
      <c r="DU55" s="45" t="str">
        <f>IFERROR(VLOOKUP(CONCATENATE('Respuestas de formulario 1.1'!$B55,MID('Respuestas de formulario 1.1'!DU$1,2,1)),#REF!,12,0),"")</f>
        <v/>
      </c>
      <c r="DV55" s="45" t="str">
        <f>IFERROR(VLOOKUP(CONCATENATE('Respuestas de formulario 1.1'!$B55,MID('Respuestas de formulario 1.1'!DV$1,2,1)),#REF!,12,0),"")</f>
        <v/>
      </c>
      <c r="DW55" s="45" t="str">
        <f>IFERROR(VLOOKUP(CONCATENATE('Respuestas de formulario 1.1'!$B55,MID('Respuestas de formulario 1.1'!DW$1,2,1)),#REF!,12,0),"")</f>
        <v/>
      </c>
      <c r="DX55" s="45" t="str">
        <f>IFERROR(VLOOKUP(CONCATENATE('Respuestas de formulario 1.1'!$B55,MID('Respuestas de formulario 1.1'!DX$1,2,1)),#REF!,12,0),"")</f>
        <v/>
      </c>
      <c r="DY55" s="45" t="str">
        <f>IFERROR(VLOOKUP(CONCATENATE('Respuestas de formulario 1.1'!$B55,MID('Respuestas de formulario 1.1'!DY$1,2,1)),#REF!,12,0),"")</f>
        <v/>
      </c>
      <c r="DZ55" s="45" t="str">
        <f>IFERROR(VLOOKUP(CONCATENATE('Respuestas de formulario 1.1'!$B55,MID('Respuestas de formulario 1.1'!DZ$1,2,1)),#REF!,12,0),"")</f>
        <v/>
      </c>
      <c r="EA55" s="45" t="str">
        <f>IFERROR(VLOOKUP(CONCATENATE('Respuestas de formulario 1.1'!$B55,MID('Respuestas de formulario 1.1'!EA$1,2,1)),#REF!,12,0),"")</f>
        <v/>
      </c>
      <c r="EB55" s="45" t="str">
        <f>IFERROR(VLOOKUP(CONCATENATE('Respuestas de formulario 1.1'!$B55,MID('Respuestas de formulario 1.1'!EB$1,2,1)),#REF!,12,0),"")</f>
        <v/>
      </c>
      <c r="EC55" s="45" t="str">
        <f>IFERROR(VLOOKUP(CONCATENATE('Respuestas de formulario 1.1'!$B55,MID('Respuestas de formulario 1.1'!EC$1,2,1)),#REF!,12,0),"")</f>
        <v/>
      </c>
      <c r="ED55" s="45" t="str">
        <f>IFERROR(VLOOKUP(CONCATENATE('Respuestas de formulario 1.1'!$B55,MID('Respuestas de formulario 1.1'!ED$1,2,1)),#REF!,12,0),"")</f>
        <v/>
      </c>
      <c r="EE55" s="45" t="str">
        <f>IFERROR(VLOOKUP(CONCATENATE('Respuestas de formulario 1.1'!$B55,MID('Respuestas de formulario 1.1'!EE$1,2,1)),#REF!,12,0),"")</f>
        <v/>
      </c>
      <c r="EF55" s="45" t="str">
        <f>IFERROR(VLOOKUP(CONCATENATE('Respuestas de formulario 1.1'!$B55,MID('Respuestas de formulario 1.1'!EF$1,2,1)),#REF!,12,0),"")</f>
        <v/>
      </c>
      <c r="EG55" s="45" t="str">
        <f>IFERROR(VLOOKUP(CONCATENATE('Respuestas de formulario 1.1'!$B55,MID('Respuestas de formulario 1.1'!EG$1,2,1)),#REF!,12,0),"")</f>
        <v/>
      </c>
      <c r="EH55" s="45" t="str">
        <f>IFERROR(VLOOKUP(CONCATENATE('Respuestas de formulario 1.1'!$B55,MID('Respuestas de formulario 1.1'!EH$1,2,1)),#REF!,12,0),"")</f>
        <v/>
      </c>
      <c r="EI55" s="45" t="str">
        <f>IFERROR(VLOOKUP(CONCATENATE('Respuestas de formulario 1.1'!$B55,MID('Respuestas de formulario 1.1'!EI$1,2,1)),#REF!,12,0),"")</f>
        <v/>
      </c>
      <c r="EJ55" s="45" t="str">
        <f t="array" ref="EJ55">IF(DO55="","", INDEX(#REF!,MATCH(CONCATENATE('Respuestas de formulario 1.1'!$B55,DO55),#REF!,0),MATCH('Respuestas de formulario 1.1'!EJ$1,#REF!,0)))</f>
        <v/>
      </c>
      <c r="EK55" s="56" t="str">
        <f t="array" ref="EK55">IF(DP55="","", INDEX(#REF!,MATCH(CONCATENATE('Respuestas de formulario 1.1'!$B55,DP55),#REF!,0),MATCH('Respuestas de formulario 1.1'!EK$1,#REF!,0)))</f>
        <v/>
      </c>
      <c r="EL55" s="56" t="str">
        <f t="array" ref="EL55">IF(DQ55="","", INDEX(#REF!,MATCH(CONCATENATE('Respuestas de formulario 1.1'!$B55,DQ55),#REF!,0),MATCH('Respuestas de formulario 1.1'!EL$1,#REF!,0)))</f>
        <v/>
      </c>
      <c r="EM55" s="56" t="str">
        <f t="array" ref="EM55">IF(DR55="","", INDEX(#REF!,MATCH(CONCATENATE('Respuestas de formulario 1.1'!$B55,DR55),#REF!,0),MATCH('Respuestas de formulario 1.1'!EM$1,#REF!,0)))</f>
        <v/>
      </c>
      <c r="EN55" s="56" t="str">
        <f t="array" ref="EN55">IF(DS55="","", INDEX(#REF!,MATCH(CONCATENATE('Respuestas de formulario 1.1'!$B55,DS55),#REF!,0),MATCH('Respuestas de formulario 1.1'!EN$1,#REF!,0)))</f>
        <v/>
      </c>
      <c r="EO55" s="56" t="str">
        <f t="array" ref="EO55">IF(DT55="","", INDEX(#REF!,MATCH(CONCATENATE('Respuestas de formulario 1.1'!$B55,DT55),#REF!,0),MATCH('Respuestas de formulario 1.1'!EO$1,#REF!,0)))</f>
        <v/>
      </c>
      <c r="EP55" s="45" t="str">
        <f t="array" ref="EP55">IF(DU55="","", INDEX(#REF!,MATCH(CONCATENATE('Respuestas de formulario 1.1'!$B55,DU55),#REF!,0),MATCH('Respuestas de formulario 1.1'!EP$1,#REF!,0)))</f>
        <v/>
      </c>
      <c r="EQ55" s="45" t="str">
        <f t="array" ref="EQ55">IF(DP55="","", INDEX(#REF!,MATCH(CONCATENATE('Respuestas de formulario 1.1'!$B55,DP55),#REF!,0),MATCH('Respuestas de formulario 1.1'!EQ$1,#REF!,0)))</f>
        <v/>
      </c>
      <c r="ER55" s="56" t="str">
        <f t="array" ref="ER55">IF(DQ55="","", INDEX(#REF!,MATCH(CONCATENATE('Respuestas de formulario 1.1'!$B55,DQ55),#REF!,0),MATCH('Respuestas de formulario 1.1'!ER$1,#REF!,0)))</f>
        <v/>
      </c>
      <c r="ES55" s="56" t="str">
        <f t="array" ref="ES55">IF(DR55="","", INDEX(#REF!,MATCH(CONCATENATE('Respuestas de formulario 1.1'!$B55,DR55),#REF!,0),MATCH('Respuestas de formulario 1.1'!ES$1,#REF!,0)))</f>
        <v/>
      </c>
      <c r="ET55" s="56" t="str">
        <f t="array" ref="ET55">IF(DS55="","", INDEX(#REF!,MATCH(CONCATENATE('Respuestas de formulario 1.1'!$B55,DS55),#REF!,0),MATCH('Respuestas de formulario 1.1'!ET$1,#REF!,0)))</f>
        <v/>
      </c>
      <c r="EU55" s="56" t="str">
        <f t="array" ref="EU55">IF(DT55="","", INDEX(#REF!,MATCH(CONCATENATE('Respuestas de formulario 1.1'!$B55,DT55),#REF!,0),MATCH('Respuestas de formulario 1.1'!EU$1,#REF!,0)))</f>
        <v/>
      </c>
      <c r="EV55" s="56" t="str">
        <f t="array" ref="EV55">IF(DU55="","", INDEX(#REF!,MATCH(CONCATENATE('Respuestas de formulario 1.1'!$B55,DU55),#REF!,0),MATCH('Respuestas de formulario 1.1'!EV$1,#REF!,0)))</f>
        <v/>
      </c>
      <c r="EW55" s="45" t="str">
        <f t="array" ref="EW55">IF(DV55="","", INDEX(#REF!,MATCH(CONCATENATE('Respuestas de formulario 1.1'!$B55,DV55),#REF!,0),MATCH('Respuestas de formulario 1.1'!EW$1,#REF!,0)))</f>
        <v/>
      </c>
      <c r="EX55" s="45" t="str">
        <f t="array" ref="EX55">IF($DQ55="","", INDEX(#REF!,MATCH(CONCATENATE('Respuestas de formulario 1.1'!$B55,$DQ55),#REF!,0),MATCH('Respuestas de formulario 1.1'!EX$1,#REF!,0)))</f>
        <v/>
      </c>
      <c r="EY55" s="56" t="str">
        <f t="array" ref="EY55">IF($DQ55="","", INDEX(#REF!,MATCH(CONCATENATE('Respuestas de formulario 1.1'!$B55,$DQ55),#REF!,0),MATCH('Respuestas de formulario 1.1'!EY$1,#REF!,0)))</f>
        <v/>
      </c>
      <c r="EZ55" s="56" t="str">
        <f t="array" ref="EZ55">IF($DQ55="","", INDEX(#REF!,MATCH(CONCATENATE('Respuestas de formulario 1.1'!$B55,$DQ55),#REF!,0),MATCH('Respuestas de formulario 1.1'!EZ$1,#REF!,0)))</f>
        <v/>
      </c>
      <c r="FA55" s="56" t="str">
        <f t="array" ref="FA55">IF($DQ55="","", INDEX(#REF!,MATCH(CONCATENATE('Respuestas de formulario 1.1'!$B55,$DQ55),#REF!,0),MATCH('Respuestas de formulario 1.1'!FA$1,#REF!,0)))</f>
        <v/>
      </c>
      <c r="FB55" s="56" t="str">
        <f t="array" ref="FB55">IF($DQ55="","", INDEX(#REF!,MATCH(CONCATENATE('Respuestas de formulario 1.1'!$B55,$DQ55),#REF!,0),MATCH('Respuestas de formulario 1.1'!FB$1,#REF!,0)))</f>
        <v/>
      </c>
      <c r="FC55" s="56" t="str">
        <f t="array" ref="FC55">IF($DQ55="","", INDEX(#REF!,MATCH(CONCATENATE('Respuestas de formulario 1.1'!$B55,$DQ55),#REF!,0),MATCH('Respuestas de formulario 1.1'!FC$1,#REF!,0)))</f>
        <v/>
      </c>
      <c r="FD55" s="45" t="str">
        <f t="array" ref="FD55">IF($DQ55="","", INDEX(#REF!,MATCH(CONCATENATE('Respuestas de formulario 1.1'!$B55,$DQ55),#REF!,0),MATCH('Respuestas de formulario 1.1'!FD$1,#REF!,0)))</f>
        <v/>
      </c>
      <c r="FE55" s="45" t="str">
        <f t="array" ref="FE55">IF($DR55="","", INDEX(#REF!,MATCH(CONCATENATE(#REF!,$DR55),#REF!,0),MATCH(#REF!,#REF!,0)))</f>
        <v/>
      </c>
      <c r="FF55" s="56" t="str">
        <f t="array" ref="FF55">IF($DR55="","", INDEX(#REF!,MATCH(CONCATENATE(#REF!,$DR55),#REF!,0),MATCH(#REF!,#REF!,0)))</f>
        <v/>
      </c>
      <c r="FG55" s="56" t="str">
        <f t="array" ref="FG55">IF($DR55="","", INDEX(#REF!,MATCH(CONCATENATE(#REF!,$DR55),#REF!,0),MATCH(#REF!,#REF!,0)))</f>
        <v/>
      </c>
      <c r="FH55" s="56" t="str">
        <f t="array" ref="FH55">IF($DR55="","", INDEX(#REF!,MATCH(CONCATENATE(#REF!,$DR55),#REF!,0),MATCH(#REF!,#REF!,0)))</f>
        <v/>
      </c>
      <c r="FI55" s="56" t="str">
        <f t="array" ref="FI55">IF($DR55="","", INDEX(#REF!,MATCH(CONCATENATE(#REF!,$DR55),#REF!,0),MATCH(#REF!,#REF!,0)))</f>
        <v/>
      </c>
      <c r="FJ55" s="56" t="str">
        <f t="array" ref="FJ55">IF($DR55="","", INDEX(#REF!,MATCH(CONCATENATE(#REF!,$DR55),#REF!,0),MATCH(#REF!,#REF!,0)))</f>
        <v/>
      </c>
      <c r="FK55" s="45" t="str">
        <f t="array" ref="FK55">IF($DR55="","", INDEX(#REF!,MATCH(CONCATENATE(#REF!,$DR55),#REF!,0),MATCH(#REF!,#REF!,0)))</f>
        <v/>
      </c>
      <c r="FL55" s="45" t="str">
        <f t="array" ref="FL55">IF($DT55="","", INDEX(#REF!,MATCH(CONCATENATE('Respuestas de formulario 1.1'!$B55,$DS55),#REF!,0),MATCH('Respuestas de formulario 1.1'!FL$1,#REF!,0)))</f>
        <v/>
      </c>
      <c r="FM55" s="56" t="str">
        <f t="array" ref="FM55">IF($DT55="","", INDEX(#REF!,MATCH(CONCATENATE('Respuestas de formulario 1.1'!$B55,$DS55),#REF!,0),MATCH('Respuestas de formulario 1.1'!FM$1,#REF!,0)))</f>
        <v/>
      </c>
      <c r="FN55" s="56" t="str">
        <f t="array" ref="FN55">IF($DT55="","", INDEX(#REF!,MATCH(CONCATENATE('Respuestas de formulario 1.1'!$B55,$DS55),#REF!,0),MATCH('Respuestas de formulario 1.1'!FN$1,#REF!,0)))</f>
        <v/>
      </c>
      <c r="FO55" s="56" t="str">
        <f t="array" ref="FO55">IF($DT55="","", INDEX(#REF!,MATCH(CONCATENATE('Respuestas de formulario 1.1'!$B55,$DS55),#REF!,0),MATCH('Respuestas de formulario 1.1'!FO$1,#REF!,0)))</f>
        <v/>
      </c>
      <c r="FP55" s="56" t="str">
        <f t="array" ref="FP55">IF($DT55="","", INDEX(#REF!,MATCH(CONCATENATE('Respuestas de formulario 1.1'!$B55,$DS55),#REF!,0),MATCH('Respuestas de formulario 1.1'!FP$1,#REF!,0)))</f>
        <v/>
      </c>
      <c r="FQ55" s="56" t="str">
        <f t="array" ref="FQ55">IF($DT55="","", INDEX(#REF!,MATCH(CONCATENATE('Respuestas de formulario 1.1'!$B55,$DS55),#REF!,0),MATCH('Respuestas de formulario 1.1'!FQ$1,#REF!,0)))</f>
        <v/>
      </c>
      <c r="FR55" s="45" t="str">
        <f t="array" ref="FR55">IF($DT55="","", INDEX(#REF!,MATCH(CONCATENATE('Respuestas de formulario 1.1'!$B55,$DS55),#REF!,0),MATCH('Respuestas de formulario 1.1'!FR$1,#REF!,0)))</f>
        <v/>
      </c>
      <c r="FS55" s="45" t="str">
        <f t="array" ref="FS55">IF($DU55="","", INDEX(#REF!,MATCH(CONCATENATE('Respuestas de formulario 1.1'!$B55,$DT55),#REF!,0),MATCH('Respuestas de formulario 1.1'!FS$1,#REF!,0)))</f>
        <v/>
      </c>
      <c r="FT55" s="56" t="str">
        <f t="array" ref="FT55">IF($DU55="","", INDEX(#REF!,MATCH(CONCATENATE('Respuestas de formulario 1.1'!$B55,$DT55),#REF!,0),MATCH('Respuestas de formulario 1.1'!FT$1,#REF!,0)))</f>
        <v/>
      </c>
      <c r="FU55" s="56" t="str">
        <f t="array" ref="FU55">IF($DU55="","", INDEX(#REF!,MATCH(CONCATENATE('Respuestas de formulario 1.1'!$B55,$DT55),#REF!,0),MATCH('Respuestas de formulario 1.1'!FU$1,#REF!,0)))</f>
        <v/>
      </c>
      <c r="FV55" s="56" t="str">
        <f t="array" ref="FV55">IF($DU55="","", INDEX(#REF!,MATCH(CONCATENATE('Respuestas de formulario 1.1'!$B55,$DT55),#REF!,0),MATCH('Respuestas de formulario 1.1'!FV$1,#REF!,0)))</f>
        <v/>
      </c>
      <c r="FW55" s="56" t="str">
        <f t="array" ref="FW55">IF($DU55="","", INDEX(#REF!,MATCH(CONCATENATE('Respuestas de formulario 1.1'!$B55,$DT55),#REF!,0),MATCH('Respuestas de formulario 1.1'!FW$1,#REF!,0)))</f>
        <v/>
      </c>
      <c r="FX55" s="56" t="str">
        <f t="array" ref="FX55">IF($DU55="","", INDEX(#REF!,MATCH(CONCATENATE('Respuestas de formulario 1.1'!$B55,$DT55),#REF!,0),MATCH('Respuestas de formulario 1.1'!FX$1,#REF!,0)))</f>
        <v/>
      </c>
      <c r="FY55" s="45" t="str">
        <f t="array" ref="FY55">IF($DU55="","", INDEX(#REF!,MATCH(CONCATENATE('Respuestas de formulario 1.1'!$B55,$DT55),#REF!,0),MATCH('Respuestas de formulario 1.1'!FY$1,#REF!,0)))</f>
        <v/>
      </c>
      <c r="FZ55" s="3" t="s">
        <v>2860</v>
      </c>
      <c r="GA55" s="1" t="s">
        <v>3763</v>
      </c>
      <c r="GB55" s="5" t="s">
        <v>3764</v>
      </c>
      <c r="GC55" s="4" t="str">
        <f>HYPERLINK("https://drive.google.com/file/d/16okKzYGI0MWgVqe3BK4h4JoZXABODnav/view?usp=drivesdk","GOMEZ SALAS  KATHERINE MICHELLE  Formato de reinscripción y pago 2022-2")</f>
        <v>GOMEZ SALAS  KATHERINE MICHELLE  Formato de reinscripción y pago 2022-2</v>
      </c>
      <c r="GD55" s="1" t="s">
        <v>3765</v>
      </c>
      <c r="GE55" s="1"/>
      <c r="GF55" s="1"/>
      <c r="GG55" s="1"/>
      <c r="GH55" s="1"/>
      <c r="GI55" s="1" t="s">
        <v>3766</v>
      </c>
      <c r="GJ55" s="5" t="s">
        <v>3767</v>
      </c>
      <c r="GK55" s="5" t="str">
        <f>HYPERLINK("https://drive.google.com/file/d/1TfrHGo6iucWlQLoifD9Zg8deyHS2AY1N/view?usp=drivesdk","GOMEZ SALAS  KATHERINE MICHELLE  Formato de reinscripción y pago 2022-2")</f>
        <v>GOMEZ SALAS  KATHERINE MICHELLE  Formato de reinscripción y pago 2022-2</v>
      </c>
      <c r="GL55" s="1" t="s">
        <v>3768</v>
      </c>
    </row>
    <row r="56" spans="1:194" ht="38.25" x14ac:dyDescent="0.2">
      <c r="A56" s="2">
        <v>45139.570036909718</v>
      </c>
      <c r="B56" s="1" t="s">
        <v>2668</v>
      </c>
      <c r="C56" s="1" t="s">
        <v>2669</v>
      </c>
      <c r="D56" s="1" t="s">
        <v>1243</v>
      </c>
      <c r="E56" s="1" t="s">
        <v>2670</v>
      </c>
      <c r="F56" s="1" t="s">
        <v>223</v>
      </c>
      <c r="G56" s="5" t="s">
        <v>3769</v>
      </c>
      <c r="H56" s="41">
        <v>38910</v>
      </c>
      <c r="I56" s="1">
        <v>17</v>
      </c>
      <c r="J56" s="1">
        <v>5566575414</v>
      </c>
      <c r="K56" s="1">
        <v>5619337823</v>
      </c>
      <c r="L56" s="1" t="s">
        <v>2671</v>
      </c>
      <c r="M56" s="1">
        <v>22309060570392</v>
      </c>
      <c r="N56" s="1" t="s">
        <v>562</v>
      </c>
      <c r="O56" s="1" t="s">
        <v>225</v>
      </c>
      <c r="P56" s="1" t="s">
        <v>278</v>
      </c>
      <c r="Q56" s="1" t="s">
        <v>248</v>
      </c>
      <c r="R56" s="1" t="s">
        <v>236</v>
      </c>
      <c r="S56" s="1" t="s">
        <v>228</v>
      </c>
      <c r="T56" s="1" t="s">
        <v>229</v>
      </c>
      <c r="U56" s="1" t="s">
        <v>249</v>
      </c>
      <c r="V56" s="1" t="s">
        <v>228</v>
      </c>
      <c r="W56" s="1" t="s">
        <v>3770</v>
      </c>
      <c r="X56" s="1" t="s">
        <v>249</v>
      </c>
      <c r="Y56" s="1" t="s">
        <v>463</v>
      </c>
      <c r="Z56" s="1" t="s">
        <v>240</v>
      </c>
      <c r="AA56" s="44" t="s">
        <v>460</v>
      </c>
      <c r="AB56" s="1">
        <v>423</v>
      </c>
      <c r="AC56" s="1">
        <v>404</v>
      </c>
      <c r="AD56" s="1" t="s">
        <v>3771</v>
      </c>
      <c r="AE56" s="1" t="s">
        <v>3772</v>
      </c>
      <c r="AF56" s="1" t="s">
        <v>265</v>
      </c>
      <c r="AG56" s="1">
        <v>38</v>
      </c>
      <c r="AH56" s="5" t="s">
        <v>3773</v>
      </c>
      <c r="AI56" s="1">
        <v>5624782081</v>
      </c>
      <c r="AJ56" s="1">
        <v>5619337823</v>
      </c>
      <c r="AK56" s="1" t="s">
        <v>2672</v>
      </c>
      <c r="AL56" s="1" t="s">
        <v>252</v>
      </c>
      <c r="AM56" s="1" t="s">
        <v>232</v>
      </c>
      <c r="AN56" s="1" t="s">
        <v>515</v>
      </c>
      <c r="AO56" s="1" t="s">
        <v>435</v>
      </c>
      <c r="AP56" s="1">
        <v>39</v>
      </c>
      <c r="AQ56" s="1" t="s">
        <v>2556</v>
      </c>
      <c r="AR56" s="42">
        <v>0.20833333333575865</v>
      </c>
      <c r="AS56" s="42">
        <v>0.66666666666424135</v>
      </c>
      <c r="AT56" s="1">
        <v>5616609793</v>
      </c>
      <c r="AU56" s="1">
        <v>5619337823</v>
      </c>
      <c r="AV56" s="1" t="s">
        <v>3774</v>
      </c>
      <c r="AW56" s="5" t="s">
        <v>3775</v>
      </c>
      <c r="AX56" s="1" t="s">
        <v>3776</v>
      </c>
      <c r="AY56" s="1" t="s">
        <v>1243</v>
      </c>
      <c r="AZ56" s="1" t="s">
        <v>2244</v>
      </c>
      <c r="BA56" s="1" t="s">
        <v>493</v>
      </c>
      <c r="BB56" s="1">
        <v>28</v>
      </c>
      <c r="BC56" s="1" t="s">
        <v>3777</v>
      </c>
      <c r="BD56" s="43">
        <v>0.29166666666424135</v>
      </c>
      <c r="BE56" s="43">
        <v>0.66666666666424135</v>
      </c>
      <c r="BF56" s="1">
        <v>5551681448</v>
      </c>
      <c r="BG56" s="1">
        <v>5619337823</v>
      </c>
      <c r="BH56" s="1" t="s">
        <v>3778</v>
      </c>
      <c r="BI56" s="5" t="s">
        <v>3779</v>
      </c>
      <c r="BJ56" s="1" t="s">
        <v>236</v>
      </c>
      <c r="BL56" s="1">
        <v>1.53</v>
      </c>
      <c r="BM56" s="1">
        <v>56</v>
      </c>
      <c r="BN56" s="1" t="s">
        <v>228</v>
      </c>
      <c r="BO56" s="1" t="s">
        <v>228</v>
      </c>
      <c r="BQ56" s="1" t="s">
        <v>228</v>
      </c>
      <c r="BR56" s="1" t="s">
        <v>237</v>
      </c>
      <c r="BS56" s="1" t="s">
        <v>236</v>
      </c>
      <c r="BT56" s="1" t="s">
        <v>457</v>
      </c>
      <c r="BU56" s="1" t="s">
        <v>228</v>
      </c>
      <c r="BW56" s="1" t="s">
        <v>238</v>
      </c>
      <c r="BX56" s="1">
        <v>60</v>
      </c>
      <c r="BY56" s="1">
        <v>350</v>
      </c>
      <c r="BZ56" s="1" t="s">
        <v>298</v>
      </c>
      <c r="CA56" s="1" t="s">
        <v>3780</v>
      </c>
      <c r="CB56" s="1" t="s">
        <v>240</v>
      </c>
      <c r="CC56" s="1" t="s">
        <v>300</v>
      </c>
      <c r="CD56" s="1">
        <v>300</v>
      </c>
      <c r="CE56" s="1">
        <v>3000</v>
      </c>
      <c r="CF56" s="1" t="s">
        <v>228</v>
      </c>
      <c r="CG56" s="1" t="s">
        <v>242</v>
      </c>
      <c r="CH56" s="1" t="s">
        <v>243</v>
      </c>
      <c r="CI56" s="1" t="s">
        <v>243</v>
      </c>
      <c r="CJ56" s="1" t="s">
        <v>2848</v>
      </c>
      <c r="CL56" s="5" t="s">
        <v>3781</v>
      </c>
      <c r="CM56" s="44" t="s">
        <v>2673</v>
      </c>
      <c r="CN56" s="1" t="s">
        <v>228</v>
      </c>
      <c r="CQ56" s="42">
        <v>0.29166666666424135</v>
      </c>
      <c r="CR56" s="42">
        <v>0.54166666666424135</v>
      </c>
      <c r="CT56" s="45" t="str">
        <f t="array" ref="CT56">IFERROR(INDEX(#REF!,MATCH('Respuestas de formulario 1.1'!$B56,#REF!,0),MATCH('Respuestas de formulario 1.1'!CT$1,#REF!,0)),"")</f>
        <v/>
      </c>
      <c r="CU56" s="56" t="str">
        <f t="array" ref="CU56">IFERROR(INDEX(#REF!,MATCH('Respuestas de formulario 1.1'!$B56,#REF!,0),MATCH('Respuestas de formulario 1.1'!CU$1,#REF!,0)),"")</f>
        <v/>
      </c>
      <c r="CV56" s="56" t="str">
        <f t="array" ref="CV56">IFERROR(INDEX(#REF!,MATCH('Respuestas de formulario 1.1'!$B56,#REF!,0),MATCH('Respuestas de formulario 1.1'!CV$1,#REF!,0)),"")</f>
        <v/>
      </c>
      <c r="CW56" s="56" t="str">
        <f t="array" ref="CW56">IFERROR(INDEX(#REF!,MATCH('Respuestas de formulario 1.1'!$B56,#REF!,0),MATCH('Respuestas de formulario 1.1'!CW$1,#REF!,0)),"")</f>
        <v/>
      </c>
      <c r="CX56" s="56" t="str">
        <f t="array" ref="CX56">IFERROR(INDEX(#REF!,MATCH('Respuestas de formulario 1.1'!$B56,#REF!,0),MATCH('Respuestas de formulario 1.1'!CX$1,#REF!,0)),"")</f>
        <v/>
      </c>
      <c r="CY56" s="56" t="str">
        <f t="array" ref="CY56">IFERROR(INDEX(#REF!,MATCH('Respuestas de formulario 1.1'!$B56,#REF!,0),MATCH('Respuestas de formulario 1.1'!CY$1,#REF!,0)),"")</f>
        <v/>
      </c>
      <c r="CZ56" s="57" t="str">
        <f t="array" ref="CZ56">IFERROR(INDEX(#REF!,MATCH('Respuestas de formulario 1.1'!$B56,#REF!,0),MATCH('Respuestas de formulario 1.1'!CZ$1,#REF!,0)),"")</f>
        <v/>
      </c>
      <c r="DA56" s="45" t="e">
        <f t="array" ref="DA56">INDEX(#REF!,MATCH('Respuestas de formulario 1.1'!$B56,#REF!,0),MATCH('Respuestas de formulario 1.1'!DA$1,#REF!,0))</f>
        <v>#REF!</v>
      </c>
      <c r="DB56" s="45" t="e">
        <f t="array" ref="DB56">INDEX(#REF!,MATCH('Respuestas de formulario 1.1'!$B56,#REF!,0),MATCH('Respuestas de formulario 1.1'!DB$1,#REF!,0))</f>
        <v>#REF!</v>
      </c>
      <c r="DC56" s="45" t="e">
        <f t="array" ref="DC56">INDEX(#REF!,MATCH('Respuestas de formulario 1.1'!$B56,#REF!,0),MATCH('Respuestas de formulario 1.1'!DC$1,#REF!,0))</f>
        <v>#REF!</v>
      </c>
      <c r="DD56" s="45" t="e">
        <f t="array" ref="DD56">INDEX(#REF!,MATCH('Respuestas de formulario 1.1'!$B56,#REF!,0),MATCH('Respuestas de formulario 1.1'!DD$1,#REF!,0))</f>
        <v>#REF!</v>
      </c>
      <c r="DE56" s="45" t="e">
        <f t="array" ref="DE56">INDEX(#REF!,MATCH('Respuestas de formulario 1.1'!$B56,#REF!,0),MATCH('Respuestas de formulario 1.1'!DE$1,#REF!,0))</f>
        <v>#REF!</v>
      </c>
      <c r="DF56" s="45" t="e">
        <f t="array" ref="DF56">INDEX(#REF!,MATCH('Respuestas de formulario 1.1'!$B56,#REF!,0),MATCH('Respuestas de formulario 1.1'!DF$1,#REF!,0))</f>
        <v>#REF!</v>
      </c>
      <c r="DG56" s="45" t="e">
        <f t="array" ref="DG56">INDEX(#REF!,MATCH('Respuestas de formulario 1.1'!$B56,#REF!,0),MATCH('Respuestas de formulario 1.1'!DG$1,#REF!,0))</f>
        <v>#REF!</v>
      </c>
      <c r="DH56" s="45" t="e">
        <f t="array" ref="DH56">INDEX(#REF!,MATCH('Respuestas de formulario 1.1'!$B56,#REF!,0),MATCH('Respuestas de formulario 1.1'!DH$1,#REF!,0))</f>
        <v>#REF!</v>
      </c>
      <c r="DI56" s="48" t="e">
        <f>VLOOKUP(CONCATENATE($DF56," TUTO ",$DC56),#REF!,3,0)</f>
        <v>#REF!</v>
      </c>
      <c r="DJ56" s="48" t="e">
        <f t="array" ref="DJ56">IF('Respuestas de formulario 1.1'!A56="","",INDEX(#REF!,MATCH('Respuestas de formulario 1.1'!B56,#REF!,0),MATCH('Respuestas de formulario 1.1'!$DH$1,#REF!,0)))</f>
        <v>#REF!</v>
      </c>
      <c r="DK56" s="52" t="str">
        <f>CONCATENATE("http://doc.google.com/uc?id=",MID('Respuestas de formulario 1.1'!G56,34,33))</f>
        <v>http://doc.google.com/uc?id=1Qi-Z_Ri9lj7PeuQrXfl2RPiXNhTMR5PD</v>
      </c>
      <c r="DL56" s="49" t="str">
        <f>CONCATENATE("http://doc.google.com/uc?id=",MID('Respuestas de formulario 1.1'!AH56,34,33))</f>
        <v>http://doc.google.com/uc?id=1gNo0sRNvo_9BluLGgm7TWt7uxvurjnXO</v>
      </c>
      <c r="DM56" s="50" t="str">
        <f>CONCATENATE("http://doc.google.com/uc?id=",MID('Respuestas de formulario 1.1'!AW56,34,33))</f>
        <v>http://doc.google.com/uc?id=1SLuYIJv_m4N_fpGDaBwVL-GDmEk36ukC</v>
      </c>
      <c r="DN56" s="53" t="str">
        <f>CONCATENATE("http://doc.google.com/uc?id=",MID('Respuestas de formulario 1.1'!$BI56,34,33))</f>
        <v>http://doc.google.com/uc?id=1ajCPGkq_iY4y3CI-dqIgnxGRQpIeujm-</v>
      </c>
      <c r="DO56" s="45" t="str">
        <f>IFERROR(VLOOKUP(CONCATENATE('Respuestas de formulario 1.1'!$B56,MID('Respuestas de formulario 1.1'!DO$1,2,1)),#REF!,12,0),"")</f>
        <v/>
      </c>
      <c r="DP56" s="45" t="str">
        <f>IFERROR(VLOOKUP(CONCATENATE('Respuestas de formulario 1.1'!$B56,MID('Respuestas de formulario 1.1'!DP$1,2,1)),#REF!,12,0),"")</f>
        <v/>
      </c>
      <c r="DQ56" s="45" t="str">
        <f>IFERROR(VLOOKUP(CONCATENATE('Respuestas de formulario 1.1'!$B56,MID('Respuestas de formulario 1.1'!DQ$1,2,1)),#REF!,12,0),"")</f>
        <v/>
      </c>
      <c r="DR56" s="45" t="str">
        <f>IFERROR(VLOOKUP(CONCATENATE('Respuestas de formulario 1.1'!$B56,MID('Respuestas de formulario 1.1'!DR$1,2,1)),#REF!,12,0),"")</f>
        <v/>
      </c>
      <c r="DS56" s="45" t="str">
        <f>IFERROR(VLOOKUP(CONCATENATE('Respuestas de formulario 1.1'!$B56,MID('Respuestas de formulario 1.1'!DS$1,2,1)),#REF!,12,0),"")</f>
        <v/>
      </c>
      <c r="DT56" s="45" t="str">
        <f>IFERROR(VLOOKUP(CONCATENATE('Respuestas de formulario 1.1'!$B56,MID('Respuestas de formulario 1.1'!DT$1,2,1)),#REF!,12,0),"")</f>
        <v/>
      </c>
      <c r="DU56" s="45" t="str">
        <f>IFERROR(VLOOKUP(CONCATENATE('Respuestas de formulario 1.1'!$B56,MID('Respuestas de formulario 1.1'!DU$1,2,1)),#REF!,12,0),"")</f>
        <v/>
      </c>
      <c r="DV56" s="45" t="str">
        <f>IFERROR(VLOOKUP(CONCATENATE('Respuestas de formulario 1.1'!$B56,MID('Respuestas de formulario 1.1'!DV$1,2,1)),#REF!,12,0),"")</f>
        <v/>
      </c>
      <c r="DW56" s="45" t="str">
        <f>IFERROR(VLOOKUP(CONCATENATE('Respuestas de formulario 1.1'!$B56,MID('Respuestas de formulario 1.1'!DW$1,2,1)),#REF!,12,0),"")</f>
        <v/>
      </c>
      <c r="DX56" s="45" t="str">
        <f>IFERROR(VLOOKUP(CONCATENATE('Respuestas de formulario 1.1'!$B56,MID('Respuestas de formulario 1.1'!DX$1,2,1)),#REF!,12,0),"")</f>
        <v/>
      </c>
      <c r="DY56" s="45" t="str">
        <f>IFERROR(VLOOKUP(CONCATENATE('Respuestas de formulario 1.1'!$B56,MID('Respuestas de formulario 1.1'!DY$1,2,1)),#REF!,12,0),"")</f>
        <v/>
      </c>
      <c r="DZ56" s="45" t="str">
        <f>IFERROR(VLOOKUP(CONCATENATE('Respuestas de formulario 1.1'!$B56,MID('Respuestas de formulario 1.1'!DZ$1,2,1)),#REF!,12,0),"")</f>
        <v/>
      </c>
      <c r="EA56" s="45" t="str">
        <f>IFERROR(VLOOKUP(CONCATENATE('Respuestas de formulario 1.1'!$B56,MID('Respuestas de formulario 1.1'!EA$1,2,1)),#REF!,12,0),"")</f>
        <v/>
      </c>
      <c r="EB56" s="45" t="str">
        <f>IFERROR(VLOOKUP(CONCATENATE('Respuestas de formulario 1.1'!$B56,MID('Respuestas de formulario 1.1'!EB$1,2,1)),#REF!,12,0),"")</f>
        <v/>
      </c>
      <c r="EC56" s="45" t="str">
        <f>IFERROR(VLOOKUP(CONCATENATE('Respuestas de formulario 1.1'!$B56,MID('Respuestas de formulario 1.1'!EC$1,2,1)),#REF!,12,0),"")</f>
        <v/>
      </c>
      <c r="ED56" s="45" t="str">
        <f>IFERROR(VLOOKUP(CONCATENATE('Respuestas de formulario 1.1'!$B56,MID('Respuestas de formulario 1.1'!ED$1,2,1)),#REF!,12,0),"")</f>
        <v/>
      </c>
      <c r="EE56" s="45" t="str">
        <f>IFERROR(VLOOKUP(CONCATENATE('Respuestas de formulario 1.1'!$B56,MID('Respuestas de formulario 1.1'!EE$1,2,1)),#REF!,12,0),"")</f>
        <v/>
      </c>
      <c r="EF56" s="45" t="str">
        <f>IFERROR(VLOOKUP(CONCATENATE('Respuestas de formulario 1.1'!$B56,MID('Respuestas de formulario 1.1'!EF$1,2,1)),#REF!,12,0),"")</f>
        <v/>
      </c>
      <c r="EG56" s="45" t="str">
        <f>IFERROR(VLOOKUP(CONCATENATE('Respuestas de formulario 1.1'!$B56,MID('Respuestas de formulario 1.1'!EG$1,2,1)),#REF!,12,0),"")</f>
        <v/>
      </c>
      <c r="EH56" s="45" t="str">
        <f>IFERROR(VLOOKUP(CONCATENATE('Respuestas de formulario 1.1'!$B56,MID('Respuestas de formulario 1.1'!EH$1,2,1)),#REF!,12,0),"")</f>
        <v/>
      </c>
      <c r="EI56" s="45" t="str">
        <f>IFERROR(VLOOKUP(CONCATENATE('Respuestas de formulario 1.1'!$B56,MID('Respuestas de formulario 1.1'!EI$1,2,1)),#REF!,12,0),"")</f>
        <v/>
      </c>
      <c r="EJ56" s="45" t="str">
        <f t="array" ref="EJ56">IF(DO56="","", INDEX(#REF!,MATCH(CONCATENATE('Respuestas de formulario 1.1'!$B56,DO56),#REF!,0),MATCH('Respuestas de formulario 1.1'!EJ$1,#REF!,0)))</f>
        <v/>
      </c>
      <c r="EK56" s="56" t="str">
        <f t="array" ref="EK56">IF(DP56="","", INDEX(#REF!,MATCH(CONCATENATE('Respuestas de formulario 1.1'!$B56,DP56),#REF!,0),MATCH('Respuestas de formulario 1.1'!EK$1,#REF!,0)))</f>
        <v/>
      </c>
      <c r="EL56" s="56" t="str">
        <f t="array" ref="EL56">IF(DQ56="","", INDEX(#REF!,MATCH(CONCATENATE('Respuestas de formulario 1.1'!$B56,DQ56),#REF!,0),MATCH('Respuestas de formulario 1.1'!EL$1,#REF!,0)))</f>
        <v/>
      </c>
      <c r="EM56" s="56" t="str">
        <f t="array" ref="EM56">IF(DR56="","", INDEX(#REF!,MATCH(CONCATENATE('Respuestas de formulario 1.1'!$B56,DR56),#REF!,0),MATCH('Respuestas de formulario 1.1'!EM$1,#REF!,0)))</f>
        <v/>
      </c>
      <c r="EN56" s="56" t="str">
        <f t="array" ref="EN56">IF(DS56="","", INDEX(#REF!,MATCH(CONCATENATE('Respuestas de formulario 1.1'!$B56,DS56),#REF!,0),MATCH('Respuestas de formulario 1.1'!EN$1,#REF!,0)))</f>
        <v/>
      </c>
      <c r="EO56" s="56" t="str">
        <f t="array" ref="EO56">IF(DT56="","", INDEX(#REF!,MATCH(CONCATENATE('Respuestas de formulario 1.1'!$B56,DT56),#REF!,0),MATCH('Respuestas de formulario 1.1'!EO$1,#REF!,0)))</f>
        <v/>
      </c>
      <c r="EP56" s="45" t="str">
        <f t="array" ref="EP56">IF(DU56="","", INDEX(#REF!,MATCH(CONCATENATE('Respuestas de formulario 1.1'!$B56,DU56),#REF!,0),MATCH('Respuestas de formulario 1.1'!EP$1,#REF!,0)))</f>
        <v/>
      </c>
      <c r="EQ56" s="45" t="str">
        <f t="array" ref="EQ56">IF(DP56="","", INDEX(#REF!,MATCH(CONCATENATE('Respuestas de formulario 1.1'!$B56,DP56),#REF!,0),MATCH('Respuestas de formulario 1.1'!EQ$1,#REF!,0)))</f>
        <v/>
      </c>
      <c r="ER56" s="56" t="str">
        <f t="array" ref="ER56">IF(DQ56="","", INDEX(#REF!,MATCH(CONCATENATE('Respuestas de formulario 1.1'!$B56,DQ56),#REF!,0),MATCH('Respuestas de formulario 1.1'!ER$1,#REF!,0)))</f>
        <v/>
      </c>
      <c r="ES56" s="56" t="str">
        <f t="array" ref="ES56">IF(DR56="","", INDEX(#REF!,MATCH(CONCATENATE('Respuestas de formulario 1.1'!$B56,DR56),#REF!,0),MATCH('Respuestas de formulario 1.1'!ES$1,#REF!,0)))</f>
        <v/>
      </c>
      <c r="ET56" s="56" t="str">
        <f t="array" ref="ET56">IF(DS56="","", INDEX(#REF!,MATCH(CONCATENATE('Respuestas de formulario 1.1'!$B56,DS56),#REF!,0),MATCH('Respuestas de formulario 1.1'!ET$1,#REF!,0)))</f>
        <v/>
      </c>
      <c r="EU56" s="56" t="str">
        <f t="array" ref="EU56">IF(DT56="","", INDEX(#REF!,MATCH(CONCATENATE('Respuestas de formulario 1.1'!$B56,DT56),#REF!,0),MATCH('Respuestas de formulario 1.1'!EU$1,#REF!,0)))</f>
        <v/>
      </c>
      <c r="EV56" s="56" t="str">
        <f t="array" ref="EV56">IF(DU56="","", INDEX(#REF!,MATCH(CONCATENATE('Respuestas de formulario 1.1'!$B56,DU56),#REF!,0),MATCH('Respuestas de formulario 1.1'!EV$1,#REF!,0)))</f>
        <v/>
      </c>
      <c r="EW56" s="45" t="str">
        <f t="array" ref="EW56">IF(DV56="","", INDEX(#REF!,MATCH(CONCATENATE('Respuestas de formulario 1.1'!$B56,DV56),#REF!,0),MATCH('Respuestas de formulario 1.1'!EW$1,#REF!,0)))</f>
        <v/>
      </c>
      <c r="EX56" s="45" t="str">
        <f t="array" ref="EX56">IF($DQ56="","", INDEX(#REF!,MATCH(CONCATENATE('Respuestas de formulario 1.1'!$B56,$DQ56),#REF!,0),MATCH('Respuestas de formulario 1.1'!EX$1,#REF!,0)))</f>
        <v/>
      </c>
      <c r="EY56" s="56" t="str">
        <f t="array" ref="EY56">IF($DQ56="","", INDEX(#REF!,MATCH(CONCATENATE('Respuestas de formulario 1.1'!$B56,$DQ56),#REF!,0),MATCH('Respuestas de formulario 1.1'!EY$1,#REF!,0)))</f>
        <v/>
      </c>
      <c r="EZ56" s="56" t="str">
        <f t="array" ref="EZ56">IF($DQ56="","", INDEX(#REF!,MATCH(CONCATENATE('Respuestas de formulario 1.1'!$B56,$DQ56),#REF!,0),MATCH('Respuestas de formulario 1.1'!EZ$1,#REF!,0)))</f>
        <v/>
      </c>
      <c r="FA56" s="56" t="str">
        <f t="array" ref="FA56">IF($DQ56="","", INDEX(#REF!,MATCH(CONCATENATE('Respuestas de formulario 1.1'!$B56,$DQ56),#REF!,0),MATCH('Respuestas de formulario 1.1'!FA$1,#REF!,0)))</f>
        <v/>
      </c>
      <c r="FB56" s="56" t="str">
        <f t="array" ref="FB56">IF($DQ56="","", INDEX(#REF!,MATCH(CONCATENATE('Respuestas de formulario 1.1'!$B56,$DQ56),#REF!,0),MATCH('Respuestas de formulario 1.1'!FB$1,#REF!,0)))</f>
        <v/>
      </c>
      <c r="FC56" s="56" t="str">
        <f t="array" ref="FC56">IF($DQ56="","", INDEX(#REF!,MATCH(CONCATENATE('Respuestas de formulario 1.1'!$B56,$DQ56),#REF!,0),MATCH('Respuestas de formulario 1.1'!FC$1,#REF!,0)))</f>
        <v/>
      </c>
      <c r="FD56" s="45" t="str">
        <f t="array" ref="FD56">IF($DQ56="","", INDEX(#REF!,MATCH(CONCATENATE('Respuestas de formulario 1.1'!$B56,$DQ56),#REF!,0),MATCH('Respuestas de formulario 1.1'!FD$1,#REF!,0)))</f>
        <v/>
      </c>
      <c r="FE56" s="45" t="str">
        <f t="array" ref="FE56">IF($DR56="","", INDEX(#REF!,MATCH(CONCATENATE(#REF!,$DR56),#REF!,0),MATCH(#REF!,#REF!,0)))</f>
        <v/>
      </c>
      <c r="FF56" s="56" t="str">
        <f t="array" ref="FF56">IF($DR56="","", INDEX(#REF!,MATCH(CONCATENATE(#REF!,$DR56),#REF!,0),MATCH(#REF!,#REF!,0)))</f>
        <v/>
      </c>
      <c r="FG56" s="56" t="str">
        <f t="array" ref="FG56">IF($DR56="","", INDEX(#REF!,MATCH(CONCATENATE(#REF!,$DR56),#REF!,0),MATCH(#REF!,#REF!,0)))</f>
        <v/>
      </c>
      <c r="FH56" s="56" t="str">
        <f t="array" ref="FH56">IF($DR56="","", INDEX(#REF!,MATCH(CONCATENATE(#REF!,$DR56),#REF!,0),MATCH(#REF!,#REF!,0)))</f>
        <v/>
      </c>
      <c r="FI56" s="56" t="str">
        <f t="array" ref="FI56">IF($DR56="","", INDEX(#REF!,MATCH(CONCATENATE(#REF!,$DR56),#REF!,0),MATCH(#REF!,#REF!,0)))</f>
        <v/>
      </c>
      <c r="FJ56" s="56" t="str">
        <f t="array" ref="FJ56">IF($DR56="","", INDEX(#REF!,MATCH(CONCATENATE(#REF!,$DR56),#REF!,0),MATCH(#REF!,#REF!,0)))</f>
        <v/>
      </c>
      <c r="FK56" s="45" t="str">
        <f t="array" ref="FK56">IF($DR56="","", INDEX(#REF!,MATCH(CONCATENATE(#REF!,$DR56),#REF!,0),MATCH(#REF!,#REF!,0)))</f>
        <v/>
      </c>
      <c r="FL56" s="45" t="str">
        <f t="array" ref="FL56">IF($DT56="","", INDEX(#REF!,MATCH(CONCATENATE('Respuestas de formulario 1.1'!$B56,$DS56),#REF!,0),MATCH('Respuestas de formulario 1.1'!FL$1,#REF!,0)))</f>
        <v/>
      </c>
      <c r="FM56" s="56" t="str">
        <f t="array" ref="FM56">IF($DT56="","", INDEX(#REF!,MATCH(CONCATENATE('Respuestas de formulario 1.1'!$B56,$DS56),#REF!,0),MATCH('Respuestas de formulario 1.1'!FM$1,#REF!,0)))</f>
        <v/>
      </c>
      <c r="FN56" s="56" t="str">
        <f t="array" ref="FN56">IF($DT56="","", INDEX(#REF!,MATCH(CONCATENATE('Respuestas de formulario 1.1'!$B56,$DS56),#REF!,0),MATCH('Respuestas de formulario 1.1'!FN$1,#REF!,0)))</f>
        <v/>
      </c>
      <c r="FO56" s="56" t="str">
        <f t="array" ref="FO56">IF($DT56="","", INDEX(#REF!,MATCH(CONCATENATE('Respuestas de formulario 1.1'!$B56,$DS56),#REF!,0),MATCH('Respuestas de formulario 1.1'!FO$1,#REF!,0)))</f>
        <v/>
      </c>
      <c r="FP56" s="56" t="str">
        <f t="array" ref="FP56">IF($DT56="","", INDEX(#REF!,MATCH(CONCATENATE('Respuestas de formulario 1.1'!$B56,$DS56),#REF!,0),MATCH('Respuestas de formulario 1.1'!FP$1,#REF!,0)))</f>
        <v/>
      </c>
      <c r="FQ56" s="56" t="str">
        <f t="array" ref="FQ56">IF($DT56="","", INDEX(#REF!,MATCH(CONCATENATE('Respuestas de formulario 1.1'!$B56,$DS56),#REF!,0),MATCH('Respuestas de formulario 1.1'!FQ$1,#REF!,0)))</f>
        <v/>
      </c>
      <c r="FR56" s="45" t="str">
        <f t="array" ref="FR56">IF($DT56="","", INDEX(#REF!,MATCH(CONCATENATE('Respuestas de formulario 1.1'!$B56,$DS56),#REF!,0),MATCH('Respuestas de formulario 1.1'!FR$1,#REF!,0)))</f>
        <v/>
      </c>
      <c r="FS56" s="45" t="str">
        <f t="array" ref="FS56">IF($DU56="","", INDEX(#REF!,MATCH(CONCATENATE('Respuestas de formulario 1.1'!$B56,$DT56),#REF!,0),MATCH('Respuestas de formulario 1.1'!FS$1,#REF!,0)))</f>
        <v/>
      </c>
      <c r="FT56" s="56" t="str">
        <f t="array" ref="FT56">IF($DU56="","", INDEX(#REF!,MATCH(CONCATENATE('Respuestas de formulario 1.1'!$B56,$DT56),#REF!,0),MATCH('Respuestas de formulario 1.1'!FT$1,#REF!,0)))</f>
        <v/>
      </c>
      <c r="FU56" s="56" t="str">
        <f t="array" ref="FU56">IF($DU56="","", INDEX(#REF!,MATCH(CONCATENATE('Respuestas de formulario 1.1'!$B56,$DT56),#REF!,0),MATCH('Respuestas de formulario 1.1'!FU$1,#REF!,0)))</f>
        <v/>
      </c>
      <c r="FV56" s="56" t="str">
        <f t="array" ref="FV56">IF($DU56="","", INDEX(#REF!,MATCH(CONCATENATE('Respuestas de formulario 1.1'!$B56,$DT56),#REF!,0),MATCH('Respuestas de formulario 1.1'!FV$1,#REF!,0)))</f>
        <v/>
      </c>
      <c r="FW56" s="56" t="str">
        <f t="array" ref="FW56">IF($DU56="","", INDEX(#REF!,MATCH(CONCATENATE('Respuestas de formulario 1.1'!$B56,$DT56),#REF!,0),MATCH('Respuestas de formulario 1.1'!FW$1,#REF!,0)))</f>
        <v/>
      </c>
      <c r="FX56" s="56" t="str">
        <f t="array" ref="FX56">IF($DU56="","", INDEX(#REF!,MATCH(CONCATENATE('Respuestas de formulario 1.1'!$B56,$DT56),#REF!,0),MATCH('Respuestas de formulario 1.1'!FX$1,#REF!,0)))</f>
        <v/>
      </c>
      <c r="FY56" s="45" t="str">
        <f t="array" ref="FY56">IF($DU56="","", INDEX(#REF!,MATCH(CONCATENATE('Respuestas de formulario 1.1'!$B56,$DT56),#REF!,0),MATCH('Respuestas de formulario 1.1'!FY$1,#REF!,0)))</f>
        <v/>
      </c>
      <c r="FZ56" s="3" t="s">
        <v>2860</v>
      </c>
      <c r="GA56" s="1" t="s">
        <v>3782</v>
      </c>
      <c r="GB56" s="5" t="s">
        <v>3783</v>
      </c>
      <c r="GC56" s="4" t="str">
        <f>HYPERLINK("https://drive.google.com/file/d/1aUe5VwL3w0LnjNdjHKfPXUmQAhAH-vmu/view?usp=drivesdk","CORIA CALVILLO  MAYRA CAROLINA  Formato de reinscripción y pago 2022-2")</f>
        <v>CORIA CALVILLO  MAYRA CAROLINA  Formato de reinscripción y pago 2022-2</v>
      </c>
      <c r="GD56" s="1" t="s">
        <v>3784</v>
      </c>
      <c r="GE56" s="1"/>
      <c r="GF56" s="1"/>
      <c r="GG56" s="1"/>
      <c r="GH56" s="1"/>
      <c r="GI56" s="1" t="s">
        <v>3785</v>
      </c>
      <c r="GJ56" s="5" t="s">
        <v>3786</v>
      </c>
      <c r="GK56" s="5" t="str">
        <f>HYPERLINK("https://drive.google.com/file/d/1NrW8UZk2LASaBETTH3Jzqxr8kBvDDcx6/view?usp=drivesdk","CORIA CALVILLO  MAYRA CAROLINA  Formato de reinscripción y pago 2022-2")</f>
        <v>CORIA CALVILLO  MAYRA CAROLINA  Formato de reinscripción y pago 2022-2</v>
      </c>
      <c r="GL56" s="1" t="s">
        <v>3787</v>
      </c>
    </row>
    <row r="57" spans="1:194" ht="38.25" x14ac:dyDescent="0.2">
      <c r="A57" s="2">
        <v>45139.326834016203</v>
      </c>
      <c r="B57" s="1" t="s">
        <v>28</v>
      </c>
      <c r="C57" s="1" t="s">
        <v>585</v>
      </c>
      <c r="D57" s="1" t="s">
        <v>651</v>
      </c>
      <c r="E57" s="1" t="s">
        <v>1754</v>
      </c>
      <c r="F57" s="1" t="s">
        <v>262</v>
      </c>
      <c r="G57" s="5" t="s">
        <v>3788</v>
      </c>
      <c r="H57" s="41">
        <v>38496</v>
      </c>
      <c r="I57" s="1">
        <v>18</v>
      </c>
      <c r="J57" s="1">
        <v>5548263810</v>
      </c>
      <c r="K57" s="1">
        <v>5617370636</v>
      </c>
      <c r="L57" s="1" t="s">
        <v>1755</v>
      </c>
      <c r="M57" s="1">
        <v>21309060570744</v>
      </c>
      <c r="N57" s="1" t="s">
        <v>1108</v>
      </c>
      <c r="O57" s="1" t="s">
        <v>225</v>
      </c>
      <c r="P57" s="1" t="s">
        <v>226</v>
      </c>
      <c r="Q57" s="1" t="s">
        <v>248</v>
      </c>
      <c r="R57" s="1" t="s">
        <v>236</v>
      </c>
      <c r="S57" s="1" t="s">
        <v>228</v>
      </c>
      <c r="T57" s="1" t="s">
        <v>229</v>
      </c>
      <c r="U57" s="1" t="s">
        <v>230</v>
      </c>
      <c r="V57" s="1" t="s">
        <v>228</v>
      </c>
      <c r="W57" s="1" t="s">
        <v>2361</v>
      </c>
      <c r="X57" s="1" t="s">
        <v>230</v>
      </c>
      <c r="Y57" s="1" t="s">
        <v>1756</v>
      </c>
      <c r="Z57" s="1" t="s">
        <v>231</v>
      </c>
      <c r="AA57" s="1">
        <v>56607</v>
      </c>
      <c r="AB57" s="1" t="s">
        <v>3789</v>
      </c>
      <c r="AC57" s="1" t="s">
        <v>3790</v>
      </c>
      <c r="AD57" s="1" t="s">
        <v>3791</v>
      </c>
      <c r="AE57" s="1" t="s">
        <v>3792</v>
      </c>
      <c r="AF57" s="1" t="s">
        <v>265</v>
      </c>
      <c r="AG57" s="1">
        <v>42</v>
      </c>
      <c r="AH57" s="5" t="s">
        <v>3793</v>
      </c>
      <c r="AI57" s="1">
        <v>5620744739</v>
      </c>
      <c r="AJ57" s="1">
        <v>5517370636</v>
      </c>
      <c r="AK57" s="1" t="s">
        <v>3794</v>
      </c>
      <c r="AL57" s="1" t="s">
        <v>585</v>
      </c>
      <c r="AM57" s="1" t="s">
        <v>244</v>
      </c>
      <c r="AN57" s="1" t="s">
        <v>2176</v>
      </c>
      <c r="AO57" s="1" t="s">
        <v>435</v>
      </c>
      <c r="AP57" s="1">
        <v>54</v>
      </c>
      <c r="AQ57" s="1" t="s">
        <v>283</v>
      </c>
      <c r="AR57" s="42">
        <v>0.25</v>
      </c>
      <c r="AS57" s="42">
        <v>0.75</v>
      </c>
      <c r="AT57" s="1">
        <v>5629996597</v>
      </c>
      <c r="AU57" s="1">
        <v>5517370636</v>
      </c>
      <c r="AV57" s="1" t="s">
        <v>3795</v>
      </c>
      <c r="AW57" s="5" t="s">
        <v>3796</v>
      </c>
      <c r="AX57" s="1" t="s">
        <v>585</v>
      </c>
      <c r="AY57" s="1" t="s">
        <v>651</v>
      </c>
      <c r="AZ57" s="1" t="s">
        <v>3797</v>
      </c>
      <c r="BA57" s="1" t="s">
        <v>403</v>
      </c>
      <c r="BB57" s="1">
        <v>24</v>
      </c>
      <c r="BC57" s="1" t="s">
        <v>303</v>
      </c>
      <c r="BD57" s="43">
        <v>0.375</v>
      </c>
      <c r="BE57" s="43">
        <v>0.58333333333575865</v>
      </c>
      <c r="BF57" s="1">
        <v>5571732654</v>
      </c>
      <c r="BG57" s="1">
        <v>5517370636</v>
      </c>
      <c r="BH57" s="1" t="s">
        <v>3798</v>
      </c>
      <c r="BI57" s="5" t="s">
        <v>3799</v>
      </c>
      <c r="BJ57" s="1" t="s">
        <v>236</v>
      </c>
      <c r="BK57" s="1" t="s">
        <v>310</v>
      </c>
      <c r="BL57" s="1">
        <v>1.66</v>
      </c>
      <c r="BM57" s="1">
        <v>67</v>
      </c>
      <c r="BN57" s="1" t="s">
        <v>236</v>
      </c>
      <c r="BO57" s="1" t="s">
        <v>228</v>
      </c>
      <c r="BP57" s="1" t="s">
        <v>310</v>
      </c>
      <c r="BQ57" s="1" t="s">
        <v>228</v>
      </c>
      <c r="BR57" s="1" t="s">
        <v>237</v>
      </c>
      <c r="BS57" s="1" t="s">
        <v>236</v>
      </c>
      <c r="BT57" s="1" t="s">
        <v>457</v>
      </c>
      <c r="BU57" s="1" t="s">
        <v>228</v>
      </c>
      <c r="BW57" s="1" t="s">
        <v>238</v>
      </c>
      <c r="BX57" s="1">
        <v>180</v>
      </c>
      <c r="BY57" s="1">
        <v>50</v>
      </c>
      <c r="BZ57" s="1" t="s">
        <v>1934</v>
      </c>
      <c r="CA57" s="1" t="s">
        <v>3800</v>
      </c>
      <c r="CB57" s="1" t="s">
        <v>240</v>
      </c>
      <c r="CC57" s="1" t="s">
        <v>484</v>
      </c>
      <c r="CD57" s="1">
        <v>600</v>
      </c>
      <c r="CE57" s="1">
        <v>2500</v>
      </c>
      <c r="CF57" s="1" t="s">
        <v>236</v>
      </c>
      <c r="CG57" s="1" t="s">
        <v>323</v>
      </c>
      <c r="CH57" s="1" t="s">
        <v>243</v>
      </c>
      <c r="CI57" s="1" t="s">
        <v>243</v>
      </c>
      <c r="CJ57" s="1" t="s">
        <v>2848</v>
      </c>
      <c r="CL57" s="5" t="s">
        <v>3801</v>
      </c>
      <c r="CM57" s="1">
        <v>26210502741</v>
      </c>
      <c r="CN57" s="1" t="s">
        <v>228</v>
      </c>
      <c r="CQ57" s="42">
        <v>0.33333333333575865</v>
      </c>
      <c r="CR57" s="42">
        <v>0.33333333333575865</v>
      </c>
      <c r="CT57" s="45" t="str">
        <f t="array" ref="CT57">IFERROR(INDEX(#REF!,MATCH('Respuestas de formulario 1.1'!$B57,#REF!,0),MATCH('Respuestas de formulario 1.1'!CT$1,#REF!,0)),"")</f>
        <v/>
      </c>
      <c r="CU57" s="56" t="str">
        <f t="array" ref="CU57">IFERROR(INDEX(#REF!,MATCH('Respuestas de formulario 1.1'!$B57,#REF!,0),MATCH('Respuestas de formulario 1.1'!CU$1,#REF!,0)),"")</f>
        <v/>
      </c>
      <c r="CV57" s="56" t="str">
        <f t="array" ref="CV57">IFERROR(INDEX(#REF!,MATCH('Respuestas de formulario 1.1'!$B57,#REF!,0),MATCH('Respuestas de formulario 1.1'!CV$1,#REF!,0)),"")</f>
        <v/>
      </c>
      <c r="CW57" s="56" t="str">
        <f t="array" ref="CW57">IFERROR(INDEX(#REF!,MATCH('Respuestas de formulario 1.1'!$B57,#REF!,0),MATCH('Respuestas de formulario 1.1'!CW$1,#REF!,0)),"")</f>
        <v/>
      </c>
      <c r="CX57" s="56" t="str">
        <f t="array" ref="CX57">IFERROR(INDEX(#REF!,MATCH('Respuestas de formulario 1.1'!$B57,#REF!,0),MATCH('Respuestas de formulario 1.1'!CX$1,#REF!,0)),"")</f>
        <v/>
      </c>
      <c r="CY57" s="56" t="str">
        <f t="array" ref="CY57">IFERROR(INDEX(#REF!,MATCH('Respuestas de formulario 1.1'!$B57,#REF!,0),MATCH('Respuestas de formulario 1.1'!CY$1,#REF!,0)),"")</f>
        <v/>
      </c>
      <c r="CZ57" s="57" t="str">
        <f t="array" ref="CZ57">IFERROR(INDEX(#REF!,MATCH('Respuestas de formulario 1.1'!$B57,#REF!,0),MATCH('Respuestas de formulario 1.1'!CZ$1,#REF!,0)),"")</f>
        <v/>
      </c>
      <c r="DA57" s="45" t="e">
        <f t="array" ref="DA57">INDEX(#REF!,MATCH('Respuestas de formulario 1.1'!$B57,#REF!,0),MATCH('Respuestas de formulario 1.1'!DA$1,#REF!,0))</f>
        <v>#REF!</v>
      </c>
      <c r="DB57" s="45" t="e">
        <f t="array" ref="DB57">INDEX(#REF!,MATCH('Respuestas de formulario 1.1'!$B57,#REF!,0),MATCH('Respuestas de formulario 1.1'!DB$1,#REF!,0))</f>
        <v>#REF!</v>
      </c>
      <c r="DC57" s="45" t="e">
        <f t="array" ref="DC57">INDEX(#REF!,MATCH('Respuestas de formulario 1.1'!$B57,#REF!,0),MATCH('Respuestas de formulario 1.1'!DC$1,#REF!,0))</f>
        <v>#REF!</v>
      </c>
      <c r="DD57" s="45" t="e">
        <f t="array" ref="DD57">INDEX(#REF!,MATCH('Respuestas de formulario 1.1'!$B57,#REF!,0),MATCH('Respuestas de formulario 1.1'!DD$1,#REF!,0))</f>
        <v>#REF!</v>
      </c>
      <c r="DE57" s="45" t="e">
        <f t="array" ref="DE57">INDEX(#REF!,MATCH('Respuestas de formulario 1.1'!$B57,#REF!,0),MATCH('Respuestas de formulario 1.1'!DE$1,#REF!,0))</f>
        <v>#REF!</v>
      </c>
      <c r="DF57" s="45" t="e">
        <f t="array" ref="DF57">INDEX(#REF!,MATCH('Respuestas de formulario 1.1'!$B57,#REF!,0),MATCH('Respuestas de formulario 1.1'!DF$1,#REF!,0))</f>
        <v>#REF!</v>
      </c>
      <c r="DG57" s="45" t="e">
        <f t="array" ref="DG57">INDEX(#REF!,MATCH('Respuestas de formulario 1.1'!$B57,#REF!,0),MATCH('Respuestas de formulario 1.1'!DG$1,#REF!,0))</f>
        <v>#REF!</v>
      </c>
      <c r="DH57" s="45" t="e">
        <f t="array" ref="DH57">INDEX(#REF!,MATCH('Respuestas de formulario 1.1'!$B57,#REF!,0),MATCH('Respuestas de formulario 1.1'!DH$1,#REF!,0))</f>
        <v>#REF!</v>
      </c>
      <c r="DI57" s="48" t="e">
        <f>VLOOKUP(CONCATENATE($DF57," TUTO ",$DC57),#REF!,3,0)</f>
        <v>#REF!</v>
      </c>
      <c r="DJ57" s="48" t="e">
        <f t="array" ref="DJ57">IF('Respuestas de formulario 1.1'!A57="","",INDEX(#REF!,MATCH('Respuestas de formulario 1.1'!B57,#REF!,0),MATCH('Respuestas de formulario 1.1'!$DH$1,#REF!,0)))</f>
        <v>#REF!</v>
      </c>
      <c r="DK57" s="52" t="str">
        <f>CONCATENATE("http://doc.google.com/uc?id=",MID('Respuestas de formulario 1.1'!G57,34,33))</f>
        <v>http://doc.google.com/uc?id=1oLX5jGH9GdhmmUCx20D14qBI0HvE2WJ9</v>
      </c>
      <c r="DL57" s="49" t="str">
        <f>CONCATENATE("http://doc.google.com/uc?id=",MID('Respuestas de formulario 1.1'!AH57,34,33))</f>
        <v>http://doc.google.com/uc?id=1xKIZjc2CtGGSTeJMGbiP35zLdTeLjtCp</v>
      </c>
      <c r="DM57" s="50" t="str">
        <f>CONCATENATE("http://doc.google.com/uc?id=",MID('Respuestas de formulario 1.1'!AW57,34,33))</f>
        <v>http://doc.google.com/uc?id=1sMcOsi-Dv5Qqg9lDz4P_zRh-48J9clnC</v>
      </c>
      <c r="DN57" s="53" t="str">
        <f>CONCATENATE("http://doc.google.com/uc?id=",MID('Respuestas de formulario 1.1'!$BI57,34,33))</f>
        <v>http://doc.google.com/uc?id=1xlq8E8KzhxnAwAoIdnWjELvPZ6o9QUs1</v>
      </c>
      <c r="DO57" s="45" t="str">
        <f>IFERROR(VLOOKUP(CONCATENATE('Respuestas de formulario 1.1'!$B57,MID('Respuestas de formulario 1.1'!DO$1,2,1)),#REF!,12,0),"")</f>
        <v/>
      </c>
      <c r="DP57" s="45" t="str">
        <f>IFERROR(VLOOKUP(CONCATENATE('Respuestas de formulario 1.1'!$B57,MID('Respuestas de formulario 1.1'!DP$1,2,1)),#REF!,12,0),"")</f>
        <v/>
      </c>
      <c r="DQ57" s="45" t="str">
        <f>IFERROR(VLOOKUP(CONCATENATE('Respuestas de formulario 1.1'!$B57,MID('Respuestas de formulario 1.1'!DQ$1,2,1)),#REF!,12,0),"")</f>
        <v/>
      </c>
      <c r="DR57" s="45" t="str">
        <f>IFERROR(VLOOKUP(CONCATENATE('Respuestas de formulario 1.1'!$B57,MID('Respuestas de formulario 1.1'!DR$1,2,1)),#REF!,12,0),"")</f>
        <v/>
      </c>
      <c r="DS57" s="45" t="str">
        <f>IFERROR(VLOOKUP(CONCATENATE('Respuestas de formulario 1.1'!$B57,MID('Respuestas de formulario 1.1'!DS$1,2,1)),#REF!,12,0),"")</f>
        <v/>
      </c>
      <c r="DT57" s="45" t="str">
        <f>IFERROR(VLOOKUP(CONCATENATE('Respuestas de formulario 1.1'!$B57,MID('Respuestas de formulario 1.1'!DT$1,2,1)),#REF!,12,0),"")</f>
        <v/>
      </c>
      <c r="DU57" s="45" t="str">
        <f>IFERROR(VLOOKUP(CONCATENATE('Respuestas de formulario 1.1'!$B57,MID('Respuestas de formulario 1.1'!DU$1,2,1)),#REF!,12,0),"")</f>
        <v/>
      </c>
      <c r="DV57" s="45" t="str">
        <f>IFERROR(VLOOKUP(CONCATENATE('Respuestas de formulario 1.1'!$B57,MID('Respuestas de formulario 1.1'!DV$1,2,1)),#REF!,12,0),"")</f>
        <v/>
      </c>
      <c r="DW57" s="45" t="str">
        <f>IFERROR(VLOOKUP(CONCATENATE('Respuestas de formulario 1.1'!$B57,MID('Respuestas de formulario 1.1'!DW$1,2,1)),#REF!,12,0),"")</f>
        <v/>
      </c>
      <c r="DX57" s="45" t="str">
        <f>IFERROR(VLOOKUP(CONCATENATE('Respuestas de formulario 1.1'!$B57,MID('Respuestas de formulario 1.1'!DX$1,2,1)),#REF!,12,0),"")</f>
        <v/>
      </c>
      <c r="DY57" s="45" t="str">
        <f>IFERROR(VLOOKUP(CONCATENATE('Respuestas de formulario 1.1'!$B57,MID('Respuestas de formulario 1.1'!DY$1,2,1)),#REF!,12,0),"")</f>
        <v/>
      </c>
      <c r="DZ57" s="45" t="str">
        <f>IFERROR(VLOOKUP(CONCATENATE('Respuestas de formulario 1.1'!$B57,MID('Respuestas de formulario 1.1'!DZ$1,2,1)),#REF!,12,0),"")</f>
        <v/>
      </c>
      <c r="EA57" s="45" t="str">
        <f>IFERROR(VLOOKUP(CONCATENATE('Respuestas de formulario 1.1'!$B57,MID('Respuestas de formulario 1.1'!EA$1,2,1)),#REF!,12,0),"")</f>
        <v/>
      </c>
      <c r="EB57" s="45" t="str">
        <f>IFERROR(VLOOKUP(CONCATENATE('Respuestas de formulario 1.1'!$B57,MID('Respuestas de formulario 1.1'!EB$1,2,1)),#REF!,12,0),"")</f>
        <v/>
      </c>
      <c r="EC57" s="45" t="str">
        <f>IFERROR(VLOOKUP(CONCATENATE('Respuestas de formulario 1.1'!$B57,MID('Respuestas de formulario 1.1'!EC$1,2,1)),#REF!,12,0),"")</f>
        <v/>
      </c>
      <c r="ED57" s="45" t="str">
        <f>IFERROR(VLOOKUP(CONCATENATE('Respuestas de formulario 1.1'!$B57,MID('Respuestas de formulario 1.1'!ED$1,2,1)),#REF!,12,0),"")</f>
        <v/>
      </c>
      <c r="EE57" s="45" t="str">
        <f>IFERROR(VLOOKUP(CONCATENATE('Respuestas de formulario 1.1'!$B57,MID('Respuestas de formulario 1.1'!EE$1,2,1)),#REF!,12,0),"")</f>
        <v/>
      </c>
      <c r="EF57" s="45" t="str">
        <f>IFERROR(VLOOKUP(CONCATENATE('Respuestas de formulario 1.1'!$B57,MID('Respuestas de formulario 1.1'!EF$1,2,1)),#REF!,12,0),"")</f>
        <v/>
      </c>
      <c r="EG57" s="45" t="str">
        <f>IFERROR(VLOOKUP(CONCATENATE('Respuestas de formulario 1.1'!$B57,MID('Respuestas de formulario 1.1'!EG$1,2,1)),#REF!,12,0),"")</f>
        <v/>
      </c>
      <c r="EH57" s="45" t="str">
        <f>IFERROR(VLOOKUP(CONCATENATE('Respuestas de formulario 1.1'!$B57,MID('Respuestas de formulario 1.1'!EH$1,2,1)),#REF!,12,0),"")</f>
        <v/>
      </c>
      <c r="EI57" s="45" t="str">
        <f>IFERROR(VLOOKUP(CONCATENATE('Respuestas de formulario 1.1'!$B57,MID('Respuestas de formulario 1.1'!EI$1,2,1)),#REF!,12,0),"")</f>
        <v/>
      </c>
      <c r="EJ57" s="45" t="str">
        <f t="array" ref="EJ57">IF(DO57="","", INDEX(#REF!,MATCH(CONCATENATE('Respuestas de formulario 1.1'!$B57,DO57),#REF!,0),MATCH('Respuestas de formulario 1.1'!EJ$1,#REF!,0)))</f>
        <v/>
      </c>
      <c r="EK57" s="56" t="str">
        <f t="array" ref="EK57">IF(DP57="","", INDEX(#REF!,MATCH(CONCATENATE('Respuestas de formulario 1.1'!$B57,DP57),#REF!,0),MATCH('Respuestas de formulario 1.1'!EK$1,#REF!,0)))</f>
        <v/>
      </c>
      <c r="EL57" s="56" t="str">
        <f t="array" ref="EL57">IF(DQ57="","", INDEX(#REF!,MATCH(CONCATENATE('Respuestas de formulario 1.1'!$B57,DQ57),#REF!,0),MATCH('Respuestas de formulario 1.1'!EL$1,#REF!,0)))</f>
        <v/>
      </c>
      <c r="EM57" s="56" t="str">
        <f t="array" ref="EM57">IF(DR57="","", INDEX(#REF!,MATCH(CONCATENATE('Respuestas de formulario 1.1'!$B57,DR57),#REF!,0),MATCH('Respuestas de formulario 1.1'!EM$1,#REF!,0)))</f>
        <v/>
      </c>
      <c r="EN57" s="56" t="str">
        <f t="array" ref="EN57">IF(DS57="","", INDEX(#REF!,MATCH(CONCATENATE('Respuestas de formulario 1.1'!$B57,DS57),#REF!,0),MATCH('Respuestas de formulario 1.1'!EN$1,#REF!,0)))</f>
        <v/>
      </c>
      <c r="EO57" s="56" t="str">
        <f t="array" ref="EO57">IF(DT57="","", INDEX(#REF!,MATCH(CONCATENATE('Respuestas de formulario 1.1'!$B57,DT57),#REF!,0),MATCH('Respuestas de formulario 1.1'!EO$1,#REF!,0)))</f>
        <v/>
      </c>
      <c r="EP57" s="45" t="str">
        <f t="array" ref="EP57">IF(DU57="","", INDEX(#REF!,MATCH(CONCATENATE('Respuestas de formulario 1.1'!$B57,DU57),#REF!,0),MATCH('Respuestas de formulario 1.1'!EP$1,#REF!,0)))</f>
        <v/>
      </c>
      <c r="EQ57" s="45" t="str">
        <f t="array" ref="EQ57">IF(DP57="","", INDEX(#REF!,MATCH(CONCATENATE('Respuestas de formulario 1.1'!$B57,DP57),#REF!,0),MATCH('Respuestas de formulario 1.1'!EQ$1,#REF!,0)))</f>
        <v/>
      </c>
      <c r="ER57" s="56" t="str">
        <f t="array" ref="ER57">IF(DQ57="","", INDEX(#REF!,MATCH(CONCATENATE('Respuestas de formulario 1.1'!$B57,DQ57),#REF!,0),MATCH('Respuestas de formulario 1.1'!ER$1,#REF!,0)))</f>
        <v/>
      </c>
      <c r="ES57" s="56" t="str">
        <f t="array" ref="ES57">IF(DR57="","", INDEX(#REF!,MATCH(CONCATENATE('Respuestas de formulario 1.1'!$B57,DR57),#REF!,0),MATCH('Respuestas de formulario 1.1'!ES$1,#REF!,0)))</f>
        <v/>
      </c>
      <c r="ET57" s="56" t="str">
        <f t="array" ref="ET57">IF(DS57="","", INDEX(#REF!,MATCH(CONCATENATE('Respuestas de formulario 1.1'!$B57,DS57),#REF!,0),MATCH('Respuestas de formulario 1.1'!ET$1,#REF!,0)))</f>
        <v/>
      </c>
      <c r="EU57" s="56" t="str">
        <f t="array" ref="EU57">IF(DT57="","", INDEX(#REF!,MATCH(CONCATENATE('Respuestas de formulario 1.1'!$B57,DT57),#REF!,0),MATCH('Respuestas de formulario 1.1'!EU$1,#REF!,0)))</f>
        <v/>
      </c>
      <c r="EV57" s="56" t="str">
        <f t="array" ref="EV57">IF(DU57="","", INDEX(#REF!,MATCH(CONCATENATE('Respuestas de formulario 1.1'!$B57,DU57),#REF!,0),MATCH('Respuestas de formulario 1.1'!EV$1,#REF!,0)))</f>
        <v/>
      </c>
      <c r="EW57" s="45" t="str">
        <f t="array" ref="EW57">IF(DV57="","", INDEX(#REF!,MATCH(CONCATENATE('Respuestas de formulario 1.1'!$B57,DV57),#REF!,0),MATCH('Respuestas de formulario 1.1'!EW$1,#REF!,0)))</f>
        <v/>
      </c>
      <c r="EX57" s="45" t="str">
        <f t="array" ref="EX57">IF($DQ57="","", INDEX(#REF!,MATCH(CONCATENATE('Respuestas de formulario 1.1'!$B57,$DQ57),#REF!,0),MATCH('Respuestas de formulario 1.1'!EX$1,#REF!,0)))</f>
        <v/>
      </c>
      <c r="EY57" s="56" t="str">
        <f t="array" ref="EY57">IF($DQ57="","", INDEX(#REF!,MATCH(CONCATENATE('Respuestas de formulario 1.1'!$B57,$DQ57),#REF!,0),MATCH('Respuestas de formulario 1.1'!EY$1,#REF!,0)))</f>
        <v/>
      </c>
      <c r="EZ57" s="56" t="str">
        <f t="array" ref="EZ57">IF($DQ57="","", INDEX(#REF!,MATCH(CONCATENATE('Respuestas de formulario 1.1'!$B57,$DQ57),#REF!,0),MATCH('Respuestas de formulario 1.1'!EZ$1,#REF!,0)))</f>
        <v/>
      </c>
      <c r="FA57" s="56" t="str">
        <f t="array" ref="FA57">IF($DQ57="","", INDEX(#REF!,MATCH(CONCATENATE('Respuestas de formulario 1.1'!$B57,$DQ57),#REF!,0),MATCH('Respuestas de formulario 1.1'!FA$1,#REF!,0)))</f>
        <v/>
      </c>
      <c r="FB57" s="56" t="str">
        <f t="array" ref="FB57">IF($DQ57="","", INDEX(#REF!,MATCH(CONCATENATE('Respuestas de formulario 1.1'!$B57,$DQ57),#REF!,0),MATCH('Respuestas de formulario 1.1'!FB$1,#REF!,0)))</f>
        <v/>
      </c>
      <c r="FC57" s="56" t="str">
        <f t="array" ref="FC57">IF($DQ57="","", INDEX(#REF!,MATCH(CONCATENATE('Respuestas de formulario 1.1'!$B57,$DQ57),#REF!,0),MATCH('Respuestas de formulario 1.1'!FC$1,#REF!,0)))</f>
        <v/>
      </c>
      <c r="FD57" s="45" t="str">
        <f t="array" ref="FD57">IF($DQ57="","", INDEX(#REF!,MATCH(CONCATENATE('Respuestas de formulario 1.1'!$B57,$DQ57),#REF!,0),MATCH('Respuestas de formulario 1.1'!FD$1,#REF!,0)))</f>
        <v/>
      </c>
      <c r="FE57" s="45" t="str">
        <f t="array" ref="FE57">IF($DR57="","", INDEX(#REF!,MATCH(CONCATENATE(#REF!,$DR57),#REF!,0),MATCH(#REF!,#REF!,0)))</f>
        <v/>
      </c>
      <c r="FF57" s="56" t="str">
        <f t="array" ref="FF57">IF($DR57="","", INDEX(#REF!,MATCH(CONCATENATE(#REF!,$DR57),#REF!,0),MATCH(#REF!,#REF!,0)))</f>
        <v/>
      </c>
      <c r="FG57" s="56" t="str">
        <f t="array" ref="FG57">IF($DR57="","", INDEX(#REF!,MATCH(CONCATENATE(#REF!,$DR57),#REF!,0),MATCH(#REF!,#REF!,0)))</f>
        <v/>
      </c>
      <c r="FH57" s="56" t="str">
        <f t="array" ref="FH57">IF($DR57="","", INDEX(#REF!,MATCH(CONCATENATE(#REF!,$DR57),#REF!,0),MATCH(#REF!,#REF!,0)))</f>
        <v/>
      </c>
      <c r="FI57" s="56" t="str">
        <f t="array" ref="FI57">IF($DR57="","", INDEX(#REF!,MATCH(CONCATENATE(#REF!,$DR57),#REF!,0),MATCH(#REF!,#REF!,0)))</f>
        <v/>
      </c>
      <c r="FJ57" s="56" t="str">
        <f t="array" ref="FJ57">IF($DR57="","", INDEX(#REF!,MATCH(CONCATENATE(#REF!,$DR57),#REF!,0),MATCH(#REF!,#REF!,0)))</f>
        <v/>
      </c>
      <c r="FK57" s="45" t="str">
        <f t="array" ref="FK57">IF($DR57="","", INDEX(#REF!,MATCH(CONCATENATE(#REF!,$DR57),#REF!,0),MATCH(#REF!,#REF!,0)))</f>
        <v/>
      </c>
      <c r="FL57" s="45" t="str">
        <f t="array" ref="FL57">IF($DT57="","", INDEX(#REF!,MATCH(CONCATENATE('Respuestas de formulario 1.1'!$B57,$DS57),#REF!,0),MATCH('Respuestas de formulario 1.1'!FL$1,#REF!,0)))</f>
        <v/>
      </c>
      <c r="FM57" s="56" t="str">
        <f t="array" ref="FM57">IF($DT57="","", INDEX(#REF!,MATCH(CONCATENATE('Respuestas de formulario 1.1'!$B57,$DS57),#REF!,0),MATCH('Respuestas de formulario 1.1'!FM$1,#REF!,0)))</f>
        <v/>
      </c>
      <c r="FN57" s="56" t="str">
        <f t="array" ref="FN57">IF($DT57="","", INDEX(#REF!,MATCH(CONCATENATE('Respuestas de formulario 1.1'!$B57,$DS57),#REF!,0),MATCH('Respuestas de formulario 1.1'!FN$1,#REF!,0)))</f>
        <v/>
      </c>
      <c r="FO57" s="56" t="str">
        <f t="array" ref="FO57">IF($DT57="","", INDEX(#REF!,MATCH(CONCATENATE('Respuestas de formulario 1.1'!$B57,$DS57),#REF!,0),MATCH('Respuestas de formulario 1.1'!FO$1,#REF!,0)))</f>
        <v/>
      </c>
      <c r="FP57" s="56" t="str">
        <f t="array" ref="FP57">IF($DT57="","", INDEX(#REF!,MATCH(CONCATENATE('Respuestas de formulario 1.1'!$B57,$DS57),#REF!,0),MATCH('Respuestas de formulario 1.1'!FP$1,#REF!,0)))</f>
        <v/>
      </c>
      <c r="FQ57" s="56" t="str">
        <f t="array" ref="FQ57">IF($DT57="","", INDEX(#REF!,MATCH(CONCATENATE('Respuestas de formulario 1.1'!$B57,$DS57),#REF!,0),MATCH('Respuestas de formulario 1.1'!FQ$1,#REF!,0)))</f>
        <v/>
      </c>
      <c r="FR57" s="45" t="str">
        <f t="array" ref="FR57">IF($DT57="","", INDEX(#REF!,MATCH(CONCATENATE('Respuestas de formulario 1.1'!$B57,$DS57),#REF!,0),MATCH('Respuestas de formulario 1.1'!FR$1,#REF!,0)))</f>
        <v/>
      </c>
      <c r="FS57" s="45" t="str">
        <f t="array" ref="FS57">IF($DU57="","", INDEX(#REF!,MATCH(CONCATENATE('Respuestas de formulario 1.1'!$B57,$DT57),#REF!,0),MATCH('Respuestas de formulario 1.1'!FS$1,#REF!,0)))</f>
        <v/>
      </c>
      <c r="FT57" s="56" t="str">
        <f t="array" ref="FT57">IF($DU57="","", INDEX(#REF!,MATCH(CONCATENATE('Respuestas de formulario 1.1'!$B57,$DT57),#REF!,0),MATCH('Respuestas de formulario 1.1'!FT$1,#REF!,0)))</f>
        <v/>
      </c>
      <c r="FU57" s="56" t="str">
        <f t="array" ref="FU57">IF($DU57="","", INDEX(#REF!,MATCH(CONCATENATE('Respuestas de formulario 1.1'!$B57,$DT57),#REF!,0),MATCH('Respuestas de formulario 1.1'!FU$1,#REF!,0)))</f>
        <v/>
      </c>
      <c r="FV57" s="56" t="str">
        <f t="array" ref="FV57">IF($DU57="","", INDEX(#REF!,MATCH(CONCATENATE('Respuestas de formulario 1.1'!$B57,$DT57),#REF!,0),MATCH('Respuestas de formulario 1.1'!FV$1,#REF!,0)))</f>
        <v/>
      </c>
      <c r="FW57" s="56" t="str">
        <f t="array" ref="FW57">IF($DU57="","", INDEX(#REF!,MATCH(CONCATENATE('Respuestas de formulario 1.1'!$B57,$DT57),#REF!,0),MATCH('Respuestas de formulario 1.1'!FW$1,#REF!,0)))</f>
        <v/>
      </c>
      <c r="FX57" s="56" t="str">
        <f t="array" ref="FX57">IF($DU57="","", INDEX(#REF!,MATCH(CONCATENATE('Respuestas de formulario 1.1'!$B57,$DT57),#REF!,0),MATCH('Respuestas de formulario 1.1'!FX$1,#REF!,0)))</f>
        <v/>
      </c>
      <c r="FY57" s="45" t="str">
        <f t="array" ref="FY57">IF($DU57="","", INDEX(#REF!,MATCH(CONCATENATE('Respuestas de formulario 1.1'!$B57,$DT57),#REF!,0),MATCH('Respuestas de formulario 1.1'!FY$1,#REF!,0)))</f>
        <v/>
      </c>
      <c r="FZ57" s="3" t="s">
        <v>2860</v>
      </c>
      <c r="GA57" s="1" t="s">
        <v>3802</v>
      </c>
      <c r="GB57" s="5" t="s">
        <v>3803</v>
      </c>
      <c r="GC57" s="4" t="str">
        <f>HYPERLINK("https://drive.google.com/file/d/1oAjFU42xOgoL1pSChS3u23QN8tUsiBJF/view?usp=drivesdk","SANCHEZ ORTEGA MAYCON ALEXIS Formato de reinscripción y pago 2022-2")</f>
        <v>SANCHEZ ORTEGA MAYCON ALEXIS Formato de reinscripción y pago 2022-2</v>
      </c>
      <c r="GD57" s="1" t="s">
        <v>3804</v>
      </c>
      <c r="GE57" s="1"/>
      <c r="GF57" s="1"/>
      <c r="GG57" s="1"/>
      <c r="GH57" s="1"/>
      <c r="GI57" s="1" t="s">
        <v>3805</v>
      </c>
      <c r="GJ57" s="5" t="s">
        <v>3806</v>
      </c>
      <c r="GK57" s="5" t="str">
        <f>HYPERLINK("https://drive.google.com/file/d/11Cd6tZ9vWRb0K08_0n_FwE2ffvI8DWzU/view?usp=drivesdk","SANCHEZ ORTEGA MAYCON ALEXIS Formato de reinscripción y pago 2022-2")</f>
        <v>SANCHEZ ORTEGA MAYCON ALEXIS Formato de reinscripción y pago 2022-2</v>
      </c>
      <c r="GL57" s="1" t="s">
        <v>3807</v>
      </c>
    </row>
    <row r="58" spans="1:194" ht="38.25" x14ac:dyDescent="0.2">
      <c r="A58" s="2">
        <v>45139.798315023145</v>
      </c>
      <c r="B58" s="1" t="s">
        <v>41</v>
      </c>
      <c r="C58" s="1" t="s">
        <v>308</v>
      </c>
      <c r="D58" s="1" t="s">
        <v>826</v>
      </c>
      <c r="E58" s="1" t="s">
        <v>2314</v>
      </c>
      <c r="F58" s="1" t="s">
        <v>223</v>
      </c>
      <c r="G58" s="5" t="s">
        <v>3808</v>
      </c>
      <c r="H58" s="41">
        <v>38586</v>
      </c>
      <c r="I58" s="1">
        <v>17</v>
      </c>
      <c r="J58" s="1">
        <v>5624255075</v>
      </c>
      <c r="K58" s="1">
        <v>5627229255</v>
      </c>
      <c r="L58" s="1" t="s">
        <v>2315</v>
      </c>
      <c r="M58" s="1">
        <v>21309060570860</v>
      </c>
      <c r="N58" s="1" t="s">
        <v>1108</v>
      </c>
      <c r="O58" s="1" t="s">
        <v>225</v>
      </c>
      <c r="P58" s="1" t="s">
        <v>278</v>
      </c>
      <c r="Q58" s="1" t="s">
        <v>227</v>
      </c>
      <c r="R58" s="1" t="s">
        <v>236</v>
      </c>
      <c r="S58" s="1" t="s">
        <v>228</v>
      </c>
      <c r="T58" s="1" t="s">
        <v>229</v>
      </c>
      <c r="U58" s="1" t="s">
        <v>249</v>
      </c>
      <c r="V58" s="1" t="s">
        <v>228</v>
      </c>
      <c r="W58" s="1" t="s">
        <v>3809</v>
      </c>
      <c r="X58" s="1" t="s">
        <v>249</v>
      </c>
      <c r="Y58" s="1" t="s">
        <v>2626</v>
      </c>
      <c r="Z58" s="1" t="s">
        <v>240</v>
      </c>
      <c r="AA58" s="44" t="s">
        <v>358</v>
      </c>
      <c r="AB58" s="1">
        <v>34</v>
      </c>
      <c r="AC58" s="1">
        <v>104</v>
      </c>
      <c r="AD58" s="1" t="s">
        <v>3810</v>
      </c>
      <c r="AE58" s="1" t="s">
        <v>2316</v>
      </c>
      <c r="AF58" s="1" t="s">
        <v>445</v>
      </c>
      <c r="AG58" s="1">
        <v>48</v>
      </c>
      <c r="AH58" s="5" t="s">
        <v>3811</v>
      </c>
      <c r="AI58" s="1">
        <v>5627229255</v>
      </c>
      <c r="AJ58" s="1">
        <v>5627229255</v>
      </c>
      <c r="AK58" s="1" t="s">
        <v>2317</v>
      </c>
      <c r="AL58" s="1" t="s">
        <v>3812</v>
      </c>
      <c r="AM58" s="1" t="s">
        <v>1443</v>
      </c>
      <c r="AN58" s="1" t="s">
        <v>1385</v>
      </c>
      <c r="AO58" s="1" t="s">
        <v>488</v>
      </c>
      <c r="AP58" s="1">
        <v>23</v>
      </c>
      <c r="AQ58" s="1" t="s">
        <v>3813</v>
      </c>
      <c r="AR58" s="42">
        <v>0.375</v>
      </c>
      <c r="AS58" s="42">
        <v>0.29166666666424135</v>
      </c>
      <c r="AT58" s="1">
        <v>5627229255</v>
      </c>
      <c r="AU58" s="1">
        <v>5627229255</v>
      </c>
      <c r="AV58" s="1" t="s">
        <v>2317</v>
      </c>
      <c r="AW58" s="5" t="s">
        <v>3814</v>
      </c>
      <c r="AX58" s="1" t="s">
        <v>598</v>
      </c>
      <c r="AY58" s="1" t="s">
        <v>383</v>
      </c>
      <c r="AZ58" s="1" t="s">
        <v>383</v>
      </c>
      <c r="BA58" s="1" t="s">
        <v>445</v>
      </c>
      <c r="BB58" s="1">
        <v>23</v>
      </c>
      <c r="BC58" s="1" t="s">
        <v>868</v>
      </c>
      <c r="BD58" s="43">
        <v>0.29166666666424135</v>
      </c>
      <c r="BE58" s="43">
        <v>0.25</v>
      </c>
      <c r="BF58" s="1">
        <v>5624255075</v>
      </c>
      <c r="BG58" s="1">
        <v>5624255075</v>
      </c>
      <c r="BH58" s="1" t="s">
        <v>2317</v>
      </c>
      <c r="BI58" s="5" t="s">
        <v>3815</v>
      </c>
      <c r="BJ58" s="1" t="s">
        <v>236</v>
      </c>
      <c r="BL58" s="1">
        <v>156</v>
      </c>
      <c r="BM58" s="1">
        <v>56</v>
      </c>
      <c r="BN58" s="1" t="s">
        <v>228</v>
      </c>
      <c r="BO58" s="1" t="s">
        <v>228</v>
      </c>
      <c r="BQ58" s="1" t="s">
        <v>228</v>
      </c>
      <c r="BR58" s="1" t="s">
        <v>237</v>
      </c>
      <c r="BS58" s="1" t="s">
        <v>228</v>
      </c>
      <c r="BT58" s="1" t="s">
        <v>237</v>
      </c>
      <c r="BU58" s="1" t="s">
        <v>228</v>
      </c>
      <c r="BW58" s="1" t="s">
        <v>238</v>
      </c>
      <c r="BX58" s="1">
        <v>80</v>
      </c>
      <c r="BY58" s="1">
        <v>200</v>
      </c>
      <c r="BZ58" s="1" t="s">
        <v>298</v>
      </c>
      <c r="CA58" s="1" t="s">
        <v>365</v>
      </c>
      <c r="CB58" s="1" t="s">
        <v>240</v>
      </c>
      <c r="CC58" s="1" t="s">
        <v>255</v>
      </c>
      <c r="CD58" s="1">
        <v>7000</v>
      </c>
      <c r="CE58" s="1">
        <v>3000</v>
      </c>
      <c r="CF58" s="1" t="s">
        <v>236</v>
      </c>
      <c r="CG58" s="1" t="s">
        <v>242</v>
      </c>
      <c r="CH58" s="1" t="s">
        <v>243</v>
      </c>
      <c r="CI58" s="1" t="s">
        <v>243</v>
      </c>
      <c r="CJ58" s="1" t="s">
        <v>2848</v>
      </c>
      <c r="CL58" s="5" t="s">
        <v>3816</v>
      </c>
      <c r="CM58" s="1" t="s">
        <v>2370</v>
      </c>
      <c r="CN58" s="1" t="s">
        <v>228</v>
      </c>
      <c r="CQ58" s="42">
        <v>0.29166666666424135</v>
      </c>
      <c r="CR58" s="42">
        <v>0.25</v>
      </c>
      <c r="CT58" s="45" t="str">
        <f t="array" ref="CT58">IFERROR(INDEX(#REF!,MATCH('Respuestas de formulario 1.1'!$B58,#REF!,0),MATCH('Respuestas de formulario 1.1'!CT$1,#REF!,0)),"")</f>
        <v/>
      </c>
      <c r="CU58" s="56" t="str">
        <f t="array" ref="CU58">IFERROR(INDEX(#REF!,MATCH('Respuestas de formulario 1.1'!$B58,#REF!,0),MATCH('Respuestas de formulario 1.1'!CU$1,#REF!,0)),"")</f>
        <v/>
      </c>
      <c r="CV58" s="56" t="str">
        <f t="array" ref="CV58">IFERROR(INDEX(#REF!,MATCH('Respuestas de formulario 1.1'!$B58,#REF!,0),MATCH('Respuestas de formulario 1.1'!CV$1,#REF!,0)),"")</f>
        <v/>
      </c>
      <c r="CW58" s="56" t="str">
        <f t="array" ref="CW58">IFERROR(INDEX(#REF!,MATCH('Respuestas de formulario 1.1'!$B58,#REF!,0),MATCH('Respuestas de formulario 1.1'!CW$1,#REF!,0)),"")</f>
        <v/>
      </c>
      <c r="CX58" s="56" t="str">
        <f t="array" ref="CX58">IFERROR(INDEX(#REF!,MATCH('Respuestas de formulario 1.1'!$B58,#REF!,0),MATCH('Respuestas de formulario 1.1'!CX$1,#REF!,0)),"")</f>
        <v/>
      </c>
      <c r="CY58" s="56" t="str">
        <f t="array" ref="CY58">IFERROR(INDEX(#REF!,MATCH('Respuestas de formulario 1.1'!$B58,#REF!,0),MATCH('Respuestas de formulario 1.1'!CY$1,#REF!,0)),"")</f>
        <v/>
      </c>
      <c r="CZ58" s="57" t="str">
        <f t="array" ref="CZ58">IFERROR(INDEX(#REF!,MATCH('Respuestas de formulario 1.1'!$B58,#REF!,0),MATCH('Respuestas de formulario 1.1'!CZ$1,#REF!,0)),"")</f>
        <v/>
      </c>
      <c r="DA58" s="45" t="e">
        <f t="array" ref="DA58">INDEX(#REF!,MATCH('Respuestas de formulario 1.1'!$B58,#REF!,0),MATCH('Respuestas de formulario 1.1'!DA$1,#REF!,0))</f>
        <v>#REF!</v>
      </c>
      <c r="DB58" s="45" t="e">
        <f t="array" ref="DB58">INDEX(#REF!,MATCH('Respuestas de formulario 1.1'!$B58,#REF!,0),MATCH('Respuestas de formulario 1.1'!DB$1,#REF!,0))</f>
        <v>#REF!</v>
      </c>
      <c r="DC58" s="45" t="e">
        <f t="array" ref="DC58">INDEX(#REF!,MATCH('Respuestas de formulario 1.1'!$B58,#REF!,0),MATCH('Respuestas de formulario 1.1'!DC$1,#REF!,0))</f>
        <v>#REF!</v>
      </c>
      <c r="DD58" s="45" t="e">
        <f t="array" ref="DD58">INDEX(#REF!,MATCH('Respuestas de formulario 1.1'!$B58,#REF!,0),MATCH('Respuestas de formulario 1.1'!DD$1,#REF!,0))</f>
        <v>#REF!</v>
      </c>
      <c r="DE58" s="45" t="e">
        <f t="array" ref="DE58">INDEX(#REF!,MATCH('Respuestas de formulario 1.1'!$B58,#REF!,0),MATCH('Respuestas de formulario 1.1'!DE$1,#REF!,0))</f>
        <v>#REF!</v>
      </c>
      <c r="DF58" s="45" t="e">
        <f t="array" ref="DF58">INDEX(#REF!,MATCH('Respuestas de formulario 1.1'!$B58,#REF!,0),MATCH('Respuestas de formulario 1.1'!DF$1,#REF!,0))</f>
        <v>#REF!</v>
      </c>
      <c r="DG58" s="45" t="e">
        <f t="array" ref="DG58">INDEX(#REF!,MATCH('Respuestas de formulario 1.1'!$B58,#REF!,0),MATCH('Respuestas de formulario 1.1'!DG$1,#REF!,0))</f>
        <v>#REF!</v>
      </c>
      <c r="DH58" s="45" t="e">
        <f t="array" ref="DH58">INDEX(#REF!,MATCH('Respuestas de formulario 1.1'!$B58,#REF!,0),MATCH('Respuestas de formulario 1.1'!DH$1,#REF!,0))</f>
        <v>#REF!</v>
      </c>
      <c r="DI58" s="48" t="e">
        <f>VLOOKUP(CONCATENATE($DF58," TUTO ",$DC58),#REF!,3,0)</f>
        <v>#REF!</v>
      </c>
      <c r="DJ58" s="48" t="e">
        <f t="array" ref="DJ58">IF('Respuestas de formulario 1.1'!A58="","",INDEX(#REF!,MATCH('Respuestas de formulario 1.1'!B58,#REF!,0),MATCH('Respuestas de formulario 1.1'!$DH$1,#REF!,0)))</f>
        <v>#REF!</v>
      </c>
      <c r="DK58" s="52" t="str">
        <f>CONCATENATE("http://doc.google.com/uc?id=",MID('Respuestas de formulario 1.1'!G58,34,33))</f>
        <v>http://doc.google.com/uc?id=1XzkS71I18pomIHZyVuemK6OXSiMshqC9</v>
      </c>
      <c r="DL58" s="49" t="str">
        <f>CONCATENATE("http://doc.google.com/uc?id=",MID('Respuestas de formulario 1.1'!AH58,34,33))</f>
        <v>http://doc.google.com/uc?id=1EObNG36zZuT6BgEAQQHTiny5u988Mb96</v>
      </c>
      <c r="DM58" s="50" t="str">
        <f>CONCATENATE("http://doc.google.com/uc?id=",MID('Respuestas de formulario 1.1'!AW58,34,33))</f>
        <v>http://doc.google.com/uc?id=1HyT83oS2Qg7mrEMZeech0XumXiOaZsGS</v>
      </c>
      <c r="DN58" s="53" t="str">
        <f>CONCATENATE("http://doc.google.com/uc?id=",MID('Respuestas de formulario 1.1'!$BI58,34,33))</f>
        <v>http://doc.google.com/uc?id=1UAVLDD74MVwAzPY2rF5OfFqSFE5bDAeB</v>
      </c>
      <c r="DO58" s="45" t="str">
        <f>IFERROR(VLOOKUP(CONCATENATE('Respuestas de formulario 1.1'!$B58,MID('Respuestas de formulario 1.1'!DO$1,2,1)),#REF!,12,0),"")</f>
        <v/>
      </c>
      <c r="DP58" s="45" t="str">
        <f>IFERROR(VLOOKUP(CONCATENATE('Respuestas de formulario 1.1'!$B58,MID('Respuestas de formulario 1.1'!DP$1,2,1)),#REF!,12,0),"")</f>
        <v/>
      </c>
      <c r="DQ58" s="45" t="str">
        <f>IFERROR(VLOOKUP(CONCATENATE('Respuestas de formulario 1.1'!$B58,MID('Respuestas de formulario 1.1'!DQ$1,2,1)),#REF!,12,0),"")</f>
        <v/>
      </c>
      <c r="DR58" s="45" t="str">
        <f>IFERROR(VLOOKUP(CONCATENATE('Respuestas de formulario 1.1'!$B58,MID('Respuestas de formulario 1.1'!DR$1,2,1)),#REF!,12,0),"")</f>
        <v/>
      </c>
      <c r="DS58" s="45" t="str">
        <f>IFERROR(VLOOKUP(CONCATENATE('Respuestas de formulario 1.1'!$B58,MID('Respuestas de formulario 1.1'!DS$1,2,1)),#REF!,12,0),"")</f>
        <v/>
      </c>
      <c r="DT58" s="45" t="str">
        <f>IFERROR(VLOOKUP(CONCATENATE('Respuestas de formulario 1.1'!$B58,MID('Respuestas de formulario 1.1'!DT$1,2,1)),#REF!,12,0),"")</f>
        <v/>
      </c>
      <c r="DU58" s="45" t="str">
        <f>IFERROR(VLOOKUP(CONCATENATE('Respuestas de formulario 1.1'!$B58,MID('Respuestas de formulario 1.1'!DU$1,2,1)),#REF!,12,0),"")</f>
        <v/>
      </c>
      <c r="DV58" s="45" t="str">
        <f>IFERROR(VLOOKUP(CONCATENATE('Respuestas de formulario 1.1'!$B58,MID('Respuestas de formulario 1.1'!DV$1,2,1)),#REF!,12,0),"")</f>
        <v/>
      </c>
      <c r="DW58" s="45" t="str">
        <f>IFERROR(VLOOKUP(CONCATENATE('Respuestas de formulario 1.1'!$B58,MID('Respuestas de formulario 1.1'!DW$1,2,1)),#REF!,12,0),"")</f>
        <v/>
      </c>
      <c r="DX58" s="45" t="str">
        <f>IFERROR(VLOOKUP(CONCATENATE('Respuestas de formulario 1.1'!$B58,MID('Respuestas de formulario 1.1'!DX$1,2,1)),#REF!,12,0),"")</f>
        <v/>
      </c>
      <c r="DY58" s="45" t="str">
        <f>IFERROR(VLOOKUP(CONCATENATE('Respuestas de formulario 1.1'!$B58,MID('Respuestas de formulario 1.1'!DY$1,2,1)),#REF!,12,0),"")</f>
        <v/>
      </c>
      <c r="DZ58" s="45" t="str">
        <f>IFERROR(VLOOKUP(CONCATENATE('Respuestas de formulario 1.1'!$B58,MID('Respuestas de formulario 1.1'!DZ$1,2,1)),#REF!,12,0),"")</f>
        <v/>
      </c>
      <c r="EA58" s="45" t="str">
        <f>IFERROR(VLOOKUP(CONCATENATE('Respuestas de formulario 1.1'!$B58,MID('Respuestas de formulario 1.1'!EA$1,2,1)),#REF!,12,0),"")</f>
        <v/>
      </c>
      <c r="EB58" s="45" t="str">
        <f>IFERROR(VLOOKUP(CONCATENATE('Respuestas de formulario 1.1'!$B58,MID('Respuestas de formulario 1.1'!EB$1,2,1)),#REF!,12,0),"")</f>
        <v/>
      </c>
      <c r="EC58" s="45" t="str">
        <f>IFERROR(VLOOKUP(CONCATENATE('Respuestas de formulario 1.1'!$B58,MID('Respuestas de formulario 1.1'!EC$1,2,1)),#REF!,12,0),"")</f>
        <v/>
      </c>
      <c r="ED58" s="45" t="str">
        <f>IFERROR(VLOOKUP(CONCATENATE('Respuestas de formulario 1.1'!$B58,MID('Respuestas de formulario 1.1'!ED$1,2,1)),#REF!,12,0),"")</f>
        <v/>
      </c>
      <c r="EE58" s="45" t="str">
        <f>IFERROR(VLOOKUP(CONCATENATE('Respuestas de formulario 1.1'!$B58,MID('Respuestas de formulario 1.1'!EE$1,2,1)),#REF!,12,0),"")</f>
        <v/>
      </c>
      <c r="EF58" s="45" t="str">
        <f>IFERROR(VLOOKUP(CONCATENATE('Respuestas de formulario 1.1'!$B58,MID('Respuestas de formulario 1.1'!EF$1,2,1)),#REF!,12,0),"")</f>
        <v/>
      </c>
      <c r="EG58" s="45" t="str">
        <f>IFERROR(VLOOKUP(CONCATENATE('Respuestas de formulario 1.1'!$B58,MID('Respuestas de formulario 1.1'!EG$1,2,1)),#REF!,12,0),"")</f>
        <v/>
      </c>
      <c r="EH58" s="45" t="str">
        <f>IFERROR(VLOOKUP(CONCATENATE('Respuestas de formulario 1.1'!$B58,MID('Respuestas de formulario 1.1'!EH$1,2,1)),#REF!,12,0),"")</f>
        <v/>
      </c>
      <c r="EI58" s="45" t="str">
        <f>IFERROR(VLOOKUP(CONCATENATE('Respuestas de formulario 1.1'!$B58,MID('Respuestas de formulario 1.1'!EI$1,2,1)),#REF!,12,0),"")</f>
        <v/>
      </c>
      <c r="EJ58" s="45" t="str">
        <f t="array" ref="EJ58">IF(DO58="","", INDEX(#REF!,MATCH(CONCATENATE('Respuestas de formulario 1.1'!$B58,DO58),#REF!,0),MATCH('Respuestas de formulario 1.1'!EJ$1,#REF!,0)))</f>
        <v/>
      </c>
      <c r="EK58" s="56" t="str">
        <f t="array" ref="EK58">IF(DP58="","", INDEX(#REF!,MATCH(CONCATENATE('Respuestas de formulario 1.1'!$B58,DP58),#REF!,0),MATCH('Respuestas de formulario 1.1'!EK$1,#REF!,0)))</f>
        <v/>
      </c>
      <c r="EL58" s="56" t="str">
        <f t="array" ref="EL58">IF(DQ58="","", INDEX(#REF!,MATCH(CONCATENATE('Respuestas de formulario 1.1'!$B58,DQ58),#REF!,0),MATCH('Respuestas de formulario 1.1'!EL$1,#REF!,0)))</f>
        <v/>
      </c>
      <c r="EM58" s="56" t="str">
        <f t="array" ref="EM58">IF(DR58="","", INDEX(#REF!,MATCH(CONCATENATE('Respuestas de formulario 1.1'!$B58,DR58),#REF!,0),MATCH('Respuestas de formulario 1.1'!EM$1,#REF!,0)))</f>
        <v/>
      </c>
      <c r="EN58" s="56" t="str">
        <f t="array" ref="EN58">IF(DS58="","", INDEX(#REF!,MATCH(CONCATENATE('Respuestas de formulario 1.1'!$B58,DS58),#REF!,0),MATCH('Respuestas de formulario 1.1'!EN$1,#REF!,0)))</f>
        <v/>
      </c>
      <c r="EO58" s="56" t="str">
        <f t="array" ref="EO58">IF(DT58="","", INDEX(#REF!,MATCH(CONCATENATE('Respuestas de formulario 1.1'!$B58,DT58),#REF!,0),MATCH('Respuestas de formulario 1.1'!EO$1,#REF!,0)))</f>
        <v/>
      </c>
      <c r="EP58" s="45" t="str">
        <f t="array" ref="EP58">IF(DU58="","", INDEX(#REF!,MATCH(CONCATENATE('Respuestas de formulario 1.1'!$B58,DU58),#REF!,0),MATCH('Respuestas de formulario 1.1'!EP$1,#REF!,0)))</f>
        <v/>
      </c>
      <c r="EQ58" s="45" t="str">
        <f t="array" ref="EQ58">IF(DP58="","", INDEX(#REF!,MATCH(CONCATENATE('Respuestas de formulario 1.1'!$B58,DP58),#REF!,0),MATCH('Respuestas de formulario 1.1'!EQ$1,#REF!,0)))</f>
        <v/>
      </c>
      <c r="ER58" s="56" t="str">
        <f t="array" ref="ER58">IF(DQ58="","", INDEX(#REF!,MATCH(CONCATENATE('Respuestas de formulario 1.1'!$B58,DQ58),#REF!,0),MATCH('Respuestas de formulario 1.1'!ER$1,#REF!,0)))</f>
        <v/>
      </c>
      <c r="ES58" s="56" t="str">
        <f t="array" ref="ES58">IF(DR58="","", INDEX(#REF!,MATCH(CONCATENATE('Respuestas de formulario 1.1'!$B58,DR58),#REF!,0),MATCH('Respuestas de formulario 1.1'!ES$1,#REF!,0)))</f>
        <v/>
      </c>
      <c r="ET58" s="56" t="str">
        <f t="array" ref="ET58">IF(DS58="","", INDEX(#REF!,MATCH(CONCATENATE('Respuestas de formulario 1.1'!$B58,DS58),#REF!,0),MATCH('Respuestas de formulario 1.1'!ET$1,#REF!,0)))</f>
        <v/>
      </c>
      <c r="EU58" s="56" t="str">
        <f t="array" ref="EU58">IF(DT58="","", INDEX(#REF!,MATCH(CONCATENATE('Respuestas de formulario 1.1'!$B58,DT58),#REF!,0),MATCH('Respuestas de formulario 1.1'!EU$1,#REF!,0)))</f>
        <v/>
      </c>
      <c r="EV58" s="56" t="str">
        <f t="array" ref="EV58">IF(DU58="","", INDEX(#REF!,MATCH(CONCATENATE('Respuestas de formulario 1.1'!$B58,DU58),#REF!,0),MATCH('Respuestas de formulario 1.1'!EV$1,#REF!,0)))</f>
        <v/>
      </c>
      <c r="EW58" s="45" t="str">
        <f t="array" ref="EW58">IF(DV58="","", INDEX(#REF!,MATCH(CONCATENATE('Respuestas de formulario 1.1'!$B58,DV58),#REF!,0),MATCH('Respuestas de formulario 1.1'!EW$1,#REF!,0)))</f>
        <v/>
      </c>
      <c r="EX58" s="45" t="str">
        <f t="array" ref="EX58">IF($DQ58="","", INDEX(#REF!,MATCH(CONCATENATE('Respuestas de formulario 1.1'!$B58,$DQ58),#REF!,0),MATCH('Respuestas de formulario 1.1'!EX$1,#REF!,0)))</f>
        <v/>
      </c>
      <c r="EY58" s="56" t="str">
        <f t="array" ref="EY58">IF($DQ58="","", INDEX(#REF!,MATCH(CONCATENATE('Respuestas de formulario 1.1'!$B58,$DQ58),#REF!,0),MATCH('Respuestas de formulario 1.1'!EY$1,#REF!,0)))</f>
        <v/>
      </c>
      <c r="EZ58" s="56" t="str">
        <f t="array" ref="EZ58">IF($DQ58="","", INDEX(#REF!,MATCH(CONCATENATE('Respuestas de formulario 1.1'!$B58,$DQ58),#REF!,0),MATCH('Respuestas de formulario 1.1'!EZ$1,#REF!,0)))</f>
        <v/>
      </c>
      <c r="FA58" s="56" t="str">
        <f t="array" ref="FA58">IF($DQ58="","", INDEX(#REF!,MATCH(CONCATENATE('Respuestas de formulario 1.1'!$B58,$DQ58),#REF!,0),MATCH('Respuestas de formulario 1.1'!FA$1,#REF!,0)))</f>
        <v/>
      </c>
      <c r="FB58" s="56" t="str">
        <f t="array" ref="FB58">IF($DQ58="","", INDEX(#REF!,MATCH(CONCATENATE('Respuestas de formulario 1.1'!$B58,$DQ58),#REF!,0),MATCH('Respuestas de formulario 1.1'!FB$1,#REF!,0)))</f>
        <v/>
      </c>
      <c r="FC58" s="56" t="str">
        <f t="array" ref="FC58">IF($DQ58="","", INDEX(#REF!,MATCH(CONCATENATE('Respuestas de formulario 1.1'!$B58,$DQ58),#REF!,0),MATCH('Respuestas de formulario 1.1'!FC$1,#REF!,0)))</f>
        <v/>
      </c>
      <c r="FD58" s="45" t="str">
        <f t="array" ref="FD58">IF($DQ58="","", INDEX(#REF!,MATCH(CONCATENATE('Respuestas de formulario 1.1'!$B58,$DQ58),#REF!,0),MATCH('Respuestas de formulario 1.1'!FD$1,#REF!,0)))</f>
        <v/>
      </c>
      <c r="FE58" s="45" t="str">
        <f t="array" ref="FE58">IF($DR58="","", INDEX(#REF!,MATCH(CONCATENATE(#REF!,$DR58),#REF!,0),MATCH(#REF!,#REF!,0)))</f>
        <v/>
      </c>
      <c r="FF58" s="56" t="str">
        <f t="array" ref="FF58">IF($DR58="","", INDEX(#REF!,MATCH(CONCATENATE(#REF!,$DR58),#REF!,0),MATCH(#REF!,#REF!,0)))</f>
        <v/>
      </c>
      <c r="FG58" s="56" t="str">
        <f t="array" ref="FG58">IF($DR58="","", INDEX(#REF!,MATCH(CONCATENATE(#REF!,$DR58),#REF!,0),MATCH(#REF!,#REF!,0)))</f>
        <v/>
      </c>
      <c r="FH58" s="56" t="str">
        <f t="array" ref="FH58">IF($DR58="","", INDEX(#REF!,MATCH(CONCATENATE(#REF!,$DR58),#REF!,0),MATCH(#REF!,#REF!,0)))</f>
        <v/>
      </c>
      <c r="FI58" s="56" t="str">
        <f t="array" ref="FI58">IF($DR58="","", INDEX(#REF!,MATCH(CONCATENATE(#REF!,$DR58),#REF!,0),MATCH(#REF!,#REF!,0)))</f>
        <v/>
      </c>
      <c r="FJ58" s="56" t="str">
        <f t="array" ref="FJ58">IF($DR58="","", INDEX(#REF!,MATCH(CONCATENATE(#REF!,$DR58),#REF!,0),MATCH(#REF!,#REF!,0)))</f>
        <v/>
      </c>
      <c r="FK58" s="45" t="str">
        <f t="array" ref="FK58">IF($DR58="","", INDEX(#REF!,MATCH(CONCATENATE(#REF!,$DR58),#REF!,0),MATCH(#REF!,#REF!,0)))</f>
        <v/>
      </c>
      <c r="FL58" s="45" t="str">
        <f t="array" ref="FL58">IF($DT58="","", INDEX(#REF!,MATCH(CONCATENATE('Respuestas de formulario 1.1'!$B58,$DS58),#REF!,0),MATCH('Respuestas de formulario 1.1'!FL$1,#REF!,0)))</f>
        <v/>
      </c>
      <c r="FM58" s="56" t="str">
        <f t="array" ref="FM58">IF($DT58="","", INDEX(#REF!,MATCH(CONCATENATE('Respuestas de formulario 1.1'!$B58,$DS58),#REF!,0),MATCH('Respuestas de formulario 1.1'!FM$1,#REF!,0)))</f>
        <v/>
      </c>
      <c r="FN58" s="56" t="str">
        <f t="array" ref="FN58">IF($DT58="","", INDEX(#REF!,MATCH(CONCATENATE('Respuestas de formulario 1.1'!$B58,$DS58),#REF!,0),MATCH('Respuestas de formulario 1.1'!FN$1,#REF!,0)))</f>
        <v/>
      </c>
      <c r="FO58" s="56" t="str">
        <f t="array" ref="FO58">IF($DT58="","", INDEX(#REF!,MATCH(CONCATENATE('Respuestas de formulario 1.1'!$B58,$DS58),#REF!,0),MATCH('Respuestas de formulario 1.1'!FO$1,#REF!,0)))</f>
        <v/>
      </c>
      <c r="FP58" s="56" t="str">
        <f t="array" ref="FP58">IF($DT58="","", INDEX(#REF!,MATCH(CONCATENATE('Respuestas de formulario 1.1'!$B58,$DS58),#REF!,0),MATCH('Respuestas de formulario 1.1'!FP$1,#REF!,0)))</f>
        <v/>
      </c>
      <c r="FQ58" s="56" t="str">
        <f t="array" ref="FQ58">IF($DT58="","", INDEX(#REF!,MATCH(CONCATENATE('Respuestas de formulario 1.1'!$B58,$DS58),#REF!,0),MATCH('Respuestas de formulario 1.1'!FQ$1,#REF!,0)))</f>
        <v/>
      </c>
      <c r="FR58" s="45" t="str">
        <f t="array" ref="FR58">IF($DT58="","", INDEX(#REF!,MATCH(CONCATENATE('Respuestas de formulario 1.1'!$B58,$DS58),#REF!,0),MATCH('Respuestas de formulario 1.1'!FR$1,#REF!,0)))</f>
        <v/>
      </c>
      <c r="FS58" s="45" t="str">
        <f t="array" ref="FS58">IF($DU58="","", INDEX(#REF!,MATCH(CONCATENATE('Respuestas de formulario 1.1'!$B58,$DT58),#REF!,0),MATCH('Respuestas de formulario 1.1'!FS$1,#REF!,0)))</f>
        <v/>
      </c>
      <c r="FT58" s="56" t="str">
        <f t="array" ref="FT58">IF($DU58="","", INDEX(#REF!,MATCH(CONCATENATE('Respuestas de formulario 1.1'!$B58,$DT58),#REF!,0),MATCH('Respuestas de formulario 1.1'!FT$1,#REF!,0)))</f>
        <v/>
      </c>
      <c r="FU58" s="56" t="str">
        <f t="array" ref="FU58">IF($DU58="","", INDEX(#REF!,MATCH(CONCATENATE('Respuestas de formulario 1.1'!$B58,$DT58),#REF!,0),MATCH('Respuestas de formulario 1.1'!FU$1,#REF!,0)))</f>
        <v/>
      </c>
      <c r="FV58" s="56" t="str">
        <f t="array" ref="FV58">IF($DU58="","", INDEX(#REF!,MATCH(CONCATENATE('Respuestas de formulario 1.1'!$B58,$DT58),#REF!,0),MATCH('Respuestas de formulario 1.1'!FV$1,#REF!,0)))</f>
        <v/>
      </c>
      <c r="FW58" s="56" t="str">
        <f t="array" ref="FW58">IF($DU58="","", INDEX(#REF!,MATCH(CONCATENATE('Respuestas de formulario 1.1'!$B58,$DT58),#REF!,0),MATCH('Respuestas de formulario 1.1'!FW$1,#REF!,0)))</f>
        <v/>
      </c>
      <c r="FX58" s="56" t="str">
        <f t="array" ref="FX58">IF($DU58="","", INDEX(#REF!,MATCH(CONCATENATE('Respuestas de formulario 1.1'!$B58,$DT58),#REF!,0),MATCH('Respuestas de formulario 1.1'!FX$1,#REF!,0)))</f>
        <v/>
      </c>
      <c r="FY58" s="45" t="str">
        <f t="array" ref="FY58">IF($DU58="","", INDEX(#REF!,MATCH(CONCATENATE('Respuestas de formulario 1.1'!$B58,$DT58),#REF!,0),MATCH('Respuestas de formulario 1.1'!FY$1,#REF!,0)))</f>
        <v/>
      </c>
      <c r="FZ58" s="3" t="s">
        <v>2860</v>
      </c>
      <c r="GA58" s="1" t="s">
        <v>3817</v>
      </c>
      <c r="GB58" s="5" t="s">
        <v>3818</v>
      </c>
      <c r="GC58" s="4" t="str">
        <f>HYPERLINK("https://drive.google.com/file/d/1_1eer7b_0qeMYrBMj-9FvP0cL2LMz6Vm/view?usp=drivesdk","LOPEZ  CALDERON FATIMA DORALYN  Formato de reinscripción y pago 2022-2")</f>
        <v>LOPEZ  CALDERON FATIMA DORALYN  Formato de reinscripción y pago 2022-2</v>
      </c>
      <c r="GD58" s="1" t="s">
        <v>3819</v>
      </c>
      <c r="GE58" s="1"/>
      <c r="GF58" s="1"/>
      <c r="GG58" s="1"/>
      <c r="GH58" s="1"/>
      <c r="GI58" s="1" t="s">
        <v>3820</v>
      </c>
      <c r="GJ58" s="5" t="s">
        <v>3821</v>
      </c>
      <c r="GK58" s="5" t="str">
        <f>HYPERLINK("https://drive.google.com/file/d/13cLwjKGq-3dbQ-As0B1SKIl44ZKR8Ig_/view?usp=drivesdk","LOPEZ  CALDERON FATIMA DORALYN  Formato de reinscripción y pago 2022-2")</f>
        <v>LOPEZ  CALDERON FATIMA DORALYN  Formato de reinscripción y pago 2022-2</v>
      </c>
      <c r="GL58" s="1" t="s">
        <v>3822</v>
      </c>
    </row>
    <row r="59" spans="1:194" ht="38.25" x14ac:dyDescent="0.2">
      <c r="A59" s="2">
        <v>45139.333573599535</v>
      </c>
      <c r="B59" s="1" t="s">
        <v>861</v>
      </c>
      <c r="C59" s="1" t="s">
        <v>485</v>
      </c>
      <c r="D59" s="1" t="s">
        <v>244</v>
      </c>
      <c r="E59" s="1" t="s">
        <v>3823</v>
      </c>
      <c r="F59" s="1" t="s">
        <v>223</v>
      </c>
      <c r="G59" s="5" t="s">
        <v>3824</v>
      </c>
      <c r="H59" s="41">
        <v>39015</v>
      </c>
      <c r="I59" s="1">
        <v>16</v>
      </c>
      <c r="J59" s="1">
        <v>5548074360</v>
      </c>
      <c r="K59" s="1">
        <v>5548049034</v>
      </c>
      <c r="L59" s="1" t="s">
        <v>862</v>
      </c>
      <c r="M59" s="1">
        <v>21309060570373</v>
      </c>
      <c r="N59" s="1" t="s">
        <v>1108</v>
      </c>
      <c r="O59" s="1" t="s">
        <v>247</v>
      </c>
      <c r="P59" s="1" t="s">
        <v>226</v>
      </c>
      <c r="Q59" s="1" t="s">
        <v>227</v>
      </c>
      <c r="R59" s="1" t="s">
        <v>236</v>
      </c>
      <c r="S59" s="1" t="s">
        <v>228</v>
      </c>
      <c r="T59" s="1" t="s">
        <v>686</v>
      </c>
      <c r="U59" s="1" t="s">
        <v>327</v>
      </c>
      <c r="V59" s="1" t="s">
        <v>228</v>
      </c>
      <c r="W59" s="1" t="s">
        <v>3825</v>
      </c>
      <c r="X59" s="1" t="s">
        <v>327</v>
      </c>
      <c r="Y59" s="1" t="s">
        <v>2331</v>
      </c>
      <c r="Z59" s="1" t="s">
        <v>231</v>
      </c>
      <c r="AA59" s="1">
        <v>56338</v>
      </c>
      <c r="AB59" s="1">
        <v>3</v>
      </c>
      <c r="AC59" s="1">
        <v>29</v>
      </c>
      <c r="AD59" s="1" t="s">
        <v>3826</v>
      </c>
      <c r="AE59" s="1" t="s">
        <v>863</v>
      </c>
      <c r="AF59" s="1" t="s">
        <v>265</v>
      </c>
      <c r="AG59" s="1">
        <v>39</v>
      </c>
      <c r="AH59" s="5" t="s">
        <v>3827</v>
      </c>
      <c r="AI59" s="1">
        <v>5548049034</v>
      </c>
      <c r="AJ59" s="1">
        <v>5548049034</v>
      </c>
      <c r="AK59" s="1"/>
      <c r="AL59" s="1" t="s">
        <v>664</v>
      </c>
      <c r="AM59" s="1" t="s">
        <v>604</v>
      </c>
      <c r="AN59" s="1" t="s">
        <v>1117</v>
      </c>
      <c r="AO59" s="1" t="s">
        <v>2220</v>
      </c>
      <c r="AP59" s="1">
        <v>21</v>
      </c>
      <c r="AQ59" s="1" t="s">
        <v>3828</v>
      </c>
      <c r="AR59" s="42">
        <v>0.70833333333575865</v>
      </c>
      <c r="AS59" s="42">
        <v>0.29166666666424135</v>
      </c>
      <c r="AT59" s="1">
        <v>5548074360</v>
      </c>
      <c r="AU59" s="1">
        <v>5548074360</v>
      </c>
      <c r="AV59" s="1"/>
      <c r="AW59" s="5" t="s">
        <v>3829</v>
      </c>
      <c r="AX59" s="1" t="s">
        <v>485</v>
      </c>
      <c r="AY59" s="1" t="s">
        <v>432</v>
      </c>
      <c r="AZ59" s="1" t="s">
        <v>3830</v>
      </c>
      <c r="BA59" s="1" t="s">
        <v>493</v>
      </c>
      <c r="BB59" s="1">
        <v>38</v>
      </c>
      <c r="BC59" s="1" t="s">
        <v>2535</v>
      </c>
      <c r="BD59" s="43">
        <v>0.33333333333575865</v>
      </c>
      <c r="BE59" s="43">
        <v>0.79166666666424135</v>
      </c>
      <c r="BF59" s="1">
        <v>2331117523</v>
      </c>
      <c r="BG59" s="1">
        <v>2331117523</v>
      </c>
      <c r="BH59" s="1"/>
      <c r="BI59" s="5" t="s">
        <v>3831</v>
      </c>
      <c r="BJ59" s="1" t="s">
        <v>236</v>
      </c>
      <c r="BL59" s="1">
        <v>153</v>
      </c>
      <c r="BM59" s="1">
        <v>52</v>
      </c>
      <c r="BN59" s="1" t="s">
        <v>236</v>
      </c>
      <c r="BO59" s="1" t="s">
        <v>228</v>
      </c>
      <c r="BQ59" s="1" t="s">
        <v>228</v>
      </c>
      <c r="BR59" s="1" t="s">
        <v>237</v>
      </c>
      <c r="BS59" s="1" t="s">
        <v>228</v>
      </c>
      <c r="BT59" s="1" t="s">
        <v>237</v>
      </c>
      <c r="BU59" s="1" t="s">
        <v>228</v>
      </c>
      <c r="BW59" s="1" t="s">
        <v>238</v>
      </c>
      <c r="BX59" s="1">
        <v>90</v>
      </c>
      <c r="BY59" s="1">
        <v>350</v>
      </c>
      <c r="BZ59" s="1" t="s">
        <v>3832</v>
      </c>
      <c r="CA59" s="1" t="s">
        <v>3833</v>
      </c>
      <c r="CB59" s="1" t="s">
        <v>864</v>
      </c>
      <c r="CC59" s="1" t="s">
        <v>3834</v>
      </c>
      <c r="CD59" s="1">
        <v>2000</v>
      </c>
      <c r="CE59" s="1">
        <v>2000</v>
      </c>
      <c r="CF59" s="1" t="s">
        <v>236</v>
      </c>
      <c r="CG59" s="1" t="s">
        <v>242</v>
      </c>
      <c r="CH59" s="1" t="s">
        <v>243</v>
      </c>
      <c r="CI59" s="1" t="s">
        <v>243</v>
      </c>
      <c r="CJ59" s="1" t="s">
        <v>2848</v>
      </c>
      <c r="CL59" s="5" t="s">
        <v>3835</v>
      </c>
      <c r="CM59" s="1">
        <v>57210645511</v>
      </c>
      <c r="CN59" s="1" t="s">
        <v>228</v>
      </c>
      <c r="CQ59" s="42">
        <v>0.29166666666424135</v>
      </c>
      <c r="CR59" s="42">
        <v>0.83333333333575865</v>
      </c>
      <c r="CT59" s="45" t="str">
        <f t="array" ref="CT59">IFERROR(INDEX(#REF!,MATCH('Respuestas de formulario 1.1'!$B59,#REF!,0),MATCH('Respuestas de formulario 1.1'!CT$1,#REF!,0)),"")</f>
        <v/>
      </c>
      <c r="CU59" s="56" t="str">
        <f t="array" ref="CU59">IFERROR(INDEX(#REF!,MATCH('Respuestas de formulario 1.1'!$B59,#REF!,0),MATCH('Respuestas de formulario 1.1'!CU$1,#REF!,0)),"")</f>
        <v/>
      </c>
      <c r="CV59" s="56" t="str">
        <f t="array" ref="CV59">IFERROR(INDEX(#REF!,MATCH('Respuestas de formulario 1.1'!$B59,#REF!,0),MATCH('Respuestas de formulario 1.1'!CV$1,#REF!,0)),"")</f>
        <v/>
      </c>
      <c r="CW59" s="56" t="str">
        <f t="array" ref="CW59">IFERROR(INDEX(#REF!,MATCH('Respuestas de formulario 1.1'!$B59,#REF!,0),MATCH('Respuestas de formulario 1.1'!CW$1,#REF!,0)),"")</f>
        <v/>
      </c>
      <c r="CX59" s="56" t="str">
        <f t="array" ref="CX59">IFERROR(INDEX(#REF!,MATCH('Respuestas de formulario 1.1'!$B59,#REF!,0),MATCH('Respuestas de formulario 1.1'!CX$1,#REF!,0)),"")</f>
        <v/>
      </c>
      <c r="CY59" s="56" t="str">
        <f t="array" ref="CY59">IFERROR(INDEX(#REF!,MATCH('Respuestas de formulario 1.1'!$B59,#REF!,0),MATCH('Respuestas de formulario 1.1'!CY$1,#REF!,0)),"")</f>
        <v/>
      </c>
      <c r="CZ59" s="57" t="str">
        <f t="array" ref="CZ59">IFERROR(INDEX(#REF!,MATCH('Respuestas de formulario 1.1'!$B59,#REF!,0),MATCH('Respuestas de formulario 1.1'!CZ$1,#REF!,0)),"")</f>
        <v/>
      </c>
      <c r="DA59" s="45" t="e">
        <f t="array" ref="DA59">INDEX(#REF!,MATCH('Respuestas de formulario 1.1'!$B59,#REF!,0),MATCH('Respuestas de formulario 1.1'!DA$1,#REF!,0))</f>
        <v>#REF!</v>
      </c>
      <c r="DB59" s="45" t="e">
        <f t="array" ref="DB59">INDEX(#REF!,MATCH('Respuestas de formulario 1.1'!$B59,#REF!,0),MATCH('Respuestas de formulario 1.1'!DB$1,#REF!,0))</f>
        <v>#REF!</v>
      </c>
      <c r="DC59" s="45" t="e">
        <f t="array" ref="DC59">INDEX(#REF!,MATCH('Respuestas de formulario 1.1'!$B59,#REF!,0),MATCH('Respuestas de formulario 1.1'!DC$1,#REF!,0))</f>
        <v>#REF!</v>
      </c>
      <c r="DD59" s="45" t="e">
        <f t="array" ref="DD59">INDEX(#REF!,MATCH('Respuestas de formulario 1.1'!$B59,#REF!,0),MATCH('Respuestas de formulario 1.1'!DD$1,#REF!,0))</f>
        <v>#REF!</v>
      </c>
      <c r="DE59" s="45" t="e">
        <f t="array" ref="DE59">INDEX(#REF!,MATCH('Respuestas de formulario 1.1'!$B59,#REF!,0),MATCH('Respuestas de formulario 1.1'!DE$1,#REF!,0))</f>
        <v>#REF!</v>
      </c>
      <c r="DF59" s="45" t="e">
        <f t="array" ref="DF59">INDEX(#REF!,MATCH('Respuestas de formulario 1.1'!$B59,#REF!,0),MATCH('Respuestas de formulario 1.1'!DF$1,#REF!,0))</f>
        <v>#REF!</v>
      </c>
      <c r="DG59" s="45" t="e">
        <f t="array" ref="DG59">INDEX(#REF!,MATCH('Respuestas de formulario 1.1'!$B59,#REF!,0),MATCH('Respuestas de formulario 1.1'!DG$1,#REF!,0))</f>
        <v>#REF!</v>
      </c>
      <c r="DH59" s="45" t="e">
        <f t="array" ref="DH59">INDEX(#REF!,MATCH('Respuestas de formulario 1.1'!$B59,#REF!,0),MATCH('Respuestas de formulario 1.1'!DH$1,#REF!,0))</f>
        <v>#REF!</v>
      </c>
      <c r="DI59" s="48" t="e">
        <f>VLOOKUP(CONCATENATE($DF59," TUTO ",$DC59),#REF!,3,0)</f>
        <v>#REF!</v>
      </c>
      <c r="DJ59" s="48" t="e">
        <f t="array" ref="DJ59">IF('Respuestas de formulario 1.1'!A59="","",INDEX(#REF!,MATCH('Respuestas de formulario 1.1'!B59,#REF!,0),MATCH('Respuestas de formulario 1.1'!$DH$1,#REF!,0)))</f>
        <v>#REF!</v>
      </c>
      <c r="DK59" s="52" t="str">
        <f>CONCATENATE("http://doc.google.com/uc?id=",MID('Respuestas de formulario 1.1'!G59,34,33))</f>
        <v>http://doc.google.com/uc?id=1wLbl0ASN19BsAbXKHLwCW_mjrdamz9Pq</v>
      </c>
      <c r="DL59" s="49" t="str">
        <f>CONCATENATE("http://doc.google.com/uc?id=",MID('Respuestas de formulario 1.1'!AH59,34,33))</f>
        <v>http://doc.google.com/uc?id=14iU3cnAhx2tllod6p5pfybbEHTg_BMBG</v>
      </c>
      <c r="DM59" s="50" t="str">
        <f>CONCATENATE("http://doc.google.com/uc?id=",MID('Respuestas de formulario 1.1'!AW59,34,33))</f>
        <v>http://doc.google.com/uc?id=1BP1vNuuTICNrWk3qQJCczq4FIwVamhZE</v>
      </c>
      <c r="DN59" s="53" t="str">
        <f>CONCATENATE("http://doc.google.com/uc?id=",MID('Respuestas de formulario 1.1'!$BI59,34,33))</f>
        <v>http://doc.google.com/uc?id=18q94gyvpHIhyG-OZNkUNSsJ3vlAphh0B</v>
      </c>
      <c r="DO59" s="45" t="str">
        <f>IFERROR(VLOOKUP(CONCATENATE('Respuestas de formulario 1.1'!$B59,MID('Respuestas de formulario 1.1'!DO$1,2,1)),#REF!,12,0),"")</f>
        <v/>
      </c>
      <c r="DP59" s="45" t="str">
        <f>IFERROR(VLOOKUP(CONCATENATE('Respuestas de formulario 1.1'!$B59,MID('Respuestas de formulario 1.1'!DP$1,2,1)),#REF!,12,0),"")</f>
        <v/>
      </c>
      <c r="DQ59" s="45" t="str">
        <f>IFERROR(VLOOKUP(CONCATENATE('Respuestas de formulario 1.1'!$B59,MID('Respuestas de formulario 1.1'!DQ$1,2,1)),#REF!,12,0),"")</f>
        <v/>
      </c>
      <c r="DR59" s="45" t="str">
        <f>IFERROR(VLOOKUP(CONCATENATE('Respuestas de formulario 1.1'!$B59,MID('Respuestas de formulario 1.1'!DR$1,2,1)),#REF!,12,0),"")</f>
        <v/>
      </c>
      <c r="DS59" s="45" t="str">
        <f>IFERROR(VLOOKUP(CONCATENATE('Respuestas de formulario 1.1'!$B59,MID('Respuestas de formulario 1.1'!DS$1,2,1)),#REF!,12,0),"")</f>
        <v/>
      </c>
      <c r="DT59" s="45" t="str">
        <f>IFERROR(VLOOKUP(CONCATENATE('Respuestas de formulario 1.1'!$B59,MID('Respuestas de formulario 1.1'!DT$1,2,1)),#REF!,12,0),"")</f>
        <v/>
      </c>
      <c r="DU59" s="45" t="str">
        <f>IFERROR(VLOOKUP(CONCATENATE('Respuestas de formulario 1.1'!$B59,MID('Respuestas de formulario 1.1'!DU$1,2,1)),#REF!,12,0),"")</f>
        <v/>
      </c>
      <c r="DV59" s="45" t="str">
        <f>IFERROR(VLOOKUP(CONCATENATE('Respuestas de formulario 1.1'!$B59,MID('Respuestas de formulario 1.1'!DV$1,2,1)),#REF!,12,0),"")</f>
        <v/>
      </c>
      <c r="DW59" s="45" t="str">
        <f>IFERROR(VLOOKUP(CONCATENATE('Respuestas de formulario 1.1'!$B59,MID('Respuestas de formulario 1.1'!DW$1,2,1)),#REF!,12,0),"")</f>
        <v/>
      </c>
      <c r="DX59" s="45" t="str">
        <f>IFERROR(VLOOKUP(CONCATENATE('Respuestas de formulario 1.1'!$B59,MID('Respuestas de formulario 1.1'!DX$1,2,1)),#REF!,12,0),"")</f>
        <v/>
      </c>
      <c r="DY59" s="45" t="str">
        <f>IFERROR(VLOOKUP(CONCATENATE('Respuestas de formulario 1.1'!$B59,MID('Respuestas de formulario 1.1'!DY$1,2,1)),#REF!,12,0),"")</f>
        <v/>
      </c>
      <c r="DZ59" s="45" t="str">
        <f>IFERROR(VLOOKUP(CONCATENATE('Respuestas de formulario 1.1'!$B59,MID('Respuestas de formulario 1.1'!DZ$1,2,1)),#REF!,12,0),"")</f>
        <v/>
      </c>
      <c r="EA59" s="45" t="str">
        <f>IFERROR(VLOOKUP(CONCATENATE('Respuestas de formulario 1.1'!$B59,MID('Respuestas de formulario 1.1'!EA$1,2,1)),#REF!,12,0),"")</f>
        <v/>
      </c>
      <c r="EB59" s="45" t="str">
        <f>IFERROR(VLOOKUP(CONCATENATE('Respuestas de formulario 1.1'!$B59,MID('Respuestas de formulario 1.1'!EB$1,2,1)),#REF!,12,0),"")</f>
        <v/>
      </c>
      <c r="EC59" s="45" t="str">
        <f>IFERROR(VLOOKUP(CONCATENATE('Respuestas de formulario 1.1'!$B59,MID('Respuestas de formulario 1.1'!EC$1,2,1)),#REF!,12,0),"")</f>
        <v/>
      </c>
      <c r="ED59" s="45" t="str">
        <f>IFERROR(VLOOKUP(CONCATENATE('Respuestas de formulario 1.1'!$B59,MID('Respuestas de formulario 1.1'!ED$1,2,1)),#REF!,12,0),"")</f>
        <v/>
      </c>
      <c r="EE59" s="45" t="str">
        <f>IFERROR(VLOOKUP(CONCATENATE('Respuestas de formulario 1.1'!$B59,MID('Respuestas de formulario 1.1'!EE$1,2,1)),#REF!,12,0),"")</f>
        <v/>
      </c>
      <c r="EF59" s="45" t="str">
        <f>IFERROR(VLOOKUP(CONCATENATE('Respuestas de formulario 1.1'!$B59,MID('Respuestas de formulario 1.1'!EF$1,2,1)),#REF!,12,0),"")</f>
        <v/>
      </c>
      <c r="EG59" s="45" t="str">
        <f>IFERROR(VLOOKUP(CONCATENATE('Respuestas de formulario 1.1'!$B59,MID('Respuestas de formulario 1.1'!EG$1,2,1)),#REF!,12,0),"")</f>
        <v/>
      </c>
      <c r="EH59" s="45" t="str">
        <f>IFERROR(VLOOKUP(CONCATENATE('Respuestas de formulario 1.1'!$B59,MID('Respuestas de formulario 1.1'!EH$1,2,1)),#REF!,12,0),"")</f>
        <v/>
      </c>
      <c r="EI59" s="45" t="str">
        <f>IFERROR(VLOOKUP(CONCATENATE('Respuestas de formulario 1.1'!$B59,MID('Respuestas de formulario 1.1'!EI$1,2,1)),#REF!,12,0),"")</f>
        <v/>
      </c>
      <c r="EJ59" s="45" t="str">
        <f t="array" ref="EJ59">IF(DO59="","", INDEX(#REF!,MATCH(CONCATENATE('Respuestas de formulario 1.1'!$B59,DO59),#REF!,0),MATCH('Respuestas de formulario 1.1'!EJ$1,#REF!,0)))</f>
        <v/>
      </c>
      <c r="EK59" s="56" t="str">
        <f t="array" ref="EK59">IF(DP59="","", INDEX(#REF!,MATCH(CONCATENATE('Respuestas de formulario 1.1'!$B59,DP59),#REF!,0),MATCH('Respuestas de formulario 1.1'!EK$1,#REF!,0)))</f>
        <v/>
      </c>
      <c r="EL59" s="56" t="str">
        <f t="array" ref="EL59">IF(DQ59="","", INDEX(#REF!,MATCH(CONCATENATE('Respuestas de formulario 1.1'!$B59,DQ59),#REF!,0),MATCH('Respuestas de formulario 1.1'!EL$1,#REF!,0)))</f>
        <v/>
      </c>
      <c r="EM59" s="56" t="str">
        <f t="array" ref="EM59">IF(DR59="","", INDEX(#REF!,MATCH(CONCATENATE('Respuestas de formulario 1.1'!$B59,DR59),#REF!,0),MATCH('Respuestas de formulario 1.1'!EM$1,#REF!,0)))</f>
        <v/>
      </c>
      <c r="EN59" s="56" t="str">
        <f t="array" ref="EN59">IF(DS59="","", INDEX(#REF!,MATCH(CONCATENATE('Respuestas de formulario 1.1'!$B59,DS59),#REF!,0),MATCH('Respuestas de formulario 1.1'!EN$1,#REF!,0)))</f>
        <v/>
      </c>
      <c r="EO59" s="56" t="str">
        <f t="array" ref="EO59">IF(DT59="","", INDEX(#REF!,MATCH(CONCATENATE('Respuestas de formulario 1.1'!$B59,DT59),#REF!,0),MATCH('Respuestas de formulario 1.1'!EO$1,#REF!,0)))</f>
        <v/>
      </c>
      <c r="EP59" s="45" t="str">
        <f t="array" ref="EP59">IF(DU59="","", INDEX(#REF!,MATCH(CONCATENATE('Respuestas de formulario 1.1'!$B59,DU59),#REF!,0),MATCH('Respuestas de formulario 1.1'!EP$1,#REF!,0)))</f>
        <v/>
      </c>
      <c r="EQ59" s="45" t="str">
        <f t="array" ref="EQ59">IF(DP59="","", INDEX(#REF!,MATCH(CONCATENATE('Respuestas de formulario 1.1'!$B59,DP59),#REF!,0),MATCH('Respuestas de formulario 1.1'!EQ$1,#REF!,0)))</f>
        <v/>
      </c>
      <c r="ER59" s="56" t="str">
        <f t="array" ref="ER59">IF(DQ59="","", INDEX(#REF!,MATCH(CONCATENATE('Respuestas de formulario 1.1'!$B59,DQ59),#REF!,0),MATCH('Respuestas de formulario 1.1'!ER$1,#REF!,0)))</f>
        <v/>
      </c>
      <c r="ES59" s="56" t="str">
        <f t="array" ref="ES59">IF(DR59="","", INDEX(#REF!,MATCH(CONCATENATE('Respuestas de formulario 1.1'!$B59,DR59),#REF!,0),MATCH('Respuestas de formulario 1.1'!ES$1,#REF!,0)))</f>
        <v/>
      </c>
      <c r="ET59" s="56" t="str">
        <f t="array" ref="ET59">IF(DS59="","", INDEX(#REF!,MATCH(CONCATENATE('Respuestas de formulario 1.1'!$B59,DS59),#REF!,0),MATCH('Respuestas de formulario 1.1'!ET$1,#REF!,0)))</f>
        <v/>
      </c>
      <c r="EU59" s="56" t="str">
        <f t="array" ref="EU59">IF(DT59="","", INDEX(#REF!,MATCH(CONCATENATE('Respuestas de formulario 1.1'!$B59,DT59),#REF!,0),MATCH('Respuestas de formulario 1.1'!EU$1,#REF!,0)))</f>
        <v/>
      </c>
      <c r="EV59" s="56" t="str">
        <f t="array" ref="EV59">IF(DU59="","", INDEX(#REF!,MATCH(CONCATENATE('Respuestas de formulario 1.1'!$B59,DU59),#REF!,0),MATCH('Respuestas de formulario 1.1'!EV$1,#REF!,0)))</f>
        <v/>
      </c>
      <c r="EW59" s="45" t="str">
        <f t="array" ref="EW59">IF(DV59="","", INDEX(#REF!,MATCH(CONCATENATE('Respuestas de formulario 1.1'!$B59,DV59),#REF!,0),MATCH('Respuestas de formulario 1.1'!EW$1,#REF!,0)))</f>
        <v/>
      </c>
      <c r="EX59" s="45" t="str">
        <f t="array" ref="EX59">IF($DQ59="","", INDEX(#REF!,MATCH(CONCATENATE('Respuestas de formulario 1.1'!$B59,$DQ59),#REF!,0),MATCH('Respuestas de formulario 1.1'!EX$1,#REF!,0)))</f>
        <v/>
      </c>
      <c r="EY59" s="56" t="str">
        <f t="array" ref="EY59">IF($DQ59="","", INDEX(#REF!,MATCH(CONCATENATE('Respuestas de formulario 1.1'!$B59,$DQ59),#REF!,0),MATCH('Respuestas de formulario 1.1'!EY$1,#REF!,0)))</f>
        <v/>
      </c>
      <c r="EZ59" s="56" t="str">
        <f t="array" ref="EZ59">IF($DQ59="","", INDEX(#REF!,MATCH(CONCATENATE('Respuestas de formulario 1.1'!$B59,$DQ59),#REF!,0),MATCH('Respuestas de formulario 1.1'!EZ$1,#REF!,0)))</f>
        <v/>
      </c>
      <c r="FA59" s="56" t="str">
        <f t="array" ref="FA59">IF($DQ59="","", INDEX(#REF!,MATCH(CONCATENATE('Respuestas de formulario 1.1'!$B59,$DQ59),#REF!,0),MATCH('Respuestas de formulario 1.1'!FA$1,#REF!,0)))</f>
        <v/>
      </c>
      <c r="FB59" s="56" t="str">
        <f t="array" ref="FB59">IF($DQ59="","", INDEX(#REF!,MATCH(CONCATENATE('Respuestas de formulario 1.1'!$B59,$DQ59),#REF!,0),MATCH('Respuestas de formulario 1.1'!FB$1,#REF!,0)))</f>
        <v/>
      </c>
      <c r="FC59" s="56" t="str">
        <f t="array" ref="FC59">IF($DQ59="","", INDEX(#REF!,MATCH(CONCATENATE('Respuestas de formulario 1.1'!$B59,$DQ59),#REF!,0),MATCH('Respuestas de formulario 1.1'!FC$1,#REF!,0)))</f>
        <v/>
      </c>
      <c r="FD59" s="45" t="str">
        <f t="array" ref="FD59">IF($DQ59="","", INDEX(#REF!,MATCH(CONCATENATE('Respuestas de formulario 1.1'!$B59,$DQ59),#REF!,0),MATCH('Respuestas de formulario 1.1'!FD$1,#REF!,0)))</f>
        <v/>
      </c>
      <c r="FE59" s="45" t="str">
        <f t="array" ref="FE59">IF($DR59="","", INDEX(#REF!,MATCH(CONCATENATE(#REF!,$DR59),#REF!,0),MATCH(#REF!,#REF!,0)))</f>
        <v/>
      </c>
      <c r="FF59" s="56" t="str">
        <f t="array" ref="FF59">IF($DR59="","", INDEX(#REF!,MATCH(CONCATENATE(#REF!,$DR59),#REF!,0),MATCH(#REF!,#REF!,0)))</f>
        <v/>
      </c>
      <c r="FG59" s="56" t="str">
        <f t="array" ref="FG59">IF($DR59="","", INDEX(#REF!,MATCH(CONCATENATE(#REF!,$DR59),#REF!,0),MATCH(#REF!,#REF!,0)))</f>
        <v/>
      </c>
      <c r="FH59" s="56" t="str">
        <f t="array" ref="FH59">IF($DR59="","", INDEX(#REF!,MATCH(CONCATENATE(#REF!,$DR59),#REF!,0),MATCH(#REF!,#REF!,0)))</f>
        <v/>
      </c>
      <c r="FI59" s="56" t="str">
        <f t="array" ref="FI59">IF($DR59="","", INDEX(#REF!,MATCH(CONCATENATE(#REF!,$DR59),#REF!,0),MATCH(#REF!,#REF!,0)))</f>
        <v/>
      </c>
      <c r="FJ59" s="56" t="str">
        <f t="array" ref="FJ59">IF($DR59="","", INDEX(#REF!,MATCH(CONCATENATE(#REF!,$DR59),#REF!,0),MATCH(#REF!,#REF!,0)))</f>
        <v/>
      </c>
      <c r="FK59" s="45" t="str">
        <f t="array" ref="FK59">IF($DR59="","", INDEX(#REF!,MATCH(CONCATENATE(#REF!,$DR59),#REF!,0),MATCH(#REF!,#REF!,0)))</f>
        <v/>
      </c>
      <c r="FL59" s="45" t="str">
        <f t="array" ref="FL59">IF($DT59="","", INDEX(#REF!,MATCH(CONCATENATE('Respuestas de formulario 1.1'!$B59,$DS59),#REF!,0),MATCH('Respuestas de formulario 1.1'!FL$1,#REF!,0)))</f>
        <v/>
      </c>
      <c r="FM59" s="56" t="str">
        <f t="array" ref="FM59">IF($DT59="","", INDEX(#REF!,MATCH(CONCATENATE('Respuestas de formulario 1.1'!$B59,$DS59),#REF!,0),MATCH('Respuestas de formulario 1.1'!FM$1,#REF!,0)))</f>
        <v/>
      </c>
      <c r="FN59" s="56" t="str">
        <f t="array" ref="FN59">IF($DT59="","", INDEX(#REF!,MATCH(CONCATENATE('Respuestas de formulario 1.1'!$B59,$DS59),#REF!,0),MATCH('Respuestas de formulario 1.1'!FN$1,#REF!,0)))</f>
        <v/>
      </c>
      <c r="FO59" s="56" t="str">
        <f t="array" ref="FO59">IF($DT59="","", INDEX(#REF!,MATCH(CONCATENATE('Respuestas de formulario 1.1'!$B59,$DS59),#REF!,0),MATCH('Respuestas de formulario 1.1'!FO$1,#REF!,0)))</f>
        <v/>
      </c>
      <c r="FP59" s="56" t="str">
        <f t="array" ref="FP59">IF($DT59="","", INDEX(#REF!,MATCH(CONCATENATE('Respuestas de formulario 1.1'!$B59,$DS59),#REF!,0),MATCH('Respuestas de formulario 1.1'!FP$1,#REF!,0)))</f>
        <v/>
      </c>
      <c r="FQ59" s="56" t="str">
        <f t="array" ref="FQ59">IF($DT59="","", INDEX(#REF!,MATCH(CONCATENATE('Respuestas de formulario 1.1'!$B59,$DS59),#REF!,0),MATCH('Respuestas de formulario 1.1'!FQ$1,#REF!,0)))</f>
        <v/>
      </c>
      <c r="FR59" s="45" t="str">
        <f t="array" ref="FR59">IF($DT59="","", INDEX(#REF!,MATCH(CONCATENATE('Respuestas de formulario 1.1'!$B59,$DS59),#REF!,0),MATCH('Respuestas de formulario 1.1'!FR$1,#REF!,0)))</f>
        <v/>
      </c>
      <c r="FS59" s="45" t="str">
        <f t="array" ref="FS59">IF($DU59="","", INDEX(#REF!,MATCH(CONCATENATE('Respuestas de formulario 1.1'!$B59,$DT59),#REF!,0),MATCH('Respuestas de formulario 1.1'!FS$1,#REF!,0)))</f>
        <v/>
      </c>
      <c r="FT59" s="56" t="str">
        <f t="array" ref="FT59">IF($DU59="","", INDEX(#REF!,MATCH(CONCATENATE('Respuestas de formulario 1.1'!$B59,$DT59),#REF!,0),MATCH('Respuestas de formulario 1.1'!FT$1,#REF!,0)))</f>
        <v/>
      </c>
      <c r="FU59" s="56" t="str">
        <f t="array" ref="FU59">IF($DU59="","", INDEX(#REF!,MATCH(CONCATENATE('Respuestas de formulario 1.1'!$B59,$DT59),#REF!,0),MATCH('Respuestas de formulario 1.1'!FU$1,#REF!,0)))</f>
        <v/>
      </c>
      <c r="FV59" s="56" t="str">
        <f t="array" ref="FV59">IF($DU59="","", INDEX(#REF!,MATCH(CONCATENATE('Respuestas de formulario 1.1'!$B59,$DT59),#REF!,0),MATCH('Respuestas de formulario 1.1'!FV$1,#REF!,0)))</f>
        <v/>
      </c>
      <c r="FW59" s="56" t="str">
        <f t="array" ref="FW59">IF($DU59="","", INDEX(#REF!,MATCH(CONCATENATE('Respuestas de formulario 1.1'!$B59,$DT59),#REF!,0),MATCH('Respuestas de formulario 1.1'!FW$1,#REF!,0)))</f>
        <v/>
      </c>
      <c r="FX59" s="56" t="str">
        <f t="array" ref="FX59">IF($DU59="","", INDEX(#REF!,MATCH(CONCATENATE('Respuestas de formulario 1.1'!$B59,$DT59),#REF!,0),MATCH('Respuestas de formulario 1.1'!FX$1,#REF!,0)))</f>
        <v/>
      </c>
      <c r="FY59" s="45" t="str">
        <f t="array" ref="FY59">IF($DU59="","", INDEX(#REF!,MATCH(CONCATENATE('Respuestas de formulario 1.1'!$B59,$DT59),#REF!,0),MATCH('Respuestas de formulario 1.1'!FY$1,#REF!,0)))</f>
        <v/>
      </c>
      <c r="FZ59" s="3" t="s">
        <v>2860</v>
      </c>
      <c r="GA59" s="1" t="s">
        <v>3836</v>
      </c>
      <c r="GB59" s="5" t="s">
        <v>3837</v>
      </c>
      <c r="GC59" s="4" t="str">
        <f>HYPERLINK("https://drive.google.com/file/d/1GV-WnMgGhrt4tSAW4EpQrcDPOEuoaseC/view?usp=drivesdk","DIAZ HERNANDEZ ANDREA ARACELI  Formato de reinscripción y pago 2022-2")</f>
        <v>DIAZ HERNANDEZ ANDREA ARACELI  Formato de reinscripción y pago 2022-2</v>
      </c>
      <c r="GD59" s="1" t="s">
        <v>3838</v>
      </c>
      <c r="GE59" s="1"/>
      <c r="GF59" s="1"/>
      <c r="GG59" s="1"/>
      <c r="GH59" s="1"/>
      <c r="GI59" s="1" t="s">
        <v>3839</v>
      </c>
      <c r="GJ59" s="5" t="s">
        <v>3840</v>
      </c>
      <c r="GK59" s="5" t="str">
        <f>HYPERLINK("https://drive.google.com/file/d/1VUqDfZNeobdwdqIgnFMCPrfWNixJ-NUe/view?usp=drivesdk","DIAZ HERNANDEZ ANDREA ARACELI  Formato de reinscripción y pago 2022-2")</f>
        <v>DIAZ HERNANDEZ ANDREA ARACELI  Formato de reinscripción y pago 2022-2</v>
      </c>
      <c r="GL59" s="1" t="s">
        <v>3841</v>
      </c>
    </row>
    <row r="60" spans="1:194" ht="38.25" x14ac:dyDescent="0.2">
      <c r="A60" s="2">
        <v>45139.334204479164</v>
      </c>
      <c r="B60" s="1" t="s">
        <v>2196</v>
      </c>
      <c r="C60" s="1" t="s">
        <v>1046</v>
      </c>
      <c r="D60" s="1" t="s">
        <v>587</v>
      </c>
      <c r="E60" s="1" t="s">
        <v>2197</v>
      </c>
      <c r="F60" s="1" t="s">
        <v>223</v>
      </c>
      <c r="G60" s="5" t="s">
        <v>3842</v>
      </c>
      <c r="H60" s="41">
        <v>39387</v>
      </c>
      <c r="I60" s="1">
        <v>15</v>
      </c>
      <c r="J60" s="1">
        <v>5566871056</v>
      </c>
      <c r="K60" s="1">
        <v>5526134635</v>
      </c>
      <c r="L60" s="1" t="s">
        <v>2198</v>
      </c>
      <c r="M60" s="1">
        <v>22309060570107</v>
      </c>
      <c r="N60" s="1" t="s">
        <v>562</v>
      </c>
      <c r="O60" s="1" t="s">
        <v>247</v>
      </c>
      <c r="P60" s="1" t="s">
        <v>226</v>
      </c>
      <c r="Q60" s="1" t="s">
        <v>315</v>
      </c>
      <c r="R60" s="1" t="s">
        <v>236</v>
      </c>
      <c r="S60" s="1" t="s">
        <v>228</v>
      </c>
      <c r="T60" s="1" t="s">
        <v>229</v>
      </c>
      <c r="U60" s="1" t="s">
        <v>394</v>
      </c>
      <c r="V60" s="1" t="s">
        <v>228</v>
      </c>
      <c r="W60" s="1" t="s">
        <v>3843</v>
      </c>
      <c r="X60" s="1" t="s">
        <v>394</v>
      </c>
      <c r="Y60" s="1" t="s">
        <v>2201</v>
      </c>
      <c r="Z60" s="1" t="s">
        <v>231</v>
      </c>
      <c r="AA60" s="1">
        <v>56508</v>
      </c>
      <c r="AB60" s="1" t="s">
        <v>2520</v>
      </c>
      <c r="AC60" s="1" t="s">
        <v>3844</v>
      </c>
      <c r="AD60" s="1" t="s">
        <v>3845</v>
      </c>
      <c r="AE60" s="1" t="s">
        <v>2199</v>
      </c>
      <c r="AF60" s="1" t="s">
        <v>420</v>
      </c>
      <c r="AG60" s="1">
        <v>44</v>
      </c>
      <c r="AH60" s="5" t="s">
        <v>3846</v>
      </c>
      <c r="AI60" s="1">
        <v>5535961673</v>
      </c>
      <c r="AJ60" s="1">
        <v>5526134635</v>
      </c>
      <c r="AK60" s="1" t="s">
        <v>3847</v>
      </c>
      <c r="AL60" s="1" t="s">
        <v>587</v>
      </c>
      <c r="AM60" s="1" t="s">
        <v>869</v>
      </c>
      <c r="AN60" s="1" t="s">
        <v>1048</v>
      </c>
      <c r="AO60" s="1" t="s">
        <v>580</v>
      </c>
      <c r="AP60" s="1">
        <v>40</v>
      </c>
      <c r="AQ60" s="1" t="s">
        <v>235</v>
      </c>
      <c r="AR60" s="42">
        <v>0.33333333333575865</v>
      </c>
      <c r="AS60" s="42">
        <v>0.25</v>
      </c>
      <c r="AT60" s="1">
        <v>5515110567</v>
      </c>
      <c r="AU60" s="1">
        <v>5526134635</v>
      </c>
      <c r="AV60" s="1" t="s">
        <v>2200</v>
      </c>
      <c r="AW60" s="5" t="s">
        <v>3848</v>
      </c>
      <c r="AX60" s="1" t="s">
        <v>587</v>
      </c>
      <c r="AY60" s="1" t="s">
        <v>869</v>
      </c>
      <c r="AZ60" s="1" t="s">
        <v>1551</v>
      </c>
      <c r="BA60" s="1" t="s">
        <v>336</v>
      </c>
      <c r="BB60" s="1">
        <v>39</v>
      </c>
      <c r="BC60" s="1" t="s">
        <v>3849</v>
      </c>
      <c r="BD60" s="43">
        <v>0.29166666666424135</v>
      </c>
      <c r="BE60" s="43">
        <v>0.125</v>
      </c>
      <c r="BF60" s="1">
        <v>5541126757</v>
      </c>
      <c r="BG60" s="1">
        <v>5588852432</v>
      </c>
      <c r="BH60" s="1" t="s">
        <v>3850</v>
      </c>
      <c r="BI60" s="5" t="s">
        <v>3851</v>
      </c>
      <c r="BJ60" s="1" t="s">
        <v>236</v>
      </c>
      <c r="BL60" s="1">
        <v>167</v>
      </c>
      <c r="BM60" s="1">
        <v>50</v>
      </c>
      <c r="BN60" s="1" t="s">
        <v>228</v>
      </c>
      <c r="BO60" s="1" t="s">
        <v>228</v>
      </c>
      <c r="BQ60" s="1" t="s">
        <v>228</v>
      </c>
      <c r="BR60" s="1" t="s">
        <v>237</v>
      </c>
      <c r="BS60" s="1" t="s">
        <v>228</v>
      </c>
      <c r="BT60" s="1" t="s">
        <v>237</v>
      </c>
      <c r="BU60" s="1" t="s">
        <v>236</v>
      </c>
      <c r="BW60" s="1" t="s">
        <v>272</v>
      </c>
      <c r="BX60" s="1">
        <v>95</v>
      </c>
      <c r="BY60" s="1">
        <v>97</v>
      </c>
      <c r="BZ60" s="1" t="s">
        <v>3852</v>
      </c>
      <c r="CA60" s="1" t="s">
        <v>3853</v>
      </c>
      <c r="CB60" s="1" t="s">
        <v>240</v>
      </c>
      <c r="CC60" s="1" t="s">
        <v>581</v>
      </c>
      <c r="CD60" s="1">
        <v>650</v>
      </c>
      <c r="CE60" s="1">
        <v>800</v>
      </c>
      <c r="CF60" s="1" t="s">
        <v>236</v>
      </c>
      <c r="CG60" s="1" t="s">
        <v>242</v>
      </c>
      <c r="CH60" s="1" t="s">
        <v>243</v>
      </c>
      <c r="CI60" s="1" t="s">
        <v>243</v>
      </c>
      <c r="CJ60" s="1" t="s">
        <v>2848</v>
      </c>
      <c r="CL60" s="5" t="s">
        <v>3854</v>
      </c>
      <c r="CM60" s="44" t="s">
        <v>3855</v>
      </c>
      <c r="CN60" s="1" t="s">
        <v>228</v>
      </c>
      <c r="CQ60" s="42">
        <v>0.33333333333575865</v>
      </c>
      <c r="CR60" s="42">
        <v>0.25</v>
      </c>
      <c r="CT60" s="45" t="str">
        <f t="array" ref="CT60">IFERROR(INDEX(#REF!,MATCH('Respuestas de formulario 1.1'!$B60,#REF!,0),MATCH('Respuestas de formulario 1.1'!CT$1,#REF!,0)),"")</f>
        <v/>
      </c>
      <c r="CU60" s="56" t="str">
        <f t="array" ref="CU60">IFERROR(INDEX(#REF!,MATCH('Respuestas de formulario 1.1'!$B60,#REF!,0),MATCH('Respuestas de formulario 1.1'!CU$1,#REF!,0)),"")</f>
        <v/>
      </c>
      <c r="CV60" s="56" t="str">
        <f t="array" ref="CV60">IFERROR(INDEX(#REF!,MATCH('Respuestas de formulario 1.1'!$B60,#REF!,0),MATCH('Respuestas de formulario 1.1'!CV$1,#REF!,0)),"")</f>
        <v/>
      </c>
      <c r="CW60" s="56" t="str">
        <f t="array" ref="CW60">IFERROR(INDEX(#REF!,MATCH('Respuestas de formulario 1.1'!$B60,#REF!,0),MATCH('Respuestas de formulario 1.1'!CW$1,#REF!,0)),"")</f>
        <v/>
      </c>
      <c r="CX60" s="56" t="str">
        <f t="array" ref="CX60">IFERROR(INDEX(#REF!,MATCH('Respuestas de formulario 1.1'!$B60,#REF!,0),MATCH('Respuestas de formulario 1.1'!CX$1,#REF!,0)),"")</f>
        <v/>
      </c>
      <c r="CY60" s="56" t="str">
        <f t="array" ref="CY60">IFERROR(INDEX(#REF!,MATCH('Respuestas de formulario 1.1'!$B60,#REF!,0),MATCH('Respuestas de formulario 1.1'!CY$1,#REF!,0)),"")</f>
        <v/>
      </c>
      <c r="CZ60" s="57" t="str">
        <f t="array" ref="CZ60">IFERROR(INDEX(#REF!,MATCH('Respuestas de formulario 1.1'!$B60,#REF!,0),MATCH('Respuestas de formulario 1.1'!CZ$1,#REF!,0)),"")</f>
        <v/>
      </c>
      <c r="DA60" s="45" t="e">
        <f t="array" ref="DA60">INDEX(#REF!,MATCH('Respuestas de formulario 1.1'!$B60,#REF!,0),MATCH('Respuestas de formulario 1.1'!DA$1,#REF!,0))</f>
        <v>#REF!</v>
      </c>
      <c r="DB60" s="45" t="e">
        <f t="array" ref="DB60">INDEX(#REF!,MATCH('Respuestas de formulario 1.1'!$B60,#REF!,0),MATCH('Respuestas de formulario 1.1'!DB$1,#REF!,0))</f>
        <v>#REF!</v>
      </c>
      <c r="DC60" s="45" t="e">
        <f t="array" ref="DC60">INDEX(#REF!,MATCH('Respuestas de formulario 1.1'!$B60,#REF!,0),MATCH('Respuestas de formulario 1.1'!DC$1,#REF!,0))</f>
        <v>#REF!</v>
      </c>
      <c r="DD60" s="45" t="e">
        <f t="array" ref="DD60">INDEX(#REF!,MATCH('Respuestas de formulario 1.1'!$B60,#REF!,0),MATCH('Respuestas de formulario 1.1'!DD$1,#REF!,0))</f>
        <v>#REF!</v>
      </c>
      <c r="DE60" s="45" t="e">
        <f t="array" ref="DE60">INDEX(#REF!,MATCH('Respuestas de formulario 1.1'!$B60,#REF!,0),MATCH('Respuestas de formulario 1.1'!DE$1,#REF!,0))</f>
        <v>#REF!</v>
      </c>
      <c r="DF60" s="45" t="e">
        <f t="array" ref="DF60">INDEX(#REF!,MATCH('Respuestas de formulario 1.1'!$B60,#REF!,0),MATCH('Respuestas de formulario 1.1'!DF$1,#REF!,0))</f>
        <v>#REF!</v>
      </c>
      <c r="DG60" s="45" t="e">
        <f t="array" ref="DG60">INDEX(#REF!,MATCH('Respuestas de formulario 1.1'!$B60,#REF!,0),MATCH('Respuestas de formulario 1.1'!DG$1,#REF!,0))</f>
        <v>#REF!</v>
      </c>
      <c r="DH60" s="45" t="e">
        <f t="array" ref="DH60">INDEX(#REF!,MATCH('Respuestas de formulario 1.1'!$B60,#REF!,0),MATCH('Respuestas de formulario 1.1'!DH$1,#REF!,0))</f>
        <v>#REF!</v>
      </c>
      <c r="DI60" s="48" t="e">
        <f>VLOOKUP(CONCATENATE($DF60," TUTO ",$DC60),#REF!,3,0)</f>
        <v>#REF!</v>
      </c>
      <c r="DJ60" s="48" t="e">
        <f t="array" ref="DJ60">IF('Respuestas de formulario 1.1'!A60="","",INDEX(#REF!,MATCH('Respuestas de formulario 1.1'!B60,#REF!,0),MATCH('Respuestas de formulario 1.1'!$DH$1,#REF!,0)))</f>
        <v>#REF!</v>
      </c>
      <c r="DK60" s="52" t="str">
        <f>CONCATENATE("http://doc.google.com/uc?id=",MID('Respuestas de formulario 1.1'!G60,34,33))</f>
        <v>http://doc.google.com/uc?id=1rGLgVsY4Dh-K51JDC1tcIUexRPtiJazT</v>
      </c>
      <c r="DL60" s="49" t="str">
        <f>CONCATENATE("http://doc.google.com/uc?id=",MID('Respuestas de formulario 1.1'!AH60,34,33))</f>
        <v>http://doc.google.com/uc?id=1lnMZE6PMt9HvxBS8as6Eex9AvGTeY1Ie</v>
      </c>
      <c r="DM60" s="50" t="str">
        <f>CONCATENATE("http://doc.google.com/uc?id=",MID('Respuestas de formulario 1.1'!AW60,34,33))</f>
        <v>http://doc.google.com/uc?id=1P5xciE2VcXNulfl-MyuGD2ZZPUS_iOpj</v>
      </c>
      <c r="DN60" s="53" t="str">
        <f>CONCATENATE("http://doc.google.com/uc?id=",MID('Respuestas de formulario 1.1'!$BI60,34,33))</f>
        <v>http://doc.google.com/uc?id=1r5ywVlEdEiRueYeeD_jObcJFSG9kD66u</v>
      </c>
      <c r="DO60" s="45" t="str">
        <f>IFERROR(VLOOKUP(CONCATENATE('Respuestas de formulario 1.1'!$B60,MID('Respuestas de formulario 1.1'!DO$1,2,1)),#REF!,12,0),"")</f>
        <v/>
      </c>
      <c r="DP60" s="45" t="str">
        <f>IFERROR(VLOOKUP(CONCATENATE('Respuestas de formulario 1.1'!$B60,MID('Respuestas de formulario 1.1'!DP$1,2,1)),#REF!,12,0),"")</f>
        <v/>
      </c>
      <c r="DQ60" s="45" t="str">
        <f>IFERROR(VLOOKUP(CONCATENATE('Respuestas de formulario 1.1'!$B60,MID('Respuestas de formulario 1.1'!DQ$1,2,1)),#REF!,12,0),"")</f>
        <v/>
      </c>
      <c r="DR60" s="45" t="str">
        <f>IFERROR(VLOOKUP(CONCATENATE('Respuestas de formulario 1.1'!$B60,MID('Respuestas de formulario 1.1'!DR$1,2,1)),#REF!,12,0),"")</f>
        <v/>
      </c>
      <c r="DS60" s="45" t="str">
        <f>IFERROR(VLOOKUP(CONCATENATE('Respuestas de formulario 1.1'!$B60,MID('Respuestas de formulario 1.1'!DS$1,2,1)),#REF!,12,0),"")</f>
        <v/>
      </c>
      <c r="DT60" s="45" t="str">
        <f>IFERROR(VLOOKUP(CONCATENATE('Respuestas de formulario 1.1'!$B60,MID('Respuestas de formulario 1.1'!DT$1,2,1)),#REF!,12,0),"")</f>
        <v/>
      </c>
      <c r="DU60" s="45" t="str">
        <f>IFERROR(VLOOKUP(CONCATENATE('Respuestas de formulario 1.1'!$B60,MID('Respuestas de formulario 1.1'!DU$1,2,1)),#REF!,12,0),"")</f>
        <v/>
      </c>
      <c r="DV60" s="45" t="str">
        <f>IFERROR(VLOOKUP(CONCATENATE('Respuestas de formulario 1.1'!$B60,MID('Respuestas de formulario 1.1'!DV$1,2,1)),#REF!,12,0),"")</f>
        <v/>
      </c>
      <c r="DW60" s="45" t="str">
        <f>IFERROR(VLOOKUP(CONCATENATE('Respuestas de formulario 1.1'!$B60,MID('Respuestas de formulario 1.1'!DW$1,2,1)),#REF!,12,0),"")</f>
        <v/>
      </c>
      <c r="DX60" s="45" t="str">
        <f>IFERROR(VLOOKUP(CONCATENATE('Respuestas de formulario 1.1'!$B60,MID('Respuestas de formulario 1.1'!DX$1,2,1)),#REF!,12,0),"")</f>
        <v/>
      </c>
      <c r="DY60" s="45" t="str">
        <f>IFERROR(VLOOKUP(CONCATENATE('Respuestas de formulario 1.1'!$B60,MID('Respuestas de formulario 1.1'!DY$1,2,1)),#REF!,12,0),"")</f>
        <v/>
      </c>
      <c r="DZ60" s="45" t="str">
        <f>IFERROR(VLOOKUP(CONCATENATE('Respuestas de formulario 1.1'!$B60,MID('Respuestas de formulario 1.1'!DZ$1,2,1)),#REF!,12,0),"")</f>
        <v/>
      </c>
      <c r="EA60" s="45" t="str">
        <f>IFERROR(VLOOKUP(CONCATENATE('Respuestas de formulario 1.1'!$B60,MID('Respuestas de formulario 1.1'!EA$1,2,1)),#REF!,12,0),"")</f>
        <v/>
      </c>
      <c r="EB60" s="45" t="str">
        <f>IFERROR(VLOOKUP(CONCATENATE('Respuestas de formulario 1.1'!$B60,MID('Respuestas de formulario 1.1'!EB$1,2,1)),#REF!,12,0),"")</f>
        <v/>
      </c>
      <c r="EC60" s="45" t="str">
        <f>IFERROR(VLOOKUP(CONCATENATE('Respuestas de formulario 1.1'!$B60,MID('Respuestas de formulario 1.1'!EC$1,2,1)),#REF!,12,0),"")</f>
        <v/>
      </c>
      <c r="ED60" s="45" t="str">
        <f>IFERROR(VLOOKUP(CONCATENATE('Respuestas de formulario 1.1'!$B60,MID('Respuestas de formulario 1.1'!ED$1,2,1)),#REF!,12,0),"")</f>
        <v/>
      </c>
      <c r="EE60" s="45" t="str">
        <f>IFERROR(VLOOKUP(CONCATENATE('Respuestas de formulario 1.1'!$B60,MID('Respuestas de formulario 1.1'!EE$1,2,1)),#REF!,12,0),"")</f>
        <v/>
      </c>
      <c r="EF60" s="45" t="str">
        <f>IFERROR(VLOOKUP(CONCATENATE('Respuestas de formulario 1.1'!$B60,MID('Respuestas de formulario 1.1'!EF$1,2,1)),#REF!,12,0),"")</f>
        <v/>
      </c>
      <c r="EG60" s="45" t="str">
        <f>IFERROR(VLOOKUP(CONCATENATE('Respuestas de formulario 1.1'!$B60,MID('Respuestas de formulario 1.1'!EG$1,2,1)),#REF!,12,0),"")</f>
        <v/>
      </c>
      <c r="EH60" s="45" t="str">
        <f>IFERROR(VLOOKUP(CONCATENATE('Respuestas de formulario 1.1'!$B60,MID('Respuestas de formulario 1.1'!EH$1,2,1)),#REF!,12,0),"")</f>
        <v/>
      </c>
      <c r="EI60" s="45" t="str">
        <f>IFERROR(VLOOKUP(CONCATENATE('Respuestas de formulario 1.1'!$B60,MID('Respuestas de formulario 1.1'!EI$1,2,1)),#REF!,12,0),"")</f>
        <v/>
      </c>
      <c r="EJ60" s="45" t="str">
        <f t="array" ref="EJ60">IF(DO60="","", INDEX(#REF!,MATCH(CONCATENATE('Respuestas de formulario 1.1'!$B60,DO60),#REF!,0),MATCH('Respuestas de formulario 1.1'!EJ$1,#REF!,0)))</f>
        <v/>
      </c>
      <c r="EK60" s="56" t="str">
        <f t="array" ref="EK60">IF(DP60="","", INDEX(#REF!,MATCH(CONCATENATE('Respuestas de formulario 1.1'!$B60,DP60),#REF!,0),MATCH('Respuestas de formulario 1.1'!EK$1,#REF!,0)))</f>
        <v/>
      </c>
      <c r="EL60" s="56" t="str">
        <f t="array" ref="EL60">IF(DQ60="","", INDEX(#REF!,MATCH(CONCATENATE('Respuestas de formulario 1.1'!$B60,DQ60),#REF!,0),MATCH('Respuestas de formulario 1.1'!EL$1,#REF!,0)))</f>
        <v/>
      </c>
      <c r="EM60" s="56" t="str">
        <f t="array" ref="EM60">IF(DR60="","", INDEX(#REF!,MATCH(CONCATENATE('Respuestas de formulario 1.1'!$B60,DR60),#REF!,0),MATCH('Respuestas de formulario 1.1'!EM$1,#REF!,0)))</f>
        <v/>
      </c>
      <c r="EN60" s="56" t="str">
        <f t="array" ref="EN60">IF(DS60="","", INDEX(#REF!,MATCH(CONCATENATE('Respuestas de formulario 1.1'!$B60,DS60),#REF!,0),MATCH('Respuestas de formulario 1.1'!EN$1,#REF!,0)))</f>
        <v/>
      </c>
      <c r="EO60" s="56" t="str">
        <f t="array" ref="EO60">IF(DT60="","", INDEX(#REF!,MATCH(CONCATENATE('Respuestas de formulario 1.1'!$B60,DT60),#REF!,0),MATCH('Respuestas de formulario 1.1'!EO$1,#REF!,0)))</f>
        <v/>
      </c>
      <c r="EP60" s="45" t="str">
        <f t="array" ref="EP60">IF(DU60="","", INDEX(#REF!,MATCH(CONCATENATE('Respuestas de formulario 1.1'!$B60,DU60),#REF!,0),MATCH('Respuestas de formulario 1.1'!EP$1,#REF!,0)))</f>
        <v/>
      </c>
      <c r="EQ60" s="45" t="str">
        <f t="array" ref="EQ60">IF(DP60="","", INDEX(#REF!,MATCH(CONCATENATE('Respuestas de formulario 1.1'!$B60,DP60),#REF!,0),MATCH('Respuestas de formulario 1.1'!EQ$1,#REF!,0)))</f>
        <v/>
      </c>
      <c r="ER60" s="56" t="str">
        <f t="array" ref="ER60">IF(DQ60="","", INDEX(#REF!,MATCH(CONCATENATE('Respuestas de formulario 1.1'!$B60,DQ60),#REF!,0),MATCH('Respuestas de formulario 1.1'!ER$1,#REF!,0)))</f>
        <v/>
      </c>
      <c r="ES60" s="56" t="str">
        <f t="array" ref="ES60">IF(DR60="","", INDEX(#REF!,MATCH(CONCATENATE('Respuestas de formulario 1.1'!$B60,DR60),#REF!,0),MATCH('Respuestas de formulario 1.1'!ES$1,#REF!,0)))</f>
        <v/>
      </c>
      <c r="ET60" s="56" t="str">
        <f t="array" ref="ET60">IF(DS60="","", INDEX(#REF!,MATCH(CONCATENATE('Respuestas de formulario 1.1'!$B60,DS60),#REF!,0),MATCH('Respuestas de formulario 1.1'!ET$1,#REF!,0)))</f>
        <v/>
      </c>
      <c r="EU60" s="56" t="str">
        <f t="array" ref="EU60">IF(DT60="","", INDEX(#REF!,MATCH(CONCATENATE('Respuestas de formulario 1.1'!$B60,DT60),#REF!,0),MATCH('Respuestas de formulario 1.1'!EU$1,#REF!,0)))</f>
        <v/>
      </c>
      <c r="EV60" s="56" t="str">
        <f t="array" ref="EV60">IF(DU60="","", INDEX(#REF!,MATCH(CONCATENATE('Respuestas de formulario 1.1'!$B60,DU60),#REF!,0),MATCH('Respuestas de formulario 1.1'!EV$1,#REF!,0)))</f>
        <v/>
      </c>
      <c r="EW60" s="45" t="str">
        <f t="array" ref="EW60">IF(DV60="","", INDEX(#REF!,MATCH(CONCATENATE('Respuestas de formulario 1.1'!$B60,DV60),#REF!,0),MATCH('Respuestas de formulario 1.1'!EW$1,#REF!,0)))</f>
        <v/>
      </c>
      <c r="EX60" s="45" t="str">
        <f t="array" ref="EX60">IF($DQ60="","", INDEX(#REF!,MATCH(CONCATENATE('Respuestas de formulario 1.1'!$B60,$DQ60),#REF!,0),MATCH('Respuestas de formulario 1.1'!EX$1,#REF!,0)))</f>
        <v/>
      </c>
      <c r="EY60" s="56" t="str">
        <f t="array" ref="EY60">IF($DQ60="","", INDEX(#REF!,MATCH(CONCATENATE('Respuestas de formulario 1.1'!$B60,$DQ60),#REF!,0),MATCH('Respuestas de formulario 1.1'!EY$1,#REF!,0)))</f>
        <v/>
      </c>
      <c r="EZ60" s="56" t="str">
        <f t="array" ref="EZ60">IF($DQ60="","", INDEX(#REF!,MATCH(CONCATENATE('Respuestas de formulario 1.1'!$B60,$DQ60),#REF!,0),MATCH('Respuestas de formulario 1.1'!EZ$1,#REF!,0)))</f>
        <v/>
      </c>
      <c r="FA60" s="56" t="str">
        <f t="array" ref="FA60">IF($DQ60="","", INDEX(#REF!,MATCH(CONCATENATE('Respuestas de formulario 1.1'!$B60,$DQ60),#REF!,0),MATCH('Respuestas de formulario 1.1'!FA$1,#REF!,0)))</f>
        <v/>
      </c>
      <c r="FB60" s="56" t="str">
        <f t="array" ref="FB60">IF($DQ60="","", INDEX(#REF!,MATCH(CONCATENATE('Respuestas de formulario 1.1'!$B60,$DQ60),#REF!,0),MATCH('Respuestas de formulario 1.1'!FB$1,#REF!,0)))</f>
        <v/>
      </c>
      <c r="FC60" s="56" t="str">
        <f t="array" ref="FC60">IF($DQ60="","", INDEX(#REF!,MATCH(CONCATENATE('Respuestas de formulario 1.1'!$B60,$DQ60),#REF!,0),MATCH('Respuestas de formulario 1.1'!FC$1,#REF!,0)))</f>
        <v/>
      </c>
      <c r="FD60" s="45" t="str">
        <f t="array" ref="FD60">IF($DQ60="","", INDEX(#REF!,MATCH(CONCATENATE('Respuestas de formulario 1.1'!$B60,$DQ60),#REF!,0),MATCH('Respuestas de formulario 1.1'!FD$1,#REF!,0)))</f>
        <v/>
      </c>
      <c r="FE60" s="45" t="str">
        <f t="array" ref="FE60">IF($DR60="","", INDEX(#REF!,MATCH(CONCATENATE(#REF!,$DR60),#REF!,0),MATCH(#REF!,#REF!,0)))</f>
        <v/>
      </c>
      <c r="FF60" s="56" t="str">
        <f t="array" ref="FF60">IF($DR60="","", INDEX(#REF!,MATCH(CONCATENATE(#REF!,$DR60),#REF!,0),MATCH(#REF!,#REF!,0)))</f>
        <v/>
      </c>
      <c r="FG60" s="56" t="str">
        <f t="array" ref="FG60">IF($DR60="","", INDEX(#REF!,MATCH(CONCATENATE(#REF!,$DR60),#REF!,0),MATCH(#REF!,#REF!,0)))</f>
        <v/>
      </c>
      <c r="FH60" s="56" t="str">
        <f t="array" ref="FH60">IF($DR60="","", INDEX(#REF!,MATCH(CONCATENATE(#REF!,$DR60),#REF!,0),MATCH(#REF!,#REF!,0)))</f>
        <v/>
      </c>
      <c r="FI60" s="56" t="str">
        <f t="array" ref="FI60">IF($DR60="","", INDEX(#REF!,MATCH(CONCATENATE(#REF!,$DR60),#REF!,0),MATCH(#REF!,#REF!,0)))</f>
        <v/>
      </c>
      <c r="FJ60" s="56" t="str">
        <f t="array" ref="FJ60">IF($DR60="","", INDEX(#REF!,MATCH(CONCATENATE(#REF!,$DR60),#REF!,0),MATCH(#REF!,#REF!,0)))</f>
        <v/>
      </c>
      <c r="FK60" s="45" t="str">
        <f t="array" ref="FK60">IF($DR60="","", INDEX(#REF!,MATCH(CONCATENATE(#REF!,$DR60),#REF!,0),MATCH(#REF!,#REF!,0)))</f>
        <v/>
      </c>
      <c r="FL60" s="45" t="str">
        <f t="array" ref="FL60">IF($DT60="","", INDEX(#REF!,MATCH(CONCATENATE('Respuestas de formulario 1.1'!$B60,$DS60),#REF!,0),MATCH('Respuestas de formulario 1.1'!FL$1,#REF!,0)))</f>
        <v/>
      </c>
      <c r="FM60" s="56" t="str">
        <f t="array" ref="FM60">IF($DT60="","", INDEX(#REF!,MATCH(CONCATENATE('Respuestas de formulario 1.1'!$B60,$DS60),#REF!,0),MATCH('Respuestas de formulario 1.1'!FM$1,#REF!,0)))</f>
        <v/>
      </c>
      <c r="FN60" s="56" t="str">
        <f t="array" ref="FN60">IF($DT60="","", INDEX(#REF!,MATCH(CONCATENATE('Respuestas de formulario 1.1'!$B60,$DS60),#REF!,0),MATCH('Respuestas de formulario 1.1'!FN$1,#REF!,0)))</f>
        <v/>
      </c>
      <c r="FO60" s="56" t="str">
        <f t="array" ref="FO60">IF($DT60="","", INDEX(#REF!,MATCH(CONCATENATE('Respuestas de formulario 1.1'!$B60,$DS60),#REF!,0),MATCH('Respuestas de formulario 1.1'!FO$1,#REF!,0)))</f>
        <v/>
      </c>
      <c r="FP60" s="56" t="str">
        <f t="array" ref="FP60">IF($DT60="","", INDEX(#REF!,MATCH(CONCATENATE('Respuestas de formulario 1.1'!$B60,$DS60),#REF!,0),MATCH('Respuestas de formulario 1.1'!FP$1,#REF!,0)))</f>
        <v/>
      </c>
      <c r="FQ60" s="56" t="str">
        <f t="array" ref="FQ60">IF($DT60="","", INDEX(#REF!,MATCH(CONCATENATE('Respuestas de formulario 1.1'!$B60,$DS60),#REF!,0),MATCH('Respuestas de formulario 1.1'!FQ$1,#REF!,0)))</f>
        <v/>
      </c>
      <c r="FR60" s="45" t="str">
        <f t="array" ref="FR60">IF($DT60="","", INDEX(#REF!,MATCH(CONCATENATE('Respuestas de formulario 1.1'!$B60,$DS60),#REF!,0),MATCH('Respuestas de formulario 1.1'!FR$1,#REF!,0)))</f>
        <v/>
      </c>
      <c r="FS60" s="45" t="str">
        <f t="array" ref="FS60">IF($DU60="","", INDEX(#REF!,MATCH(CONCATENATE('Respuestas de formulario 1.1'!$B60,$DT60),#REF!,0),MATCH('Respuestas de formulario 1.1'!FS$1,#REF!,0)))</f>
        <v/>
      </c>
      <c r="FT60" s="56" t="str">
        <f t="array" ref="FT60">IF($DU60="","", INDEX(#REF!,MATCH(CONCATENATE('Respuestas de formulario 1.1'!$B60,$DT60),#REF!,0),MATCH('Respuestas de formulario 1.1'!FT$1,#REF!,0)))</f>
        <v/>
      </c>
      <c r="FU60" s="56" t="str">
        <f t="array" ref="FU60">IF($DU60="","", INDEX(#REF!,MATCH(CONCATENATE('Respuestas de formulario 1.1'!$B60,$DT60),#REF!,0),MATCH('Respuestas de formulario 1.1'!FU$1,#REF!,0)))</f>
        <v/>
      </c>
      <c r="FV60" s="56" t="str">
        <f t="array" ref="FV60">IF($DU60="","", INDEX(#REF!,MATCH(CONCATENATE('Respuestas de formulario 1.1'!$B60,$DT60),#REF!,0),MATCH('Respuestas de formulario 1.1'!FV$1,#REF!,0)))</f>
        <v/>
      </c>
      <c r="FW60" s="56" t="str">
        <f t="array" ref="FW60">IF($DU60="","", INDEX(#REF!,MATCH(CONCATENATE('Respuestas de formulario 1.1'!$B60,$DT60),#REF!,0),MATCH('Respuestas de formulario 1.1'!FW$1,#REF!,0)))</f>
        <v/>
      </c>
      <c r="FX60" s="56" t="str">
        <f t="array" ref="FX60">IF($DU60="","", INDEX(#REF!,MATCH(CONCATENATE('Respuestas de formulario 1.1'!$B60,$DT60),#REF!,0),MATCH('Respuestas de formulario 1.1'!FX$1,#REF!,0)))</f>
        <v/>
      </c>
      <c r="FY60" s="45" t="str">
        <f t="array" ref="FY60">IF($DU60="","", INDEX(#REF!,MATCH(CONCATENATE('Respuestas de formulario 1.1'!$B60,$DT60),#REF!,0),MATCH('Respuestas de formulario 1.1'!FY$1,#REF!,0)))</f>
        <v/>
      </c>
      <c r="FZ60" s="3" t="s">
        <v>2860</v>
      </c>
      <c r="GA60" s="1" t="s">
        <v>3856</v>
      </c>
      <c r="GB60" s="5" t="s">
        <v>3857</v>
      </c>
      <c r="GC60" s="4" t="str">
        <f>HYPERLINK("https://drive.google.com/file/d/1K73ufn7_rTNuKRUUmEeF3efeWVaadj59/view?usp=drivesdk","CERVANTES  SANCHEZ  REGINA  Formato de reinscripción y pago 2022-2")</f>
        <v>CERVANTES  SANCHEZ  REGINA  Formato de reinscripción y pago 2022-2</v>
      </c>
      <c r="GD60" s="1" t="s">
        <v>3858</v>
      </c>
      <c r="GE60" s="1"/>
      <c r="GF60" s="1"/>
      <c r="GG60" s="1"/>
      <c r="GH60" s="1"/>
      <c r="GI60" s="1" t="s">
        <v>3859</v>
      </c>
      <c r="GJ60" s="5" t="s">
        <v>3860</v>
      </c>
      <c r="GK60" s="5" t="str">
        <f>HYPERLINK("https://drive.google.com/file/d/1UL4z-XYF28-xByW26wngN3i25euoYHtP/view?usp=drivesdk","CERVANTES  SANCHEZ  REGINA  Formato de reinscripción y pago 2022-2")</f>
        <v>CERVANTES  SANCHEZ  REGINA  Formato de reinscripción y pago 2022-2</v>
      </c>
      <c r="GL60" s="1" t="s">
        <v>3861</v>
      </c>
    </row>
    <row r="61" spans="1:194" ht="38.25" x14ac:dyDescent="0.2">
      <c r="A61" s="2">
        <v>45139.334667233794</v>
      </c>
      <c r="B61" s="1" t="s">
        <v>2353</v>
      </c>
      <c r="C61" s="1" t="s">
        <v>1693</v>
      </c>
      <c r="D61" s="1" t="s">
        <v>2354</v>
      </c>
      <c r="E61" s="1" t="s">
        <v>2355</v>
      </c>
      <c r="F61" s="1" t="s">
        <v>223</v>
      </c>
      <c r="G61" s="5" t="s">
        <v>3862</v>
      </c>
      <c r="H61" s="41">
        <v>39294</v>
      </c>
      <c r="I61" s="1">
        <v>16</v>
      </c>
      <c r="J61" s="1">
        <v>5616940736</v>
      </c>
      <c r="K61" s="1">
        <v>5616940736</v>
      </c>
      <c r="L61" s="1" t="s">
        <v>3863</v>
      </c>
      <c r="M61" s="1">
        <v>223090605709</v>
      </c>
      <c r="N61" s="1" t="s">
        <v>562</v>
      </c>
      <c r="O61" s="1" t="s">
        <v>225</v>
      </c>
      <c r="P61" s="1" t="s">
        <v>314</v>
      </c>
      <c r="Q61" s="1" t="s">
        <v>248</v>
      </c>
      <c r="R61" s="1" t="s">
        <v>236</v>
      </c>
      <c r="S61" s="1" t="s">
        <v>228</v>
      </c>
      <c r="T61" s="1" t="s">
        <v>229</v>
      </c>
      <c r="U61" s="1" t="s">
        <v>249</v>
      </c>
      <c r="V61" s="1" t="s">
        <v>228</v>
      </c>
      <c r="W61" s="1" t="s">
        <v>3864</v>
      </c>
      <c r="X61" s="1" t="s">
        <v>264</v>
      </c>
      <c r="Y61" s="1" t="s">
        <v>3865</v>
      </c>
      <c r="Z61" s="1" t="s">
        <v>231</v>
      </c>
      <c r="AA61" s="1">
        <v>57730</v>
      </c>
      <c r="AB61" s="1">
        <v>25</v>
      </c>
      <c r="AC61" s="1">
        <v>2</v>
      </c>
      <c r="AD61" s="1" t="s">
        <v>3866</v>
      </c>
      <c r="AE61" s="1" t="s">
        <v>3867</v>
      </c>
      <c r="AF61" s="1" t="s">
        <v>461</v>
      </c>
      <c r="AG61" s="1">
        <v>38</v>
      </c>
      <c r="AH61" s="5" t="s">
        <v>3868</v>
      </c>
      <c r="AI61" s="1">
        <v>5525424233</v>
      </c>
      <c r="AJ61" s="1">
        <v>5525424233</v>
      </c>
      <c r="AK61" s="1" t="s">
        <v>2356</v>
      </c>
      <c r="AL61" s="1" t="s">
        <v>1693</v>
      </c>
      <c r="AM61" s="1" t="s">
        <v>501</v>
      </c>
      <c r="AN61" s="1" t="s">
        <v>1149</v>
      </c>
      <c r="AO61" s="1" t="s">
        <v>420</v>
      </c>
      <c r="AP61" s="1">
        <v>50</v>
      </c>
      <c r="AQ61" s="1" t="s">
        <v>3869</v>
      </c>
      <c r="AR61" s="42">
        <v>0.29166666666424135</v>
      </c>
      <c r="AS61" s="42">
        <v>0.25</v>
      </c>
      <c r="AT61" s="1">
        <v>5580079586</v>
      </c>
      <c r="AU61" s="1">
        <v>5580079586</v>
      </c>
      <c r="AV61" s="1" t="s">
        <v>2357</v>
      </c>
      <c r="AW61" s="5" t="s">
        <v>3870</v>
      </c>
      <c r="AX61" s="1" t="s">
        <v>375</v>
      </c>
      <c r="AY61" s="1" t="s">
        <v>340</v>
      </c>
      <c r="AZ61" s="1" t="s">
        <v>2354</v>
      </c>
      <c r="BA61" s="1" t="s">
        <v>461</v>
      </c>
      <c r="BB61" s="1">
        <v>38</v>
      </c>
      <c r="BC61" s="1" t="s">
        <v>739</v>
      </c>
      <c r="BD61" s="43">
        <v>0.29166666666424135</v>
      </c>
      <c r="BE61" s="43">
        <v>0.25</v>
      </c>
      <c r="BF61" s="1">
        <v>5625424233</v>
      </c>
      <c r="BG61" s="1">
        <v>5525424233</v>
      </c>
      <c r="BH61" s="1" t="s">
        <v>2356</v>
      </c>
      <c r="BI61" s="5" t="s">
        <v>3871</v>
      </c>
      <c r="BJ61" s="1" t="s">
        <v>236</v>
      </c>
      <c r="BK61" s="1" t="s">
        <v>929</v>
      </c>
      <c r="BL61" s="1">
        <v>158</v>
      </c>
      <c r="BM61" s="1">
        <v>72</v>
      </c>
      <c r="BN61" s="1" t="s">
        <v>236</v>
      </c>
      <c r="BO61" s="1" t="s">
        <v>228</v>
      </c>
      <c r="BP61" s="1" t="s">
        <v>297</v>
      </c>
      <c r="BQ61" s="1" t="s">
        <v>228</v>
      </c>
      <c r="BR61" s="1" t="s">
        <v>237</v>
      </c>
      <c r="BS61" s="1" t="s">
        <v>236</v>
      </c>
      <c r="BT61" s="1" t="s">
        <v>462</v>
      </c>
      <c r="BU61" s="1" t="s">
        <v>228</v>
      </c>
      <c r="BW61" s="1" t="s">
        <v>238</v>
      </c>
      <c r="BX61" s="1">
        <v>25</v>
      </c>
      <c r="BY61" s="1">
        <v>300</v>
      </c>
      <c r="BZ61" s="1" t="s">
        <v>253</v>
      </c>
      <c r="CA61" s="1" t="s">
        <v>384</v>
      </c>
      <c r="CB61" s="1" t="s">
        <v>240</v>
      </c>
      <c r="CC61" s="1" t="s">
        <v>274</v>
      </c>
      <c r="CD61" s="1">
        <v>2500</v>
      </c>
      <c r="CE61" s="1">
        <v>3000</v>
      </c>
      <c r="CF61" s="1" t="s">
        <v>236</v>
      </c>
      <c r="CG61" s="1" t="s">
        <v>242</v>
      </c>
      <c r="CH61" s="1" t="s">
        <v>243</v>
      </c>
      <c r="CI61" s="1" t="s">
        <v>243</v>
      </c>
      <c r="CJ61" s="1" t="s">
        <v>2848</v>
      </c>
      <c r="CL61" s="5" t="s">
        <v>3872</v>
      </c>
      <c r="CM61" s="1">
        <v>21220714337</v>
      </c>
      <c r="CN61" s="1" t="s">
        <v>236</v>
      </c>
      <c r="CO61" s="1" t="s">
        <v>2757</v>
      </c>
      <c r="CP61" s="1" t="s">
        <v>2695</v>
      </c>
      <c r="CQ61" s="42">
        <v>0.29166666666424135</v>
      </c>
      <c r="CR61" s="42">
        <v>0.25</v>
      </c>
      <c r="CT61" s="45" t="str">
        <f t="array" ref="CT61">IFERROR(INDEX(#REF!,MATCH('Respuestas de formulario 1.1'!$B61,#REF!,0),MATCH('Respuestas de formulario 1.1'!CT$1,#REF!,0)),"")</f>
        <v/>
      </c>
      <c r="CU61" s="56" t="str">
        <f t="array" ref="CU61">IFERROR(INDEX(#REF!,MATCH('Respuestas de formulario 1.1'!$B61,#REF!,0),MATCH('Respuestas de formulario 1.1'!CU$1,#REF!,0)),"")</f>
        <v/>
      </c>
      <c r="CV61" s="56" t="str">
        <f t="array" ref="CV61">IFERROR(INDEX(#REF!,MATCH('Respuestas de formulario 1.1'!$B61,#REF!,0),MATCH('Respuestas de formulario 1.1'!CV$1,#REF!,0)),"")</f>
        <v/>
      </c>
      <c r="CW61" s="56" t="str">
        <f t="array" ref="CW61">IFERROR(INDEX(#REF!,MATCH('Respuestas de formulario 1.1'!$B61,#REF!,0),MATCH('Respuestas de formulario 1.1'!CW$1,#REF!,0)),"")</f>
        <v/>
      </c>
      <c r="CX61" s="56" t="str">
        <f t="array" ref="CX61">IFERROR(INDEX(#REF!,MATCH('Respuestas de formulario 1.1'!$B61,#REF!,0),MATCH('Respuestas de formulario 1.1'!CX$1,#REF!,0)),"")</f>
        <v/>
      </c>
      <c r="CY61" s="56" t="str">
        <f t="array" ref="CY61">IFERROR(INDEX(#REF!,MATCH('Respuestas de formulario 1.1'!$B61,#REF!,0),MATCH('Respuestas de formulario 1.1'!CY$1,#REF!,0)),"")</f>
        <v/>
      </c>
      <c r="CZ61" s="57" t="str">
        <f t="array" ref="CZ61">IFERROR(INDEX(#REF!,MATCH('Respuestas de formulario 1.1'!$B61,#REF!,0),MATCH('Respuestas de formulario 1.1'!CZ$1,#REF!,0)),"")</f>
        <v/>
      </c>
      <c r="DA61" s="45" t="e">
        <f t="array" ref="DA61">INDEX(#REF!,MATCH('Respuestas de formulario 1.1'!$B61,#REF!,0),MATCH('Respuestas de formulario 1.1'!DA$1,#REF!,0))</f>
        <v>#REF!</v>
      </c>
      <c r="DB61" s="45" t="e">
        <f t="array" ref="DB61">INDEX(#REF!,MATCH('Respuestas de formulario 1.1'!$B61,#REF!,0),MATCH('Respuestas de formulario 1.1'!DB$1,#REF!,0))</f>
        <v>#REF!</v>
      </c>
      <c r="DC61" s="45" t="e">
        <f t="array" ref="DC61">INDEX(#REF!,MATCH('Respuestas de formulario 1.1'!$B61,#REF!,0),MATCH('Respuestas de formulario 1.1'!DC$1,#REF!,0))</f>
        <v>#REF!</v>
      </c>
      <c r="DD61" s="45" t="e">
        <f t="array" ref="DD61">INDEX(#REF!,MATCH('Respuestas de formulario 1.1'!$B61,#REF!,0),MATCH('Respuestas de formulario 1.1'!DD$1,#REF!,0))</f>
        <v>#REF!</v>
      </c>
      <c r="DE61" s="45" t="e">
        <f t="array" ref="DE61">INDEX(#REF!,MATCH('Respuestas de formulario 1.1'!$B61,#REF!,0),MATCH('Respuestas de formulario 1.1'!DE$1,#REF!,0))</f>
        <v>#REF!</v>
      </c>
      <c r="DF61" s="45" t="e">
        <f t="array" ref="DF61">INDEX(#REF!,MATCH('Respuestas de formulario 1.1'!$B61,#REF!,0),MATCH('Respuestas de formulario 1.1'!DF$1,#REF!,0))</f>
        <v>#REF!</v>
      </c>
      <c r="DG61" s="45" t="e">
        <f t="array" ref="DG61">INDEX(#REF!,MATCH('Respuestas de formulario 1.1'!$B61,#REF!,0),MATCH('Respuestas de formulario 1.1'!DG$1,#REF!,0))</f>
        <v>#REF!</v>
      </c>
      <c r="DH61" s="45" t="e">
        <f t="array" ref="DH61">INDEX(#REF!,MATCH('Respuestas de formulario 1.1'!$B61,#REF!,0),MATCH('Respuestas de formulario 1.1'!DH$1,#REF!,0))</f>
        <v>#REF!</v>
      </c>
      <c r="DI61" s="48" t="e">
        <f>VLOOKUP(CONCATENATE($DF61," TUTO ",$DC61),#REF!,3,0)</f>
        <v>#REF!</v>
      </c>
      <c r="DJ61" s="48" t="e">
        <f t="array" ref="DJ61">IF('Respuestas de formulario 1.1'!A61="","",INDEX(#REF!,MATCH('Respuestas de formulario 1.1'!B61,#REF!,0),MATCH('Respuestas de formulario 1.1'!$DH$1,#REF!,0)))</f>
        <v>#REF!</v>
      </c>
      <c r="DK61" s="52" t="str">
        <f>CONCATENATE("http://doc.google.com/uc?id=",MID('Respuestas de formulario 1.1'!G61,34,33))</f>
        <v>http://doc.google.com/uc?id=1PENqguw0N1rzJbnjLkF8AUFRoMyuy1W1</v>
      </c>
      <c r="DL61" s="49" t="str">
        <f>CONCATENATE("http://doc.google.com/uc?id=",MID('Respuestas de formulario 1.1'!AH61,34,33))</f>
        <v>http://doc.google.com/uc?id=1o-a7VUrd6qT9XER4GfjRKQkv8nBYAn5q</v>
      </c>
      <c r="DM61" s="50" t="str">
        <f>CONCATENATE("http://doc.google.com/uc?id=",MID('Respuestas de formulario 1.1'!AW61,34,33))</f>
        <v>http://doc.google.com/uc?id=16u7odhIY6GkexDAnZtV676JIuWP2MYug</v>
      </c>
      <c r="DN61" s="53" t="str">
        <f>CONCATENATE("http://doc.google.com/uc?id=",MID('Respuestas de formulario 1.1'!$BI61,34,33))</f>
        <v>http://doc.google.com/uc?id=1R49Ra4onr7oP86MYI4f1x4ZciNb-YpKU</v>
      </c>
      <c r="DO61" s="45" t="str">
        <f>IFERROR(VLOOKUP(CONCATENATE('Respuestas de formulario 1.1'!$B61,MID('Respuestas de formulario 1.1'!DO$1,2,1)),#REF!,12,0),"")</f>
        <v/>
      </c>
      <c r="DP61" s="45" t="str">
        <f>IFERROR(VLOOKUP(CONCATENATE('Respuestas de formulario 1.1'!$B61,MID('Respuestas de formulario 1.1'!DP$1,2,1)),#REF!,12,0),"")</f>
        <v/>
      </c>
      <c r="DQ61" s="45" t="str">
        <f>IFERROR(VLOOKUP(CONCATENATE('Respuestas de formulario 1.1'!$B61,MID('Respuestas de formulario 1.1'!DQ$1,2,1)),#REF!,12,0),"")</f>
        <v/>
      </c>
      <c r="DR61" s="45" t="str">
        <f>IFERROR(VLOOKUP(CONCATENATE('Respuestas de formulario 1.1'!$B61,MID('Respuestas de formulario 1.1'!DR$1,2,1)),#REF!,12,0),"")</f>
        <v/>
      </c>
      <c r="DS61" s="45" t="str">
        <f>IFERROR(VLOOKUP(CONCATENATE('Respuestas de formulario 1.1'!$B61,MID('Respuestas de formulario 1.1'!DS$1,2,1)),#REF!,12,0),"")</f>
        <v/>
      </c>
      <c r="DT61" s="45" t="str">
        <f>IFERROR(VLOOKUP(CONCATENATE('Respuestas de formulario 1.1'!$B61,MID('Respuestas de formulario 1.1'!DT$1,2,1)),#REF!,12,0),"")</f>
        <v/>
      </c>
      <c r="DU61" s="45" t="str">
        <f>IFERROR(VLOOKUP(CONCATENATE('Respuestas de formulario 1.1'!$B61,MID('Respuestas de formulario 1.1'!DU$1,2,1)),#REF!,12,0),"")</f>
        <v/>
      </c>
      <c r="DV61" s="45" t="str">
        <f>IFERROR(VLOOKUP(CONCATENATE('Respuestas de formulario 1.1'!$B61,MID('Respuestas de formulario 1.1'!DV$1,2,1)),#REF!,12,0),"")</f>
        <v/>
      </c>
      <c r="DW61" s="45" t="str">
        <f>IFERROR(VLOOKUP(CONCATENATE('Respuestas de formulario 1.1'!$B61,MID('Respuestas de formulario 1.1'!DW$1,2,1)),#REF!,12,0),"")</f>
        <v/>
      </c>
      <c r="DX61" s="45" t="str">
        <f>IFERROR(VLOOKUP(CONCATENATE('Respuestas de formulario 1.1'!$B61,MID('Respuestas de formulario 1.1'!DX$1,2,1)),#REF!,12,0),"")</f>
        <v/>
      </c>
      <c r="DY61" s="45" t="str">
        <f>IFERROR(VLOOKUP(CONCATENATE('Respuestas de formulario 1.1'!$B61,MID('Respuestas de formulario 1.1'!DY$1,2,1)),#REF!,12,0),"")</f>
        <v/>
      </c>
      <c r="DZ61" s="45" t="str">
        <f>IFERROR(VLOOKUP(CONCATENATE('Respuestas de formulario 1.1'!$B61,MID('Respuestas de formulario 1.1'!DZ$1,2,1)),#REF!,12,0),"")</f>
        <v/>
      </c>
      <c r="EA61" s="45" t="str">
        <f>IFERROR(VLOOKUP(CONCATENATE('Respuestas de formulario 1.1'!$B61,MID('Respuestas de formulario 1.1'!EA$1,2,1)),#REF!,12,0),"")</f>
        <v/>
      </c>
      <c r="EB61" s="45" t="str">
        <f>IFERROR(VLOOKUP(CONCATENATE('Respuestas de formulario 1.1'!$B61,MID('Respuestas de formulario 1.1'!EB$1,2,1)),#REF!,12,0),"")</f>
        <v/>
      </c>
      <c r="EC61" s="45" t="str">
        <f>IFERROR(VLOOKUP(CONCATENATE('Respuestas de formulario 1.1'!$B61,MID('Respuestas de formulario 1.1'!EC$1,2,1)),#REF!,12,0),"")</f>
        <v/>
      </c>
      <c r="ED61" s="45" t="str">
        <f>IFERROR(VLOOKUP(CONCATENATE('Respuestas de formulario 1.1'!$B61,MID('Respuestas de formulario 1.1'!ED$1,2,1)),#REF!,12,0),"")</f>
        <v/>
      </c>
      <c r="EE61" s="45" t="str">
        <f>IFERROR(VLOOKUP(CONCATENATE('Respuestas de formulario 1.1'!$B61,MID('Respuestas de formulario 1.1'!EE$1,2,1)),#REF!,12,0),"")</f>
        <v/>
      </c>
      <c r="EF61" s="45" t="str">
        <f>IFERROR(VLOOKUP(CONCATENATE('Respuestas de formulario 1.1'!$B61,MID('Respuestas de formulario 1.1'!EF$1,2,1)),#REF!,12,0),"")</f>
        <v/>
      </c>
      <c r="EG61" s="45" t="str">
        <f>IFERROR(VLOOKUP(CONCATENATE('Respuestas de formulario 1.1'!$B61,MID('Respuestas de formulario 1.1'!EG$1,2,1)),#REF!,12,0),"")</f>
        <v/>
      </c>
      <c r="EH61" s="45" t="str">
        <f>IFERROR(VLOOKUP(CONCATENATE('Respuestas de formulario 1.1'!$B61,MID('Respuestas de formulario 1.1'!EH$1,2,1)),#REF!,12,0),"")</f>
        <v/>
      </c>
      <c r="EI61" s="45" t="str">
        <f>IFERROR(VLOOKUP(CONCATENATE('Respuestas de formulario 1.1'!$B61,MID('Respuestas de formulario 1.1'!EI$1,2,1)),#REF!,12,0),"")</f>
        <v/>
      </c>
      <c r="EJ61" s="45" t="str">
        <f t="array" ref="EJ61">IF(DO61="","", INDEX(#REF!,MATCH(CONCATENATE('Respuestas de formulario 1.1'!$B61,DO61),#REF!,0),MATCH('Respuestas de formulario 1.1'!EJ$1,#REF!,0)))</f>
        <v/>
      </c>
      <c r="EK61" s="56" t="str">
        <f t="array" ref="EK61">IF(DP61="","", INDEX(#REF!,MATCH(CONCATENATE('Respuestas de formulario 1.1'!$B61,DP61),#REF!,0),MATCH('Respuestas de formulario 1.1'!EK$1,#REF!,0)))</f>
        <v/>
      </c>
      <c r="EL61" s="56" t="str">
        <f t="array" ref="EL61">IF(DQ61="","", INDEX(#REF!,MATCH(CONCATENATE('Respuestas de formulario 1.1'!$B61,DQ61),#REF!,0),MATCH('Respuestas de formulario 1.1'!EL$1,#REF!,0)))</f>
        <v/>
      </c>
      <c r="EM61" s="56" t="str">
        <f t="array" ref="EM61">IF(DR61="","", INDEX(#REF!,MATCH(CONCATENATE('Respuestas de formulario 1.1'!$B61,DR61),#REF!,0),MATCH('Respuestas de formulario 1.1'!EM$1,#REF!,0)))</f>
        <v/>
      </c>
      <c r="EN61" s="56" t="str">
        <f t="array" ref="EN61">IF(DS61="","", INDEX(#REF!,MATCH(CONCATENATE('Respuestas de formulario 1.1'!$B61,DS61),#REF!,0),MATCH('Respuestas de formulario 1.1'!EN$1,#REF!,0)))</f>
        <v/>
      </c>
      <c r="EO61" s="56" t="str">
        <f t="array" ref="EO61">IF(DT61="","", INDEX(#REF!,MATCH(CONCATENATE('Respuestas de formulario 1.1'!$B61,DT61),#REF!,0),MATCH('Respuestas de formulario 1.1'!EO$1,#REF!,0)))</f>
        <v/>
      </c>
      <c r="EP61" s="45" t="str">
        <f t="array" ref="EP61">IF(DU61="","", INDEX(#REF!,MATCH(CONCATENATE('Respuestas de formulario 1.1'!$B61,DU61),#REF!,0),MATCH('Respuestas de formulario 1.1'!EP$1,#REF!,0)))</f>
        <v/>
      </c>
      <c r="EQ61" s="45" t="str">
        <f t="array" ref="EQ61">IF(DP61="","", INDEX(#REF!,MATCH(CONCATENATE('Respuestas de formulario 1.1'!$B61,DP61),#REF!,0),MATCH('Respuestas de formulario 1.1'!EQ$1,#REF!,0)))</f>
        <v/>
      </c>
      <c r="ER61" s="56" t="str">
        <f t="array" ref="ER61">IF(DQ61="","", INDEX(#REF!,MATCH(CONCATENATE('Respuestas de formulario 1.1'!$B61,DQ61),#REF!,0),MATCH('Respuestas de formulario 1.1'!ER$1,#REF!,0)))</f>
        <v/>
      </c>
      <c r="ES61" s="56" t="str">
        <f t="array" ref="ES61">IF(DR61="","", INDEX(#REF!,MATCH(CONCATENATE('Respuestas de formulario 1.1'!$B61,DR61),#REF!,0),MATCH('Respuestas de formulario 1.1'!ES$1,#REF!,0)))</f>
        <v/>
      </c>
      <c r="ET61" s="56" t="str">
        <f t="array" ref="ET61">IF(DS61="","", INDEX(#REF!,MATCH(CONCATENATE('Respuestas de formulario 1.1'!$B61,DS61),#REF!,0),MATCH('Respuestas de formulario 1.1'!ET$1,#REF!,0)))</f>
        <v/>
      </c>
      <c r="EU61" s="56" t="str">
        <f t="array" ref="EU61">IF(DT61="","", INDEX(#REF!,MATCH(CONCATENATE('Respuestas de formulario 1.1'!$B61,DT61),#REF!,0),MATCH('Respuestas de formulario 1.1'!EU$1,#REF!,0)))</f>
        <v/>
      </c>
      <c r="EV61" s="56" t="str">
        <f t="array" ref="EV61">IF(DU61="","", INDEX(#REF!,MATCH(CONCATENATE('Respuestas de formulario 1.1'!$B61,DU61),#REF!,0),MATCH('Respuestas de formulario 1.1'!EV$1,#REF!,0)))</f>
        <v/>
      </c>
      <c r="EW61" s="45" t="str">
        <f t="array" ref="EW61">IF(DV61="","", INDEX(#REF!,MATCH(CONCATENATE('Respuestas de formulario 1.1'!$B61,DV61),#REF!,0),MATCH('Respuestas de formulario 1.1'!EW$1,#REF!,0)))</f>
        <v/>
      </c>
      <c r="EX61" s="45" t="str">
        <f t="array" ref="EX61">IF($DQ61="","", INDEX(#REF!,MATCH(CONCATENATE('Respuestas de formulario 1.1'!$B61,$DQ61),#REF!,0),MATCH('Respuestas de formulario 1.1'!EX$1,#REF!,0)))</f>
        <v/>
      </c>
      <c r="EY61" s="56" t="str">
        <f t="array" ref="EY61">IF($DQ61="","", INDEX(#REF!,MATCH(CONCATENATE('Respuestas de formulario 1.1'!$B61,$DQ61),#REF!,0),MATCH('Respuestas de formulario 1.1'!EY$1,#REF!,0)))</f>
        <v/>
      </c>
      <c r="EZ61" s="56" t="str">
        <f t="array" ref="EZ61">IF($DQ61="","", INDEX(#REF!,MATCH(CONCATENATE('Respuestas de formulario 1.1'!$B61,$DQ61),#REF!,0),MATCH('Respuestas de formulario 1.1'!EZ$1,#REF!,0)))</f>
        <v/>
      </c>
      <c r="FA61" s="56" t="str">
        <f t="array" ref="FA61">IF($DQ61="","", INDEX(#REF!,MATCH(CONCATENATE('Respuestas de formulario 1.1'!$B61,$DQ61),#REF!,0),MATCH('Respuestas de formulario 1.1'!FA$1,#REF!,0)))</f>
        <v/>
      </c>
      <c r="FB61" s="56" t="str">
        <f t="array" ref="FB61">IF($DQ61="","", INDEX(#REF!,MATCH(CONCATENATE('Respuestas de formulario 1.1'!$B61,$DQ61),#REF!,0),MATCH('Respuestas de formulario 1.1'!FB$1,#REF!,0)))</f>
        <v/>
      </c>
      <c r="FC61" s="56" t="str">
        <f t="array" ref="FC61">IF($DQ61="","", INDEX(#REF!,MATCH(CONCATENATE('Respuestas de formulario 1.1'!$B61,$DQ61),#REF!,0),MATCH('Respuestas de formulario 1.1'!FC$1,#REF!,0)))</f>
        <v/>
      </c>
      <c r="FD61" s="45" t="str">
        <f t="array" ref="FD61">IF($DQ61="","", INDEX(#REF!,MATCH(CONCATENATE('Respuestas de formulario 1.1'!$B61,$DQ61),#REF!,0),MATCH('Respuestas de formulario 1.1'!FD$1,#REF!,0)))</f>
        <v/>
      </c>
      <c r="FE61" s="45" t="str">
        <f t="array" ref="FE61">IF($DR61="","", INDEX(#REF!,MATCH(CONCATENATE(#REF!,$DR61),#REF!,0),MATCH(#REF!,#REF!,0)))</f>
        <v/>
      </c>
      <c r="FF61" s="56" t="str">
        <f t="array" ref="FF61">IF($DR61="","", INDEX(#REF!,MATCH(CONCATENATE(#REF!,$DR61),#REF!,0),MATCH(#REF!,#REF!,0)))</f>
        <v/>
      </c>
      <c r="FG61" s="56" t="str">
        <f t="array" ref="FG61">IF($DR61="","", INDEX(#REF!,MATCH(CONCATENATE(#REF!,$DR61),#REF!,0),MATCH(#REF!,#REF!,0)))</f>
        <v/>
      </c>
      <c r="FH61" s="56" t="str">
        <f t="array" ref="FH61">IF($DR61="","", INDEX(#REF!,MATCH(CONCATENATE(#REF!,$DR61),#REF!,0),MATCH(#REF!,#REF!,0)))</f>
        <v/>
      </c>
      <c r="FI61" s="56" t="str">
        <f t="array" ref="FI61">IF($DR61="","", INDEX(#REF!,MATCH(CONCATENATE(#REF!,$DR61),#REF!,0),MATCH(#REF!,#REF!,0)))</f>
        <v/>
      </c>
      <c r="FJ61" s="56" t="str">
        <f t="array" ref="FJ61">IF($DR61="","", INDEX(#REF!,MATCH(CONCATENATE(#REF!,$DR61),#REF!,0),MATCH(#REF!,#REF!,0)))</f>
        <v/>
      </c>
      <c r="FK61" s="45" t="str">
        <f t="array" ref="FK61">IF($DR61="","", INDEX(#REF!,MATCH(CONCATENATE(#REF!,$DR61),#REF!,0),MATCH(#REF!,#REF!,0)))</f>
        <v/>
      </c>
      <c r="FL61" s="45" t="str">
        <f t="array" ref="FL61">IF($DT61="","", INDEX(#REF!,MATCH(CONCATENATE('Respuestas de formulario 1.1'!$B61,$DS61),#REF!,0),MATCH('Respuestas de formulario 1.1'!FL$1,#REF!,0)))</f>
        <v/>
      </c>
      <c r="FM61" s="56" t="str">
        <f t="array" ref="FM61">IF($DT61="","", INDEX(#REF!,MATCH(CONCATENATE('Respuestas de formulario 1.1'!$B61,$DS61),#REF!,0),MATCH('Respuestas de formulario 1.1'!FM$1,#REF!,0)))</f>
        <v/>
      </c>
      <c r="FN61" s="56" t="str">
        <f t="array" ref="FN61">IF($DT61="","", INDEX(#REF!,MATCH(CONCATENATE('Respuestas de formulario 1.1'!$B61,$DS61),#REF!,0),MATCH('Respuestas de formulario 1.1'!FN$1,#REF!,0)))</f>
        <v/>
      </c>
      <c r="FO61" s="56" t="str">
        <f t="array" ref="FO61">IF($DT61="","", INDEX(#REF!,MATCH(CONCATENATE('Respuestas de formulario 1.1'!$B61,$DS61),#REF!,0),MATCH('Respuestas de formulario 1.1'!FO$1,#REF!,0)))</f>
        <v/>
      </c>
      <c r="FP61" s="56" t="str">
        <f t="array" ref="FP61">IF($DT61="","", INDEX(#REF!,MATCH(CONCATENATE('Respuestas de formulario 1.1'!$B61,$DS61),#REF!,0),MATCH('Respuestas de formulario 1.1'!FP$1,#REF!,0)))</f>
        <v/>
      </c>
      <c r="FQ61" s="56" t="str">
        <f t="array" ref="FQ61">IF($DT61="","", INDEX(#REF!,MATCH(CONCATENATE('Respuestas de formulario 1.1'!$B61,$DS61),#REF!,0),MATCH('Respuestas de formulario 1.1'!FQ$1,#REF!,0)))</f>
        <v/>
      </c>
      <c r="FR61" s="45" t="str">
        <f t="array" ref="FR61">IF($DT61="","", INDEX(#REF!,MATCH(CONCATENATE('Respuestas de formulario 1.1'!$B61,$DS61),#REF!,0),MATCH('Respuestas de formulario 1.1'!FR$1,#REF!,0)))</f>
        <v/>
      </c>
      <c r="FS61" s="45" t="str">
        <f t="array" ref="FS61">IF($DU61="","", INDEX(#REF!,MATCH(CONCATENATE('Respuestas de formulario 1.1'!$B61,$DT61),#REF!,0),MATCH('Respuestas de formulario 1.1'!FS$1,#REF!,0)))</f>
        <v/>
      </c>
      <c r="FT61" s="56" t="str">
        <f t="array" ref="FT61">IF($DU61="","", INDEX(#REF!,MATCH(CONCATENATE('Respuestas de formulario 1.1'!$B61,$DT61),#REF!,0),MATCH('Respuestas de formulario 1.1'!FT$1,#REF!,0)))</f>
        <v/>
      </c>
      <c r="FU61" s="56" t="str">
        <f t="array" ref="FU61">IF($DU61="","", INDEX(#REF!,MATCH(CONCATENATE('Respuestas de formulario 1.1'!$B61,$DT61),#REF!,0),MATCH('Respuestas de formulario 1.1'!FU$1,#REF!,0)))</f>
        <v/>
      </c>
      <c r="FV61" s="56" t="str">
        <f t="array" ref="FV61">IF($DU61="","", INDEX(#REF!,MATCH(CONCATENATE('Respuestas de formulario 1.1'!$B61,$DT61),#REF!,0),MATCH('Respuestas de formulario 1.1'!FV$1,#REF!,0)))</f>
        <v/>
      </c>
      <c r="FW61" s="56" t="str">
        <f t="array" ref="FW61">IF($DU61="","", INDEX(#REF!,MATCH(CONCATENATE('Respuestas de formulario 1.1'!$B61,$DT61),#REF!,0),MATCH('Respuestas de formulario 1.1'!FW$1,#REF!,0)))</f>
        <v/>
      </c>
      <c r="FX61" s="56" t="str">
        <f t="array" ref="FX61">IF($DU61="","", INDEX(#REF!,MATCH(CONCATENATE('Respuestas de formulario 1.1'!$B61,$DT61),#REF!,0),MATCH('Respuestas de formulario 1.1'!FX$1,#REF!,0)))</f>
        <v/>
      </c>
      <c r="FY61" s="45" t="str">
        <f t="array" ref="FY61">IF($DU61="","", INDEX(#REF!,MATCH(CONCATENATE('Respuestas de formulario 1.1'!$B61,$DT61),#REF!,0),MATCH('Respuestas de formulario 1.1'!FY$1,#REF!,0)))</f>
        <v/>
      </c>
      <c r="FZ61" s="3" t="s">
        <v>2860</v>
      </c>
    </row>
    <row r="62" spans="1:194" ht="38.25" x14ac:dyDescent="0.2">
      <c r="A62" s="2">
        <v>45139.335163842596</v>
      </c>
      <c r="B62" s="1" t="s">
        <v>72</v>
      </c>
      <c r="C62" s="1" t="s">
        <v>259</v>
      </c>
      <c r="D62" s="1" t="s">
        <v>719</v>
      </c>
      <c r="E62" s="1" t="s">
        <v>720</v>
      </c>
      <c r="F62" s="1" t="s">
        <v>223</v>
      </c>
      <c r="G62" s="5" t="s">
        <v>3873</v>
      </c>
      <c r="H62" s="41">
        <v>39165</v>
      </c>
      <c r="I62" s="1">
        <v>16</v>
      </c>
      <c r="J62" s="1">
        <v>5625072721</v>
      </c>
      <c r="K62" s="1">
        <v>5581689049</v>
      </c>
      <c r="L62" s="1" t="s">
        <v>721</v>
      </c>
      <c r="M62" s="1">
        <v>22309060570540</v>
      </c>
      <c r="N62" s="1" t="s">
        <v>562</v>
      </c>
      <c r="O62" s="1" t="s">
        <v>247</v>
      </c>
      <c r="P62" s="1" t="s">
        <v>314</v>
      </c>
      <c r="Q62" s="1" t="s">
        <v>315</v>
      </c>
      <c r="R62" s="1" t="s">
        <v>236</v>
      </c>
      <c r="S62" s="1" t="s">
        <v>228</v>
      </c>
      <c r="T62" s="1" t="s">
        <v>411</v>
      </c>
      <c r="U62" s="1" t="s">
        <v>264</v>
      </c>
      <c r="V62" s="1" t="s">
        <v>228</v>
      </c>
      <c r="W62" s="1" t="s">
        <v>3874</v>
      </c>
      <c r="X62" s="1" t="s">
        <v>264</v>
      </c>
      <c r="Y62" s="1" t="s">
        <v>3875</v>
      </c>
      <c r="Z62" s="1" t="s">
        <v>231</v>
      </c>
      <c r="AA62" s="1">
        <v>57000</v>
      </c>
      <c r="AB62" s="1" t="s">
        <v>3876</v>
      </c>
      <c r="AC62" s="1" t="s">
        <v>3877</v>
      </c>
      <c r="AD62" s="1" t="s">
        <v>3878</v>
      </c>
      <c r="AE62" s="1" t="s">
        <v>3879</v>
      </c>
      <c r="AF62" s="1" t="s">
        <v>265</v>
      </c>
      <c r="AG62" s="1">
        <v>48</v>
      </c>
      <c r="AH62" s="5" t="s">
        <v>3880</v>
      </c>
      <c r="AI62" s="1">
        <v>5581689049</v>
      </c>
      <c r="AJ62" s="1">
        <v>5581689049</v>
      </c>
      <c r="AK62" s="1" t="s">
        <v>3881</v>
      </c>
      <c r="AL62" s="1" t="s">
        <v>259</v>
      </c>
      <c r="AM62" s="1" t="s">
        <v>723</v>
      </c>
      <c r="AN62" s="1" t="s">
        <v>724</v>
      </c>
      <c r="AO62" s="1" t="s">
        <v>435</v>
      </c>
      <c r="AP62" s="1">
        <v>48</v>
      </c>
      <c r="AQ62" s="1" t="s">
        <v>725</v>
      </c>
      <c r="AR62" s="42">
        <v>0.22916666666424135</v>
      </c>
      <c r="AS62" s="42">
        <v>0.5</v>
      </c>
      <c r="AT62" s="1">
        <v>5627673738</v>
      </c>
      <c r="AU62" s="1">
        <v>5627673738</v>
      </c>
      <c r="AV62" s="1" t="s">
        <v>3882</v>
      </c>
      <c r="AW62" s="5" t="s">
        <v>3883</v>
      </c>
      <c r="AX62" s="1" t="s">
        <v>259</v>
      </c>
      <c r="AY62" s="1" t="s">
        <v>611</v>
      </c>
      <c r="AZ62" s="1" t="s">
        <v>1449</v>
      </c>
      <c r="BA62" s="1" t="s">
        <v>493</v>
      </c>
      <c r="BB62" s="1">
        <v>39</v>
      </c>
      <c r="BC62" s="1" t="s">
        <v>328</v>
      </c>
      <c r="BD62" s="43">
        <v>0.41666666666424135</v>
      </c>
      <c r="BE62" s="43">
        <v>0.45833333333575865</v>
      </c>
      <c r="BF62" s="1">
        <v>5529152008</v>
      </c>
      <c r="BG62" s="1">
        <v>5529152008</v>
      </c>
      <c r="BH62" s="1"/>
      <c r="BI62" s="5" t="s">
        <v>3884</v>
      </c>
      <c r="BJ62" s="1" t="s">
        <v>236</v>
      </c>
      <c r="BL62" s="1">
        <v>1.58</v>
      </c>
      <c r="BM62" s="1">
        <v>53.5</v>
      </c>
      <c r="BN62" s="1" t="s">
        <v>236</v>
      </c>
      <c r="BO62" s="1" t="s">
        <v>228</v>
      </c>
      <c r="BQ62" s="1" t="s">
        <v>228</v>
      </c>
      <c r="BR62" s="1" t="s">
        <v>237</v>
      </c>
      <c r="BS62" s="1" t="s">
        <v>228</v>
      </c>
      <c r="BT62" s="1" t="s">
        <v>237</v>
      </c>
      <c r="BU62" s="1" t="s">
        <v>228</v>
      </c>
      <c r="BW62" s="1" t="s">
        <v>238</v>
      </c>
      <c r="BX62" s="1">
        <v>120</v>
      </c>
      <c r="BY62" s="1">
        <v>120</v>
      </c>
      <c r="BZ62" s="1" t="s">
        <v>3885</v>
      </c>
      <c r="CA62" s="1" t="s">
        <v>237</v>
      </c>
      <c r="CB62" s="1" t="s">
        <v>231</v>
      </c>
      <c r="CC62" s="1" t="s">
        <v>450</v>
      </c>
      <c r="CD62" s="44" t="s">
        <v>1537</v>
      </c>
      <c r="CE62" s="44" t="s">
        <v>1353</v>
      </c>
      <c r="CF62" s="1" t="s">
        <v>236</v>
      </c>
      <c r="CG62" s="1" t="s">
        <v>242</v>
      </c>
      <c r="CH62" s="1" t="s">
        <v>243</v>
      </c>
      <c r="CI62" s="1" t="s">
        <v>243</v>
      </c>
      <c r="CJ62" s="1" t="s">
        <v>2848</v>
      </c>
      <c r="CL62" s="5" t="s">
        <v>3886</v>
      </c>
      <c r="CM62" s="44" t="s">
        <v>726</v>
      </c>
      <c r="CN62" s="1" t="s">
        <v>228</v>
      </c>
      <c r="CQ62" s="42">
        <v>0.25</v>
      </c>
      <c r="CR62" s="42">
        <v>0.41666666666424135</v>
      </c>
      <c r="CT62" s="45" t="str">
        <f t="array" ref="CT62">IFERROR(INDEX(#REF!,MATCH('Respuestas de formulario 1.1'!$B62,#REF!,0),MATCH('Respuestas de formulario 1.1'!CT$1,#REF!,0)),"")</f>
        <v/>
      </c>
      <c r="CU62" s="56" t="str">
        <f t="array" ref="CU62">IFERROR(INDEX(#REF!,MATCH('Respuestas de formulario 1.1'!$B62,#REF!,0),MATCH('Respuestas de formulario 1.1'!CU$1,#REF!,0)),"")</f>
        <v/>
      </c>
      <c r="CV62" s="56" t="str">
        <f t="array" ref="CV62">IFERROR(INDEX(#REF!,MATCH('Respuestas de formulario 1.1'!$B62,#REF!,0),MATCH('Respuestas de formulario 1.1'!CV$1,#REF!,0)),"")</f>
        <v/>
      </c>
      <c r="CW62" s="56" t="str">
        <f t="array" ref="CW62">IFERROR(INDEX(#REF!,MATCH('Respuestas de formulario 1.1'!$B62,#REF!,0),MATCH('Respuestas de formulario 1.1'!CW$1,#REF!,0)),"")</f>
        <v/>
      </c>
      <c r="CX62" s="56" t="str">
        <f t="array" ref="CX62">IFERROR(INDEX(#REF!,MATCH('Respuestas de formulario 1.1'!$B62,#REF!,0),MATCH('Respuestas de formulario 1.1'!CX$1,#REF!,0)),"")</f>
        <v/>
      </c>
      <c r="CY62" s="56" t="str">
        <f t="array" ref="CY62">IFERROR(INDEX(#REF!,MATCH('Respuestas de formulario 1.1'!$B62,#REF!,0),MATCH('Respuestas de formulario 1.1'!CY$1,#REF!,0)),"")</f>
        <v/>
      </c>
      <c r="CZ62" s="57" t="str">
        <f t="array" ref="CZ62">IFERROR(INDEX(#REF!,MATCH('Respuestas de formulario 1.1'!$B62,#REF!,0),MATCH('Respuestas de formulario 1.1'!CZ$1,#REF!,0)),"")</f>
        <v/>
      </c>
      <c r="DA62" s="45" t="e">
        <f t="array" ref="DA62">INDEX(#REF!,MATCH('Respuestas de formulario 1.1'!$B62,#REF!,0),MATCH('Respuestas de formulario 1.1'!DA$1,#REF!,0))</f>
        <v>#REF!</v>
      </c>
      <c r="DB62" s="45" t="e">
        <f t="array" ref="DB62">INDEX(#REF!,MATCH('Respuestas de formulario 1.1'!$B62,#REF!,0),MATCH('Respuestas de formulario 1.1'!DB$1,#REF!,0))</f>
        <v>#REF!</v>
      </c>
      <c r="DC62" s="45" t="e">
        <f t="array" ref="DC62">INDEX(#REF!,MATCH('Respuestas de formulario 1.1'!$B62,#REF!,0),MATCH('Respuestas de formulario 1.1'!DC$1,#REF!,0))</f>
        <v>#REF!</v>
      </c>
      <c r="DD62" s="45" t="e">
        <f t="array" ref="DD62">INDEX(#REF!,MATCH('Respuestas de formulario 1.1'!$B62,#REF!,0),MATCH('Respuestas de formulario 1.1'!DD$1,#REF!,0))</f>
        <v>#REF!</v>
      </c>
      <c r="DE62" s="45" t="e">
        <f t="array" ref="DE62">INDEX(#REF!,MATCH('Respuestas de formulario 1.1'!$B62,#REF!,0),MATCH('Respuestas de formulario 1.1'!DE$1,#REF!,0))</f>
        <v>#REF!</v>
      </c>
      <c r="DF62" s="45" t="e">
        <f t="array" ref="DF62">INDEX(#REF!,MATCH('Respuestas de formulario 1.1'!$B62,#REF!,0),MATCH('Respuestas de formulario 1.1'!DF$1,#REF!,0))</f>
        <v>#REF!</v>
      </c>
      <c r="DG62" s="45" t="e">
        <f t="array" ref="DG62">INDEX(#REF!,MATCH('Respuestas de formulario 1.1'!$B62,#REF!,0),MATCH('Respuestas de formulario 1.1'!DG$1,#REF!,0))</f>
        <v>#REF!</v>
      </c>
      <c r="DH62" s="45" t="e">
        <f t="array" ref="DH62">INDEX(#REF!,MATCH('Respuestas de formulario 1.1'!$B62,#REF!,0),MATCH('Respuestas de formulario 1.1'!DH$1,#REF!,0))</f>
        <v>#REF!</v>
      </c>
      <c r="DI62" s="48" t="e">
        <f>VLOOKUP(CONCATENATE($DF62," TUTO ",$DC62),#REF!,3,0)</f>
        <v>#REF!</v>
      </c>
      <c r="DJ62" s="48" t="e">
        <f t="array" ref="DJ62">IF('Respuestas de formulario 1.1'!A62="","",INDEX(#REF!,MATCH('Respuestas de formulario 1.1'!B62,#REF!,0),MATCH('Respuestas de formulario 1.1'!$DH$1,#REF!,0)))</f>
        <v>#REF!</v>
      </c>
      <c r="DK62" s="52" t="str">
        <f>CONCATENATE("http://doc.google.com/uc?id=",MID('Respuestas de formulario 1.1'!G62,34,33))</f>
        <v>http://doc.google.com/uc?id=1sxaSzsOPr97Y8CFucSfdQXOfxbfipcrl</v>
      </c>
      <c r="DL62" s="49" t="str">
        <f>CONCATENATE("http://doc.google.com/uc?id=",MID('Respuestas de formulario 1.1'!AH62,34,33))</f>
        <v>http://doc.google.com/uc?id=1ZjoUQDpL47pKTwldRJlp5qqt-xK3Y2hJ</v>
      </c>
      <c r="DM62" s="50" t="str">
        <f>CONCATENATE("http://doc.google.com/uc?id=",MID('Respuestas de formulario 1.1'!AW62,34,33))</f>
        <v>http://doc.google.com/uc?id=1EF9vpvyZieL3Q8JNxDx2LFvMJ58sS-he</v>
      </c>
      <c r="DN62" s="53" t="str">
        <f>CONCATENATE("http://doc.google.com/uc?id=",MID('Respuestas de formulario 1.1'!$BI62,34,33))</f>
        <v>http://doc.google.com/uc?id=15smmgKmqQ7o3DeR0XqFeF6YwRV66zyQl</v>
      </c>
      <c r="DO62" s="45" t="str">
        <f>IFERROR(VLOOKUP(CONCATENATE('Respuestas de formulario 1.1'!$B62,MID('Respuestas de formulario 1.1'!DO$1,2,1)),#REF!,12,0),"")</f>
        <v/>
      </c>
      <c r="DP62" s="45" t="str">
        <f>IFERROR(VLOOKUP(CONCATENATE('Respuestas de formulario 1.1'!$B62,MID('Respuestas de formulario 1.1'!DP$1,2,1)),#REF!,12,0),"")</f>
        <v/>
      </c>
      <c r="DQ62" s="45" t="str">
        <f>IFERROR(VLOOKUP(CONCATENATE('Respuestas de formulario 1.1'!$B62,MID('Respuestas de formulario 1.1'!DQ$1,2,1)),#REF!,12,0),"")</f>
        <v/>
      </c>
      <c r="DR62" s="45" t="str">
        <f>IFERROR(VLOOKUP(CONCATENATE('Respuestas de formulario 1.1'!$B62,MID('Respuestas de formulario 1.1'!DR$1,2,1)),#REF!,12,0),"")</f>
        <v/>
      </c>
      <c r="DS62" s="45" t="str">
        <f>IFERROR(VLOOKUP(CONCATENATE('Respuestas de formulario 1.1'!$B62,MID('Respuestas de formulario 1.1'!DS$1,2,1)),#REF!,12,0),"")</f>
        <v/>
      </c>
      <c r="DT62" s="45" t="str">
        <f>IFERROR(VLOOKUP(CONCATENATE('Respuestas de formulario 1.1'!$B62,MID('Respuestas de formulario 1.1'!DT$1,2,1)),#REF!,12,0),"")</f>
        <v/>
      </c>
      <c r="DU62" s="45" t="str">
        <f>IFERROR(VLOOKUP(CONCATENATE('Respuestas de formulario 1.1'!$B62,MID('Respuestas de formulario 1.1'!DU$1,2,1)),#REF!,12,0),"")</f>
        <v/>
      </c>
      <c r="DV62" s="45" t="str">
        <f>IFERROR(VLOOKUP(CONCATENATE('Respuestas de formulario 1.1'!$B62,MID('Respuestas de formulario 1.1'!DV$1,2,1)),#REF!,12,0),"")</f>
        <v/>
      </c>
      <c r="DW62" s="45" t="str">
        <f>IFERROR(VLOOKUP(CONCATENATE('Respuestas de formulario 1.1'!$B62,MID('Respuestas de formulario 1.1'!DW$1,2,1)),#REF!,12,0),"")</f>
        <v/>
      </c>
      <c r="DX62" s="45" t="str">
        <f>IFERROR(VLOOKUP(CONCATENATE('Respuestas de formulario 1.1'!$B62,MID('Respuestas de formulario 1.1'!DX$1,2,1)),#REF!,12,0),"")</f>
        <v/>
      </c>
      <c r="DY62" s="45" t="str">
        <f>IFERROR(VLOOKUP(CONCATENATE('Respuestas de formulario 1.1'!$B62,MID('Respuestas de formulario 1.1'!DY$1,2,1)),#REF!,12,0),"")</f>
        <v/>
      </c>
      <c r="DZ62" s="45" t="str">
        <f>IFERROR(VLOOKUP(CONCATENATE('Respuestas de formulario 1.1'!$B62,MID('Respuestas de formulario 1.1'!DZ$1,2,1)),#REF!,12,0),"")</f>
        <v/>
      </c>
      <c r="EA62" s="45" t="str">
        <f>IFERROR(VLOOKUP(CONCATENATE('Respuestas de formulario 1.1'!$B62,MID('Respuestas de formulario 1.1'!EA$1,2,1)),#REF!,12,0),"")</f>
        <v/>
      </c>
      <c r="EB62" s="45" t="str">
        <f>IFERROR(VLOOKUP(CONCATENATE('Respuestas de formulario 1.1'!$B62,MID('Respuestas de formulario 1.1'!EB$1,2,1)),#REF!,12,0),"")</f>
        <v/>
      </c>
      <c r="EC62" s="45" t="str">
        <f>IFERROR(VLOOKUP(CONCATENATE('Respuestas de formulario 1.1'!$B62,MID('Respuestas de formulario 1.1'!EC$1,2,1)),#REF!,12,0),"")</f>
        <v/>
      </c>
      <c r="ED62" s="45" t="str">
        <f>IFERROR(VLOOKUP(CONCATENATE('Respuestas de formulario 1.1'!$B62,MID('Respuestas de formulario 1.1'!ED$1,2,1)),#REF!,12,0),"")</f>
        <v/>
      </c>
      <c r="EE62" s="45" t="str">
        <f>IFERROR(VLOOKUP(CONCATENATE('Respuestas de formulario 1.1'!$B62,MID('Respuestas de formulario 1.1'!EE$1,2,1)),#REF!,12,0),"")</f>
        <v/>
      </c>
      <c r="EF62" s="45" t="str">
        <f>IFERROR(VLOOKUP(CONCATENATE('Respuestas de formulario 1.1'!$B62,MID('Respuestas de formulario 1.1'!EF$1,2,1)),#REF!,12,0),"")</f>
        <v/>
      </c>
      <c r="EG62" s="45" t="str">
        <f>IFERROR(VLOOKUP(CONCATENATE('Respuestas de formulario 1.1'!$B62,MID('Respuestas de formulario 1.1'!EG$1,2,1)),#REF!,12,0),"")</f>
        <v/>
      </c>
      <c r="EH62" s="45" t="str">
        <f>IFERROR(VLOOKUP(CONCATENATE('Respuestas de formulario 1.1'!$B62,MID('Respuestas de formulario 1.1'!EH$1,2,1)),#REF!,12,0),"")</f>
        <v/>
      </c>
      <c r="EI62" s="45" t="str">
        <f>IFERROR(VLOOKUP(CONCATENATE('Respuestas de formulario 1.1'!$B62,MID('Respuestas de formulario 1.1'!EI$1,2,1)),#REF!,12,0),"")</f>
        <v/>
      </c>
      <c r="EJ62" s="45" t="str">
        <f t="array" ref="EJ62">IF(DO62="","", INDEX(#REF!,MATCH(CONCATENATE('Respuestas de formulario 1.1'!$B62,DO62),#REF!,0),MATCH('Respuestas de formulario 1.1'!EJ$1,#REF!,0)))</f>
        <v/>
      </c>
      <c r="EK62" s="56" t="str">
        <f t="array" ref="EK62">IF(DP62="","", INDEX(#REF!,MATCH(CONCATENATE('Respuestas de formulario 1.1'!$B62,DP62),#REF!,0),MATCH('Respuestas de formulario 1.1'!EK$1,#REF!,0)))</f>
        <v/>
      </c>
      <c r="EL62" s="56" t="str">
        <f t="array" ref="EL62">IF(DQ62="","", INDEX(#REF!,MATCH(CONCATENATE('Respuestas de formulario 1.1'!$B62,DQ62),#REF!,0),MATCH('Respuestas de formulario 1.1'!EL$1,#REF!,0)))</f>
        <v/>
      </c>
      <c r="EM62" s="56" t="str">
        <f t="array" ref="EM62">IF(DR62="","", INDEX(#REF!,MATCH(CONCATENATE('Respuestas de formulario 1.1'!$B62,DR62),#REF!,0),MATCH('Respuestas de formulario 1.1'!EM$1,#REF!,0)))</f>
        <v/>
      </c>
      <c r="EN62" s="56" t="str">
        <f t="array" ref="EN62">IF(DS62="","", INDEX(#REF!,MATCH(CONCATENATE('Respuestas de formulario 1.1'!$B62,DS62),#REF!,0),MATCH('Respuestas de formulario 1.1'!EN$1,#REF!,0)))</f>
        <v/>
      </c>
      <c r="EO62" s="56" t="str">
        <f t="array" ref="EO62">IF(DT62="","", INDEX(#REF!,MATCH(CONCATENATE('Respuestas de formulario 1.1'!$B62,DT62),#REF!,0),MATCH('Respuestas de formulario 1.1'!EO$1,#REF!,0)))</f>
        <v/>
      </c>
      <c r="EP62" s="45" t="str">
        <f t="array" ref="EP62">IF(DU62="","", INDEX(#REF!,MATCH(CONCATENATE('Respuestas de formulario 1.1'!$B62,DU62),#REF!,0),MATCH('Respuestas de formulario 1.1'!EP$1,#REF!,0)))</f>
        <v/>
      </c>
      <c r="EQ62" s="45" t="str">
        <f t="array" ref="EQ62">IF(DP62="","", INDEX(#REF!,MATCH(CONCATENATE('Respuestas de formulario 1.1'!$B62,DP62),#REF!,0),MATCH('Respuestas de formulario 1.1'!EQ$1,#REF!,0)))</f>
        <v/>
      </c>
      <c r="ER62" s="56" t="str">
        <f t="array" ref="ER62">IF(DQ62="","", INDEX(#REF!,MATCH(CONCATENATE('Respuestas de formulario 1.1'!$B62,DQ62),#REF!,0),MATCH('Respuestas de formulario 1.1'!ER$1,#REF!,0)))</f>
        <v/>
      </c>
      <c r="ES62" s="56" t="str">
        <f t="array" ref="ES62">IF(DR62="","", INDEX(#REF!,MATCH(CONCATENATE('Respuestas de formulario 1.1'!$B62,DR62),#REF!,0),MATCH('Respuestas de formulario 1.1'!ES$1,#REF!,0)))</f>
        <v/>
      </c>
      <c r="ET62" s="56" t="str">
        <f t="array" ref="ET62">IF(DS62="","", INDEX(#REF!,MATCH(CONCATENATE('Respuestas de formulario 1.1'!$B62,DS62),#REF!,0),MATCH('Respuestas de formulario 1.1'!ET$1,#REF!,0)))</f>
        <v/>
      </c>
      <c r="EU62" s="56" t="str">
        <f t="array" ref="EU62">IF(DT62="","", INDEX(#REF!,MATCH(CONCATENATE('Respuestas de formulario 1.1'!$B62,DT62),#REF!,0),MATCH('Respuestas de formulario 1.1'!EU$1,#REF!,0)))</f>
        <v/>
      </c>
      <c r="EV62" s="56" t="str">
        <f t="array" ref="EV62">IF(DU62="","", INDEX(#REF!,MATCH(CONCATENATE('Respuestas de formulario 1.1'!$B62,DU62),#REF!,0),MATCH('Respuestas de formulario 1.1'!EV$1,#REF!,0)))</f>
        <v/>
      </c>
      <c r="EW62" s="45" t="str">
        <f t="array" ref="EW62">IF(DV62="","", INDEX(#REF!,MATCH(CONCATENATE('Respuestas de formulario 1.1'!$B62,DV62),#REF!,0),MATCH('Respuestas de formulario 1.1'!EW$1,#REF!,0)))</f>
        <v/>
      </c>
      <c r="EX62" s="45" t="str">
        <f t="array" ref="EX62">IF($DQ62="","", INDEX(#REF!,MATCH(CONCATENATE('Respuestas de formulario 1.1'!$B62,$DQ62),#REF!,0),MATCH('Respuestas de formulario 1.1'!EX$1,#REF!,0)))</f>
        <v/>
      </c>
      <c r="EY62" s="56" t="str">
        <f t="array" ref="EY62">IF($DQ62="","", INDEX(#REF!,MATCH(CONCATENATE('Respuestas de formulario 1.1'!$B62,$DQ62),#REF!,0),MATCH('Respuestas de formulario 1.1'!EY$1,#REF!,0)))</f>
        <v/>
      </c>
      <c r="EZ62" s="56" t="str">
        <f t="array" ref="EZ62">IF($DQ62="","", INDEX(#REF!,MATCH(CONCATENATE('Respuestas de formulario 1.1'!$B62,$DQ62),#REF!,0),MATCH('Respuestas de formulario 1.1'!EZ$1,#REF!,0)))</f>
        <v/>
      </c>
      <c r="FA62" s="56" t="str">
        <f t="array" ref="FA62">IF($DQ62="","", INDEX(#REF!,MATCH(CONCATENATE('Respuestas de formulario 1.1'!$B62,$DQ62),#REF!,0),MATCH('Respuestas de formulario 1.1'!FA$1,#REF!,0)))</f>
        <v/>
      </c>
      <c r="FB62" s="56" t="str">
        <f t="array" ref="FB62">IF($DQ62="","", INDEX(#REF!,MATCH(CONCATENATE('Respuestas de formulario 1.1'!$B62,$DQ62),#REF!,0),MATCH('Respuestas de formulario 1.1'!FB$1,#REF!,0)))</f>
        <v/>
      </c>
      <c r="FC62" s="56" t="str">
        <f t="array" ref="FC62">IF($DQ62="","", INDEX(#REF!,MATCH(CONCATENATE('Respuestas de formulario 1.1'!$B62,$DQ62),#REF!,0),MATCH('Respuestas de formulario 1.1'!FC$1,#REF!,0)))</f>
        <v/>
      </c>
      <c r="FD62" s="45" t="str">
        <f t="array" ref="FD62">IF($DQ62="","", INDEX(#REF!,MATCH(CONCATENATE('Respuestas de formulario 1.1'!$B62,$DQ62),#REF!,0),MATCH('Respuestas de formulario 1.1'!FD$1,#REF!,0)))</f>
        <v/>
      </c>
      <c r="FE62" s="45" t="str">
        <f t="array" ref="FE62">IF($DR62="","", INDEX(#REF!,MATCH(CONCATENATE(#REF!,$DR62),#REF!,0),MATCH(#REF!,#REF!,0)))</f>
        <v/>
      </c>
      <c r="FF62" s="56" t="str">
        <f t="array" ref="FF62">IF($DR62="","", INDEX(#REF!,MATCH(CONCATENATE(#REF!,$DR62),#REF!,0),MATCH(#REF!,#REF!,0)))</f>
        <v/>
      </c>
      <c r="FG62" s="56" t="str">
        <f t="array" ref="FG62">IF($DR62="","", INDEX(#REF!,MATCH(CONCATENATE(#REF!,$DR62),#REF!,0),MATCH(#REF!,#REF!,0)))</f>
        <v/>
      </c>
      <c r="FH62" s="56" t="str">
        <f t="array" ref="FH62">IF($DR62="","", INDEX(#REF!,MATCH(CONCATENATE(#REF!,$DR62),#REF!,0),MATCH(#REF!,#REF!,0)))</f>
        <v/>
      </c>
      <c r="FI62" s="56" t="str">
        <f t="array" ref="FI62">IF($DR62="","", INDEX(#REF!,MATCH(CONCATENATE(#REF!,$DR62),#REF!,0),MATCH(#REF!,#REF!,0)))</f>
        <v/>
      </c>
      <c r="FJ62" s="56" t="str">
        <f t="array" ref="FJ62">IF($DR62="","", INDEX(#REF!,MATCH(CONCATENATE(#REF!,$DR62),#REF!,0),MATCH(#REF!,#REF!,0)))</f>
        <v/>
      </c>
      <c r="FK62" s="45" t="str">
        <f t="array" ref="FK62">IF($DR62="","", INDEX(#REF!,MATCH(CONCATENATE(#REF!,$DR62),#REF!,0),MATCH(#REF!,#REF!,0)))</f>
        <v/>
      </c>
      <c r="FL62" s="45" t="str">
        <f t="array" ref="FL62">IF($DT62="","", INDEX(#REF!,MATCH(CONCATENATE('Respuestas de formulario 1.1'!$B62,$DS62),#REF!,0),MATCH('Respuestas de formulario 1.1'!FL$1,#REF!,0)))</f>
        <v/>
      </c>
      <c r="FM62" s="56" t="str">
        <f t="array" ref="FM62">IF($DT62="","", INDEX(#REF!,MATCH(CONCATENATE('Respuestas de formulario 1.1'!$B62,$DS62),#REF!,0),MATCH('Respuestas de formulario 1.1'!FM$1,#REF!,0)))</f>
        <v/>
      </c>
      <c r="FN62" s="56" t="str">
        <f t="array" ref="FN62">IF($DT62="","", INDEX(#REF!,MATCH(CONCATENATE('Respuestas de formulario 1.1'!$B62,$DS62),#REF!,0),MATCH('Respuestas de formulario 1.1'!FN$1,#REF!,0)))</f>
        <v/>
      </c>
      <c r="FO62" s="56" t="str">
        <f t="array" ref="FO62">IF($DT62="","", INDEX(#REF!,MATCH(CONCATENATE('Respuestas de formulario 1.1'!$B62,$DS62),#REF!,0),MATCH('Respuestas de formulario 1.1'!FO$1,#REF!,0)))</f>
        <v/>
      </c>
      <c r="FP62" s="56" t="str">
        <f t="array" ref="FP62">IF($DT62="","", INDEX(#REF!,MATCH(CONCATENATE('Respuestas de formulario 1.1'!$B62,$DS62),#REF!,0),MATCH('Respuestas de formulario 1.1'!FP$1,#REF!,0)))</f>
        <v/>
      </c>
      <c r="FQ62" s="56" t="str">
        <f t="array" ref="FQ62">IF($DT62="","", INDEX(#REF!,MATCH(CONCATENATE('Respuestas de formulario 1.1'!$B62,$DS62),#REF!,0),MATCH('Respuestas de formulario 1.1'!FQ$1,#REF!,0)))</f>
        <v/>
      </c>
      <c r="FR62" s="45" t="str">
        <f t="array" ref="FR62">IF($DT62="","", INDEX(#REF!,MATCH(CONCATENATE('Respuestas de formulario 1.1'!$B62,$DS62),#REF!,0),MATCH('Respuestas de formulario 1.1'!FR$1,#REF!,0)))</f>
        <v/>
      </c>
      <c r="FS62" s="45" t="str">
        <f t="array" ref="FS62">IF($DU62="","", INDEX(#REF!,MATCH(CONCATENATE('Respuestas de formulario 1.1'!$B62,$DT62),#REF!,0),MATCH('Respuestas de formulario 1.1'!FS$1,#REF!,0)))</f>
        <v/>
      </c>
      <c r="FT62" s="56" t="str">
        <f t="array" ref="FT62">IF($DU62="","", INDEX(#REF!,MATCH(CONCATENATE('Respuestas de formulario 1.1'!$B62,$DT62),#REF!,0),MATCH('Respuestas de formulario 1.1'!FT$1,#REF!,0)))</f>
        <v/>
      </c>
      <c r="FU62" s="56" t="str">
        <f t="array" ref="FU62">IF($DU62="","", INDEX(#REF!,MATCH(CONCATENATE('Respuestas de formulario 1.1'!$B62,$DT62),#REF!,0),MATCH('Respuestas de formulario 1.1'!FU$1,#REF!,0)))</f>
        <v/>
      </c>
      <c r="FV62" s="56" t="str">
        <f t="array" ref="FV62">IF($DU62="","", INDEX(#REF!,MATCH(CONCATENATE('Respuestas de formulario 1.1'!$B62,$DT62),#REF!,0),MATCH('Respuestas de formulario 1.1'!FV$1,#REF!,0)))</f>
        <v/>
      </c>
      <c r="FW62" s="56" t="str">
        <f t="array" ref="FW62">IF($DU62="","", INDEX(#REF!,MATCH(CONCATENATE('Respuestas de formulario 1.1'!$B62,$DT62),#REF!,0),MATCH('Respuestas de formulario 1.1'!FW$1,#REF!,0)))</f>
        <v/>
      </c>
      <c r="FX62" s="56" t="str">
        <f t="array" ref="FX62">IF($DU62="","", INDEX(#REF!,MATCH(CONCATENATE('Respuestas de formulario 1.1'!$B62,$DT62),#REF!,0),MATCH('Respuestas de formulario 1.1'!FX$1,#REF!,0)))</f>
        <v/>
      </c>
      <c r="FY62" s="45" t="str">
        <f t="array" ref="FY62">IF($DU62="","", INDEX(#REF!,MATCH(CONCATENATE('Respuestas de formulario 1.1'!$B62,$DT62),#REF!,0),MATCH('Respuestas de formulario 1.1'!FY$1,#REF!,0)))</f>
        <v/>
      </c>
      <c r="FZ62" s="3" t="s">
        <v>2860</v>
      </c>
      <c r="GA62" s="1" t="s">
        <v>3887</v>
      </c>
      <c r="GB62" s="5" t="s">
        <v>3888</v>
      </c>
      <c r="GC62" s="4" t="str">
        <f>HYPERLINK("https://drive.google.com/file/d/18r-EX3q5oMFPFlpj_4hNqKT5hIXIpmo3/view?usp=drivesdk","MARTINEZ  ABONCE  KELLY JEBENUHI  Formato de reinscripción y pago 2022-2")</f>
        <v>MARTINEZ  ABONCE  KELLY JEBENUHI  Formato de reinscripción y pago 2022-2</v>
      </c>
      <c r="GD62" s="1" t="s">
        <v>3889</v>
      </c>
      <c r="GE62" s="1"/>
      <c r="GF62" s="1"/>
      <c r="GG62" s="1"/>
      <c r="GH62" s="1"/>
      <c r="GI62" s="1" t="s">
        <v>3890</v>
      </c>
      <c r="GJ62" s="5" t="s">
        <v>3891</v>
      </c>
      <c r="GK62" s="5" t="str">
        <f>HYPERLINK("https://drive.google.com/file/d/19Q-QGH_EguGjpE6zueKC2CKER7Z9Uo0h/view?usp=drivesdk","MARTINEZ  ABONCE  KELLY JEBENUHI  Formato de reinscripción y pago 2022-2")</f>
        <v>MARTINEZ  ABONCE  KELLY JEBENUHI  Formato de reinscripción y pago 2022-2</v>
      </c>
      <c r="GL62" s="1" t="s">
        <v>3892</v>
      </c>
    </row>
    <row r="63" spans="1:194" ht="38.25" x14ac:dyDescent="0.2">
      <c r="A63" s="2">
        <v>45139.340078460649</v>
      </c>
      <c r="B63" s="1" t="s">
        <v>1717</v>
      </c>
      <c r="C63" s="1" t="s">
        <v>1165</v>
      </c>
      <c r="D63" s="1" t="s">
        <v>627</v>
      </c>
      <c r="E63" s="1" t="s">
        <v>1637</v>
      </c>
      <c r="F63" s="1" t="s">
        <v>223</v>
      </c>
      <c r="G63" s="5" t="s">
        <v>3893</v>
      </c>
      <c r="H63" s="41">
        <v>39332</v>
      </c>
      <c r="I63" s="1">
        <v>15</v>
      </c>
      <c r="J63" s="1">
        <v>5571718372</v>
      </c>
      <c r="K63" s="1">
        <v>5570317517</v>
      </c>
      <c r="L63" s="1" t="s">
        <v>3894</v>
      </c>
      <c r="M63" s="1">
        <v>22309060570069</v>
      </c>
      <c r="N63" s="1" t="s">
        <v>562</v>
      </c>
      <c r="O63" s="1" t="s">
        <v>247</v>
      </c>
      <c r="P63" s="1" t="s">
        <v>226</v>
      </c>
      <c r="Q63" s="1" t="s">
        <v>227</v>
      </c>
      <c r="R63" s="1" t="s">
        <v>236</v>
      </c>
      <c r="S63" s="1" t="s">
        <v>228</v>
      </c>
      <c r="T63" s="1" t="s">
        <v>411</v>
      </c>
      <c r="U63" s="1" t="s">
        <v>249</v>
      </c>
      <c r="V63" s="1" t="s">
        <v>228</v>
      </c>
      <c r="W63" s="1" t="s">
        <v>1718</v>
      </c>
      <c r="X63" s="1" t="s">
        <v>249</v>
      </c>
      <c r="Y63" s="1" t="s">
        <v>3895</v>
      </c>
      <c r="Z63" s="1" t="s">
        <v>240</v>
      </c>
      <c r="AA63" s="44" t="s">
        <v>654</v>
      </c>
      <c r="AB63" s="1" t="s">
        <v>1719</v>
      </c>
      <c r="AC63" s="1" t="s">
        <v>395</v>
      </c>
      <c r="AD63" s="1" t="s">
        <v>3896</v>
      </c>
      <c r="AE63" s="1" t="s">
        <v>3897</v>
      </c>
      <c r="AF63" s="1" t="s">
        <v>265</v>
      </c>
      <c r="AG63" s="1">
        <v>46</v>
      </c>
      <c r="AH63" s="5" t="s">
        <v>3898</v>
      </c>
      <c r="AI63" s="1">
        <v>5531013958</v>
      </c>
      <c r="AJ63" s="1">
        <v>5570317517</v>
      </c>
      <c r="AK63" s="1" t="s">
        <v>1721</v>
      </c>
      <c r="AL63" s="1" t="s">
        <v>531</v>
      </c>
      <c r="AM63" s="1" t="s">
        <v>3899</v>
      </c>
      <c r="AN63" s="1" t="s">
        <v>391</v>
      </c>
      <c r="AO63" s="1" t="s">
        <v>336</v>
      </c>
      <c r="AP63" s="1">
        <v>39</v>
      </c>
      <c r="AQ63" s="1" t="s">
        <v>3900</v>
      </c>
      <c r="AR63" s="42">
        <v>0.5</v>
      </c>
      <c r="AS63" s="42">
        <v>0.5</v>
      </c>
      <c r="AT63" s="1">
        <v>5578324065</v>
      </c>
      <c r="AU63" s="1">
        <v>5570317517</v>
      </c>
      <c r="AV63" s="1" t="s">
        <v>1720</v>
      </c>
      <c r="AW63" s="5" t="s">
        <v>3901</v>
      </c>
      <c r="AX63" s="1" t="s">
        <v>925</v>
      </c>
      <c r="AY63" s="1" t="s">
        <v>886</v>
      </c>
      <c r="AZ63" s="1" t="s">
        <v>3902</v>
      </c>
      <c r="BA63" s="1" t="s">
        <v>435</v>
      </c>
      <c r="BB63" s="1">
        <v>49</v>
      </c>
      <c r="BC63" s="1" t="s">
        <v>1236</v>
      </c>
      <c r="BD63" s="43">
        <v>0.33333333333575865</v>
      </c>
      <c r="BE63" s="43">
        <v>0.27083333333575865</v>
      </c>
      <c r="BF63" s="1">
        <v>5514250378</v>
      </c>
      <c r="BG63" s="1">
        <v>5570317517</v>
      </c>
      <c r="BH63" s="1" t="s">
        <v>3903</v>
      </c>
      <c r="BI63" s="5" t="s">
        <v>3904</v>
      </c>
      <c r="BJ63" s="1" t="s">
        <v>236</v>
      </c>
      <c r="BL63" s="1">
        <v>1.6</v>
      </c>
      <c r="BM63" s="1">
        <v>55</v>
      </c>
      <c r="BN63" s="1" t="s">
        <v>228</v>
      </c>
      <c r="BO63" s="1" t="s">
        <v>228</v>
      </c>
      <c r="BQ63" s="1" t="s">
        <v>228</v>
      </c>
      <c r="BR63" s="1" t="s">
        <v>237</v>
      </c>
      <c r="BS63" s="1" t="s">
        <v>228</v>
      </c>
      <c r="BT63" s="1" t="s">
        <v>237</v>
      </c>
      <c r="BU63" s="1" t="s">
        <v>228</v>
      </c>
      <c r="BW63" s="1" t="s">
        <v>272</v>
      </c>
      <c r="BX63" s="1">
        <v>45</v>
      </c>
      <c r="BY63" s="1">
        <v>70</v>
      </c>
      <c r="BZ63" s="1" t="s">
        <v>791</v>
      </c>
      <c r="CA63" s="1" t="s">
        <v>2144</v>
      </c>
      <c r="CB63" s="1" t="s">
        <v>240</v>
      </c>
      <c r="CC63" s="1" t="s">
        <v>274</v>
      </c>
      <c r="CD63" s="1">
        <v>800</v>
      </c>
      <c r="CE63" s="1">
        <v>1000</v>
      </c>
      <c r="CF63" s="1" t="s">
        <v>236</v>
      </c>
      <c r="CG63" s="1" t="s">
        <v>242</v>
      </c>
      <c r="CH63" s="1" t="s">
        <v>243</v>
      </c>
      <c r="CI63" s="1" t="s">
        <v>243</v>
      </c>
      <c r="CJ63" s="1" t="s">
        <v>2848</v>
      </c>
      <c r="CL63" s="5" t="s">
        <v>3905</v>
      </c>
      <c r="CM63" s="44" t="s">
        <v>1722</v>
      </c>
      <c r="CN63" s="1" t="s">
        <v>228</v>
      </c>
      <c r="CQ63" s="42">
        <v>0.5</v>
      </c>
      <c r="CR63" s="42">
        <v>0.5</v>
      </c>
      <c r="CT63" s="45" t="str">
        <f t="array" ref="CT63">IFERROR(INDEX(#REF!,MATCH('Respuestas de formulario 1.1'!$B63,#REF!,0),MATCH('Respuestas de formulario 1.1'!CT$1,#REF!,0)),"")</f>
        <v/>
      </c>
      <c r="CU63" s="56" t="str">
        <f t="array" ref="CU63">IFERROR(INDEX(#REF!,MATCH('Respuestas de formulario 1.1'!$B63,#REF!,0),MATCH('Respuestas de formulario 1.1'!CU$1,#REF!,0)),"")</f>
        <v/>
      </c>
      <c r="CV63" s="56" t="str">
        <f t="array" ref="CV63">IFERROR(INDEX(#REF!,MATCH('Respuestas de formulario 1.1'!$B63,#REF!,0),MATCH('Respuestas de formulario 1.1'!CV$1,#REF!,0)),"")</f>
        <v/>
      </c>
      <c r="CW63" s="56" t="str">
        <f t="array" ref="CW63">IFERROR(INDEX(#REF!,MATCH('Respuestas de formulario 1.1'!$B63,#REF!,0),MATCH('Respuestas de formulario 1.1'!CW$1,#REF!,0)),"")</f>
        <v/>
      </c>
      <c r="CX63" s="56" t="str">
        <f t="array" ref="CX63">IFERROR(INDEX(#REF!,MATCH('Respuestas de formulario 1.1'!$B63,#REF!,0),MATCH('Respuestas de formulario 1.1'!CX$1,#REF!,0)),"")</f>
        <v/>
      </c>
      <c r="CY63" s="56" t="str">
        <f t="array" ref="CY63">IFERROR(INDEX(#REF!,MATCH('Respuestas de formulario 1.1'!$B63,#REF!,0),MATCH('Respuestas de formulario 1.1'!CY$1,#REF!,0)),"")</f>
        <v/>
      </c>
      <c r="CZ63" s="57" t="str">
        <f t="array" ref="CZ63">IFERROR(INDEX(#REF!,MATCH('Respuestas de formulario 1.1'!$B63,#REF!,0),MATCH('Respuestas de formulario 1.1'!CZ$1,#REF!,0)),"")</f>
        <v/>
      </c>
      <c r="DA63" s="45" t="e">
        <f t="array" ref="DA63">INDEX(#REF!,MATCH('Respuestas de formulario 1.1'!$B63,#REF!,0),MATCH('Respuestas de formulario 1.1'!DA$1,#REF!,0))</f>
        <v>#REF!</v>
      </c>
      <c r="DB63" s="45" t="e">
        <f t="array" ref="DB63">INDEX(#REF!,MATCH('Respuestas de formulario 1.1'!$B63,#REF!,0),MATCH('Respuestas de formulario 1.1'!DB$1,#REF!,0))</f>
        <v>#REF!</v>
      </c>
      <c r="DC63" s="45" t="e">
        <f t="array" ref="DC63">INDEX(#REF!,MATCH('Respuestas de formulario 1.1'!$B63,#REF!,0),MATCH('Respuestas de formulario 1.1'!DC$1,#REF!,0))</f>
        <v>#REF!</v>
      </c>
      <c r="DD63" s="45" t="e">
        <f t="array" ref="DD63">INDEX(#REF!,MATCH('Respuestas de formulario 1.1'!$B63,#REF!,0),MATCH('Respuestas de formulario 1.1'!DD$1,#REF!,0))</f>
        <v>#REF!</v>
      </c>
      <c r="DE63" s="45" t="e">
        <f t="array" ref="DE63">INDEX(#REF!,MATCH('Respuestas de formulario 1.1'!$B63,#REF!,0),MATCH('Respuestas de formulario 1.1'!DE$1,#REF!,0))</f>
        <v>#REF!</v>
      </c>
      <c r="DF63" s="45" t="e">
        <f t="array" ref="DF63">INDEX(#REF!,MATCH('Respuestas de formulario 1.1'!$B63,#REF!,0),MATCH('Respuestas de formulario 1.1'!DF$1,#REF!,0))</f>
        <v>#REF!</v>
      </c>
      <c r="DG63" s="45" t="e">
        <f t="array" ref="DG63">INDEX(#REF!,MATCH('Respuestas de formulario 1.1'!$B63,#REF!,0),MATCH('Respuestas de formulario 1.1'!DG$1,#REF!,0))</f>
        <v>#REF!</v>
      </c>
      <c r="DH63" s="45" t="e">
        <f t="array" ref="DH63">INDEX(#REF!,MATCH('Respuestas de formulario 1.1'!$B63,#REF!,0),MATCH('Respuestas de formulario 1.1'!DH$1,#REF!,0))</f>
        <v>#REF!</v>
      </c>
      <c r="DI63" s="48" t="e">
        <f>VLOOKUP(CONCATENATE($DF63," TUTO ",$DC63),#REF!,3,0)</f>
        <v>#REF!</v>
      </c>
      <c r="DJ63" s="48" t="e">
        <f t="array" ref="DJ63">IF('Respuestas de formulario 1.1'!A63="","",INDEX(#REF!,MATCH('Respuestas de formulario 1.1'!B63,#REF!,0),MATCH('Respuestas de formulario 1.1'!$DH$1,#REF!,0)))</f>
        <v>#REF!</v>
      </c>
      <c r="DK63" s="52" t="str">
        <f>CONCATENATE("http://doc.google.com/uc?id=",MID('Respuestas de formulario 1.1'!G63,34,33))</f>
        <v>http://doc.google.com/uc?id=1SHwuy-d8hEhmh62gcN3a_D0h5LF3ugAi</v>
      </c>
      <c r="DL63" s="49" t="str">
        <f>CONCATENATE("http://doc.google.com/uc?id=",MID('Respuestas de formulario 1.1'!AH63,34,33))</f>
        <v>http://doc.google.com/uc?id=1lhGt2zwYWoERYlWxuqyz3QFzmOxPpfDE</v>
      </c>
      <c r="DM63" s="50" t="str">
        <f>CONCATENATE("http://doc.google.com/uc?id=",MID('Respuestas de formulario 1.1'!AW63,34,33))</f>
        <v>http://doc.google.com/uc?id=1WLMfXShzh4eRBoeGJVLnlje990QU7_BG</v>
      </c>
      <c r="DN63" s="53" t="str">
        <f>CONCATENATE("http://doc.google.com/uc?id=",MID('Respuestas de formulario 1.1'!$BI63,34,33))</f>
        <v>http://doc.google.com/uc?id=1_xRkUDs7TZ6gog2MCpNLouEG1zLEN4I1</v>
      </c>
      <c r="DO63" s="45" t="str">
        <f>IFERROR(VLOOKUP(CONCATENATE('Respuestas de formulario 1.1'!$B63,MID('Respuestas de formulario 1.1'!DO$1,2,1)),#REF!,12,0),"")</f>
        <v/>
      </c>
      <c r="DP63" s="45" t="str">
        <f>IFERROR(VLOOKUP(CONCATENATE('Respuestas de formulario 1.1'!$B63,MID('Respuestas de formulario 1.1'!DP$1,2,1)),#REF!,12,0),"")</f>
        <v/>
      </c>
      <c r="DQ63" s="45" t="str">
        <f>IFERROR(VLOOKUP(CONCATENATE('Respuestas de formulario 1.1'!$B63,MID('Respuestas de formulario 1.1'!DQ$1,2,1)),#REF!,12,0),"")</f>
        <v/>
      </c>
      <c r="DR63" s="45" t="str">
        <f>IFERROR(VLOOKUP(CONCATENATE('Respuestas de formulario 1.1'!$B63,MID('Respuestas de formulario 1.1'!DR$1,2,1)),#REF!,12,0),"")</f>
        <v/>
      </c>
      <c r="DS63" s="45" t="str">
        <f>IFERROR(VLOOKUP(CONCATENATE('Respuestas de formulario 1.1'!$B63,MID('Respuestas de formulario 1.1'!DS$1,2,1)),#REF!,12,0),"")</f>
        <v/>
      </c>
      <c r="DT63" s="45" t="str">
        <f>IFERROR(VLOOKUP(CONCATENATE('Respuestas de formulario 1.1'!$B63,MID('Respuestas de formulario 1.1'!DT$1,2,1)),#REF!,12,0),"")</f>
        <v/>
      </c>
      <c r="DU63" s="45" t="str">
        <f>IFERROR(VLOOKUP(CONCATENATE('Respuestas de formulario 1.1'!$B63,MID('Respuestas de formulario 1.1'!DU$1,2,1)),#REF!,12,0),"")</f>
        <v/>
      </c>
      <c r="DV63" s="45" t="str">
        <f>IFERROR(VLOOKUP(CONCATENATE('Respuestas de formulario 1.1'!$B63,MID('Respuestas de formulario 1.1'!DV$1,2,1)),#REF!,12,0),"")</f>
        <v/>
      </c>
      <c r="DW63" s="45" t="str">
        <f>IFERROR(VLOOKUP(CONCATENATE('Respuestas de formulario 1.1'!$B63,MID('Respuestas de formulario 1.1'!DW$1,2,1)),#REF!,12,0),"")</f>
        <v/>
      </c>
      <c r="DX63" s="45" t="str">
        <f>IFERROR(VLOOKUP(CONCATENATE('Respuestas de formulario 1.1'!$B63,MID('Respuestas de formulario 1.1'!DX$1,2,1)),#REF!,12,0),"")</f>
        <v/>
      </c>
      <c r="DY63" s="45" t="str">
        <f>IFERROR(VLOOKUP(CONCATENATE('Respuestas de formulario 1.1'!$B63,MID('Respuestas de formulario 1.1'!DY$1,2,1)),#REF!,12,0),"")</f>
        <v/>
      </c>
      <c r="DZ63" s="45" t="str">
        <f>IFERROR(VLOOKUP(CONCATENATE('Respuestas de formulario 1.1'!$B63,MID('Respuestas de formulario 1.1'!DZ$1,2,1)),#REF!,12,0),"")</f>
        <v/>
      </c>
      <c r="EA63" s="45" t="str">
        <f>IFERROR(VLOOKUP(CONCATENATE('Respuestas de formulario 1.1'!$B63,MID('Respuestas de formulario 1.1'!EA$1,2,1)),#REF!,12,0),"")</f>
        <v/>
      </c>
      <c r="EB63" s="45" t="str">
        <f>IFERROR(VLOOKUP(CONCATENATE('Respuestas de formulario 1.1'!$B63,MID('Respuestas de formulario 1.1'!EB$1,2,1)),#REF!,12,0),"")</f>
        <v/>
      </c>
      <c r="EC63" s="45" t="str">
        <f>IFERROR(VLOOKUP(CONCATENATE('Respuestas de formulario 1.1'!$B63,MID('Respuestas de formulario 1.1'!EC$1,2,1)),#REF!,12,0),"")</f>
        <v/>
      </c>
      <c r="ED63" s="45" t="str">
        <f>IFERROR(VLOOKUP(CONCATENATE('Respuestas de formulario 1.1'!$B63,MID('Respuestas de formulario 1.1'!ED$1,2,1)),#REF!,12,0),"")</f>
        <v/>
      </c>
      <c r="EE63" s="45" t="str">
        <f>IFERROR(VLOOKUP(CONCATENATE('Respuestas de formulario 1.1'!$B63,MID('Respuestas de formulario 1.1'!EE$1,2,1)),#REF!,12,0),"")</f>
        <v/>
      </c>
      <c r="EF63" s="45" t="str">
        <f>IFERROR(VLOOKUP(CONCATENATE('Respuestas de formulario 1.1'!$B63,MID('Respuestas de formulario 1.1'!EF$1,2,1)),#REF!,12,0),"")</f>
        <v/>
      </c>
      <c r="EG63" s="45" t="str">
        <f>IFERROR(VLOOKUP(CONCATENATE('Respuestas de formulario 1.1'!$B63,MID('Respuestas de formulario 1.1'!EG$1,2,1)),#REF!,12,0),"")</f>
        <v/>
      </c>
      <c r="EH63" s="45" t="str">
        <f>IFERROR(VLOOKUP(CONCATENATE('Respuestas de formulario 1.1'!$B63,MID('Respuestas de formulario 1.1'!EH$1,2,1)),#REF!,12,0),"")</f>
        <v/>
      </c>
      <c r="EI63" s="45" t="str">
        <f>IFERROR(VLOOKUP(CONCATENATE('Respuestas de formulario 1.1'!$B63,MID('Respuestas de formulario 1.1'!EI$1,2,1)),#REF!,12,0),"")</f>
        <v/>
      </c>
      <c r="EJ63" s="45" t="str">
        <f t="array" ref="EJ63">IF(DO63="","", INDEX(#REF!,MATCH(CONCATENATE('Respuestas de formulario 1.1'!$B63,DO63),#REF!,0),MATCH('Respuestas de formulario 1.1'!EJ$1,#REF!,0)))</f>
        <v/>
      </c>
      <c r="EK63" s="56" t="str">
        <f t="array" ref="EK63">IF(DP63="","", INDEX(#REF!,MATCH(CONCATENATE('Respuestas de formulario 1.1'!$B63,DP63),#REF!,0),MATCH('Respuestas de formulario 1.1'!EK$1,#REF!,0)))</f>
        <v/>
      </c>
      <c r="EL63" s="56" t="str">
        <f t="array" ref="EL63">IF(DQ63="","", INDEX(#REF!,MATCH(CONCATENATE('Respuestas de formulario 1.1'!$B63,DQ63),#REF!,0),MATCH('Respuestas de formulario 1.1'!EL$1,#REF!,0)))</f>
        <v/>
      </c>
      <c r="EM63" s="56" t="str">
        <f t="array" ref="EM63">IF(DR63="","", INDEX(#REF!,MATCH(CONCATENATE('Respuestas de formulario 1.1'!$B63,DR63),#REF!,0),MATCH('Respuestas de formulario 1.1'!EM$1,#REF!,0)))</f>
        <v/>
      </c>
      <c r="EN63" s="56" t="str">
        <f t="array" ref="EN63">IF(DS63="","", INDEX(#REF!,MATCH(CONCATENATE('Respuestas de formulario 1.1'!$B63,DS63),#REF!,0),MATCH('Respuestas de formulario 1.1'!EN$1,#REF!,0)))</f>
        <v/>
      </c>
      <c r="EO63" s="56" t="str">
        <f t="array" ref="EO63">IF(DT63="","", INDEX(#REF!,MATCH(CONCATENATE('Respuestas de formulario 1.1'!$B63,DT63),#REF!,0),MATCH('Respuestas de formulario 1.1'!EO$1,#REF!,0)))</f>
        <v/>
      </c>
      <c r="EP63" s="45" t="str">
        <f t="array" ref="EP63">IF(DU63="","", INDEX(#REF!,MATCH(CONCATENATE('Respuestas de formulario 1.1'!$B63,DU63),#REF!,0),MATCH('Respuestas de formulario 1.1'!EP$1,#REF!,0)))</f>
        <v/>
      </c>
      <c r="EQ63" s="45" t="str">
        <f t="array" ref="EQ63">IF(DP63="","", INDEX(#REF!,MATCH(CONCATENATE('Respuestas de formulario 1.1'!$B63,DP63),#REF!,0),MATCH('Respuestas de formulario 1.1'!EQ$1,#REF!,0)))</f>
        <v/>
      </c>
      <c r="ER63" s="56" t="str">
        <f t="array" ref="ER63">IF(DQ63="","", INDEX(#REF!,MATCH(CONCATENATE('Respuestas de formulario 1.1'!$B63,DQ63),#REF!,0),MATCH('Respuestas de formulario 1.1'!ER$1,#REF!,0)))</f>
        <v/>
      </c>
      <c r="ES63" s="56" t="str">
        <f t="array" ref="ES63">IF(DR63="","", INDEX(#REF!,MATCH(CONCATENATE('Respuestas de formulario 1.1'!$B63,DR63),#REF!,0),MATCH('Respuestas de formulario 1.1'!ES$1,#REF!,0)))</f>
        <v/>
      </c>
      <c r="ET63" s="56" t="str">
        <f t="array" ref="ET63">IF(DS63="","", INDEX(#REF!,MATCH(CONCATENATE('Respuestas de formulario 1.1'!$B63,DS63),#REF!,0),MATCH('Respuestas de formulario 1.1'!ET$1,#REF!,0)))</f>
        <v/>
      </c>
      <c r="EU63" s="56" t="str">
        <f t="array" ref="EU63">IF(DT63="","", INDEX(#REF!,MATCH(CONCATENATE('Respuestas de formulario 1.1'!$B63,DT63),#REF!,0),MATCH('Respuestas de formulario 1.1'!EU$1,#REF!,0)))</f>
        <v/>
      </c>
      <c r="EV63" s="56" t="str">
        <f t="array" ref="EV63">IF(DU63="","", INDEX(#REF!,MATCH(CONCATENATE('Respuestas de formulario 1.1'!$B63,DU63),#REF!,0),MATCH('Respuestas de formulario 1.1'!EV$1,#REF!,0)))</f>
        <v/>
      </c>
      <c r="EW63" s="45" t="str">
        <f t="array" ref="EW63">IF(DV63="","", INDEX(#REF!,MATCH(CONCATENATE('Respuestas de formulario 1.1'!$B63,DV63),#REF!,0),MATCH('Respuestas de formulario 1.1'!EW$1,#REF!,0)))</f>
        <v/>
      </c>
      <c r="EX63" s="45" t="str">
        <f t="array" ref="EX63">IF($DQ63="","", INDEX(#REF!,MATCH(CONCATENATE('Respuestas de formulario 1.1'!$B63,$DQ63),#REF!,0),MATCH('Respuestas de formulario 1.1'!EX$1,#REF!,0)))</f>
        <v/>
      </c>
      <c r="EY63" s="56" t="str">
        <f t="array" ref="EY63">IF($DQ63="","", INDEX(#REF!,MATCH(CONCATENATE('Respuestas de formulario 1.1'!$B63,$DQ63),#REF!,0),MATCH('Respuestas de formulario 1.1'!EY$1,#REF!,0)))</f>
        <v/>
      </c>
      <c r="EZ63" s="56" t="str">
        <f t="array" ref="EZ63">IF($DQ63="","", INDEX(#REF!,MATCH(CONCATENATE('Respuestas de formulario 1.1'!$B63,$DQ63),#REF!,0),MATCH('Respuestas de formulario 1.1'!EZ$1,#REF!,0)))</f>
        <v/>
      </c>
      <c r="FA63" s="56" t="str">
        <f t="array" ref="FA63">IF($DQ63="","", INDEX(#REF!,MATCH(CONCATENATE('Respuestas de formulario 1.1'!$B63,$DQ63),#REF!,0),MATCH('Respuestas de formulario 1.1'!FA$1,#REF!,0)))</f>
        <v/>
      </c>
      <c r="FB63" s="56" t="str">
        <f t="array" ref="FB63">IF($DQ63="","", INDEX(#REF!,MATCH(CONCATENATE('Respuestas de formulario 1.1'!$B63,$DQ63),#REF!,0),MATCH('Respuestas de formulario 1.1'!FB$1,#REF!,0)))</f>
        <v/>
      </c>
      <c r="FC63" s="56" t="str">
        <f t="array" ref="FC63">IF($DQ63="","", INDEX(#REF!,MATCH(CONCATENATE('Respuestas de formulario 1.1'!$B63,$DQ63),#REF!,0),MATCH('Respuestas de formulario 1.1'!FC$1,#REF!,0)))</f>
        <v/>
      </c>
      <c r="FD63" s="45" t="str">
        <f t="array" ref="FD63">IF($DQ63="","", INDEX(#REF!,MATCH(CONCATENATE('Respuestas de formulario 1.1'!$B63,$DQ63),#REF!,0),MATCH('Respuestas de formulario 1.1'!FD$1,#REF!,0)))</f>
        <v/>
      </c>
      <c r="FE63" s="45" t="str">
        <f t="array" ref="FE63">IF($DR63="","", INDEX(#REF!,MATCH(CONCATENATE(#REF!,$DR63),#REF!,0),MATCH(#REF!,#REF!,0)))</f>
        <v/>
      </c>
      <c r="FF63" s="56" t="str">
        <f t="array" ref="FF63">IF($DR63="","", INDEX(#REF!,MATCH(CONCATENATE(#REF!,$DR63),#REF!,0),MATCH(#REF!,#REF!,0)))</f>
        <v/>
      </c>
      <c r="FG63" s="56" t="str">
        <f t="array" ref="FG63">IF($DR63="","", INDEX(#REF!,MATCH(CONCATENATE(#REF!,$DR63),#REF!,0),MATCH(#REF!,#REF!,0)))</f>
        <v/>
      </c>
      <c r="FH63" s="56" t="str">
        <f t="array" ref="FH63">IF($DR63="","", INDEX(#REF!,MATCH(CONCATENATE(#REF!,$DR63),#REF!,0),MATCH(#REF!,#REF!,0)))</f>
        <v/>
      </c>
      <c r="FI63" s="56" t="str">
        <f t="array" ref="FI63">IF($DR63="","", INDEX(#REF!,MATCH(CONCATENATE(#REF!,$DR63),#REF!,0),MATCH(#REF!,#REF!,0)))</f>
        <v/>
      </c>
      <c r="FJ63" s="56" t="str">
        <f t="array" ref="FJ63">IF($DR63="","", INDEX(#REF!,MATCH(CONCATENATE(#REF!,$DR63),#REF!,0),MATCH(#REF!,#REF!,0)))</f>
        <v/>
      </c>
      <c r="FK63" s="45" t="str">
        <f t="array" ref="FK63">IF($DR63="","", INDEX(#REF!,MATCH(CONCATENATE(#REF!,$DR63),#REF!,0),MATCH(#REF!,#REF!,0)))</f>
        <v/>
      </c>
      <c r="FL63" s="45" t="str">
        <f t="array" ref="FL63">IF($DT63="","", INDEX(#REF!,MATCH(CONCATENATE('Respuestas de formulario 1.1'!$B63,$DS63),#REF!,0),MATCH('Respuestas de formulario 1.1'!FL$1,#REF!,0)))</f>
        <v/>
      </c>
      <c r="FM63" s="56" t="str">
        <f t="array" ref="FM63">IF($DT63="","", INDEX(#REF!,MATCH(CONCATENATE('Respuestas de formulario 1.1'!$B63,$DS63),#REF!,0),MATCH('Respuestas de formulario 1.1'!FM$1,#REF!,0)))</f>
        <v/>
      </c>
      <c r="FN63" s="56" t="str">
        <f t="array" ref="FN63">IF($DT63="","", INDEX(#REF!,MATCH(CONCATENATE('Respuestas de formulario 1.1'!$B63,$DS63),#REF!,0),MATCH('Respuestas de formulario 1.1'!FN$1,#REF!,0)))</f>
        <v/>
      </c>
      <c r="FO63" s="56" t="str">
        <f t="array" ref="FO63">IF($DT63="","", INDEX(#REF!,MATCH(CONCATENATE('Respuestas de formulario 1.1'!$B63,$DS63),#REF!,0),MATCH('Respuestas de formulario 1.1'!FO$1,#REF!,0)))</f>
        <v/>
      </c>
      <c r="FP63" s="56" t="str">
        <f t="array" ref="FP63">IF($DT63="","", INDEX(#REF!,MATCH(CONCATENATE('Respuestas de formulario 1.1'!$B63,$DS63),#REF!,0),MATCH('Respuestas de formulario 1.1'!FP$1,#REF!,0)))</f>
        <v/>
      </c>
      <c r="FQ63" s="56" t="str">
        <f t="array" ref="FQ63">IF($DT63="","", INDEX(#REF!,MATCH(CONCATENATE('Respuestas de formulario 1.1'!$B63,$DS63),#REF!,0),MATCH('Respuestas de formulario 1.1'!FQ$1,#REF!,0)))</f>
        <v/>
      </c>
      <c r="FR63" s="45" t="str">
        <f t="array" ref="FR63">IF($DT63="","", INDEX(#REF!,MATCH(CONCATENATE('Respuestas de formulario 1.1'!$B63,$DS63),#REF!,0),MATCH('Respuestas de formulario 1.1'!FR$1,#REF!,0)))</f>
        <v/>
      </c>
      <c r="FS63" s="45" t="str">
        <f t="array" ref="FS63">IF($DU63="","", INDEX(#REF!,MATCH(CONCATENATE('Respuestas de formulario 1.1'!$B63,$DT63),#REF!,0),MATCH('Respuestas de formulario 1.1'!FS$1,#REF!,0)))</f>
        <v/>
      </c>
      <c r="FT63" s="56" t="str">
        <f t="array" ref="FT63">IF($DU63="","", INDEX(#REF!,MATCH(CONCATENATE('Respuestas de formulario 1.1'!$B63,$DT63),#REF!,0),MATCH('Respuestas de formulario 1.1'!FT$1,#REF!,0)))</f>
        <v/>
      </c>
      <c r="FU63" s="56" t="str">
        <f t="array" ref="FU63">IF($DU63="","", INDEX(#REF!,MATCH(CONCATENATE('Respuestas de formulario 1.1'!$B63,$DT63),#REF!,0),MATCH('Respuestas de formulario 1.1'!FU$1,#REF!,0)))</f>
        <v/>
      </c>
      <c r="FV63" s="56" t="str">
        <f t="array" ref="FV63">IF($DU63="","", INDEX(#REF!,MATCH(CONCATENATE('Respuestas de formulario 1.1'!$B63,$DT63),#REF!,0),MATCH('Respuestas de formulario 1.1'!FV$1,#REF!,0)))</f>
        <v/>
      </c>
      <c r="FW63" s="56" t="str">
        <f t="array" ref="FW63">IF($DU63="","", INDEX(#REF!,MATCH(CONCATENATE('Respuestas de formulario 1.1'!$B63,$DT63),#REF!,0),MATCH('Respuestas de formulario 1.1'!FW$1,#REF!,0)))</f>
        <v/>
      </c>
      <c r="FX63" s="56" t="str">
        <f t="array" ref="FX63">IF($DU63="","", INDEX(#REF!,MATCH(CONCATENATE('Respuestas de formulario 1.1'!$B63,$DT63),#REF!,0),MATCH('Respuestas de formulario 1.1'!FX$1,#REF!,0)))</f>
        <v/>
      </c>
      <c r="FY63" s="45" t="str">
        <f t="array" ref="FY63">IF($DU63="","", INDEX(#REF!,MATCH(CONCATENATE('Respuestas de formulario 1.1'!$B63,$DT63),#REF!,0),MATCH('Respuestas de formulario 1.1'!FY$1,#REF!,0)))</f>
        <v/>
      </c>
      <c r="FZ63" s="3" t="s">
        <v>2860</v>
      </c>
      <c r="GA63" s="1" t="s">
        <v>3906</v>
      </c>
      <c r="GB63" s="5" t="s">
        <v>3907</v>
      </c>
      <c r="GC63" s="4" t="str">
        <f>HYPERLINK("https://drive.google.com/file/d/1glTqJfmx1pu5SAzjjmgrkcjryiSLEVeV/view?usp=drivesdk","ANGELES MEDINA  DANIELA Formato de reinscripción y pago 2022-2")</f>
        <v>ANGELES MEDINA  DANIELA Formato de reinscripción y pago 2022-2</v>
      </c>
      <c r="GD63" s="1" t="s">
        <v>3908</v>
      </c>
      <c r="GE63" s="1"/>
      <c r="GF63" s="1"/>
      <c r="GG63" s="1"/>
      <c r="GH63" s="1"/>
      <c r="GI63" s="1" t="s">
        <v>3909</v>
      </c>
      <c r="GJ63" s="5" t="s">
        <v>3910</v>
      </c>
      <c r="GK63" s="5" t="str">
        <f>HYPERLINK("https://drive.google.com/file/d/1o3s59HfDCwbURa7WeUoB27GC48bswMCr/view?usp=drivesdk","ANGELES MEDINA  DANIELA Formato de reinscripción y pago 2022-2")</f>
        <v>ANGELES MEDINA  DANIELA Formato de reinscripción y pago 2022-2</v>
      </c>
      <c r="GL63" s="1" t="s">
        <v>3911</v>
      </c>
    </row>
    <row r="64" spans="1:194" ht="38.25" x14ac:dyDescent="0.2">
      <c r="A64" s="2">
        <v>45139.34559704861</v>
      </c>
      <c r="B64" s="1" t="s">
        <v>43</v>
      </c>
      <c r="C64" s="1" t="s">
        <v>441</v>
      </c>
      <c r="D64" s="1" t="s">
        <v>392</v>
      </c>
      <c r="E64" s="1" t="s">
        <v>685</v>
      </c>
      <c r="F64" s="1" t="s">
        <v>223</v>
      </c>
      <c r="G64" s="5" t="s">
        <v>3912</v>
      </c>
      <c r="H64" s="41">
        <v>38989</v>
      </c>
      <c r="I64" s="1">
        <v>16</v>
      </c>
      <c r="J64" s="1">
        <v>5540432380</v>
      </c>
      <c r="K64" s="1">
        <v>5551429226</v>
      </c>
      <c r="L64" s="1" t="s">
        <v>3913</v>
      </c>
      <c r="M64" s="1">
        <v>21309060570205</v>
      </c>
      <c r="N64" s="1" t="s">
        <v>1108</v>
      </c>
      <c r="O64" s="1" t="s">
        <v>247</v>
      </c>
      <c r="P64" s="1" t="s">
        <v>226</v>
      </c>
      <c r="Q64" s="1" t="s">
        <v>248</v>
      </c>
      <c r="R64" s="1" t="s">
        <v>236</v>
      </c>
      <c r="S64" s="1" t="s">
        <v>228</v>
      </c>
      <c r="T64" s="1" t="s">
        <v>686</v>
      </c>
      <c r="U64" s="1" t="s">
        <v>394</v>
      </c>
      <c r="V64" s="1" t="s">
        <v>228</v>
      </c>
      <c r="W64" s="1" t="s">
        <v>401</v>
      </c>
      <c r="X64" s="1" t="s">
        <v>394</v>
      </c>
      <c r="Y64" s="1" t="s">
        <v>1949</v>
      </c>
      <c r="Z64" s="1" t="s">
        <v>231</v>
      </c>
      <c r="AA64" s="1">
        <v>56500</v>
      </c>
      <c r="AB64" s="1">
        <v>38</v>
      </c>
      <c r="AC64" s="1">
        <v>8</v>
      </c>
      <c r="AD64" s="1" t="s">
        <v>3914</v>
      </c>
      <c r="AE64" s="1" t="s">
        <v>3915</v>
      </c>
      <c r="AF64" s="1" t="s">
        <v>445</v>
      </c>
      <c r="AG64" s="1">
        <v>52</v>
      </c>
      <c r="AH64" s="5" t="s">
        <v>3916</v>
      </c>
      <c r="AI64" s="1">
        <v>5565253472</v>
      </c>
      <c r="AJ64" s="1">
        <v>5551429226</v>
      </c>
      <c r="AK64" s="1" t="s">
        <v>687</v>
      </c>
      <c r="AL64" s="1" t="s">
        <v>441</v>
      </c>
      <c r="AM64" s="1" t="s">
        <v>392</v>
      </c>
      <c r="AN64" s="1" t="s">
        <v>738</v>
      </c>
      <c r="AO64" s="1" t="s">
        <v>488</v>
      </c>
      <c r="AP64" s="1">
        <v>27</v>
      </c>
      <c r="AQ64" s="1" t="s">
        <v>2542</v>
      </c>
      <c r="AR64" s="42">
        <v>0.29166666666424135</v>
      </c>
      <c r="AS64" s="42">
        <v>0.5</v>
      </c>
      <c r="AT64" s="1">
        <v>5533740692</v>
      </c>
      <c r="AU64" s="1">
        <v>5551429226</v>
      </c>
      <c r="AV64" s="1" t="s">
        <v>687</v>
      </c>
      <c r="AW64" s="5" t="s">
        <v>3917</v>
      </c>
      <c r="AX64" s="1" t="s">
        <v>441</v>
      </c>
      <c r="AY64" s="1" t="s">
        <v>392</v>
      </c>
      <c r="AZ64" s="1" t="s">
        <v>2616</v>
      </c>
      <c r="BA64" s="1" t="s">
        <v>403</v>
      </c>
      <c r="BB64" s="1">
        <v>32</v>
      </c>
      <c r="BC64" s="1" t="s">
        <v>1844</v>
      </c>
      <c r="BD64" s="43">
        <v>0.125</v>
      </c>
      <c r="BE64" s="43">
        <v>0.47916666666424135</v>
      </c>
      <c r="BF64" s="1">
        <v>5540013072</v>
      </c>
      <c r="BG64" s="1">
        <v>5551429226</v>
      </c>
      <c r="BH64" s="1" t="s">
        <v>3918</v>
      </c>
      <c r="BI64" s="5" t="s">
        <v>3919</v>
      </c>
      <c r="BJ64" s="1" t="s">
        <v>236</v>
      </c>
      <c r="BL64" s="1">
        <v>1.52</v>
      </c>
      <c r="BM64" s="1">
        <v>50</v>
      </c>
      <c r="BN64" s="1" t="s">
        <v>236</v>
      </c>
      <c r="BO64" s="1" t="s">
        <v>228</v>
      </c>
      <c r="BQ64" s="1" t="s">
        <v>228</v>
      </c>
      <c r="BR64" s="1" t="s">
        <v>237</v>
      </c>
      <c r="BS64" s="1" t="s">
        <v>236</v>
      </c>
      <c r="BT64" s="1" t="s">
        <v>462</v>
      </c>
      <c r="BU64" s="1" t="s">
        <v>228</v>
      </c>
      <c r="BW64" s="1" t="s">
        <v>272</v>
      </c>
      <c r="BX64" s="1">
        <v>120</v>
      </c>
      <c r="BY64" s="1">
        <v>250</v>
      </c>
      <c r="BZ64" s="1" t="s">
        <v>3920</v>
      </c>
      <c r="CA64" s="1" t="s">
        <v>509</v>
      </c>
      <c r="CB64" s="1" t="s">
        <v>864</v>
      </c>
      <c r="CC64" s="1" t="s">
        <v>1263</v>
      </c>
      <c r="CD64" s="1">
        <v>200</v>
      </c>
      <c r="CE64" s="1">
        <v>1000</v>
      </c>
      <c r="CF64" s="1" t="s">
        <v>236</v>
      </c>
      <c r="CG64" s="1" t="s">
        <v>242</v>
      </c>
      <c r="CH64" s="1" t="s">
        <v>243</v>
      </c>
      <c r="CI64" s="1" t="s">
        <v>243</v>
      </c>
      <c r="CJ64" s="1" t="s">
        <v>2848</v>
      </c>
      <c r="CL64" s="5" t="s">
        <v>3921</v>
      </c>
      <c r="CM64" s="1">
        <v>16210634222</v>
      </c>
      <c r="CN64" s="1" t="s">
        <v>228</v>
      </c>
      <c r="CQ64" s="42">
        <v>0.33333333333575865</v>
      </c>
      <c r="CR64" s="42">
        <v>0.25</v>
      </c>
      <c r="CT64" s="45" t="str">
        <f t="array" ref="CT64">IFERROR(INDEX(#REF!,MATCH('Respuestas de formulario 1.1'!$B64,#REF!,0),MATCH('Respuestas de formulario 1.1'!CT$1,#REF!,0)),"")</f>
        <v/>
      </c>
      <c r="CU64" s="56" t="str">
        <f t="array" ref="CU64">IFERROR(INDEX(#REF!,MATCH('Respuestas de formulario 1.1'!$B64,#REF!,0),MATCH('Respuestas de formulario 1.1'!CU$1,#REF!,0)),"")</f>
        <v/>
      </c>
      <c r="CV64" s="56" t="str">
        <f t="array" ref="CV64">IFERROR(INDEX(#REF!,MATCH('Respuestas de formulario 1.1'!$B64,#REF!,0),MATCH('Respuestas de formulario 1.1'!CV$1,#REF!,0)),"")</f>
        <v/>
      </c>
      <c r="CW64" s="56" t="str">
        <f t="array" ref="CW64">IFERROR(INDEX(#REF!,MATCH('Respuestas de formulario 1.1'!$B64,#REF!,0),MATCH('Respuestas de formulario 1.1'!CW$1,#REF!,0)),"")</f>
        <v/>
      </c>
      <c r="CX64" s="56" t="str">
        <f t="array" ref="CX64">IFERROR(INDEX(#REF!,MATCH('Respuestas de formulario 1.1'!$B64,#REF!,0),MATCH('Respuestas de formulario 1.1'!CX$1,#REF!,0)),"")</f>
        <v/>
      </c>
      <c r="CY64" s="56" t="str">
        <f t="array" ref="CY64">IFERROR(INDEX(#REF!,MATCH('Respuestas de formulario 1.1'!$B64,#REF!,0),MATCH('Respuestas de formulario 1.1'!CY$1,#REF!,0)),"")</f>
        <v/>
      </c>
      <c r="CZ64" s="57" t="str">
        <f t="array" ref="CZ64">IFERROR(INDEX(#REF!,MATCH('Respuestas de formulario 1.1'!$B64,#REF!,0),MATCH('Respuestas de formulario 1.1'!CZ$1,#REF!,0)),"")</f>
        <v/>
      </c>
      <c r="DA64" s="45" t="e">
        <f t="array" ref="DA64">INDEX(#REF!,MATCH('Respuestas de formulario 1.1'!$B64,#REF!,0),MATCH('Respuestas de formulario 1.1'!DA$1,#REF!,0))</f>
        <v>#REF!</v>
      </c>
      <c r="DB64" s="45" t="e">
        <f t="array" ref="DB64">INDEX(#REF!,MATCH('Respuestas de formulario 1.1'!$B64,#REF!,0),MATCH('Respuestas de formulario 1.1'!DB$1,#REF!,0))</f>
        <v>#REF!</v>
      </c>
      <c r="DC64" s="45" t="e">
        <f t="array" ref="DC64">INDEX(#REF!,MATCH('Respuestas de formulario 1.1'!$B64,#REF!,0),MATCH('Respuestas de formulario 1.1'!DC$1,#REF!,0))</f>
        <v>#REF!</v>
      </c>
      <c r="DD64" s="45" t="e">
        <f t="array" ref="DD64">INDEX(#REF!,MATCH('Respuestas de formulario 1.1'!$B64,#REF!,0),MATCH('Respuestas de formulario 1.1'!DD$1,#REF!,0))</f>
        <v>#REF!</v>
      </c>
      <c r="DE64" s="45" t="e">
        <f t="array" ref="DE64">INDEX(#REF!,MATCH('Respuestas de formulario 1.1'!$B64,#REF!,0),MATCH('Respuestas de formulario 1.1'!DE$1,#REF!,0))</f>
        <v>#REF!</v>
      </c>
      <c r="DF64" s="45" t="e">
        <f t="array" ref="DF64">INDEX(#REF!,MATCH('Respuestas de formulario 1.1'!$B64,#REF!,0),MATCH('Respuestas de formulario 1.1'!DF$1,#REF!,0))</f>
        <v>#REF!</v>
      </c>
      <c r="DG64" s="45" t="e">
        <f t="array" ref="DG64">INDEX(#REF!,MATCH('Respuestas de formulario 1.1'!$B64,#REF!,0),MATCH('Respuestas de formulario 1.1'!DG$1,#REF!,0))</f>
        <v>#REF!</v>
      </c>
      <c r="DH64" s="45" t="e">
        <f t="array" ref="DH64">INDEX(#REF!,MATCH('Respuestas de formulario 1.1'!$B64,#REF!,0),MATCH('Respuestas de formulario 1.1'!DH$1,#REF!,0))</f>
        <v>#REF!</v>
      </c>
      <c r="DI64" s="48" t="e">
        <f>VLOOKUP(CONCATENATE($DF64," TUTO ",$DC64),#REF!,3,0)</f>
        <v>#REF!</v>
      </c>
      <c r="DJ64" s="48" t="e">
        <f t="array" ref="DJ64">IF('Respuestas de formulario 1.1'!A64="","",INDEX(#REF!,MATCH('Respuestas de formulario 1.1'!B64,#REF!,0),MATCH('Respuestas de formulario 1.1'!$DH$1,#REF!,0)))</f>
        <v>#REF!</v>
      </c>
      <c r="DK64" s="52" t="str">
        <f>CONCATENATE("http://doc.google.com/uc?id=",MID('Respuestas de formulario 1.1'!G64,34,33))</f>
        <v>http://doc.google.com/uc?id=1TWscCEFl5-0pZ549cLQYiph6NUcamzy3</v>
      </c>
      <c r="DL64" s="49" t="str">
        <f>CONCATENATE("http://doc.google.com/uc?id=",MID('Respuestas de formulario 1.1'!AH64,34,33))</f>
        <v>http://doc.google.com/uc?id=1VFkOT6vjAkq7A-PJ2QB51qUquICX6Bax</v>
      </c>
      <c r="DM64" s="50" t="str">
        <f>CONCATENATE("http://doc.google.com/uc?id=",MID('Respuestas de formulario 1.1'!AW64,34,33))</f>
        <v>http://doc.google.com/uc?id=1VgyuzvsBazZkzWByse3gGLwZYzXb5PWz</v>
      </c>
      <c r="DN64" s="53" t="str">
        <f>CONCATENATE("http://doc.google.com/uc?id=",MID('Respuestas de formulario 1.1'!$BI64,34,33))</f>
        <v>http://doc.google.com/uc?id=1kMxGKMRvp62dgHgKUrBXVcr4v6pTENT0</v>
      </c>
      <c r="DO64" s="45" t="str">
        <f>IFERROR(VLOOKUP(CONCATENATE('Respuestas de formulario 1.1'!$B64,MID('Respuestas de formulario 1.1'!DO$1,2,1)),#REF!,12,0),"")</f>
        <v/>
      </c>
      <c r="DP64" s="45" t="str">
        <f>IFERROR(VLOOKUP(CONCATENATE('Respuestas de formulario 1.1'!$B64,MID('Respuestas de formulario 1.1'!DP$1,2,1)),#REF!,12,0),"")</f>
        <v/>
      </c>
      <c r="DQ64" s="45" t="str">
        <f>IFERROR(VLOOKUP(CONCATENATE('Respuestas de formulario 1.1'!$B64,MID('Respuestas de formulario 1.1'!DQ$1,2,1)),#REF!,12,0),"")</f>
        <v/>
      </c>
      <c r="DR64" s="45" t="str">
        <f>IFERROR(VLOOKUP(CONCATENATE('Respuestas de formulario 1.1'!$B64,MID('Respuestas de formulario 1.1'!DR$1,2,1)),#REF!,12,0),"")</f>
        <v/>
      </c>
      <c r="DS64" s="45" t="str">
        <f>IFERROR(VLOOKUP(CONCATENATE('Respuestas de formulario 1.1'!$B64,MID('Respuestas de formulario 1.1'!DS$1,2,1)),#REF!,12,0),"")</f>
        <v/>
      </c>
      <c r="DT64" s="45" t="str">
        <f>IFERROR(VLOOKUP(CONCATENATE('Respuestas de formulario 1.1'!$B64,MID('Respuestas de formulario 1.1'!DT$1,2,1)),#REF!,12,0),"")</f>
        <v/>
      </c>
      <c r="DU64" s="45" t="str">
        <f>IFERROR(VLOOKUP(CONCATENATE('Respuestas de formulario 1.1'!$B64,MID('Respuestas de formulario 1.1'!DU$1,2,1)),#REF!,12,0),"")</f>
        <v/>
      </c>
      <c r="DV64" s="45" t="str">
        <f>IFERROR(VLOOKUP(CONCATENATE('Respuestas de formulario 1.1'!$B64,MID('Respuestas de formulario 1.1'!DV$1,2,1)),#REF!,12,0),"")</f>
        <v/>
      </c>
      <c r="DW64" s="45" t="str">
        <f>IFERROR(VLOOKUP(CONCATENATE('Respuestas de formulario 1.1'!$B64,MID('Respuestas de formulario 1.1'!DW$1,2,1)),#REF!,12,0),"")</f>
        <v/>
      </c>
      <c r="DX64" s="45" t="str">
        <f>IFERROR(VLOOKUP(CONCATENATE('Respuestas de formulario 1.1'!$B64,MID('Respuestas de formulario 1.1'!DX$1,2,1)),#REF!,12,0),"")</f>
        <v/>
      </c>
      <c r="DY64" s="45" t="str">
        <f>IFERROR(VLOOKUP(CONCATENATE('Respuestas de formulario 1.1'!$B64,MID('Respuestas de formulario 1.1'!DY$1,2,1)),#REF!,12,0),"")</f>
        <v/>
      </c>
      <c r="DZ64" s="45" t="str">
        <f>IFERROR(VLOOKUP(CONCATENATE('Respuestas de formulario 1.1'!$B64,MID('Respuestas de formulario 1.1'!DZ$1,2,1)),#REF!,12,0),"")</f>
        <v/>
      </c>
      <c r="EA64" s="45" t="str">
        <f>IFERROR(VLOOKUP(CONCATENATE('Respuestas de formulario 1.1'!$B64,MID('Respuestas de formulario 1.1'!EA$1,2,1)),#REF!,12,0),"")</f>
        <v/>
      </c>
      <c r="EB64" s="45" t="str">
        <f>IFERROR(VLOOKUP(CONCATENATE('Respuestas de formulario 1.1'!$B64,MID('Respuestas de formulario 1.1'!EB$1,2,1)),#REF!,12,0),"")</f>
        <v/>
      </c>
      <c r="EC64" s="45" t="str">
        <f>IFERROR(VLOOKUP(CONCATENATE('Respuestas de formulario 1.1'!$B64,MID('Respuestas de formulario 1.1'!EC$1,2,1)),#REF!,12,0),"")</f>
        <v/>
      </c>
      <c r="ED64" s="45" t="str">
        <f>IFERROR(VLOOKUP(CONCATENATE('Respuestas de formulario 1.1'!$B64,MID('Respuestas de formulario 1.1'!ED$1,2,1)),#REF!,12,0),"")</f>
        <v/>
      </c>
      <c r="EE64" s="45" t="str">
        <f>IFERROR(VLOOKUP(CONCATENATE('Respuestas de formulario 1.1'!$B64,MID('Respuestas de formulario 1.1'!EE$1,2,1)),#REF!,12,0),"")</f>
        <v/>
      </c>
      <c r="EF64" s="45" t="str">
        <f>IFERROR(VLOOKUP(CONCATENATE('Respuestas de formulario 1.1'!$B64,MID('Respuestas de formulario 1.1'!EF$1,2,1)),#REF!,12,0),"")</f>
        <v/>
      </c>
      <c r="EG64" s="45" t="str">
        <f>IFERROR(VLOOKUP(CONCATENATE('Respuestas de formulario 1.1'!$B64,MID('Respuestas de formulario 1.1'!EG$1,2,1)),#REF!,12,0),"")</f>
        <v/>
      </c>
      <c r="EH64" s="45" t="str">
        <f>IFERROR(VLOOKUP(CONCATENATE('Respuestas de formulario 1.1'!$B64,MID('Respuestas de formulario 1.1'!EH$1,2,1)),#REF!,12,0),"")</f>
        <v/>
      </c>
      <c r="EI64" s="45" t="str">
        <f>IFERROR(VLOOKUP(CONCATENATE('Respuestas de formulario 1.1'!$B64,MID('Respuestas de formulario 1.1'!EI$1,2,1)),#REF!,12,0),"")</f>
        <v/>
      </c>
      <c r="EJ64" s="45" t="str">
        <f t="array" ref="EJ64">IF(DO64="","", INDEX(#REF!,MATCH(CONCATENATE('Respuestas de formulario 1.1'!$B64,DO64),#REF!,0),MATCH('Respuestas de formulario 1.1'!EJ$1,#REF!,0)))</f>
        <v/>
      </c>
      <c r="EK64" s="56" t="str">
        <f t="array" ref="EK64">IF(DP64="","", INDEX(#REF!,MATCH(CONCATENATE('Respuestas de formulario 1.1'!$B64,DP64),#REF!,0),MATCH('Respuestas de formulario 1.1'!EK$1,#REF!,0)))</f>
        <v/>
      </c>
      <c r="EL64" s="56" t="str">
        <f t="array" ref="EL64">IF(DQ64="","", INDEX(#REF!,MATCH(CONCATENATE('Respuestas de formulario 1.1'!$B64,DQ64),#REF!,0),MATCH('Respuestas de formulario 1.1'!EL$1,#REF!,0)))</f>
        <v/>
      </c>
      <c r="EM64" s="56" t="str">
        <f t="array" ref="EM64">IF(DR64="","", INDEX(#REF!,MATCH(CONCATENATE('Respuestas de formulario 1.1'!$B64,DR64),#REF!,0),MATCH('Respuestas de formulario 1.1'!EM$1,#REF!,0)))</f>
        <v/>
      </c>
      <c r="EN64" s="56" t="str">
        <f t="array" ref="EN64">IF(DS64="","", INDEX(#REF!,MATCH(CONCATENATE('Respuestas de formulario 1.1'!$B64,DS64),#REF!,0),MATCH('Respuestas de formulario 1.1'!EN$1,#REF!,0)))</f>
        <v/>
      </c>
      <c r="EO64" s="56" t="str">
        <f t="array" ref="EO64">IF(DT64="","", INDEX(#REF!,MATCH(CONCATENATE('Respuestas de formulario 1.1'!$B64,DT64),#REF!,0),MATCH('Respuestas de formulario 1.1'!EO$1,#REF!,0)))</f>
        <v/>
      </c>
      <c r="EP64" s="45" t="str">
        <f t="array" ref="EP64">IF(DU64="","", INDEX(#REF!,MATCH(CONCATENATE('Respuestas de formulario 1.1'!$B64,DU64),#REF!,0),MATCH('Respuestas de formulario 1.1'!EP$1,#REF!,0)))</f>
        <v/>
      </c>
      <c r="EQ64" s="45" t="str">
        <f t="array" ref="EQ64">IF(DP64="","", INDEX(#REF!,MATCH(CONCATENATE('Respuestas de formulario 1.1'!$B64,DP64),#REF!,0),MATCH('Respuestas de formulario 1.1'!EQ$1,#REF!,0)))</f>
        <v/>
      </c>
      <c r="ER64" s="56" t="str">
        <f t="array" ref="ER64">IF(DQ64="","", INDEX(#REF!,MATCH(CONCATENATE('Respuestas de formulario 1.1'!$B64,DQ64),#REF!,0),MATCH('Respuestas de formulario 1.1'!ER$1,#REF!,0)))</f>
        <v/>
      </c>
      <c r="ES64" s="56" t="str">
        <f t="array" ref="ES64">IF(DR64="","", INDEX(#REF!,MATCH(CONCATENATE('Respuestas de formulario 1.1'!$B64,DR64),#REF!,0),MATCH('Respuestas de formulario 1.1'!ES$1,#REF!,0)))</f>
        <v/>
      </c>
      <c r="ET64" s="56" t="str">
        <f t="array" ref="ET64">IF(DS64="","", INDEX(#REF!,MATCH(CONCATENATE('Respuestas de formulario 1.1'!$B64,DS64),#REF!,0),MATCH('Respuestas de formulario 1.1'!ET$1,#REF!,0)))</f>
        <v/>
      </c>
      <c r="EU64" s="56" t="str">
        <f t="array" ref="EU64">IF(DT64="","", INDEX(#REF!,MATCH(CONCATENATE('Respuestas de formulario 1.1'!$B64,DT64),#REF!,0),MATCH('Respuestas de formulario 1.1'!EU$1,#REF!,0)))</f>
        <v/>
      </c>
      <c r="EV64" s="56" t="str">
        <f t="array" ref="EV64">IF(DU64="","", INDEX(#REF!,MATCH(CONCATENATE('Respuestas de formulario 1.1'!$B64,DU64),#REF!,0),MATCH('Respuestas de formulario 1.1'!EV$1,#REF!,0)))</f>
        <v/>
      </c>
      <c r="EW64" s="45" t="str">
        <f t="array" ref="EW64">IF(DV64="","", INDEX(#REF!,MATCH(CONCATENATE('Respuestas de formulario 1.1'!$B64,DV64),#REF!,0),MATCH('Respuestas de formulario 1.1'!EW$1,#REF!,0)))</f>
        <v/>
      </c>
      <c r="EX64" s="45" t="str">
        <f t="array" ref="EX64">IF($DQ64="","", INDEX(#REF!,MATCH(CONCATENATE('Respuestas de formulario 1.1'!$B64,$DQ64),#REF!,0),MATCH('Respuestas de formulario 1.1'!EX$1,#REF!,0)))</f>
        <v/>
      </c>
      <c r="EY64" s="56" t="str">
        <f t="array" ref="EY64">IF($DQ64="","", INDEX(#REF!,MATCH(CONCATENATE('Respuestas de formulario 1.1'!$B64,$DQ64),#REF!,0),MATCH('Respuestas de formulario 1.1'!EY$1,#REF!,0)))</f>
        <v/>
      </c>
      <c r="EZ64" s="56" t="str">
        <f t="array" ref="EZ64">IF($DQ64="","", INDEX(#REF!,MATCH(CONCATENATE('Respuestas de formulario 1.1'!$B64,$DQ64),#REF!,0),MATCH('Respuestas de formulario 1.1'!EZ$1,#REF!,0)))</f>
        <v/>
      </c>
      <c r="FA64" s="56" t="str">
        <f t="array" ref="FA64">IF($DQ64="","", INDEX(#REF!,MATCH(CONCATENATE('Respuestas de formulario 1.1'!$B64,$DQ64),#REF!,0),MATCH('Respuestas de formulario 1.1'!FA$1,#REF!,0)))</f>
        <v/>
      </c>
      <c r="FB64" s="56" t="str">
        <f t="array" ref="FB64">IF($DQ64="","", INDEX(#REF!,MATCH(CONCATENATE('Respuestas de formulario 1.1'!$B64,$DQ64),#REF!,0),MATCH('Respuestas de formulario 1.1'!FB$1,#REF!,0)))</f>
        <v/>
      </c>
      <c r="FC64" s="56" t="str">
        <f t="array" ref="FC64">IF($DQ64="","", INDEX(#REF!,MATCH(CONCATENATE('Respuestas de formulario 1.1'!$B64,$DQ64),#REF!,0),MATCH('Respuestas de formulario 1.1'!FC$1,#REF!,0)))</f>
        <v/>
      </c>
      <c r="FD64" s="45" t="str">
        <f t="array" ref="FD64">IF($DQ64="","", INDEX(#REF!,MATCH(CONCATENATE('Respuestas de formulario 1.1'!$B64,$DQ64),#REF!,0),MATCH('Respuestas de formulario 1.1'!FD$1,#REF!,0)))</f>
        <v/>
      </c>
      <c r="FE64" s="45" t="str">
        <f t="array" ref="FE64">IF($DR64="","", INDEX(#REF!,MATCH(CONCATENATE(#REF!,$DR64),#REF!,0),MATCH(#REF!,#REF!,0)))</f>
        <v/>
      </c>
      <c r="FF64" s="56" t="str">
        <f t="array" ref="FF64">IF($DR64="","", INDEX(#REF!,MATCH(CONCATENATE(#REF!,$DR64),#REF!,0),MATCH(#REF!,#REF!,0)))</f>
        <v/>
      </c>
      <c r="FG64" s="56" t="str">
        <f t="array" ref="FG64">IF($DR64="","", INDEX(#REF!,MATCH(CONCATENATE(#REF!,$DR64),#REF!,0),MATCH(#REF!,#REF!,0)))</f>
        <v/>
      </c>
      <c r="FH64" s="56" t="str">
        <f t="array" ref="FH64">IF($DR64="","", INDEX(#REF!,MATCH(CONCATENATE(#REF!,$DR64),#REF!,0),MATCH(#REF!,#REF!,0)))</f>
        <v/>
      </c>
      <c r="FI64" s="56" t="str">
        <f t="array" ref="FI64">IF($DR64="","", INDEX(#REF!,MATCH(CONCATENATE(#REF!,$DR64),#REF!,0),MATCH(#REF!,#REF!,0)))</f>
        <v/>
      </c>
      <c r="FJ64" s="56" t="str">
        <f t="array" ref="FJ64">IF($DR64="","", INDEX(#REF!,MATCH(CONCATENATE(#REF!,$DR64),#REF!,0),MATCH(#REF!,#REF!,0)))</f>
        <v/>
      </c>
      <c r="FK64" s="45" t="str">
        <f t="array" ref="FK64">IF($DR64="","", INDEX(#REF!,MATCH(CONCATENATE(#REF!,$DR64),#REF!,0),MATCH(#REF!,#REF!,0)))</f>
        <v/>
      </c>
      <c r="FL64" s="45" t="str">
        <f t="array" ref="FL64">IF($DT64="","", INDEX(#REF!,MATCH(CONCATENATE('Respuestas de formulario 1.1'!$B64,$DS64),#REF!,0),MATCH('Respuestas de formulario 1.1'!FL$1,#REF!,0)))</f>
        <v/>
      </c>
      <c r="FM64" s="56" t="str">
        <f t="array" ref="FM64">IF($DT64="","", INDEX(#REF!,MATCH(CONCATENATE('Respuestas de formulario 1.1'!$B64,$DS64),#REF!,0),MATCH('Respuestas de formulario 1.1'!FM$1,#REF!,0)))</f>
        <v/>
      </c>
      <c r="FN64" s="56" t="str">
        <f t="array" ref="FN64">IF($DT64="","", INDEX(#REF!,MATCH(CONCATENATE('Respuestas de formulario 1.1'!$B64,$DS64),#REF!,0),MATCH('Respuestas de formulario 1.1'!FN$1,#REF!,0)))</f>
        <v/>
      </c>
      <c r="FO64" s="56" t="str">
        <f t="array" ref="FO64">IF($DT64="","", INDEX(#REF!,MATCH(CONCATENATE('Respuestas de formulario 1.1'!$B64,$DS64),#REF!,0),MATCH('Respuestas de formulario 1.1'!FO$1,#REF!,0)))</f>
        <v/>
      </c>
      <c r="FP64" s="56" t="str">
        <f t="array" ref="FP64">IF($DT64="","", INDEX(#REF!,MATCH(CONCATENATE('Respuestas de formulario 1.1'!$B64,$DS64),#REF!,0),MATCH('Respuestas de formulario 1.1'!FP$1,#REF!,0)))</f>
        <v/>
      </c>
      <c r="FQ64" s="56" t="str">
        <f t="array" ref="FQ64">IF($DT64="","", INDEX(#REF!,MATCH(CONCATENATE('Respuestas de formulario 1.1'!$B64,$DS64),#REF!,0),MATCH('Respuestas de formulario 1.1'!FQ$1,#REF!,0)))</f>
        <v/>
      </c>
      <c r="FR64" s="45" t="str">
        <f t="array" ref="FR64">IF($DT64="","", INDEX(#REF!,MATCH(CONCATENATE('Respuestas de formulario 1.1'!$B64,$DS64),#REF!,0),MATCH('Respuestas de formulario 1.1'!FR$1,#REF!,0)))</f>
        <v/>
      </c>
      <c r="FS64" s="45" t="str">
        <f t="array" ref="FS64">IF($DU64="","", INDEX(#REF!,MATCH(CONCATENATE('Respuestas de formulario 1.1'!$B64,$DT64),#REF!,0),MATCH('Respuestas de formulario 1.1'!FS$1,#REF!,0)))</f>
        <v/>
      </c>
      <c r="FT64" s="56" t="str">
        <f t="array" ref="FT64">IF($DU64="","", INDEX(#REF!,MATCH(CONCATENATE('Respuestas de formulario 1.1'!$B64,$DT64),#REF!,0),MATCH('Respuestas de formulario 1.1'!FT$1,#REF!,0)))</f>
        <v/>
      </c>
      <c r="FU64" s="56" t="str">
        <f t="array" ref="FU64">IF($DU64="","", INDEX(#REF!,MATCH(CONCATENATE('Respuestas de formulario 1.1'!$B64,$DT64),#REF!,0),MATCH('Respuestas de formulario 1.1'!FU$1,#REF!,0)))</f>
        <v/>
      </c>
      <c r="FV64" s="56" t="str">
        <f t="array" ref="FV64">IF($DU64="","", INDEX(#REF!,MATCH(CONCATENATE('Respuestas de formulario 1.1'!$B64,$DT64),#REF!,0),MATCH('Respuestas de formulario 1.1'!FV$1,#REF!,0)))</f>
        <v/>
      </c>
      <c r="FW64" s="56" t="str">
        <f t="array" ref="FW64">IF($DU64="","", INDEX(#REF!,MATCH(CONCATENATE('Respuestas de formulario 1.1'!$B64,$DT64),#REF!,0),MATCH('Respuestas de formulario 1.1'!FW$1,#REF!,0)))</f>
        <v/>
      </c>
      <c r="FX64" s="56" t="str">
        <f t="array" ref="FX64">IF($DU64="","", INDEX(#REF!,MATCH(CONCATENATE('Respuestas de formulario 1.1'!$B64,$DT64),#REF!,0),MATCH('Respuestas de formulario 1.1'!FX$1,#REF!,0)))</f>
        <v/>
      </c>
      <c r="FY64" s="45" t="str">
        <f t="array" ref="FY64">IF($DU64="","", INDEX(#REF!,MATCH(CONCATENATE('Respuestas de formulario 1.1'!$B64,$DT64),#REF!,0),MATCH('Respuestas de formulario 1.1'!FY$1,#REF!,0)))</f>
        <v/>
      </c>
      <c r="FZ64" s="3" t="s">
        <v>2860</v>
      </c>
      <c r="GA64" s="1" t="s">
        <v>3922</v>
      </c>
      <c r="GB64" s="5" t="s">
        <v>3923</v>
      </c>
      <c r="GC64" s="4" t="str">
        <f>HYPERLINK("https://drive.google.com/file/d/1CovtlrbQA1fNpTTQ6-_Jh9OuGUeY1v4g/view?usp=drivesdk","SUAREZ  HERNANDEZ  GABRIELA LIZBETH  Formato de reinscripción y pago 2022-2")</f>
        <v>SUAREZ  HERNANDEZ  GABRIELA LIZBETH  Formato de reinscripción y pago 2022-2</v>
      </c>
      <c r="GD64" s="1" t="s">
        <v>3924</v>
      </c>
      <c r="GE64" s="1"/>
      <c r="GF64" s="1"/>
      <c r="GG64" s="1"/>
      <c r="GH64" s="1"/>
      <c r="GI64" s="1" t="s">
        <v>3925</v>
      </c>
      <c r="GJ64" s="5" t="s">
        <v>3926</v>
      </c>
      <c r="GK64" s="5" t="str">
        <f>HYPERLINK("https://drive.google.com/file/d/1LC7-yDM4IFHbr8Ihcwv2VqjKAzAL55Nc/view?usp=drivesdk","SUAREZ  HERNANDEZ  GABRIELA LIZBETH  Formato de reinscripción y pago 2022-2")</f>
        <v>SUAREZ  HERNANDEZ  GABRIELA LIZBETH  Formato de reinscripción y pago 2022-2</v>
      </c>
      <c r="GL64" s="1" t="s">
        <v>3927</v>
      </c>
    </row>
    <row r="65" spans="1:194" ht="38.25" x14ac:dyDescent="0.2">
      <c r="A65" s="2">
        <v>45140.452288877314</v>
      </c>
      <c r="B65" s="1" t="s">
        <v>1232</v>
      </c>
      <c r="C65" s="1" t="s">
        <v>234</v>
      </c>
      <c r="D65" s="1" t="s">
        <v>369</v>
      </c>
      <c r="E65" s="1" t="s">
        <v>1233</v>
      </c>
      <c r="F65" s="1" t="s">
        <v>223</v>
      </c>
      <c r="G65" s="5" t="s">
        <v>3928</v>
      </c>
      <c r="H65" s="41">
        <v>38781</v>
      </c>
      <c r="I65" s="1">
        <v>17</v>
      </c>
      <c r="J65" s="1">
        <v>5637156381</v>
      </c>
      <c r="K65" s="1">
        <v>5515634046</v>
      </c>
      <c r="L65" s="1" t="s">
        <v>3929</v>
      </c>
      <c r="M65" s="1">
        <v>21309060570041</v>
      </c>
      <c r="N65" s="1" t="s">
        <v>1108</v>
      </c>
      <c r="O65" s="1" t="s">
        <v>247</v>
      </c>
      <c r="P65" s="1" t="s">
        <v>226</v>
      </c>
      <c r="Q65" s="1" t="s">
        <v>227</v>
      </c>
      <c r="R65" s="1" t="s">
        <v>236</v>
      </c>
      <c r="S65" s="1" t="s">
        <v>228</v>
      </c>
      <c r="T65" s="1" t="s">
        <v>229</v>
      </c>
      <c r="U65" s="1" t="s">
        <v>289</v>
      </c>
      <c r="V65" s="1" t="s">
        <v>228</v>
      </c>
      <c r="W65" s="1" t="s">
        <v>3930</v>
      </c>
      <c r="X65" s="1" t="s">
        <v>289</v>
      </c>
      <c r="Y65" s="1" t="s">
        <v>3931</v>
      </c>
      <c r="Z65" s="1" t="s">
        <v>231</v>
      </c>
      <c r="AA65" s="1">
        <v>56561</v>
      </c>
      <c r="AB65" s="1">
        <v>1</v>
      </c>
      <c r="AC65" s="1">
        <v>1979</v>
      </c>
      <c r="AD65" s="1" t="s">
        <v>3932</v>
      </c>
      <c r="AE65" s="1" t="s">
        <v>3933</v>
      </c>
      <c r="AF65" s="1" t="s">
        <v>445</v>
      </c>
      <c r="AG65" s="1">
        <v>42</v>
      </c>
      <c r="AH65" s="5" t="s">
        <v>3934</v>
      </c>
      <c r="AI65" s="1">
        <v>5566998079</v>
      </c>
      <c r="AJ65" s="1">
        <v>5515624046</v>
      </c>
      <c r="AK65" s="1" t="s">
        <v>1237</v>
      </c>
      <c r="AL65" s="1" t="s">
        <v>234</v>
      </c>
      <c r="AM65" s="1" t="s">
        <v>281</v>
      </c>
      <c r="AN65" s="1" t="s">
        <v>1235</v>
      </c>
      <c r="AO65" s="1" t="s">
        <v>650</v>
      </c>
      <c r="AP65" s="1">
        <v>41</v>
      </c>
      <c r="AQ65" s="1" t="s">
        <v>1236</v>
      </c>
      <c r="AR65" s="42">
        <v>0.29166666666424135</v>
      </c>
      <c r="AS65" s="42">
        <v>0.3125</v>
      </c>
      <c r="AT65" s="1">
        <v>5611807226</v>
      </c>
      <c r="AU65" s="1">
        <v>5515634046</v>
      </c>
      <c r="AV65" s="1" t="s">
        <v>1237</v>
      </c>
      <c r="AW65" s="5" t="s">
        <v>3935</v>
      </c>
      <c r="AX65" s="1" t="s">
        <v>369</v>
      </c>
      <c r="AY65" s="1" t="s">
        <v>1234</v>
      </c>
      <c r="AZ65" s="1" t="s">
        <v>3936</v>
      </c>
      <c r="BA65" s="1" t="s">
        <v>265</v>
      </c>
      <c r="BB65" s="1">
        <v>42</v>
      </c>
      <c r="BC65" s="1" t="s">
        <v>3937</v>
      </c>
      <c r="BD65" s="43">
        <v>0.33333333333575865</v>
      </c>
      <c r="BE65" s="43">
        <v>0.875</v>
      </c>
      <c r="BF65" s="1">
        <v>5566998079</v>
      </c>
      <c r="BG65" s="1">
        <v>5515634046</v>
      </c>
      <c r="BH65" s="1" t="s">
        <v>1237</v>
      </c>
      <c r="BI65" s="5" t="s">
        <v>3938</v>
      </c>
      <c r="BJ65" s="1" t="s">
        <v>236</v>
      </c>
      <c r="BL65" s="1">
        <v>1.53</v>
      </c>
      <c r="BM65" s="1">
        <v>42</v>
      </c>
      <c r="BN65" s="1" t="s">
        <v>236</v>
      </c>
      <c r="BO65" s="1" t="s">
        <v>228</v>
      </c>
      <c r="BQ65" s="1" t="s">
        <v>228</v>
      </c>
      <c r="BR65" s="1" t="s">
        <v>237</v>
      </c>
      <c r="BS65" s="1" t="s">
        <v>228</v>
      </c>
      <c r="BT65" s="1" t="s">
        <v>237</v>
      </c>
      <c r="BU65" s="1" t="s">
        <v>228</v>
      </c>
      <c r="BW65" s="1" t="s">
        <v>238</v>
      </c>
      <c r="BX65" s="1">
        <v>190</v>
      </c>
      <c r="BY65" s="1">
        <v>300</v>
      </c>
      <c r="BZ65" s="1" t="s">
        <v>3939</v>
      </c>
      <c r="CA65" s="1" t="s">
        <v>384</v>
      </c>
      <c r="CB65" s="1" t="s">
        <v>231</v>
      </c>
      <c r="CC65" s="1" t="s">
        <v>581</v>
      </c>
      <c r="CD65" s="1">
        <v>1200</v>
      </c>
      <c r="CE65" s="1">
        <v>700</v>
      </c>
      <c r="CF65" s="1" t="s">
        <v>236</v>
      </c>
      <c r="CG65" s="1" t="s">
        <v>242</v>
      </c>
      <c r="CH65" s="1" t="s">
        <v>243</v>
      </c>
      <c r="CI65" s="1" t="s">
        <v>243</v>
      </c>
      <c r="CJ65" s="1" t="s">
        <v>2848</v>
      </c>
      <c r="CL65" s="5" t="s">
        <v>3940</v>
      </c>
      <c r="CM65" s="1">
        <v>14210605169</v>
      </c>
      <c r="CN65" s="1" t="s">
        <v>228</v>
      </c>
      <c r="CQ65" s="42">
        <v>0.33333333333575865</v>
      </c>
      <c r="CR65" s="42">
        <v>0.95833333333575865</v>
      </c>
      <c r="CT65" s="45" t="str">
        <f t="array" ref="CT65">IFERROR(INDEX(#REF!,MATCH('Respuestas de formulario 1.1'!$B65,#REF!,0),MATCH('Respuestas de formulario 1.1'!CT$1,#REF!,0)),"")</f>
        <v/>
      </c>
      <c r="CU65" s="56" t="str">
        <f t="array" ref="CU65">IFERROR(INDEX(#REF!,MATCH('Respuestas de formulario 1.1'!$B65,#REF!,0),MATCH('Respuestas de formulario 1.1'!CU$1,#REF!,0)),"")</f>
        <v/>
      </c>
      <c r="CV65" s="56" t="str">
        <f t="array" ref="CV65">IFERROR(INDEX(#REF!,MATCH('Respuestas de formulario 1.1'!$B65,#REF!,0),MATCH('Respuestas de formulario 1.1'!CV$1,#REF!,0)),"")</f>
        <v/>
      </c>
      <c r="CW65" s="56" t="str">
        <f t="array" ref="CW65">IFERROR(INDEX(#REF!,MATCH('Respuestas de formulario 1.1'!$B65,#REF!,0),MATCH('Respuestas de formulario 1.1'!CW$1,#REF!,0)),"")</f>
        <v/>
      </c>
      <c r="CX65" s="56" t="str">
        <f t="array" ref="CX65">IFERROR(INDEX(#REF!,MATCH('Respuestas de formulario 1.1'!$B65,#REF!,0),MATCH('Respuestas de formulario 1.1'!CX$1,#REF!,0)),"")</f>
        <v/>
      </c>
      <c r="CY65" s="56" t="str">
        <f t="array" ref="CY65">IFERROR(INDEX(#REF!,MATCH('Respuestas de formulario 1.1'!$B65,#REF!,0),MATCH('Respuestas de formulario 1.1'!CY$1,#REF!,0)),"")</f>
        <v/>
      </c>
      <c r="CZ65" s="57" t="str">
        <f t="array" ref="CZ65">IFERROR(INDEX(#REF!,MATCH('Respuestas de formulario 1.1'!$B65,#REF!,0),MATCH('Respuestas de formulario 1.1'!CZ$1,#REF!,0)),"")</f>
        <v/>
      </c>
      <c r="DA65" s="45" t="e">
        <f t="array" ref="DA65">INDEX(#REF!,MATCH('Respuestas de formulario 1.1'!$B65,#REF!,0),MATCH('Respuestas de formulario 1.1'!DA$1,#REF!,0))</f>
        <v>#REF!</v>
      </c>
      <c r="DB65" s="45" t="e">
        <f t="array" ref="DB65">INDEX(#REF!,MATCH('Respuestas de formulario 1.1'!$B65,#REF!,0),MATCH('Respuestas de formulario 1.1'!DB$1,#REF!,0))</f>
        <v>#REF!</v>
      </c>
      <c r="DC65" s="45" t="e">
        <f t="array" ref="DC65">INDEX(#REF!,MATCH('Respuestas de formulario 1.1'!$B65,#REF!,0),MATCH('Respuestas de formulario 1.1'!DC$1,#REF!,0))</f>
        <v>#REF!</v>
      </c>
      <c r="DD65" s="45" t="e">
        <f t="array" ref="DD65">INDEX(#REF!,MATCH('Respuestas de formulario 1.1'!$B65,#REF!,0),MATCH('Respuestas de formulario 1.1'!DD$1,#REF!,0))</f>
        <v>#REF!</v>
      </c>
      <c r="DE65" s="45" t="e">
        <f t="array" ref="DE65">INDEX(#REF!,MATCH('Respuestas de formulario 1.1'!$B65,#REF!,0),MATCH('Respuestas de formulario 1.1'!DE$1,#REF!,0))</f>
        <v>#REF!</v>
      </c>
      <c r="DF65" s="45" t="e">
        <f t="array" ref="DF65">INDEX(#REF!,MATCH('Respuestas de formulario 1.1'!$B65,#REF!,0),MATCH('Respuestas de formulario 1.1'!DF$1,#REF!,0))</f>
        <v>#REF!</v>
      </c>
      <c r="DG65" s="45" t="e">
        <f t="array" ref="DG65">INDEX(#REF!,MATCH('Respuestas de formulario 1.1'!$B65,#REF!,0),MATCH('Respuestas de formulario 1.1'!DG$1,#REF!,0))</f>
        <v>#REF!</v>
      </c>
      <c r="DH65" s="45" t="e">
        <f t="array" ref="DH65">INDEX(#REF!,MATCH('Respuestas de formulario 1.1'!$B65,#REF!,0),MATCH('Respuestas de formulario 1.1'!DH$1,#REF!,0))</f>
        <v>#REF!</v>
      </c>
      <c r="DI65" s="48" t="e">
        <f>VLOOKUP(CONCATENATE($DF65," TUTO ",$DC65),#REF!,3,0)</f>
        <v>#REF!</v>
      </c>
      <c r="DJ65" s="48" t="e">
        <f t="array" ref="DJ65">IF('Respuestas de formulario 1.1'!A65="","",INDEX(#REF!,MATCH('Respuestas de formulario 1.1'!B65,#REF!,0),MATCH('Respuestas de formulario 1.1'!$DH$1,#REF!,0)))</f>
        <v>#REF!</v>
      </c>
      <c r="DK65" s="52" t="str">
        <f>CONCATENATE("http://doc.google.com/uc?id=",MID('Respuestas de formulario 1.1'!G65,34,33))</f>
        <v>http://doc.google.com/uc?id=1fQwr57ZxYC38kWSv3qzllQHpC3O2yUJt</v>
      </c>
      <c r="DL65" s="49" t="str">
        <f>CONCATENATE("http://doc.google.com/uc?id=",MID('Respuestas de formulario 1.1'!AH65,34,33))</f>
        <v>http://doc.google.com/uc?id=1y4p9znYS_x7UkPqoEmr1JpBjupwD4n2h</v>
      </c>
      <c r="DM65" s="50" t="str">
        <f>CONCATENATE("http://doc.google.com/uc?id=",MID('Respuestas de formulario 1.1'!AW65,34,33))</f>
        <v>http://doc.google.com/uc?id=1wGEMKP_VMMEkVEfmIq8RE9isAqDPu3qF</v>
      </c>
      <c r="DN65" s="53" t="str">
        <f>CONCATENATE("http://doc.google.com/uc?id=",MID('Respuestas de formulario 1.1'!$BI65,34,33))</f>
        <v>http://doc.google.com/uc?id=1krh5_8KVYn98EO0We0b5YkjbrPsuuVg1</v>
      </c>
      <c r="DO65" s="45" t="str">
        <f>IFERROR(VLOOKUP(CONCATENATE('Respuestas de formulario 1.1'!$B65,MID('Respuestas de formulario 1.1'!DO$1,2,1)),#REF!,12,0),"")</f>
        <v/>
      </c>
      <c r="DP65" s="45" t="str">
        <f>IFERROR(VLOOKUP(CONCATENATE('Respuestas de formulario 1.1'!$B65,MID('Respuestas de formulario 1.1'!DP$1,2,1)),#REF!,12,0),"")</f>
        <v/>
      </c>
      <c r="DQ65" s="45" t="str">
        <f>IFERROR(VLOOKUP(CONCATENATE('Respuestas de formulario 1.1'!$B65,MID('Respuestas de formulario 1.1'!DQ$1,2,1)),#REF!,12,0),"")</f>
        <v/>
      </c>
      <c r="DR65" s="45" t="str">
        <f>IFERROR(VLOOKUP(CONCATENATE('Respuestas de formulario 1.1'!$B65,MID('Respuestas de formulario 1.1'!DR$1,2,1)),#REF!,12,0),"")</f>
        <v/>
      </c>
      <c r="DS65" s="45" t="str">
        <f>IFERROR(VLOOKUP(CONCATENATE('Respuestas de formulario 1.1'!$B65,MID('Respuestas de formulario 1.1'!DS$1,2,1)),#REF!,12,0),"")</f>
        <v/>
      </c>
      <c r="DT65" s="45" t="str">
        <f>IFERROR(VLOOKUP(CONCATENATE('Respuestas de formulario 1.1'!$B65,MID('Respuestas de formulario 1.1'!DT$1,2,1)),#REF!,12,0),"")</f>
        <v/>
      </c>
      <c r="DU65" s="45" t="str">
        <f>IFERROR(VLOOKUP(CONCATENATE('Respuestas de formulario 1.1'!$B65,MID('Respuestas de formulario 1.1'!DU$1,2,1)),#REF!,12,0),"")</f>
        <v/>
      </c>
      <c r="DV65" s="45" t="str">
        <f>IFERROR(VLOOKUP(CONCATENATE('Respuestas de formulario 1.1'!$B65,MID('Respuestas de formulario 1.1'!DV$1,2,1)),#REF!,12,0),"")</f>
        <v/>
      </c>
      <c r="DW65" s="45" t="str">
        <f>IFERROR(VLOOKUP(CONCATENATE('Respuestas de formulario 1.1'!$B65,MID('Respuestas de formulario 1.1'!DW$1,2,1)),#REF!,12,0),"")</f>
        <v/>
      </c>
      <c r="DX65" s="45" t="str">
        <f>IFERROR(VLOOKUP(CONCATENATE('Respuestas de formulario 1.1'!$B65,MID('Respuestas de formulario 1.1'!DX$1,2,1)),#REF!,12,0),"")</f>
        <v/>
      </c>
      <c r="DY65" s="45" t="str">
        <f>IFERROR(VLOOKUP(CONCATENATE('Respuestas de formulario 1.1'!$B65,MID('Respuestas de formulario 1.1'!DY$1,2,1)),#REF!,12,0),"")</f>
        <v/>
      </c>
      <c r="DZ65" s="45" t="str">
        <f>IFERROR(VLOOKUP(CONCATENATE('Respuestas de formulario 1.1'!$B65,MID('Respuestas de formulario 1.1'!DZ$1,2,1)),#REF!,12,0),"")</f>
        <v/>
      </c>
      <c r="EA65" s="45" t="str">
        <f>IFERROR(VLOOKUP(CONCATENATE('Respuestas de formulario 1.1'!$B65,MID('Respuestas de formulario 1.1'!EA$1,2,1)),#REF!,12,0),"")</f>
        <v/>
      </c>
      <c r="EB65" s="45" t="str">
        <f>IFERROR(VLOOKUP(CONCATENATE('Respuestas de formulario 1.1'!$B65,MID('Respuestas de formulario 1.1'!EB$1,2,1)),#REF!,12,0),"")</f>
        <v/>
      </c>
      <c r="EC65" s="45" t="str">
        <f>IFERROR(VLOOKUP(CONCATENATE('Respuestas de formulario 1.1'!$B65,MID('Respuestas de formulario 1.1'!EC$1,2,1)),#REF!,12,0),"")</f>
        <v/>
      </c>
      <c r="ED65" s="45" t="str">
        <f>IFERROR(VLOOKUP(CONCATENATE('Respuestas de formulario 1.1'!$B65,MID('Respuestas de formulario 1.1'!ED$1,2,1)),#REF!,12,0),"")</f>
        <v/>
      </c>
      <c r="EE65" s="45" t="str">
        <f>IFERROR(VLOOKUP(CONCATENATE('Respuestas de formulario 1.1'!$B65,MID('Respuestas de formulario 1.1'!EE$1,2,1)),#REF!,12,0),"")</f>
        <v/>
      </c>
      <c r="EF65" s="45" t="str">
        <f>IFERROR(VLOOKUP(CONCATENATE('Respuestas de formulario 1.1'!$B65,MID('Respuestas de formulario 1.1'!EF$1,2,1)),#REF!,12,0),"")</f>
        <v/>
      </c>
      <c r="EG65" s="45" t="str">
        <f>IFERROR(VLOOKUP(CONCATENATE('Respuestas de formulario 1.1'!$B65,MID('Respuestas de formulario 1.1'!EG$1,2,1)),#REF!,12,0),"")</f>
        <v/>
      </c>
      <c r="EH65" s="45" t="str">
        <f>IFERROR(VLOOKUP(CONCATENATE('Respuestas de formulario 1.1'!$B65,MID('Respuestas de formulario 1.1'!EH$1,2,1)),#REF!,12,0),"")</f>
        <v/>
      </c>
      <c r="EI65" s="45" t="str">
        <f>IFERROR(VLOOKUP(CONCATENATE('Respuestas de formulario 1.1'!$B65,MID('Respuestas de formulario 1.1'!EI$1,2,1)),#REF!,12,0),"")</f>
        <v/>
      </c>
      <c r="EJ65" s="45" t="str">
        <f t="array" ref="EJ65">IF(DO65="","", INDEX(#REF!,MATCH(CONCATENATE('Respuestas de formulario 1.1'!$B65,DO65),#REF!,0),MATCH('Respuestas de formulario 1.1'!EJ$1,#REF!,0)))</f>
        <v/>
      </c>
      <c r="EK65" s="56" t="str">
        <f t="array" ref="EK65">IF(DP65="","", INDEX(#REF!,MATCH(CONCATENATE('Respuestas de formulario 1.1'!$B65,DP65),#REF!,0),MATCH('Respuestas de formulario 1.1'!EK$1,#REF!,0)))</f>
        <v/>
      </c>
      <c r="EL65" s="56" t="str">
        <f t="array" ref="EL65">IF(DQ65="","", INDEX(#REF!,MATCH(CONCATENATE('Respuestas de formulario 1.1'!$B65,DQ65),#REF!,0),MATCH('Respuestas de formulario 1.1'!EL$1,#REF!,0)))</f>
        <v/>
      </c>
      <c r="EM65" s="56" t="str">
        <f t="array" ref="EM65">IF(DR65="","", INDEX(#REF!,MATCH(CONCATENATE('Respuestas de formulario 1.1'!$B65,DR65),#REF!,0),MATCH('Respuestas de formulario 1.1'!EM$1,#REF!,0)))</f>
        <v/>
      </c>
      <c r="EN65" s="56" t="str">
        <f t="array" ref="EN65">IF(DS65="","", INDEX(#REF!,MATCH(CONCATENATE('Respuestas de formulario 1.1'!$B65,DS65),#REF!,0),MATCH('Respuestas de formulario 1.1'!EN$1,#REF!,0)))</f>
        <v/>
      </c>
      <c r="EO65" s="56" t="str">
        <f t="array" ref="EO65">IF(DT65="","", INDEX(#REF!,MATCH(CONCATENATE('Respuestas de formulario 1.1'!$B65,DT65),#REF!,0),MATCH('Respuestas de formulario 1.1'!EO$1,#REF!,0)))</f>
        <v/>
      </c>
      <c r="EP65" s="45" t="str">
        <f t="array" ref="EP65">IF(DU65="","", INDEX(#REF!,MATCH(CONCATENATE('Respuestas de formulario 1.1'!$B65,DU65),#REF!,0),MATCH('Respuestas de formulario 1.1'!EP$1,#REF!,0)))</f>
        <v/>
      </c>
      <c r="EQ65" s="45" t="str">
        <f t="array" ref="EQ65">IF(DP65="","", INDEX(#REF!,MATCH(CONCATENATE('Respuestas de formulario 1.1'!$B65,DP65),#REF!,0),MATCH('Respuestas de formulario 1.1'!EQ$1,#REF!,0)))</f>
        <v/>
      </c>
      <c r="ER65" s="56" t="str">
        <f t="array" ref="ER65">IF(DQ65="","", INDEX(#REF!,MATCH(CONCATENATE('Respuestas de formulario 1.1'!$B65,DQ65),#REF!,0),MATCH('Respuestas de formulario 1.1'!ER$1,#REF!,0)))</f>
        <v/>
      </c>
      <c r="ES65" s="56" t="str">
        <f t="array" ref="ES65">IF(DR65="","", INDEX(#REF!,MATCH(CONCATENATE('Respuestas de formulario 1.1'!$B65,DR65),#REF!,0),MATCH('Respuestas de formulario 1.1'!ES$1,#REF!,0)))</f>
        <v/>
      </c>
      <c r="ET65" s="56" t="str">
        <f t="array" ref="ET65">IF(DS65="","", INDEX(#REF!,MATCH(CONCATENATE('Respuestas de formulario 1.1'!$B65,DS65),#REF!,0),MATCH('Respuestas de formulario 1.1'!ET$1,#REF!,0)))</f>
        <v/>
      </c>
      <c r="EU65" s="56" t="str">
        <f t="array" ref="EU65">IF(DT65="","", INDEX(#REF!,MATCH(CONCATENATE('Respuestas de formulario 1.1'!$B65,DT65),#REF!,0),MATCH('Respuestas de formulario 1.1'!EU$1,#REF!,0)))</f>
        <v/>
      </c>
      <c r="EV65" s="56" t="str">
        <f t="array" ref="EV65">IF(DU65="","", INDEX(#REF!,MATCH(CONCATENATE('Respuestas de formulario 1.1'!$B65,DU65),#REF!,0),MATCH('Respuestas de formulario 1.1'!EV$1,#REF!,0)))</f>
        <v/>
      </c>
      <c r="EW65" s="45" t="str">
        <f t="array" ref="EW65">IF(DV65="","", INDEX(#REF!,MATCH(CONCATENATE('Respuestas de formulario 1.1'!$B65,DV65),#REF!,0),MATCH('Respuestas de formulario 1.1'!EW$1,#REF!,0)))</f>
        <v/>
      </c>
      <c r="EX65" s="45" t="str">
        <f t="array" ref="EX65">IF($DQ65="","", INDEX(#REF!,MATCH(CONCATENATE('Respuestas de formulario 1.1'!$B65,$DQ65),#REF!,0),MATCH('Respuestas de formulario 1.1'!EX$1,#REF!,0)))</f>
        <v/>
      </c>
      <c r="EY65" s="56" t="str">
        <f t="array" ref="EY65">IF($DQ65="","", INDEX(#REF!,MATCH(CONCATENATE('Respuestas de formulario 1.1'!$B65,$DQ65),#REF!,0),MATCH('Respuestas de formulario 1.1'!EY$1,#REF!,0)))</f>
        <v/>
      </c>
      <c r="EZ65" s="56" t="str">
        <f t="array" ref="EZ65">IF($DQ65="","", INDEX(#REF!,MATCH(CONCATENATE('Respuestas de formulario 1.1'!$B65,$DQ65),#REF!,0),MATCH('Respuestas de formulario 1.1'!EZ$1,#REF!,0)))</f>
        <v/>
      </c>
      <c r="FA65" s="56" t="str">
        <f t="array" ref="FA65">IF($DQ65="","", INDEX(#REF!,MATCH(CONCATENATE('Respuestas de formulario 1.1'!$B65,$DQ65),#REF!,0),MATCH('Respuestas de formulario 1.1'!FA$1,#REF!,0)))</f>
        <v/>
      </c>
      <c r="FB65" s="56" t="str">
        <f t="array" ref="FB65">IF($DQ65="","", INDEX(#REF!,MATCH(CONCATENATE('Respuestas de formulario 1.1'!$B65,$DQ65),#REF!,0),MATCH('Respuestas de formulario 1.1'!FB$1,#REF!,0)))</f>
        <v/>
      </c>
      <c r="FC65" s="56" t="str">
        <f t="array" ref="FC65">IF($DQ65="","", INDEX(#REF!,MATCH(CONCATENATE('Respuestas de formulario 1.1'!$B65,$DQ65),#REF!,0),MATCH('Respuestas de formulario 1.1'!FC$1,#REF!,0)))</f>
        <v/>
      </c>
      <c r="FD65" s="45" t="str">
        <f t="array" ref="FD65">IF($DQ65="","", INDEX(#REF!,MATCH(CONCATENATE('Respuestas de formulario 1.1'!$B65,$DQ65),#REF!,0),MATCH('Respuestas de formulario 1.1'!FD$1,#REF!,0)))</f>
        <v/>
      </c>
      <c r="FE65" s="45" t="str">
        <f t="array" ref="FE65">IF($DR65="","", INDEX(#REF!,MATCH(CONCATENATE(#REF!,$DR65),#REF!,0),MATCH(#REF!,#REF!,0)))</f>
        <v/>
      </c>
      <c r="FF65" s="56" t="str">
        <f t="array" ref="FF65">IF($DR65="","", INDEX(#REF!,MATCH(CONCATENATE(#REF!,$DR65),#REF!,0),MATCH(#REF!,#REF!,0)))</f>
        <v/>
      </c>
      <c r="FG65" s="56" t="str">
        <f t="array" ref="FG65">IF($DR65="","", INDEX(#REF!,MATCH(CONCATENATE(#REF!,$DR65),#REF!,0),MATCH(#REF!,#REF!,0)))</f>
        <v/>
      </c>
      <c r="FH65" s="56" t="str">
        <f t="array" ref="FH65">IF($DR65="","", INDEX(#REF!,MATCH(CONCATENATE(#REF!,$DR65),#REF!,0),MATCH(#REF!,#REF!,0)))</f>
        <v/>
      </c>
      <c r="FI65" s="56" t="str">
        <f t="array" ref="FI65">IF($DR65="","", INDEX(#REF!,MATCH(CONCATENATE(#REF!,$DR65),#REF!,0),MATCH(#REF!,#REF!,0)))</f>
        <v/>
      </c>
      <c r="FJ65" s="56" t="str">
        <f t="array" ref="FJ65">IF($DR65="","", INDEX(#REF!,MATCH(CONCATENATE(#REF!,$DR65),#REF!,0),MATCH(#REF!,#REF!,0)))</f>
        <v/>
      </c>
      <c r="FK65" s="45" t="str">
        <f t="array" ref="FK65">IF($DR65="","", INDEX(#REF!,MATCH(CONCATENATE(#REF!,$DR65),#REF!,0),MATCH(#REF!,#REF!,0)))</f>
        <v/>
      </c>
      <c r="FL65" s="45" t="str">
        <f t="array" ref="FL65">IF($DT65="","", INDEX(#REF!,MATCH(CONCATENATE('Respuestas de formulario 1.1'!$B65,$DS65),#REF!,0),MATCH('Respuestas de formulario 1.1'!FL$1,#REF!,0)))</f>
        <v/>
      </c>
      <c r="FM65" s="56" t="str">
        <f t="array" ref="FM65">IF($DT65="","", INDEX(#REF!,MATCH(CONCATENATE('Respuestas de formulario 1.1'!$B65,$DS65),#REF!,0),MATCH('Respuestas de formulario 1.1'!FM$1,#REF!,0)))</f>
        <v/>
      </c>
      <c r="FN65" s="56" t="str">
        <f t="array" ref="FN65">IF($DT65="","", INDEX(#REF!,MATCH(CONCATENATE('Respuestas de formulario 1.1'!$B65,$DS65),#REF!,0),MATCH('Respuestas de formulario 1.1'!FN$1,#REF!,0)))</f>
        <v/>
      </c>
      <c r="FO65" s="56" t="str">
        <f t="array" ref="FO65">IF($DT65="","", INDEX(#REF!,MATCH(CONCATENATE('Respuestas de formulario 1.1'!$B65,$DS65),#REF!,0),MATCH('Respuestas de formulario 1.1'!FO$1,#REF!,0)))</f>
        <v/>
      </c>
      <c r="FP65" s="56" t="str">
        <f t="array" ref="FP65">IF($DT65="","", INDEX(#REF!,MATCH(CONCATENATE('Respuestas de formulario 1.1'!$B65,$DS65),#REF!,0),MATCH('Respuestas de formulario 1.1'!FP$1,#REF!,0)))</f>
        <v/>
      </c>
      <c r="FQ65" s="56" t="str">
        <f t="array" ref="FQ65">IF($DT65="","", INDEX(#REF!,MATCH(CONCATENATE('Respuestas de formulario 1.1'!$B65,$DS65),#REF!,0),MATCH('Respuestas de formulario 1.1'!FQ$1,#REF!,0)))</f>
        <v/>
      </c>
      <c r="FR65" s="45" t="str">
        <f t="array" ref="FR65">IF($DT65="","", INDEX(#REF!,MATCH(CONCATENATE('Respuestas de formulario 1.1'!$B65,$DS65),#REF!,0),MATCH('Respuestas de formulario 1.1'!FR$1,#REF!,0)))</f>
        <v/>
      </c>
      <c r="FS65" s="45" t="str">
        <f t="array" ref="FS65">IF($DU65="","", INDEX(#REF!,MATCH(CONCATENATE('Respuestas de formulario 1.1'!$B65,$DT65),#REF!,0),MATCH('Respuestas de formulario 1.1'!FS$1,#REF!,0)))</f>
        <v/>
      </c>
      <c r="FT65" s="56" t="str">
        <f t="array" ref="FT65">IF($DU65="","", INDEX(#REF!,MATCH(CONCATENATE('Respuestas de formulario 1.1'!$B65,$DT65),#REF!,0),MATCH('Respuestas de formulario 1.1'!FT$1,#REF!,0)))</f>
        <v/>
      </c>
      <c r="FU65" s="56" t="str">
        <f t="array" ref="FU65">IF($DU65="","", INDEX(#REF!,MATCH(CONCATENATE('Respuestas de formulario 1.1'!$B65,$DT65),#REF!,0),MATCH('Respuestas de formulario 1.1'!FU$1,#REF!,0)))</f>
        <v/>
      </c>
      <c r="FV65" s="56" t="str">
        <f t="array" ref="FV65">IF($DU65="","", INDEX(#REF!,MATCH(CONCATENATE('Respuestas de formulario 1.1'!$B65,$DT65),#REF!,0),MATCH('Respuestas de formulario 1.1'!FV$1,#REF!,0)))</f>
        <v/>
      </c>
      <c r="FW65" s="56" t="str">
        <f t="array" ref="FW65">IF($DU65="","", INDEX(#REF!,MATCH(CONCATENATE('Respuestas de formulario 1.1'!$B65,$DT65),#REF!,0),MATCH('Respuestas de formulario 1.1'!FW$1,#REF!,0)))</f>
        <v/>
      </c>
      <c r="FX65" s="56" t="str">
        <f t="array" ref="FX65">IF($DU65="","", INDEX(#REF!,MATCH(CONCATENATE('Respuestas de formulario 1.1'!$B65,$DT65),#REF!,0),MATCH('Respuestas de formulario 1.1'!FX$1,#REF!,0)))</f>
        <v/>
      </c>
      <c r="FY65" s="45" t="str">
        <f t="array" ref="FY65">IF($DU65="","", INDEX(#REF!,MATCH(CONCATENATE('Respuestas de formulario 1.1'!$B65,$DT65),#REF!,0),MATCH('Respuestas de formulario 1.1'!FY$1,#REF!,0)))</f>
        <v/>
      </c>
      <c r="FZ65" s="3" t="s">
        <v>2860</v>
      </c>
      <c r="GA65" s="1" t="s">
        <v>3941</v>
      </c>
      <c r="GB65" s="5" t="s">
        <v>3942</v>
      </c>
      <c r="GC65" s="4" t="str">
        <f>HYPERLINK("https://drive.google.com/file/d/1o0udTzOaT3ktbGvY6mSg95uCF3BlVRwc/view?usp=drivesdk","PEREZ  LUNA ANDREA JOCELYN  Formato de reinscripción y pago 2022-2")</f>
        <v>PEREZ  LUNA ANDREA JOCELYN  Formato de reinscripción y pago 2022-2</v>
      </c>
      <c r="GD65" s="1" t="s">
        <v>3943</v>
      </c>
      <c r="GE65" s="1"/>
      <c r="GF65" s="1"/>
      <c r="GG65" s="1"/>
      <c r="GH65" s="1"/>
      <c r="GI65" s="1" t="s">
        <v>3944</v>
      </c>
      <c r="GJ65" s="5" t="s">
        <v>3945</v>
      </c>
      <c r="GK65" s="5" t="str">
        <f>HYPERLINK("https://drive.google.com/file/d/1LOPB58gtp31nePL780SD1YYf0O6bY6Z4/view?usp=drivesdk","PEREZ  LUNA ANDREA JOCELYN  Formato de reinscripción y pago 2022-2")</f>
        <v>PEREZ  LUNA ANDREA JOCELYN  Formato de reinscripción y pago 2022-2</v>
      </c>
      <c r="GL65" s="1" t="s">
        <v>3946</v>
      </c>
    </row>
    <row r="66" spans="1:194" ht="38.25" x14ac:dyDescent="0.2">
      <c r="A66" s="2">
        <v>45139.349547685182</v>
      </c>
      <c r="B66" s="1" t="s">
        <v>1952</v>
      </c>
      <c r="C66" s="1" t="s">
        <v>474</v>
      </c>
      <c r="D66" s="1" t="s">
        <v>1953</v>
      </c>
      <c r="E66" s="1" t="s">
        <v>1954</v>
      </c>
      <c r="F66" s="1" t="s">
        <v>223</v>
      </c>
      <c r="G66" s="5" t="s">
        <v>3947</v>
      </c>
      <c r="H66" s="41">
        <v>38692</v>
      </c>
      <c r="I66" s="1">
        <v>17</v>
      </c>
      <c r="J66" s="1">
        <v>5580926920</v>
      </c>
      <c r="K66" s="1">
        <v>5557976968</v>
      </c>
      <c r="L66" s="1" t="s">
        <v>1955</v>
      </c>
      <c r="M66" s="1">
        <v>12309060570858</v>
      </c>
      <c r="N66" s="1" t="s">
        <v>1108</v>
      </c>
      <c r="O66" s="1" t="s">
        <v>225</v>
      </c>
      <c r="P66" s="1" t="s">
        <v>278</v>
      </c>
      <c r="Q66" s="1" t="s">
        <v>315</v>
      </c>
      <c r="R66" s="1" t="s">
        <v>236</v>
      </c>
      <c r="S66" s="1" t="s">
        <v>228</v>
      </c>
      <c r="T66" s="1" t="s">
        <v>411</v>
      </c>
      <c r="U66" s="1" t="s">
        <v>264</v>
      </c>
      <c r="V66" s="1" t="s">
        <v>228</v>
      </c>
      <c r="W66" s="1" t="s">
        <v>3948</v>
      </c>
      <c r="X66" s="1" t="s">
        <v>264</v>
      </c>
      <c r="Y66" s="1" t="s">
        <v>3949</v>
      </c>
      <c r="Z66" s="1" t="s">
        <v>231</v>
      </c>
      <c r="AA66" s="1">
        <v>57720</v>
      </c>
      <c r="AB66" s="1">
        <v>112</v>
      </c>
      <c r="AC66" s="1" t="s">
        <v>713</v>
      </c>
      <c r="AD66" s="1" t="s">
        <v>3950</v>
      </c>
      <c r="AE66" s="1" t="s">
        <v>3951</v>
      </c>
      <c r="AF66" s="1" t="s">
        <v>586</v>
      </c>
      <c r="AG66" s="1">
        <v>21</v>
      </c>
      <c r="AH66" s="5" t="s">
        <v>3952</v>
      </c>
      <c r="AI66" s="1">
        <v>5615410769</v>
      </c>
      <c r="AJ66" s="1">
        <v>5557976968</v>
      </c>
      <c r="AK66" s="1" t="s">
        <v>1957</v>
      </c>
      <c r="AL66" s="1" t="s">
        <v>1953</v>
      </c>
      <c r="AM66" s="1" t="s">
        <v>1230</v>
      </c>
      <c r="AN66" s="1" t="s">
        <v>1958</v>
      </c>
      <c r="AO66" s="1" t="s">
        <v>265</v>
      </c>
      <c r="AP66" s="1">
        <v>47</v>
      </c>
      <c r="AQ66" s="1" t="s">
        <v>3953</v>
      </c>
      <c r="AR66" s="42">
        <v>0.33333333333575865</v>
      </c>
      <c r="AS66" s="42">
        <v>0.64583333333575865</v>
      </c>
      <c r="AT66" s="1">
        <v>5587465938</v>
      </c>
      <c r="AU66" s="1">
        <v>5557976968</v>
      </c>
      <c r="AV66" s="1" t="s">
        <v>1959</v>
      </c>
      <c r="AW66" s="5" t="s">
        <v>3954</v>
      </c>
      <c r="AX66" s="1" t="s">
        <v>474</v>
      </c>
      <c r="AY66" s="1" t="s">
        <v>1836</v>
      </c>
      <c r="AZ66" s="1" t="s">
        <v>3955</v>
      </c>
      <c r="BA66" s="1" t="s">
        <v>435</v>
      </c>
      <c r="BB66" s="1">
        <v>47</v>
      </c>
      <c r="BC66" s="1" t="s">
        <v>306</v>
      </c>
      <c r="BD66" s="43">
        <v>0.33333333333575865</v>
      </c>
      <c r="BE66" s="43">
        <v>0.70833333333575865</v>
      </c>
      <c r="BF66" s="1">
        <v>5587464713</v>
      </c>
      <c r="BG66" s="1">
        <v>5587464713</v>
      </c>
      <c r="BH66" s="1" t="s">
        <v>3956</v>
      </c>
      <c r="BI66" s="5" t="s">
        <v>3957</v>
      </c>
      <c r="BJ66" s="1" t="s">
        <v>236</v>
      </c>
      <c r="BK66" s="1" t="s">
        <v>713</v>
      </c>
      <c r="BL66" s="1">
        <v>147</v>
      </c>
      <c r="BM66" s="1">
        <v>46</v>
      </c>
      <c r="BN66" s="1" t="s">
        <v>236</v>
      </c>
      <c r="BO66" s="1" t="s">
        <v>228</v>
      </c>
      <c r="BP66" s="1" t="s">
        <v>713</v>
      </c>
      <c r="BQ66" s="1" t="s">
        <v>228</v>
      </c>
      <c r="BR66" s="1" t="s">
        <v>237</v>
      </c>
      <c r="BS66" s="1" t="s">
        <v>228</v>
      </c>
      <c r="BT66" s="1" t="s">
        <v>237</v>
      </c>
      <c r="BU66" s="1" t="s">
        <v>228</v>
      </c>
      <c r="BW66" s="1" t="s">
        <v>388</v>
      </c>
      <c r="BX66" s="1">
        <v>10</v>
      </c>
      <c r="BY66" s="1">
        <v>30</v>
      </c>
      <c r="BZ66" s="1" t="s">
        <v>3958</v>
      </c>
      <c r="CA66" s="1" t="s">
        <v>384</v>
      </c>
      <c r="CB66" s="1" t="s">
        <v>240</v>
      </c>
      <c r="CC66" s="1" t="s">
        <v>274</v>
      </c>
      <c r="CD66" s="1">
        <v>2500</v>
      </c>
      <c r="CE66" s="1">
        <v>2000</v>
      </c>
      <c r="CF66" s="1" t="s">
        <v>236</v>
      </c>
      <c r="CG66" s="1" t="s">
        <v>323</v>
      </c>
      <c r="CH66" s="1" t="s">
        <v>243</v>
      </c>
      <c r="CI66" s="1" t="s">
        <v>243</v>
      </c>
      <c r="CJ66" s="1" t="s">
        <v>2848</v>
      </c>
      <c r="CL66" s="5" t="s">
        <v>3959</v>
      </c>
      <c r="CM66" s="1">
        <v>74200598014</v>
      </c>
      <c r="CN66" s="1" t="s">
        <v>228</v>
      </c>
      <c r="CQ66" s="42">
        <v>0.60416666666424135</v>
      </c>
      <c r="CR66" s="42">
        <v>0.41666666666424135</v>
      </c>
      <c r="CT66" s="45" t="str">
        <f t="array" ref="CT66">IFERROR(INDEX(#REF!,MATCH('Respuestas de formulario 1.1'!$B66,#REF!,0),MATCH('Respuestas de formulario 1.1'!CT$1,#REF!,0)),"")</f>
        <v/>
      </c>
      <c r="CU66" s="56" t="str">
        <f t="array" ref="CU66">IFERROR(INDEX(#REF!,MATCH('Respuestas de formulario 1.1'!$B66,#REF!,0),MATCH('Respuestas de formulario 1.1'!CU$1,#REF!,0)),"")</f>
        <v/>
      </c>
      <c r="CV66" s="56" t="str">
        <f t="array" ref="CV66">IFERROR(INDEX(#REF!,MATCH('Respuestas de formulario 1.1'!$B66,#REF!,0),MATCH('Respuestas de formulario 1.1'!CV$1,#REF!,0)),"")</f>
        <v/>
      </c>
      <c r="CW66" s="56" t="str">
        <f t="array" ref="CW66">IFERROR(INDEX(#REF!,MATCH('Respuestas de formulario 1.1'!$B66,#REF!,0),MATCH('Respuestas de formulario 1.1'!CW$1,#REF!,0)),"")</f>
        <v/>
      </c>
      <c r="CX66" s="56" t="str">
        <f t="array" ref="CX66">IFERROR(INDEX(#REF!,MATCH('Respuestas de formulario 1.1'!$B66,#REF!,0),MATCH('Respuestas de formulario 1.1'!CX$1,#REF!,0)),"")</f>
        <v/>
      </c>
      <c r="CY66" s="56" t="str">
        <f t="array" ref="CY66">IFERROR(INDEX(#REF!,MATCH('Respuestas de formulario 1.1'!$B66,#REF!,0),MATCH('Respuestas de formulario 1.1'!CY$1,#REF!,0)),"")</f>
        <v/>
      </c>
      <c r="CZ66" s="57" t="str">
        <f t="array" ref="CZ66">IFERROR(INDEX(#REF!,MATCH('Respuestas de formulario 1.1'!$B66,#REF!,0),MATCH('Respuestas de formulario 1.1'!CZ$1,#REF!,0)),"")</f>
        <v/>
      </c>
      <c r="DA66" s="45" t="e">
        <f t="array" ref="DA66">INDEX(#REF!,MATCH('Respuestas de formulario 1.1'!$B66,#REF!,0),MATCH('Respuestas de formulario 1.1'!DA$1,#REF!,0))</f>
        <v>#REF!</v>
      </c>
      <c r="DB66" s="45" t="e">
        <f t="array" ref="DB66">INDEX(#REF!,MATCH('Respuestas de formulario 1.1'!$B66,#REF!,0),MATCH('Respuestas de formulario 1.1'!DB$1,#REF!,0))</f>
        <v>#REF!</v>
      </c>
      <c r="DC66" s="45" t="e">
        <f t="array" ref="DC66">INDEX(#REF!,MATCH('Respuestas de formulario 1.1'!$B66,#REF!,0),MATCH('Respuestas de formulario 1.1'!DC$1,#REF!,0))</f>
        <v>#REF!</v>
      </c>
      <c r="DD66" s="45" t="e">
        <f t="array" ref="DD66">INDEX(#REF!,MATCH('Respuestas de formulario 1.1'!$B66,#REF!,0),MATCH('Respuestas de formulario 1.1'!DD$1,#REF!,0))</f>
        <v>#REF!</v>
      </c>
      <c r="DE66" s="45" t="e">
        <f t="array" ref="DE66">INDEX(#REF!,MATCH('Respuestas de formulario 1.1'!$B66,#REF!,0),MATCH('Respuestas de formulario 1.1'!DE$1,#REF!,0))</f>
        <v>#REF!</v>
      </c>
      <c r="DF66" s="45" t="e">
        <f t="array" ref="DF66">INDEX(#REF!,MATCH('Respuestas de formulario 1.1'!$B66,#REF!,0),MATCH('Respuestas de formulario 1.1'!DF$1,#REF!,0))</f>
        <v>#REF!</v>
      </c>
      <c r="DG66" s="45" t="e">
        <f t="array" ref="DG66">INDEX(#REF!,MATCH('Respuestas de formulario 1.1'!$B66,#REF!,0),MATCH('Respuestas de formulario 1.1'!DG$1,#REF!,0))</f>
        <v>#REF!</v>
      </c>
      <c r="DH66" s="45" t="e">
        <f t="array" ref="DH66">INDEX(#REF!,MATCH('Respuestas de formulario 1.1'!$B66,#REF!,0),MATCH('Respuestas de formulario 1.1'!DH$1,#REF!,0))</f>
        <v>#REF!</v>
      </c>
      <c r="DI66" s="48" t="e">
        <f>VLOOKUP(CONCATENATE($DF66," TUTO ",$DC66),#REF!,3,0)</f>
        <v>#REF!</v>
      </c>
      <c r="DJ66" s="48" t="e">
        <f t="array" ref="DJ66">IF('Respuestas de formulario 1.1'!A66="","",INDEX(#REF!,MATCH('Respuestas de formulario 1.1'!B66,#REF!,0),MATCH('Respuestas de formulario 1.1'!$DH$1,#REF!,0)))</f>
        <v>#REF!</v>
      </c>
      <c r="DK66" s="52" t="str">
        <f>CONCATENATE("http://doc.google.com/uc?id=",MID('Respuestas de formulario 1.1'!G66,34,33))</f>
        <v>http://doc.google.com/uc?id=12ElDjHbRPkVuy4yoZi8A0su5oRRkg2j4</v>
      </c>
      <c r="DL66" s="49" t="str">
        <f>CONCATENATE("http://doc.google.com/uc?id=",MID('Respuestas de formulario 1.1'!AH66,34,33))</f>
        <v>http://doc.google.com/uc?id=1KzfC25ueXsxXMEz9ewYVN8kIJAliO7gC</v>
      </c>
      <c r="DM66" s="50" t="str">
        <f>CONCATENATE("http://doc.google.com/uc?id=",MID('Respuestas de formulario 1.1'!AW66,34,33))</f>
        <v>http://doc.google.com/uc?id=16e8teQIWOwUS0EV2gVCcUVSwkheTGuHe</v>
      </c>
      <c r="DN66" s="53" t="str">
        <f>CONCATENATE("http://doc.google.com/uc?id=",MID('Respuestas de formulario 1.1'!$BI66,34,33))</f>
        <v>http://doc.google.com/uc?id=10Qqwl4YwMb_61oQ8ETov1LxqaYtGC5BB</v>
      </c>
      <c r="DO66" s="45" t="str">
        <f>IFERROR(VLOOKUP(CONCATENATE('Respuestas de formulario 1.1'!$B66,MID('Respuestas de formulario 1.1'!DO$1,2,1)),#REF!,12,0),"")</f>
        <v/>
      </c>
      <c r="DP66" s="45" t="str">
        <f>IFERROR(VLOOKUP(CONCATENATE('Respuestas de formulario 1.1'!$B66,MID('Respuestas de formulario 1.1'!DP$1,2,1)),#REF!,12,0),"")</f>
        <v/>
      </c>
      <c r="DQ66" s="45" t="str">
        <f>IFERROR(VLOOKUP(CONCATENATE('Respuestas de formulario 1.1'!$B66,MID('Respuestas de formulario 1.1'!DQ$1,2,1)),#REF!,12,0),"")</f>
        <v/>
      </c>
      <c r="DR66" s="45" t="str">
        <f>IFERROR(VLOOKUP(CONCATENATE('Respuestas de formulario 1.1'!$B66,MID('Respuestas de formulario 1.1'!DR$1,2,1)),#REF!,12,0),"")</f>
        <v/>
      </c>
      <c r="DS66" s="45" t="str">
        <f>IFERROR(VLOOKUP(CONCATENATE('Respuestas de formulario 1.1'!$B66,MID('Respuestas de formulario 1.1'!DS$1,2,1)),#REF!,12,0),"")</f>
        <v/>
      </c>
      <c r="DT66" s="45" t="str">
        <f>IFERROR(VLOOKUP(CONCATENATE('Respuestas de formulario 1.1'!$B66,MID('Respuestas de formulario 1.1'!DT$1,2,1)),#REF!,12,0),"")</f>
        <v/>
      </c>
      <c r="DU66" s="45" t="str">
        <f>IFERROR(VLOOKUP(CONCATENATE('Respuestas de formulario 1.1'!$B66,MID('Respuestas de formulario 1.1'!DU$1,2,1)),#REF!,12,0),"")</f>
        <v/>
      </c>
      <c r="DV66" s="45" t="str">
        <f>IFERROR(VLOOKUP(CONCATENATE('Respuestas de formulario 1.1'!$B66,MID('Respuestas de formulario 1.1'!DV$1,2,1)),#REF!,12,0),"")</f>
        <v/>
      </c>
      <c r="DW66" s="45" t="str">
        <f>IFERROR(VLOOKUP(CONCATENATE('Respuestas de formulario 1.1'!$B66,MID('Respuestas de formulario 1.1'!DW$1,2,1)),#REF!,12,0),"")</f>
        <v/>
      </c>
      <c r="DX66" s="45" t="str">
        <f>IFERROR(VLOOKUP(CONCATENATE('Respuestas de formulario 1.1'!$B66,MID('Respuestas de formulario 1.1'!DX$1,2,1)),#REF!,12,0),"")</f>
        <v/>
      </c>
      <c r="DY66" s="45" t="str">
        <f>IFERROR(VLOOKUP(CONCATENATE('Respuestas de formulario 1.1'!$B66,MID('Respuestas de formulario 1.1'!DY$1,2,1)),#REF!,12,0),"")</f>
        <v/>
      </c>
      <c r="DZ66" s="45" t="str">
        <f>IFERROR(VLOOKUP(CONCATENATE('Respuestas de formulario 1.1'!$B66,MID('Respuestas de formulario 1.1'!DZ$1,2,1)),#REF!,12,0),"")</f>
        <v/>
      </c>
      <c r="EA66" s="45" t="str">
        <f>IFERROR(VLOOKUP(CONCATENATE('Respuestas de formulario 1.1'!$B66,MID('Respuestas de formulario 1.1'!EA$1,2,1)),#REF!,12,0),"")</f>
        <v/>
      </c>
      <c r="EB66" s="45" t="str">
        <f>IFERROR(VLOOKUP(CONCATENATE('Respuestas de formulario 1.1'!$B66,MID('Respuestas de formulario 1.1'!EB$1,2,1)),#REF!,12,0),"")</f>
        <v/>
      </c>
      <c r="EC66" s="45" t="str">
        <f>IFERROR(VLOOKUP(CONCATENATE('Respuestas de formulario 1.1'!$B66,MID('Respuestas de formulario 1.1'!EC$1,2,1)),#REF!,12,0),"")</f>
        <v/>
      </c>
      <c r="ED66" s="45" t="str">
        <f>IFERROR(VLOOKUP(CONCATENATE('Respuestas de formulario 1.1'!$B66,MID('Respuestas de formulario 1.1'!ED$1,2,1)),#REF!,12,0),"")</f>
        <v/>
      </c>
      <c r="EE66" s="45" t="str">
        <f>IFERROR(VLOOKUP(CONCATENATE('Respuestas de formulario 1.1'!$B66,MID('Respuestas de formulario 1.1'!EE$1,2,1)),#REF!,12,0),"")</f>
        <v/>
      </c>
      <c r="EF66" s="45" t="str">
        <f>IFERROR(VLOOKUP(CONCATENATE('Respuestas de formulario 1.1'!$B66,MID('Respuestas de formulario 1.1'!EF$1,2,1)),#REF!,12,0),"")</f>
        <v/>
      </c>
      <c r="EG66" s="45" t="str">
        <f>IFERROR(VLOOKUP(CONCATENATE('Respuestas de formulario 1.1'!$B66,MID('Respuestas de formulario 1.1'!EG$1,2,1)),#REF!,12,0),"")</f>
        <v/>
      </c>
      <c r="EH66" s="45" t="str">
        <f>IFERROR(VLOOKUP(CONCATENATE('Respuestas de formulario 1.1'!$B66,MID('Respuestas de formulario 1.1'!EH$1,2,1)),#REF!,12,0),"")</f>
        <v/>
      </c>
      <c r="EI66" s="45" t="str">
        <f>IFERROR(VLOOKUP(CONCATENATE('Respuestas de formulario 1.1'!$B66,MID('Respuestas de formulario 1.1'!EI$1,2,1)),#REF!,12,0),"")</f>
        <v/>
      </c>
      <c r="EJ66" s="45" t="str">
        <f t="array" ref="EJ66">IF(DO66="","", INDEX(#REF!,MATCH(CONCATENATE('Respuestas de formulario 1.1'!$B66,DO66),#REF!,0),MATCH('Respuestas de formulario 1.1'!EJ$1,#REF!,0)))</f>
        <v/>
      </c>
      <c r="EK66" s="56" t="str">
        <f t="array" ref="EK66">IF(DP66="","", INDEX(#REF!,MATCH(CONCATENATE('Respuestas de formulario 1.1'!$B66,DP66),#REF!,0),MATCH('Respuestas de formulario 1.1'!EK$1,#REF!,0)))</f>
        <v/>
      </c>
      <c r="EL66" s="56" t="str">
        <f t="array" ref="EL66">IF(DQ66="","", INDEX(#REF!,MATCH(CONCATENATE('Respuestas de formulario 1.1'!$B66,DQ66),#REF!,0),MATCH('Respuestas de formulario 1.1'!EL$1,#REF!,0)))</f>
        <v/>
      </c>
      <c r="EM66" s="56" t="str">
        <f t="array" ref="EM66">IF(DR66="","", INDEX(#REF!,MATCH(CONCATENATE('Respuestas de formulario 1.1'!$B66,DR66),#REF!,0),MATCH('Respuestas de formulario 1.1'!EM$1,#REF!,0)))</f>
        <v/>
      </c>
      <c r="EN66" s="56" t="str">
        <f t="array" ref="EN66">IF(DS66="","", INDEX(#REF!,MATCH(CONCATENATE('Respuestas de formulario 1.1'!$B66,DS66),#REF!,0),MATCH('Respuestas de formulario 1.1'!EN$1,#REF!,0)))</f>
        <v/>
      </c>
      <c r="EO66" s="56" t="str">
        <f t="array" ref="EO66">IF(DT66="","", INDEX(#REF!,MATCH(CONCATENATE('Respuestas de formulario 1.1'!$B66,DT66),#REF!,0),MATCH('Respuestas de formulario 1.1'!EO$1,#REF!,0)))</f>
        <v/>
      </c>
      <c r="EP66" s="45" t="str">
        <f t="array" ref="EP66">IF(DU66="","", INDEX(#REF!,MATCH(CONCATENATE('Respuestas de formulario 1.1'!$B66,DU66),#REF!,0),MATCH('Respuestas de formulario 1.1'!EP$1,#REF!,0)))</f>
        <v/>
      </c>
      <c r="EQ66" s="45" t="str">
        <f t="array" ref="EQ66">IF(DP66="","", INDEX(#REF!,MATCH(CONCATENATE('Respuestas de formulario 1.1'!$B66,DP66),#REF!,0),MATCH('Respuestas de formulario 1.1'!EQ$1,#REF!,0)))</f>
        <v/>
      </c>
      <c r="ER66" s="56" t="str">
        <f t="array" ref="ER66">IF(DQ66="","", INDEX(#REF!,MATCH(CONCATENATE('Respuestas de formulario 1.1'!$B66,DQ66),#REF!,0),MATCH('Respuestas de formulario 1.1'!ER$1,#REF!,0)))</f>
        <v/>
      </c>
      <c r="ES66" s="56" t="str">
        <f t="array" ref="ES66">IF(DR66="","", INDEX(#REF!,MATCH(CONCATENATE('Respuestas de formulario 1.1'!$B66,DR66),#REF!,0),MATCH('Respuestas de formulario 1.1'!ES$1,#REF!,0)))</f>
        <v/>
      </c>
      <c r="ET66" s="56" t="str">
        <f t="array" ref="ET66">IF(DS66="","", INDEX(#REF!,MATCH(CONCATENATE('Respuestas de formulario 1.1'!$B66,DS66),#REF!,0),MATCH('Respuestas de formulario 1.1'!ET$1,#REF!,0)))</f>
        <v/>
      </c>
      <c r="EU66" s="56" t="str">
        <f t="array" ref="EU66">IF(DT66="","", INDEX(#REF!,MATCH(CONCATENATE('Respuestas de formulario 1.1'!$B66,DT66),#REF!,0),MATCH('Respuestas de formulario 1.1'!EU$1,#REF!,0)))</f>
        <v/>
      </c>
      <c r="EV66" s="56" t="str">
        <f t="array" ref="EV66">IF(DU66="","", INDEX(#REF!,MATCH(CONCATENATE('Respuestas de formulario 1.1'!$B66,DU66),#REF!,0),MATCH('Respuestas de formulario 1.1'!EV$1,#REF!,0)))</f>
        <v/>
      </c>
      <c r="EW66" s="45" t="str">
        <f t="array" ref="EW66">IF(DV66="","", INDEX(#REF!,MATCH(CONCATENATE('Respuestas de formulario 1.1'!$B66,DV66),#REF!,0),MATCH('Respuestas de formulario 1.1'!EW$1,#REF!,0)))</f>
        <v/>
      </c>
      <c r="EX66" s="45" t="str">
        <f t="array" ref="EX66">IF($DQ66="","", INDEX(#REF!,MATCH(CONCATENATE('Respuestas de formulario 1.1'!$B66,$DQ66),#REF!,0),MATCH('Respuestas de formulario 1.1'!EX$1,#REF!,0)))</f>
        <v/>
      </c>
      <c r="EY66" s="56" t="str">
        <f t="array" ref="EY66">IF($DQ66="","", INDEX(#REF!,MATCH(CONCATENATE('Respuestas de formulario 1.1'!$B66,$DQ66),#REF!,0),MATCH('Respuestas de formulario 1.1'!EY$1,#REF!,0)))</f>
        <v/>
      </c>
      <c r="EZ66" s="56" t="str">
        <f t="array" ref="EZ66">IF($DQ66="","", INDEX(#REF!,MATCH(CONCATENATE('Respuestas de formulario 1.1'!$B66,$DQ66),#REF!,0),MATCH('Respuestas de formulario 1.1'!EZ$1,#REF!,0)))</f>
        <v/>
      </c>
      <c r="FA66" s="56" t="str">
        <f t="array" ref="FA66">IF($DQ66="","", INDEX(#REF!,MATCH(CONCATENATE('Respuestas de formulario 1.1'!$B66,$DQ66),#REF!,0),MATCH('Respuestas de formulario 1.1'!FA$1,#REF!,0)))</f>
        <v/>
      </c>
      <c r="FB66" s="56" t="str">
        <f t="array" ref="FB66">IF($DQ66="","", INDEX(#REF!,MATCH(CONCATENATE('Respuestas de formulario 1.1'!$B66,$DQ66),#REF!,0),MATCH('Respuestas de formulario 1.1'!FB$1,#REF!,0)))</f>
        <v/>
      </c>
      <c r="FC66" s="56" t="str">
        <f t="array" ref="FC66">IF($DQ66="","", INDEX(#REF!,MATCH(CONCATENATE('Respuestas de formulario 1.1'!$B66,$DQ66),#REF!,0),MATCH('Respuestas de formulario 1.1'!FC$1,#REF!,0)))</f>
        <v/>
      </c>
      <c r="FD66" s="45" t="str">
        <f t="array" ref="FD66">IF($DQ66="","", INDEX(#REF!,MATCH(CONCATENATE('Respuestas de formulario 1.1'!$B66,$DQ66),#REF!,0),MATCH('Respuestas de formulario 1.1'!FD$1,#REF!,0)))</f>
        <v/>
      </c>
      <c r="FE66" s="45" t="str">
        <f t="array" ref="FE66">IF($DR66="","", INDEX(#REF!,MATCH(CONCATENATE(#REF!,$DR66),#REF!,0),MATCH(#REF!,#REF!,0)))</f>
        <v/>
      </c>
      <c r="FF66" s="56" t="str">
        <f t="array" ref="FF66">IF($DR66="","", INDEX(#REF!,MATCH(CONCATENATE(#REF!,$DR66),#REF!,0),MATCH(#REF!,#REF!,0)))</f>
        <v/>
      </c>
      <c r="FG66" s="56" t="str">
        <f t="array" ref="FG66">IF($DR66="","", INDEX(#REF!,MATCH(CONCATENATE(#REF!,$DR66),#REF!,0),MATCH(#REF!,#REF!,0)))</f>
        <v/>
      </c>
      <c r="FH66" s="56" t="str">
        <f t="array" ref="FH66">IF($DR66="","", INDEX(#REF!,MATCH(CONCATENATE(#REF!,$DR66),#REF!,0),MATCH(#REF!,#REF!,0)))</f>
        <v/>
      </c>
      <c r="FI66" s="56" t="str">
        <f t="array" ref="FI66">IF($DR66="","", INDEX(#REF!,MATCH(CONCATENATE(#REF!,$DR66),#REF!,0),MATCH(#REF!,#REF!,0)))</f>
        <v/>
      </c>
      <c r="FJ66" s="56" t="str">
        <f t="array" ref="FJ66">IF($DR66="","", INDEX(#REF!,MATCH(CONCATENATE(#REF!,$DR66),#REF!,0),MATCH(#REF!,#REF!,0)))</f>
        <v/>
      </c>
      <c r="FK66" s="45" t="str">
        <f t="array" ref="FK66">IF($DR66="","", INDEX(#REF!,MATCH(CONCATENATE(#REF!,$DR66),#REF!,0),MATCH(#REF!,#REF!,0)))</f>
        <v/>
      </c>
      <c r="FL66" s="45" t="str">
        <f t="array" ref="FL66">IF($DT66="","", INDEX(#REF!,MATCH(CONCATENATE('Respuestas de formulario 1.1'!$B66,$DS66),#REF!,0),MATCH('Respuestas de formulario 1.1'!FL$1,#REF!,0)))</f>
        <v/>
      </c>
      <c r="FM66" s="56" t="str">
        <f t="array" ref="FM66">IF($DT66="","", INDEX(#REF!,MATCH(CONCATENATE('Respuestas de formulario 1.1'!$B66,$DS66),#REF!,0),MATCH('Respuestas de formulario 1.1'!FM$1,#REF!,0)))</f>
        <v/>
      </c>
      <c r="FN66" s="56" t="str">
        <f t="array" ref="FN66">IF($DT66="","", INDEX(#REF!,MATCH(CONCATENATE('Respuestas de formulario 1.1'!$B66,$DS66),#REF!,0),MATCH('Respuestas de formulario 1.1'!FN$1,#REF!,0)))</f>
        <v/>
      </c>
      <c r="FO66" s="56" t="str">
        <f t="array" ref="FO66">IF($DT66="","", INDEX(#REF!,MATCH(CONCATENATE('Respuestas de formulario 1.1'!$B66,$DS66),#REF!,0),MATCH('Respuestas de formulario 1.1'!FO$1,#REF!,0)))</f>
        <v/>
      </c>
      <c r="FP66" s="56" t="str">
        <f t="array" ref="FP66">IF($DT66="","", INDEX(#REF!,MATCH(CONCATENATE('Respuestas de formulario 1.1'!$B66,$DS66),#REF!,0),MATCH('Respuestas de formulario 1.1'!FP$1,#REF!,0)))</f>
        <v/>
      </c>
      <c r="FQ66" s="56" t="str">
        <f t="array" ref="FQ66">IF($DT66="","", INDEX(#REF!,MATCH(CONCATENATE('Respuestas de formulario 1.1'!$B66,$DS66),#REF!,0),MATCH('Respuestas de formulario 1.1'!FQ$1,#REF!,0)))</f>
        <v/>
      </c>
      <c r="FR66" s="45" t="str">
        <f t="array" ref="FR66">IF($DT66="","", INDEX(#REF!,MATCH(CONCATENATE('Respuestas de formulario 1.1'!$B66,$DS66),#REF!,0),MATCH('Respuestas de formulario 1.1'!FR$1,#REF!,0)))</f>
        <v/>
      </c>
      <c r="FS66" s="45" t="str">
        <f t="array" ref="FS66">IF($DU66="","", INDEX(#REF!,MATCH(CONCATENATE('Respuestas de formulario 1.1'!$B66,$DT66),#REF!,0),MATCH('Respuestas de formulario 1.1'!FS$1,#REF!,0)))</f>
        <v/>
      </c>
      <c r="FT66" s="56" t="str">
        <f t="array" ref="FT66">IF($DU66="","", INDEX(#REF!,MATCH(CONCATENATE('Respuestas de formulario 1.1'!$B66,$DT66),#REF!,0),MATCH('Respuestas de formulario 1.1'!FT$1,#REF!,0)))</f>
        <v/>
      </c>
      <c r="FU66" s="56" t="str">
        <f t="array" ref="FU66">IF($DU66="","", INDEX(#REF!,MATCH(CONCATENATE('Respuestas de formulario 1.1'!$B66,$DT66),#REF!,0),MATCH('Respuestas de formulario 1.1'!FU$1,#REF!,0)))</f>
        <v/>
      </c>
      <c r="FV66" s="56" t="str">
        <f t="array" ref="FV66">IF($DU66="","", INDEX(#REF!,MATCH(CONCATENATE('Respuestas de formulario 1.1'!$B66,$DT66),#REF!,0),MATCH('Respuestas de formulario 1.1'!FV$1,#REF!,0)))</f>
        <v/>
      </c>
      <c r="FW66" s="56" t="str">
        <f t="array" ref="FW66">IF($DU66="","", INDEX(#REF!,MATCH(CONCATENATE('Respuestas de formulario 1.1'!$B66,$DT66),#REF!,0),MATCH('Respuestas de formulario 1.1'!FW$1,#REF!,0)))</f>
        <v/>
      </c>
      <c r="FX66" s="56" t="str">
        <f t="array" ref="FX66">IF($DU66="","", INDEX(#REF!,MATCH(CONCATENATE('Respuestas de formulario 1.1'!$B66,$DT66),#REF!,0),MATCH('Respuestas de formulario 1.1'!FX$1,#REF!,0)))</f>
        <v/>
      </c>
      <c r="FY66" s="45" t="str">
        <f t="array" ref="FY66">IF($DU66="","", INDEX(#REF!,MATCH(CONCATENATE('Respuestas de formulario 1.1'!$B66,$DT66),#REF!,0),MATCH('Respuestas de formulario 1.1'!FY$1,#REF!,0)))</f>
        <v/>
      </c>
      <c r="FZ66" s="3" t="s">
        <v>2860</v>
      </c>
      <c r="GA66" s="1" t="s">
        <v>3960</v>
      </c>
      <c r="GB66" s="5" t="s">
        <v>3961</v>
      </c>
      <c r="GC66" s="4" t="str">
        <f>HYPERLINK("https://drive.google.com/file/d/13Wuut-LDAXverPArEB7dMeNlUVooMuSI/view?usp=drivesdk","CRUZ BOYZO RENATA VALENTINA Formato de reinscripción y pago 2022-2")</f>
        <v>CRUZ BOYZO RENATA VALENTINA Formato de reinscripción y pago 2022-2</v>
      </c>
      <c r="GD66" s="1" t="s">
        <v>3962</v>
      </c>
      <c r="GE66" s="1"/>
      <c r="GF66" s="1"/>
      <c r="GG66" s="1"/>
      <c r="GH66" s="1"/>
      <c r="GI66" s="1" t="s">
        <v>3963</v>
      </c>
      <c r="GJ66" s="5" t="s">
        <v>3964</v>
      </c>
      <c r="GK66" s="5" t="str">
        <f>HYPERLINK("https://drive.google.com/file/d/1M6T3O3BiBlDcmK8mLPeW2g1q_7l1qwos/view?usp=drivesdk","CRUZ BOYZO RENATA VALENTINA Formato de reinscripción y pago 2022-2")</f>
        <v>CRUZ BOYZO RENATA VALENTINA Formato de reinscripción y pago 2022-2</v>
      </c>
      <c r="GL66" s="1" t="s">
        <v>3965</v>
      </c>
    </row>
    <row r="67" spans="1:194" ht="38.25" x14ac:dyDescent="0.2">
      <c r="A67" s="2">
        <v>45139.362249456019</v>
      </c>
      <c r="B67" s="1" t="s">
        <v>1122</v>
      </c>
      <c r="C67" s="1" t="s">
        <v>252</v>
      </c>
      <c r="D67" s="1" t="s">
        <v>658</v>
      </c>
      <c r="E67" s="1" t="s">
        <v>1099</v>
      </c>
      <c r="F67" s="1" t="s">
        <v>262</v>
      </c>
      <c r="G67" s="5" t="s">
        <v>3966</v>
      </c>
      <c r="H67" s="41">
        <v>38891</v>
      </c>
      <c r="I67" s="1">
        <v>17</v>
      </c>
      <c r="J67" s="1">
        <v>5638161331</v>
      </c>
      <c r="K67" s="1">
        <v>5557455222</v>
      </c>
      <c r="L67" s="1" t="s">
        <v>1125</v>
      </c>
      <c r="M67" s="1">
        <v>21309060570695</v>
      </c>
      <c r="N67" s="1" t="s">
        <v>1108</v>
      </c>
      <c r="O67" s="1" t="s">
        <v>225</v>
      </c>
      <c r="P67" s="1" t="s">
        <v>278</v>
      </c>
      <c r="Q67" s="1" t="s">
        <v>248</v>
      </c>
      <c r="R67" s="1" t="s">
        <v>236</v>
      </c>
      <c r="S67" s="1" t="s">
        <v>228</v>
      </c>
      <c r="T67" s="1" t="s">
        <v>229</v>
      </c>
      <c r="U67" s="1" t="s">
        <v>249</v>
      </c>
      <c r="V67" s="1" t="s">
        <v>228</v>
      </c>
      <c r="W67" s="1" t="s">
        <v>3967</v>
      </c>
      <c r="X67" s="1" t="s">
        <v>249</v>
      </c>
      <c r="Y67" s="1" t="s">
        <v>322</v>
      </c>
      <c r="Z67" s="1" t="s">
        <v>240</v>
      </c>
      <c r="AA67" s="44" t="s">
        <v>602</v>
      </c>
      <c r="AB67" s="1" t="s">
        <v>3968</v>
      </c>
      <c r="AC67" s="1" t="s">
        <v>3969</v>
      </c>
      <c r="AD67" s="1" t="s">
        <v>3970</v>
      </c>
      <c r="AE67" s="1" t="s">
        <v>3971</v>
      </c>
      <c r="AF67" s="1" t="s">
        <v>650</v>
      </c>
      <c r="AG67" s="1">
        <v>48</v>
      </c>
      <c r="AH67" s="5" t="s">
        <v>3972</v>
      </c>
      <c r="AI67" s="1">
        <v>5587806383</v>
      </c>
      <c r="AJ67" s="1">
        <v>5557455222</v>
      </c>
      <c r="AK67" s="1" t="s">
        <v>660</v>
      </c>
      <c r="AL67" s="1" t="s">
        <v>409</v>
      </c>
      <c r="AM67" s="1" t="s">
        <v>390</v>
      </c>
      <c r="AN67" s="1" t="s">
        <v>3973</v>
      </c>
      <c r="AO67" s="1" t="s">
        <v>3974</v>
      </c>
      <c r="AP67" s="1">
        <v>32</v>
      </c>
      <c r="AQ67" s="1" t="s">
        <v>267</v>
      </c>
      <c r="AR67" s="42">
        <v>0.25</v>
      </c>
      <c r="AS67" s="42">
        <v>0.79166666666424135</v>
      </c>
      <c r="AT67" s="1">
        <v>5613060193</v>
      </c>
      <c r="AU67" s="1">
        <v>5557455222</v>
      </c>
      <c r="AV67" s="1" t="s">
        <v>1126</v>
      </c>
      <c r="AW67" s="5" t="s">
        <v>3975</v>
      </c>
      <c r="AX67" s="1" t="s">
        <v>234</v>
      </c>
      <c r="AY67" s="1" t="s">
        <v>658</v>
      </c>
      <c r="AZ67" s="1" t="s">
        <v>1603</v>
      </c>
      <c r="BA67" s="1" t="s">
        <v>650</v>
      </c>
      <c r="BB67" s="1">
        <v>48</v>
      </c>
      <c r="BC67" s="1" t="s">
        <v>739</v>
      </c>
      <c r="BD67" s="43">
        <v>0.25</v>
      </c>
      <c r="BE67" s="43">
        <v>0.79166666666424135</v>
      </c>
      <c r="BF67" s="1">
        <v>5587806383</v>
      </c>
      <c r="BG67" s="1">
        <v>5557455222</v>
      </c>
      <c r="BH67" s="1" t="s">
        <v>660</v>
      </c>
      <c r="BI67" s="5" t="s">
        <v>3976</v>
      </c>
      <c r="BJ67" s="1" t="s">
        <v>236</v>
      </c>
      <c r="BL67" s="1">
        <v>167</v>
      </c>
      <c r="BM67" s="1">
        <v>58</v>
      </c>
      <c r="BN67" s="1" t="s">
        <v>236</v>
      </c>
      <c r="BO67" s="1" t="s">
        <v>228</v>
      </c>
      <c r="BQ67" s="1" t="s">
        <v>228</v>
      </c>
      <c r="BR67" s="1" t="s">
        <v>237</v>
      </c>
      <c r="BS67" s="1" t="s">
        <v>228</v>
      </c>
      <c r="BT67" s="1" t="s">
        <v>237</v>
      </c>
      <c r="BU67" s="1" t="s">
        <v>228</v>
      </c>
      <c r="BW67" s="1" t="s">
        <v>349</v>
      </c>
      <c r="BX67" s="1">
        <v>30</v>
      </c>
      <c r="BY67" s="1">
        <v>50</v>
      </c>
      <c r="BZ67" s="1" t="s">
        <v>3977</v>
      </c>
      <c r="CA67" s="1" t="s">
        <v>237</v>
      </c>
      <c r="CB67" s="1" t="s">
        <v>231</v>
      </c>
      <c r="CC67" s="1" t="s">
        <v>1109</v>
      </c>
      <c r="CD67" s="1">
        <v>1500</v>
      </c>
      <c r="CE67" s="1">
        <v>2500</v>
      </c>
      <c r="CF67" s="1" t="s">
        <v>236</v>
      </c>
      <c r="CG67" s="1" t="s">
        <v>323</v>
      </c>
      <c r="CH67" s="1" t="s">
        <v>243</v>
      </c>
      <c r="CI67" s="1" t="s">
        <v>243</v>
      </c>
      <c r="CJ67" s="1" t="s">
        <v>2848</v>
      </c>
      <c r="CL67" s="5" t="s">
        <v>3978</v>
      </c>
      <c r="CM67" s="1">
        <v>13210699594</v>
      </c>
      <c r="CN67" s="1" t="s">
        <v>228</v>
      </c>
      <c r="CQ67" s="42">
        <v>0.25</v>
      </c>
      <c r="CR67" s="42">
        <v>0.79166666666424135</v>
      </c>
      <c r="CT67" s="45" t="str">
        <f t="array" ref="CT67">IFERROR(INDEX(#REF!,MATCH('Respuestas de formulario 1.1'!$B67,#REF!,0),MATCH('Respuestas de formulario 1.1'!CT$1,#REF!,0)),"")</f>
        <v/>
      </c>
      <c r="CU67" s="56" t="str">
        <f t="array" ref="CU67">IFERROR(INDEX(#REF!,MATCH('Respuestas de formulario 1.1'!$B67,#REF!,0),MATCH('Respuestas de formulario 1.1'!CU$1,#REF!,0)),"")</f>
        <v/>
      </c>
      <c r="CV67" s="56" t="str">
        <f t="array" ref="CV67">IFERROR(INDEX(#REF!,MATCH('Respuestas de formulario 1.1'!$B67,#REF!,0),MATCH('Respuestas de formulario 1.1'!CV$1,#REF!,0)),"")</f>
        <v/>
      </c>
      <c r="CW67" s="56" t="str">
        <f t="array" ref="CW67">IFERROR(INDEX(#REF!,MATCH('Respuestas de formulario 1.1'!$B67,#REF!,0),MATCH('Respuestas de formulario 1.1'!CW$1,#REF!,0)),"")</f>
        <v/>
      </c>
      <c r="CX67" s="56" t="str">
        <f t="array" ref="CX67">IFERROR(INDEX(#REF!,MATCH('Respuestas de formulario 1.1'!$B67,#REF!,0),MATCH('Respuestas de formulario 1.1'!CX$1,#REF!,0)),"")</f>
        <v/>
      </c>
      <c r="CY67" s="56" t="str">
        <f t="array" ref="CY67">IFERROR(INDEX(#REF!,MATCH('Respuestas de formulario 1.1'!$B67,#REF!,0),MATCH('Respuestas de formulario 1.1'!CY$1,#REF!,0)),"")</f>
        <v/>
      </c>
      <c r="CZ67" s="57" t="str">
        <f t="array" ref="CZ67">IFERROR(INDEX(#REF!,MATCH('Respuestas de formulario 1.1'!$B67,#REF!,0),MATCH('Respuestas de formulario 1.1'!CZ$1,#REF!,0)),"")</f>
        <v/>
      </c>
      <c r="DA67" s="45" t="e">
        <f t="array" ref="DA67">INDEX(#REF!,MATCH('Respuestas de formulario 1.1'!$B67,#REF!,0),MATCH('Respuestas de formulario 1.1'!DA$1,#REF!,0))</f>
        <v>#REF!</v>
      </c>
      <c r="DB67" s="45" t="e">
        <f t="array" ref="DB67">INDEX(#REF!,MATCH('Respuestas de formulario 1.1'!$B67,#REF!,0),MATCH('Respuestas de formulario 1.1'!DB$1,#REF!,0))</f>
        <v>#REF!</v>
      </c>
      <c r="DC67" s="45" t="e">
        <f t="array" ref="DC67">INDEX(#REF!,MATCH('Respuestas de formulario 1.1'!$B67,#REF!,0),MATCH('Respuestas de formulario 1.1'!DC$1,#REF!,0))</f>
        <v>#REF!</v>
      </c>
      <c r="DD67" s="45" t="e">
        <f t="array" ref="DD67">INDEX(#REF!,MATCH('Respuestas de formulario 1.1'!$B67,#REF!,0),MATCH('Respuestas de formulario 1.1'!DD$1,#REF!,0))</f>
        <v>#REF!</v>
      </c>
      <c r="DE67" s="45" t="e">
        <f t="array" ref="DE67">INDEX(#REF!,MATCH('Respuestas de formulario 1.1'!$B67,#REF!,0),MATCH('Respuestas de formulario 1.1'!DE$1,#REF!,0))</f>
        <v>#REF!</v>
      </c>
      <c r="DF67" s="45" t="e">
        <f t="array" ref="DF67">INDEX(#REF!,MATCH('Respuestas de formulario 1.1'!$B67,#REF!,0),MATCH('Respuestas de formulario 1.1'!DF$1,#REF!,0))</f>
        <v>#REF!</v>
      </c>
      <c r="DG67" s="45" t="e">
        <f t="array" ref="DG67">INDEX(#REF!,MATCH('Respuestas de formulario 1.1'!$B67,#REF!,0),MATCH('Respuestas de formulario 1.1'!DG$1,#REF!,0))</f>
        <v>#REF!</v>
      </c>
      <c r="DH67" s="45" t="e">
        <f t="array" ref="DH67">INDEX(#REF!,MATCH('Respuestas de formulario 1.1'!$B67,#REF!,0),MATCH('Respuestas de formulario 1.1'!DH$1,#REF!,0))</f>
        <v>#REF!</v>
      </c>
      <c r="DI67" s="48" t="e">
        <f>VLOOKUP(CONCATENATE($DF67," TUTO ",$DC67),#REF!,3,0)</f>
        <v>#REF!</v>
      </c>
      <c r="DJ67" s="48" t="e">
        <f t="array" ref="DJ67">IF('Respuestas de formulario 1.1'!A67="","",INDEX(#REF!,MATCH('Respuestas de formulario 1.1'!B67,#REF!,0),MATCH('Respuestas de formulario 1.1'!$DH$1,#REF!,0)))</f>
        <v>#REF!</v>
      </c>
      <c r="DK67" s="52" t="str">
        <f>CONCATENATE("http://doc.google.com/uc?id=",MID('Respuestas de formulario 1.1'!G67,34,33))</f>
        <v>http://doc.google.com/uc?id=19fVXYIl-9gVWlg52YlEwPq3JrHJAdTGF</v>
      </c>
      <c r="DL67" s="49" t="str">
        <f>CONCATENATE("http://doc.google.com/uc?id=",MID('Respuestas de formulario 1.1'!AH67,34,33))</f>
        <v>http://doc.google.com/uc?id=1jr7CIP2rX0QACWaQ4y-Ldgiel4uOmdO_</v>
      </c>
      <c r="DM67" s="50" t="str">
        <f>CONCATENATE("http://doc.google.com/uc?id=",MID('Respuestas de formulario 1.1'!AW67,34,33))</f>
        <v>http://doc.google.com/uc?id=1mrRg8h2qQQ143R8oRbEx0i2DTYwjiodS</v>
      </c>
      <c r="DN67" s="53" t="str">
        <f>CONCATENATE("http://doc.google.com/uc?id=",MID('Respuestas de formulario 1.1'!$BI67,34,33))</f>
        <v>http://doc.google.com/uc?id=1g7MDaekEXPMEY4KRuEgmRMDxgUnVaWan</v>
      </c>
      <c r="DO67" s="45" t="str">
        <f>IFERROR(VLOOKUP(CONCATENATE('Respuestas de formulario 1.1'!$B67,MID('Respuestas de formulario 1.1'!DO$1,2,1)),#REF!,12,0),"")</f>
        <v/>
      </c>
      <c r="DP67" s="45" t="str">
        <f>IFERROR(VLOOKUP(CONCATENATE('Respuestas de formulario 1.1'!$B67,MID('Respuestas de formulario 1.1'!DP$1,2,1)),#REF!,12,0),"")</f>
        <v/>
      </c>
      <c r="DQ67" s="45" t="str">
        <f>IFERROR(VLOOKUP(CONCATENATE('Respuestas de formulario 1.1'!$B67,MID('Respuestas de formulario 1.1'!DQ$1,2,1)),#REF!,12,0),"")</f>
        <v/>
      </c>
      <c r="DR67" s="45" t="str">
        <f>IFERROR(VLOOKUP(CONCATENATE('Respuestas de formulario 1.1'!$B67,MID('Respuestas de formulario 1.1'!DR$1,2,1)),#REF!,12,0),"")</f>
        <v/>
      </c>
      <c r="DS67" s="45" t="str">
        <f>IFERROR(VLOOKUP(CONCATENATE('Respuestas de formulario 1.1'!$B67,MID('Respuestas de formulario 1.1'!DS$1,2,1)),#REF!,12,0),"")</f>
        <v/>
      </c>
      <c r="DT67" s="45" t="str">
        <f>IFERROR(VLOOKUP(CONCATENATE('Respuestas de formulario 1.1'!$B67,MID('Respuestas de formulario 1.1'!DT$1,2,1)),#REF!,12,0),"")</f>
        <v/>
      </c>
      <c r="DU67" s="45" t="str">
        <f>IFERROR(VLOOKUP(CONCATENATE('Respuestas de formulario 1.1'!$B67,MID('Respuestas de formulario 1.1'!DU$1,2,1)),#REF!,12,0),"")</f>
        <v/>
      </c>
      <c r="DV67" s="45" t="str">
        <f>IFERROR(VLOOKUP(CONCATENATE('Respuestas de formulario 1.1'!$B67,MID('Respuestas de formulario 1.1'!DV$1,2,1)),#REF!,12,0),"")</f>
        <v/>
      </c>
      <c r="DW67" s="45" t="str">
        <f>IFERROR(VLOOKUP(CONCATENATE('Respuestas de formulario 1.1'!$B67,MID('Respuestas de formulario 1.1'!DW$1,2,1)),#REF!,12,0),"")</f>
        <v/>
      </c>
      <c r="DX67" s="45" t="str">
        <f>IFERROR(VLOOKUP(CONCATENATE('Respuestas de formulario 1.1'!$B67,MID('Respuestas de formulario 1.1'!DX$1,2,1)),#REF!,12,0),"")</f>
        <v/>
      </c>
      <c r="DY67" s="45" t="str">
        <f>IFERROR(VLOOKUP(CONCATENATE('Respuestas de formulario 1.1'!$B67,MID('Respuestas de formulario 1.1'!DY$1,2,1)),#REF!,12,0),"")</f>
        <v/>
      </c>
      <c r="DZ67" s="45" t="str">
        <f>IFERROR(VLOOKUP(CONCATENATE('Respuestas de formulario 1.1'!$B67,MID('Respuestas de formulario 1.1'!DZ$1,2,1)),#REF!,12,0),"")</f>
        <v/>
      </c>
      <c r="EA67" s="45" t="str">
        <f>IFERROR(VLOOKUP(CONCATENATE('Respuestas de formulario 1.1'!$B67,MID('Respuestas de formulario 1.1'!EA$1,2,1)),#REF!,12,0),"")</f>
        <v/>
      </c>
      <c r="EB67" s="45" t="str">
        <f>IFERROR(VLOOKUP(CONCATENATE('Respuestas de formulario 1.1'!$B67,MID('Respuestas de formulario 1.1'!EB$1,2,1)),#REF!,12,0),"")</f>
        <v/>
      </c>
      <c r="EC67" s="45" t="str">
        <f>IFERROR(VLOOKUP(CONCATENATE('Respuestas de formulario 1.1'!$B67,MID('Respuestas de formulario 1.1'!EC$1,2,1)),#REF!,12,0),"")</f>
        <v/>
      </c>
      <c r="ED67" s="45" t="str">
        <f>IFERROR(VLOOKUP(CONCATENATE('Respuestas de formulario 1.1'!$B67,MID('Respuestas de formulario 1.1'!ED$1,2,1)),#REF!,12,0),"")</f>
        <v/>
      </c>
      <c r="EE67" s="45" t="str">
        <f>IFERROR(VLOOKUP(CONCATENATE('Respuestas de formulario 1.1'!$B67,MID('Respuestas de formulario 1.1'!EE$1,2,1)),#REF!,12,0),"")</f>
        <v/>
      </c>
      <c r="EF67" s="45" t="str">
        <f>IFERROR(VLOOKUP(CONCATENATE('Respuestas de formulario 1.1'!$B67,MID('Respuestas de formulario 1.1'!EF$1,2,1)),#REF!,12,0),"")</f>
        <v/>
      </c>
      <c r="EG67" s="45" t="str">
        <f>IFERROR(VLOOKUP(CONCATENATE('Respuestas de formulario 1.1'!$B67,MID('Respuestas de formulario 1.1'!EG$1,2,1)),#REF!,12,0),"")</f>
        <v/>
      </c>
      <c r="EH67" s="45" t="str">
        <f>IFERROR(VLOOKUP(CONCATENATE('Respuestas de formulario 1.1'!$B67,MID('Respuestas de formulario 1.1'!EH$1,2,1)),#REF!,12,0),"")</f>
        <v/>
      </c>
      <c r="EI67" s="45" t="str">
        <f>IFERROR(VLOOKUP(CONCATENATE('Respuestas de formulario 1.1'!$B67,MID('Respuestas de formulario 1.1'!EI$1,2,1)),#REF!,12,0),"")</f>
        <v/>
      </c>
      <c r="EJ67" s="45" t="str">
        <f t="array" ref="EJ67">IF(DO67="","", INDEX(#REF!,MATCH(CONCATENATE('Respuestas de formulario 1.1'!$B67,DO67),#REF!,0),MATCH('Respuestas de formulario 1.1'!EJ$1,#REF!,0)))</f>
        <v/>
      </c>
      <c r="EK67" s="56" t="str">
        <f t="array" ref="EK67">IF(DP67="","", INDEX(#REF!,MATCH(CONCATENATE('Respuestas de formulario 1.1'!$B67,DP67),#REF!,0),MATCH('Respuestas de formulario 1.1'!EK$1,#REF!,0)))</f>
        <v/>
      </c>
      <c r="EL67" s="56" t="str">
        <f t="array" ref="EL67">IF(DQ67="","", INDEX(#REF!,MATCH(CONCATENATE('Respuestas de formulario 1.1'!$B67,DQ67),#REF!,0),MATCH('Respuestas de formulario 1.1'!EL$1,#REF!,0)))</f>
        <v/>
      </c>
      <c r="EM67" s="56" t="str">
        <f t="array" ref="EM67">IF(DR67="","", INDEX(#REF!,MATCH(CONCATENATE('Respuestas de formulario 1.1'!$B67,DR67),#REF!,0),MATCH('Respuestas de formulario 1.1'!EM$1,#REF!,0)))</f>
        <v/>
      </c>
      <c r="EN67" s="56" t="str">
        <f t="array" ref="EN67">IF(DS67="","", INDEX(#REF!,MATCH(CONCATENATE('Respuestas de formulario 1.1'!$B67,DS67),#REF!,0),MATCH('Respuestas de formulario 1.1'!EN$1,#REF!,0)))</f>
        <v/>
      </c>
      <c r="EO67" s="56" t="str">
        <f t="array" ref="EO67">IF(DT67="","", INDEX(#REF!,MATCH(CONCATENATE('Respuestas de formulario 1.1'!$B67,DT67),#REF!,0),MATCH('Respuestas de formulario 1.1'!EO$1,#REF!,0)))</f>
        <v/>
      </c>
      <c r="EP67" s="45" t="str">
        <f t="array" ref="EP67">IF(DU67="","", INDEX(#REF!,MATCH(CONCATENATE('Respuestas de formulario 1.1'!$B67,DU67),#REF!,0),MATCH('Respuestas de formulario 1.1'!EP$1,#REF!,0)))</f>
        <v/>
      </c>
      <c r="EQ67" s="45" t="str">
        <f t="array" ref="EQ67">IF(DP67="","", INDEX(#REF!,MATCH(CONCATENATE('Respuestas de formulario 1.1'!$B67,DP67),#REF!,0),MATCH('Respuestas de formulario 1.1'!EQ$1,#REF!,0)))</f>
        <v/>
      </c>
      <c r="ER67" s="56" t="str">
        <f t="array" ref="ER67">IF(DQ67="","", INDEX(#REF!,MATCH(CONCATENATE('Respuestas de formulario 1.1'!$B67,DQ67),#REF!,0),MATCH('Respuestas de formulario 1.1'!ER$1,#REF!,0)))</f>
        <v/>
      </c>
      <c r="ES67" s="56" t="str">
        <f t="array" ref="ES67">IF(DR67="","", INDEX(#REF!,MATCH(CONCATENATE('Respuestas de formulario 1.1'!$B67,DR67),#REF!,0),MATCH('Respuestas de formulario 1.1'!ES$1,#REF!,0)))</f>
        <v/>
      </c>
      <c r="ET67" s="56" t="str">
        <f t="array" ref="ET67">IF(DS67="","", INDEX(#REF!,MATCH(CONCATENATE('Respuestas de formulario 1.1'!$B67,DS67),#REF!,0),MATCH('Respuestas de formulario 1.1'!ET$1,#REF!,0)))</f>
        <v/>
      </c>
      <c r="EU67" s="56" t="str">
        <f t="array" ref="EU67">IF(DT67="","", INDEX(#REF!,MATCH(CONCATENATE('Respuestas de formulario 1.1'!$B67,DT67),#REF!,0),MATCH('Respuestas de formulario 1.1'!EU$1,#REF!,0)))</f>
        <v/>
      </c>
      <c r="EV67" s="56" t="str">
        <f t="array" ref="EV67">IF(DU67="","", INDEX(#REF!,MATCH(CONCATENATE('Respuestas de formulario 1.1'!$B67,DU67),#REF!,0),MATCH('Respuestas de formulario 1.1'!EV$1,#REF!,0)))</f>
        <v/>
      </c>
      <c r="EW67" s="45" t="str">
        <f t="array" ref="EW67">IF(DV67="","", INDEX(#REF!,MATCH(CONCATENATE('Respuestas de formulario 1.1'!$B67,DV67),#REF!,0),MATCH('Respuestas de formulario 1.1'!EW$1,#REF!,0)))</f>
        <v/>
      </c>
      <c r="EX67" s="45" t="str">
        <f t="array" ref="EX67">IF($DQ67="","", INDEX(#REF!,MATCH(CONCATENATE('Respuestas de formulario 1.1'!$B67,$DQ67),#REF!,0),MATCH('Respuestas de formulario 1.1'!EX$1,#REF!,0)))</f>
        <v/>
      </c>
      <c r="EY67" s="56" t="str">
        <f t="array" ref="EY67">IF($DQ67="","", INDEX(#REF!,MATCH(CONCATENATE('Respuestas de formulario 1.1'!$B67,$DQ67),#REF!,0),MATCH('Respuestas de formulario 1.1'!EY$1,#REF!,0)))</f>
        <v/>
      </c>
      <c r="EZ67" s="56" t="str">
        <f t="array" ref="EZ67">IF($DQ67="","", INDEX(#REF!,MATCH(CONCATENATE('Respuestas de formulario 1.1'!$B67,$DQ67),#REF!,0),MATCH('Respuestas de formulario 1.1'!EZ$1,#REF!,0)))</f>
        <v/>
      </c>
      <c r="FA67" s="56" t="str">
        <f t="array" ref="FA67">IF($DQ67="","", INDEX(#REF!,MATCH(CONCATENATE('Respuestas de formulario 1.1'!$B67,$DQ67),#REF!,0),MATCH('Respuestas de formulario 1.1'!FA$1,#REF!,0)))</f>
        <v/>
      </c>
      <c r="FB67" s="56" t="str">
        <f t="array" ref="FB67">IF($DQ67="","", INDEX(#REF!,MATCH(CONCATENATE('Respuestas de formulario 1.1'!$B67,$DQ67),#REF!,0),MATCH('Respuestas de formulario 1.1'!FB$1,#REF!,0)))</f>
        <v/>
      </c>
      <c r="FC67" s="56" t="str">
        <f t="array" ref="FC67">IF($DQ67="","", INDEX(#REF!,MATCH(CONCATENATE('Respuestas de formulario 1.1'!$B67,$DQ67),#REF!,0),MATCH('Respuestas de formulario 1.1'!FC$1,#REF!,0)))</f>
        <v/>
      </c>
      <c r="FD67" s="45" t="str">
        <f t="array" ref="FD67">IF($DQ67="","", INDEX(#REF!,MATCH(CONCATENATE('Respuestas de formulario 1.1'!$B67,$DQ67),#REF!,0),MATCH('Respuestas de formulario 1.1'!FD$1,#REF!,0)))</f>
        <v/>
      </c>
      <c r="FE67" s="45" t="str">
        <f t="array" ref="FE67">IF($DR67="","", INDEX(#REF!,MATCH(CONCATENATE(#REF!,$DR67),#REF!,0),MATCH(#REF!,#REF!,0)))</f>
        <v/>
      </c>
      <c r="FF67" s="56" t="str">
        <f t="array" ref="FF67">IF($DR67="","", INDEX(#REF!,MATCH(CONCATENATE(#REF!,$DR67),#REF!,0),MATCH(#REF!,#REF!,0)))</f>
        <v/>
      </c>
      <c r="FG67" s="56" t="str">
        <f t="array" ref="FG67">IF($DR67="","", INDEX(#REF!,MATCH(CONCATENATE(#REF!,$DR67),#REF!,0),MATCH(#REF!,#REF!,0)))</f>
        <v/>
      </c>
      <c r="FH67" s="56" t="str">
        <f t="array" ref="FH67">IF($DR67="","", INDEX(#REF!,MATCH(CONCATENATE(#REF!,$DR67),#REF!,0),MATCH(#REF!,#REF!,0)))</f>
        <v/>
      </c>
      <c r="FI67" s="56" t="str">
        <f t="array" ref="FI67">IF($DR67="","", INDEX(#REF!,MATCH(CONCATENATE(#REF!,$DR67),#REF!,0),MATCH(#REF!,#REF!,0)))</f>
        <v/>
      </c>
      <c r="FJ67" s="56" t="str">
        <f t="array" ref="FJ67">IF($DR67="","", INDEX(#REF!,MATCH(CONCATENATE(#REF!,$DR67),#REF!,0),MATCH(#REF!,#REF!,0)))</f>
        <v/>
      </c>
      <c r="FK67" s="45" t="str">
        <f t="array" ref="FK67">IF($DR67="","", INDEX(#REF!,MATCH(CONCATENATE(#REF!,$DR67),#REF!,0),MATCH(#REF!,#REF!,0)))</f>
        <v/>
      </c>
      <c r="FL67" s="45" t="str">
        <f t="array" ref="FL67">IF($DT67="","", INDEX(#REF!,MATCH(CONCATENATE('Respuestas de formulario 1.1'!$B67,$DS67),#REF!,0),MATCH('Respuestas de formulario 1.1'!FL$1,#REF!,0)))</f>
        <v/>
      </c>
      <c r="FM67" s="56" t="str">
        <f t="array" ref="FM67">IF($DT67="","", INDEX(#REF!,MATCH(CONCATENATE('Respuestas de formulario 1.1'!$B67,$DS67),#REF!,0),MATCH('Respuestas de formulario 1.1'!FM$1,#REF!,0)))</f>
        <v/>
      </c>
      <c r="FN67" s="56" t="str">
        <f t="array" ref="FN67">IF($DT67="","", INDEX(#REF!,MATCH(CONCATENATE('Respuestas de formulario 1.1'!$B67,$DS67),#REF!,0),MATCH('Respuestas de formulario 1.1'!FN$1,#REF!,0)))</f>
        <v/>
      </c>
      <c r="FO67" s="56" t="str">
        <f t="array" ref="FO67">IF($DT67="","", INDEX(#REF!,MATCH(CONCATENATE('Respuestas de formulario 1.1'!$B67,$DS67),#REF!,0),MATCH('Respuestas de formulario 1.1'!FO$1,#REF!,0)))</f>
        <v/>
      </c>
      <c r="FP67" s="56" t="str">
        <f t="array" ref="FP67">IF($DT67="","", INDEX(#REF!,MATCH(CONCATENATE('Respuestas de formulario 1.1'!$B67,$DS67),#REF!,0),MATCH('Respuestas de formulario 1.1'!FP$1,#REF!,0)))</f>
        <v/>
      </c>
      <c r="FQ67" s="56" t="str">
        <f t="array" ref="FQ67">IF($DT67="","", INDEX(#REF!,MATCH(CONCATENATE('Respuestas de formulario 1.1'!$B67,$DS67),#REF!,0),MATCH('Respuestas de formulario 1.1'!FQ$1,#REF!,0)))</f>
        <v/>
      </c>
      <c r="FR67" s="45" t="str">
        <f t="array" ref="FR67">IF($DT67="","", INDEX(#REF!,MATCH(CONCATENATE('Respuestas de formulario 1.1'!$B67,$DS67),#REF!,0),MATCH('Respuestas de formulario 1.1'!FR$1,#REF!,0)))</f>
        <v/>
      </c>
      <c r="FS67" s="45" t="str">
        <f t="array" ref="FS67">IF($DU67="","", INDEX(#REF!,MATCH(CONCATENATE('Respuestas de formulario 1.1'!$B67,$DT67),#REF!,0),MATCH('Respuestas de formulario 1.1'!FS$1,#REF!,0)))</f>
        <v/>
      </c>
      <c r="FT67" s="56" t="str">
        <f t="array" ref="FT67">IF($DU67="","", INDEX(#REF!,MATCH(CONCATENATE('Respuestas de formulario 1.1'!$B67,$DT67),#REF!,0),MATCH('Respuestas de formulario 1.1'!FT$1,#REF!,0)))</f>
        <v/>
      </c>
      <c r="FU67" s="56" t="str">
        <f t="array" ref="FU67">IF($DU67="","", INDEX(#REF!,MATCH(CONCATENATE('Respuestas de formulario 1.1'!$B67,$DT67),#REF!,0),MATCH('Respuestas de formulario 1.1'!FU$1,#REF!,0)))</f>
        <v/>
      </c>
      <c r="FV67" s="56" t="str">
        <f t="array" ref="FV67">IF($DU67="","", INDEX(#REF!,MATCH(CONCATENATE('Respuestas de formulario 1.1'!$B67,$DT67),#REF!,0),MATCH('Respuestas de formulario 1.1'!FV$1,#REF!,0)))</f>
        <v/>
      </c>
      <c r="FW67" s="56" t="str">
        <f t="array" ref="FW67">IF($DU67="","", INDEX(#REF!,MATCH(CONCATENATE('Respuestas de formulario 1.1'!$B67,$DT67),#REF!,0),MATCH('Respuestas de formulario 1.1'!FW$1,#REF!,0)))</f>
        <v/>
      </c>
      <c r="FX67" s="56" t="str">
        <f t="array" ref="FX67">IF($DU67="","", INDEX(#REF!,MATCH(CONCATENATE('Respuestas de formulario 1.1'!$B67,$DT67),#REF!,0),MATCH('Respuestas de formulario 1.1'!FX$1,#REF!,0)))</f>
        <v/>
      </c>
      <c r="FY67" s="45" t="str">
        <f t="array" ref="FY67">IF($DU67="","", INDEX(#REF!,MATCH(CONCATENATE('Respuestas de formulario 1.1'!$B67,$DT67),#REF!,0),MATCH('Respuestas de formulario 1.1'!FY$1,#REF!,0)))</f>
        <v/>
      </c>
      <c r="FZ67" s="3" t="s">
        <v>2860</v>
      </c>
      <c r="GA67" s="1" t="s">
        <v>3979</v>
      </c>
      <c r="GB67" s="5" t="s">
        <v>3980</v>
      </c>
      <c r="GC67" s="4" t="str">
        <f>HYPERLINK("https://drive.google.com/file/d/1NIjPvmTWc3ugKq-PMLlC1fUjF4dAptaz/view?usp=drivesdk","PEREZ FIGUEROA RICARDO Formato de reinscripción y pago 2022-2")</f>
        <v>PEREZ FIGUEROA RICARDO Formato de reinscripción y pago 2022-2</v>
      </c>
      <c r="GD67" s="1" t="s">
        <v>3981</v>
      </c>
      <c r="GE67" s="1"/>
      <c r="GF67" s="1"/>
      <c r="GG67" s="1"/>
      <c r="GH67" s="1"/>
      <c r="GI67" s="1" t="s">
        <v>3982</v>
      </c>
      <c r="GJ67" s="5" t="s">
        <v>3983</v>
      </c>
      <c r="GK67" s="5" t="str">
        <f>HYPERLINK("https://drive.google.com/file/d/1KWusScNPaZD99Rfn0qOJZFWwlp1bPAZT/view?usp=drivesdk","PEREZ FIGUEROA RICARDO Formato de reinscripción y pago 2022-2")</f>
        <v>PEREZ FIGUEROA RICARDO Formato de reinscripción y pago 2022-2</v>
      </c>
      <c r="GL67" s="1" t="s">
        <v>3984</v>
      </c>
    </row>
    <row r="68" spans="1:194" ht="38.25" x14ac:dyDescent="0.2">
      <c r="A68" s="2">
        <v>45141.711972256948</v>
      </c>
      <c r="B68" s="1" t="s">
        <v>62</v>
      </c>
      <c r="C68" s="1" t="s">
        <v>2229</v>
      </c>
      <c r="D68" s="1" t="s">
        <v>734</v>
      </c>
      <c r="E68" s="1" t="s">
        <v>903</v>
      </c>
      <c r="F68" s="1" t="s">
        <v>223</v>
      </c>
      <c r="G68" s="5" t="s">
        <v>3985</v>
      </c>
      <c r="H68" s="41">
        <v>38839</v>
      </c>
      <c r="I68" s="1">
        <v>17</v>
      </c>
      <c r="J68" s="1">
        <v>5542878144</v>
      </c>
      <c r="K68" s="1">
        <v>5558458597</v>
      </c>
      <c r="L68" s="1" t="s">
        <v>3986</v>
      </c>
      <c r="M68" s="1">
        <v>21309060570489</v>
      </c>
      <c r="N68" s="1" t="s">
        <v>1108</v>
      </c>
      <c r="O68" s="1" t="s">
        <v>225</v>
      </c>
      <c r="P68" s="1" t="s">
        <v>226</v>
      </c>
      <c r="Q68" s="1" t="s">
        <v>248</v>
      </c>
      <c r="R68" s="1" t="s">
        <v>236</v>
      </c>
      <c r="S68" s="1" t="s">
        <v>228</v>
      </c>
      <c r="T68" s="1" t="s">
        <v>411</v>
      </c>
      <c r="U68" s="1" t="s">
        <v>249</v>
      </c>
      <c r="V68" s="1" t="s">
        <v>228</v>
      </c>
      <c r="W68" s="1" t="s">
        <v>2230</v>
      </c>
      <c r="X68" s="1" t="s">
        <v>249</v>
      </c>
      <c r="Y68" s="1" t="s">
        <v>1886</v>
      </c>
      <c r="Z68" s="1" t="s">
        <v>240</v>
      </c>
      <c r="AA68" s="44" t="s">
        <v>676</v>
      </c>
      <c r="AB68" s="1">
        <v>21</v>
      </c>
      <c r="AC68" s="1">
        <v>14</v>
      </c>
      <c r="AD68" s="1" t="s">
        <v>2231</v>
      </c>
      <c r="AE68" s="1" t="s">
        <v>3987</v>
      </c>
      <c r="AF68" s="1" t="s">
        <v>445</v>
      </c>
      <c r="AG68" s="1">
        <v>48</v>
      </c>
      <c r="AH68" s="5" t="s">
        <v>3988</v>
      </c>
      <c r="AI68" s="1">
        <v>5543106426</v>
      </c>
      <c r="AJ68" s="1">
        <v>5558458597</v>
      </c>
      <c r="AK68" s="1" t="s">
        <v>2232</v>
      </c>
      <c r="AL68" s="1" t="s">
        <v>2229</v>
      </c>
      <c r="AM68" s="1" t="s">
        <v>469</v>
      </c>
      <c r="AN68" s="1" t="s">
        <v>2023</v>
      </c>
      <c r="AO68" s="1" t="s">
        <v>650</v>
      </c>
      <c r="AP68" s="1">
        <v>47</v>
      </c>
      <c r="AQ68" s="1" t="s">
        <v>1784</v>
      </c>
      <c r="AR68" s="42">
        <v>0.375</v>
      </c>
      <c r="AS68" s="42">
        <v>0.25</v>
      </c>
      <c r="AT68" s="1">
        <v>5512832457</v>
      </c>
      <c r="AU68" s="1">
        <v>5558458597</v>
      </c>
      <c r="AV68" s="1" t="s">
        <v>3989</v>
      </c>
      <c r="AW68" s="5" t="s">
        <v>3990</v>
      </c>
      <c r="AX68" s="1" t="s">
        <v>2229</v>
      </c>
      <c r="AY68" s="1" t="s">
        <v>734</v>
      </c>
      <c r="AZ68" s="1" t="s">
        <v>3991</v>
      </c>
      <c r="BA68" s="1" t="s">
        <v>758</v>
      </c>
      <c r="BB68" s="1">
        <v>21</v>
      </c>
      <c r="BC68" s="1" t="s">
        <v>1784</v>
      </c>
      <c r="BD68" s="43">
        <v>0.29166666666424135</v>
      </c>
      <c r="BE68" s="43">
        <v>0.25</v>
      </c>
      <c r="BF68" s="1">
        <v>5511093426</v>
      </c>
      <c r="BG68" s="1">
        <v>5558458597</v>
      </c>
      <c r="BH68" s="1" t="s">
        <v>3992</v>
      </c>
      <c r="BI68" s="5" t="s">
        <v>3993</v>
      </c>
      <c r="BJ68" s="1" t="s">
        <v>236</v>
      </c>
      <c r="BL68" s="1">
        <v>1.61</v>
      </c>
      <c r="BM68" s="1">
        <v>57</v>
      </c>
      <c r="BN68" s="1" t="s">
        <v>228</v>
      </c>
      <c r="BO68" s="1" t="s">
        <v>228</v>
      </c>
      <c r="BQ68" s="1" t="s">
        <v>228</v>
      </c>
      <c r="BR68" s="1" t="s">
        <v>237</v>
      </c>
      <c r="BS68" s="1" t="s">
        <v>228</v>
      </c>
      <c r="BT68" s="1" t="s">
        <v>237</v>
      </c>
      <c r="BU68" s="1" t="s">
        <v>228</v>
      </c>
      <c r="BW68" s="1" t="s">
        <v>238</v>
      </c>
      <c r="BX68" s="1">
        <v>140</v>
      </c>
      <c r="BY68" s="1">
        <v>300</v>
      </c>
      <c r="BZ68" s="1" t="s">
        <v>253</v>
      </c>
      <c r="CA68" s="1" t="s">
        <v>557</v>
      </c>
      <c r="CB68" s="1" t="s">
        <v>240</v>
      </c>
      <c r="CC68" s="1" t="s">
        <v>274</v>
      </c>
      <c r="CD68" s="1">
        <v>1000</v>
      </c>
      <c r="CE68" s="1">
        <v>2000</v>
      </c>
      <c r="CF68" s="1" t="s">
        <v>228</v>
      </c>
      <c r="CG68" s="1" t="s">
        <v>242</v>
      </c>
      <c r="CH68" s="1" t="s">
        <v>243</v>
      </c>
      <c r="CI68" s="1" t="s">
        <v>243</v>
      </c>
      <c r="CJ68" s="1" t="s">
        <v>2848</v>
      </c>
      <c r="CL68" s="5" t="s">
        <v>3994</v>
      </c>
      <c r="CM68" s="44" t="s">
        <v>2234</v>
      </c>
      <c r="CN68" s="1" t="s">
        <v>228</v>
      </c>
      <c r="CQ68" s="42">
        <v>0.375</v>
      </c>
      <c r="CR68" s="42">
        <v>0.5</v>
      </c>
      <c r="CT68" s="45" t="str">
        <f t="array" ref="CT68">IFERROR(INDEX(#REF!,MATCH('Respuestas de formulario 1.1'!$B68,#REF!,0),MATCH('Respuestas de formulario 1.1'!CT$1,#REF!,0)),"")</f>
        <v/>
      </c>
      <c r="CU68" s="56" t="str">
        <f t="array" ref="CU68">IFERROR(INDEX(#REF!,MATCH('Respuestas de formulario 1.1'!$B68,#REF!,0),MATCH('Respuestas de formulario 1.1'!CU$1,#REF!,0)),"")</f>
        <v/>
      </c>
      <c r="CV68" s="56" t="str">
        <f t="array" ref="CV68">IFERROR(INDEX(#REF!,MATCH('Respuestas de formulario 1.1'!$B68,#REF!,0),MATCH('Respuestas de formulario 1.1'!CV$1,#REF!,0)),"")</f>
        <v/>
      </c>
      <c r="CW68" s="56" t="str">
        <f t="array" ref="CW68">IFERROR(INDEX(#REF!,MATCH('Respuestas de formulario 1.1'!$B68,#REF!,0),MATCH('Respuestas de formulario 1.1'!CW$1,#REF!,0)),"")</f>
        <v/>
      </c>
      <c r="CX68" s="56" t="str">
        <f t="array" ref="CX68">IFERROR(INDEX(#REF!,MATCH('Respuestas de formulario 1.1'!$B68,#REF!,0),MATCH('Respuestas de formulario 1.1'!CX$1,#REF!,0)),"")</f>
        <v/>
      </c>
      <c r="CY68" s="56" t="str">
        <f t="array" ref="CY68">IFERROR(INDEX(#REF!,MATCH('Respuestas de formulario 1.1'!$B68,#REF!,0),MATCH('Respuestas de formulario 1.1'!CY$1,#REF!,0)),"")</f>
        <v/>
      </c>
      <c r="CZ68" s="57" t="str">
        <f t="array" ref="CZ68">IFERROR(INDEX(#REF!,MATCH('Respuestas de formulario 1.1'!$B68,#REF!,0),MATCH('Respuestas de formulario 1.1'!CZ$1,#REF!,0)),"")</f>
        <v/>
      </c>
      <c r="DA68" s="45" t="e">
        <f t="array" ref="DA68">INDEX(#REF!,MATCH('Respuestas de formulario 1.1'!$B68,#REF!,0),MATCH('Respuestas de formulario 1.1'!DA$1,#REF!,0))</f>
        <v>#REF!</v>
      </c>
      <c r="DB68" s="45" t="e">
        <f t="array" ref="DB68">INDEX(#REF!,MATCH('Respuestas de formulario 1.1'!$B68,#REF!,0),MATCH('Respuestas de formulario 1.1'!DB$1,#REF!,0))</f>
        <v>#REF!</v>
      </c>
      <c r="DC68" s="45" t="e">
        <f t="array" ref="DC68">INDEX(#REF!,MATCH('Respuestas de formulario 1.1'!$B68,#REF!,0),MATCH('Respuestas de formulario 1.1'!DC$1,#REF!,0))</f>
        <v>#REF!</v>
      </c>
      <c r="DD68" s="45" t="e">
        <f t="array" ref="DD68">INDEX(#REF!,MATCH('Respuestas de formulario 1.1'!$B68,#REF!,0),MATCH('Respuestas de formulario 1.1'!DD$1,#REF!,0))</f>
        <v>#REF!</v>
      </c>
      <c r="DE68" s="45" t="e">
        <f t="array" ref="DE68">INDEX(#REF!,MATCH('Respuestas de formulario 1.1'!$B68,#REF!,0),MATCH('Respuestas de formulario 1.1'!DE$1,#REF!,0))</f>
        <v>#REF!</v>
      </c>
      <c r="DF68" s="45" t="e">
        <f t="array" ref="DF68">INDEX(#REF!,MATCH('Respuestas de formulario 1.1'!$B68,#REF!,0),MATCH('Respuestas de formulario 1.1'!DF$1,#REF!,0))</f>
        <v>#REF!</v>
      </c>
      <c r="DG68" s="45" t="e">
        <f t="array" ref="DG68">INDEX(#REF!,MATCH('Respuestas de formulario 1.1'!$B68,#REF!,0),MATCH('Respuestas de formulario 1.1'!DG$1,#REF!,0))</f>
        <v>#REF!</v>
      </c>
      <c r="DH68" s="45" t="e">
        <f t="array" ref="DH68">INDEX(#REF!,MATCH('Respuestas de formulario 1.1'!$B68,#REF!,0),MATCH('Respuestas de formulario 1.1'!DH$1,#REF!,0))</f>
        <v>#REF!</v>
      </c>
      <c r="DI68" s="48" t="e">
        <f>VLOOKUP(CONCATENATE($DF68," TUTO ",$DC68),#REF!,3,0)</f>
        <v>#REF!</v>
      </c>
      <c r="DJ68" s="48" t="e">
        <f t="array" ref="DJ68">IF('Respuestas de formulario 1.1'!A68="","",INDEX(#REF!,MATCH('Respuestas de formulario 1.1'!B68,#REF!,0),MATCH('Respuestas de formulario 1.1'!$DH$1,#REF!,0)))</f>
        <v>#REF!</v>
      </c>
      <c r="DK68" s="52" t="str">
        <f>CONCATENATE("http://doc.google.com/uc?id=",MID('Respuestas de formulario 1.1'!G68,34,33))</f>
        <v>http://doc.google.com/uc?id=13qs07BrNUen2DEfHeHUY8o61MxrEKPPe</v>
      </c>
      <c r="DL68" s="49" t="str">
        <f>CONCATENATE("http://doc.google.com/uc?id=",MID('Respuestas de formulario 1.1'!AH68,34,33))</f>
        <v>http://doc.google.com/uc?id=19TffVd0jQI_ZvXJ7HKa_TCZBZq-N0Zfo</v>
      </c>
      <c r="DM68" s="50" t="str">
        <f>CONCATENATE("http://doc.google.com/uc?id=",MID('Respuestas de formulario 1.1'!AW68,34,33))</f>
        <v>http://doc.google.com/uc?id=16HKNE-wBD68B92YOYJZJw70dO1M7usa6</v>
      </c>
      <c r="DN68" s="53" t="str">
        <f>CONCATENATE("http://doc.google.com/uc?id=",MID('Respuestas de formulario 1.1'!$BI68,34,33))</f>
        <v>http://doc.google.com/uc?id=1aiPIMfR41IJwnzqnJR7Rqnbyld7sVLcO</v>
      </c>
      <c r="DO68" s="45" t="str">
        <f>IFERROR(VLOOKUP(CONCATENATE('Respuestas de formulario 1.1'!$B68,MID('Respuestas de formulario 1.1'!DO$1,2,1)),#REF!,12,0),"")</f>
        <v/>
      </c>
      <c r="DP68" s="45" t="str">
        <f>IFERROR(VLOOKUP(CONCATENATE('Respuestas de formulario 1.1'!$B68,MID('Respuestas de formulario 1.1'!DP$1,2,1)),#REF!,12,0),"")</f>
        <v/>
      </c>
      <c r="DQ68" s="45" t="str">
        <f>IFERROR(VLOOKUP(CONCATENATE('Respuestas de formulario 1.1'!$B68,MID('Respuestas de formulario 1.1'!DQ$1,2,1)),#REF!,12,0),"")</f>
        <v/>
      </c>
      <c r="DR68" s="45" t="str">
        <f>IFERROR(VLOOKUP(CONCATENATE('Respuestas de formulario 1.1'!$B68,MID('Respuestas de formulario 1.1'!DR$1,2,1)),#REF!,12,0),"")</f>
        <v/>
      </c>
      <c r="DS68" s="45" t="str">
        <f>IFERROR(VLOOKUP(CONCATENATE('Respuestas de formulario 1.1'!$B68,MID('Respuestas de formulario 1.1'!DS$1,2,1)),#REF!,12,0),"")</f>
        <v/>
      </c>
      <c r="DT68" s="45" t="str">
        <f>IFERROR(VLOOKUP(CONCATENATE('Respuestas de formulario 1.1'!$B68,MID('Respuestas de formulario 1.1'!DT$1,2,1)),#REF!,12,0),"")</f>
        <v/>
      </c>
      <c r="DU68" s="45" t="str">
        <f>IFERROR(VLOOKUP(CONCATENATE('Respuestas de formulario 1.1'!$B68,MID('Respuestas de formulario 1.1'!DU$1,2,1)),#REF!,12,0),"")</f>
        <v/>
      </c>
      <c r="DV68" s="45" t="str">
        <f>IFERROR(VLOOKUP(CONCATENATE('Respuestas de formulario 1.1'!$B68,MID('Respuestas de formulario 1.1'!DV$1,2,1)),#REF!,12,0),"")</f>
        <v/>
      </c>
      <c r="DW68" s="45" t="str">
        <f>IFERROR(VLOOKUP(CONCATENATE('Respuestas de formulario 1.1'!$B68,MID('Respuestas de formulario 1.1'!DW$1,2,1)),#REF!,12,0),"")</f>
        <v/>
      </c>
      <c r="DX68" s="45" t="str">
        <f>IFERROR(VLOOKUP(CONCATENATE('Respuestas de formulario 1.1'!$B68,MID('Respuestas de formulario 1.1'!DX$1,2,1)),#REF!,12,0),"")</f>
        <v/>
      </c>
      <c r="DY68" s="45" t="str">
        <f>IFERROR(VLOOKUP(CONCATENATE('Respuestas de formulario 1.1'!$B68,MID('Respuestas de formulario 1.1'!DY$1,2,1)),#REF!,12,0),"")</f>
        <v/>
      </c>
      <c r="DZ68" s="45" t="str">
        <f>IFERROR(VLOOKUP(CONCATENATE('Respuestas de formulario 1.1'!$B68,MID('Respuestas de formulario 1.1'!DZ$1,2,1)),#REF!,12,0),"")</f>
        <v/>
      </c>
      <c r="EA68" s="45" t="str">
        <f>IFERROR(VLOOKUP(CONCATENATE('Respuestas de formulario 1.1'!$B68,MID('Respuestas de formulario 1.1'!EA$1,2,1)),#REF!,12,0),"")</f>
        <v/>
      </c>
      <c r="EB68" s="45" t="str">
        <f>IFERROR(VLOOKUP(CONCATENATE('Respuestas de formulario 1.1'!$B68,MID('Respuestas de formulario 1.1'!EB$1,2,1)),#REF!,12,0),"")</f>
        <v/>
      </c>
      <c r="EC68" s="45" t="str">
        <f>IFERROR(VLOOKUP(CONCATENATE('Respuestas de formulario 1.1'!$B68,MID('Respuestas de formulario 1.1'!EC$1,2,1)),#REF!,12,0),"")</f>
        <v/>
      </c>
      <c r="ED68" s="45" t="str">
        <f>IFERROR(VLOOKUP(CONCATENATE('Respuestas de formulario 1.1'!$B68,MID('Respuestas de formulario 1.1'!ED$1,2,1)),#REF!,12,0),"")</f>
        <v/>
      </c>
      <c r="EE68" s="45" t="str">
        <f>IFERROR(VLOOKUP(CONCATENATE('Respuestas de formulario 1.1'!$B68,MID('Respuestas de formulario 1.1'!EE$1,2,1)),#REF!,12,0),"")</f>
        <v/>
      </c>
      <c r="EF68" s="45" t="str">
        <f>IFERROR(VLOOKUP(CONCATENATE('Respuestas de formulario 1.1'!$B68,MID('Respuestas de formulario 1.1'!EF$1,2,1)),#REF!,12,0),"")</f>
        <v/>
      </c>
      <c r="EG68" s="45" t="str">
        <f>IFERROR(VLOOKUP(CONCATENATE('Respuestas de formulario 1.1'!$B68,MID('Respuestas de formulario 1.1'!EG$1,2,1)),#REF!,12,0),"")</f>
        <v/>
      </c>
      <c r="EH68" s="45" t="str">
        <f>IFERROR(VLOOKUP(CONCATENATE('Respuestas de formulario 1.1'!$B68,MID('Respuestas de formulario 1.1'!EH$1,2,1)),#REF!,12,0),"")</f>
        <v/>
      </c>
      <c r="EI68" s="45" t="str">
        <f>IFERROR(VLOOKUP(CONCATENATE('Respuestas de formulario 1.1'!$B68,MID('Respuestas de formulario 1.1'!EI$1,2,1)),#REF!,12,0),"")</f>
        <v/>
      </c>
      <c r="EJ68" s="45" t="str">
        <f t="array" ref="EJ68">IF(DO68="","", INDEX(#REF!,MATCH(CONCATENATE('Respuestas de formulario 1.1'!$B68,DO68),#REF!,0),MATCH('Respuestas de formulario 1.1'!EJ$1,#REF!,0)))</f>
        <v/>
      </c>
      <c r="EK68" s="56" t="str">
        <f t="array" ref="EK68">IF(DP68="","", INDEX(#REF!,MATCH(CONCATENATE('Respuestas de formulario 1.1'!$B68,DP68),#REF!,0),MATCH('Respuestas de formulario 1.1'!EK$1,#REF!,0)))</f>
        <v/>
      </c>
      <c r="EL68" s="56" t="str">
        <f t="array" ref="EL68">IF(DQ68="","", INDEX(#REF!,MATCH(CONCATENATE('Respuestas de formulario 1.1'!$B68,DQ68),#REF!,0),MATCH('Respuestas de formulario 1.1'!EL$1,#REF!,0)))</f>
        <v/>
      </c>
      <c r="EM68" s="56" t="str">
        <f t="array" ref="EM68">IF(DR68="","", INDEX(#REF!,MATCH(CONCATENATE('Respuestas de formulario 1.1'!$B68,DR68),#REF!,0),MATCH('Respuestas de formulario 1.1'!EM$1,#REF!,0)))</f>
        <v/>
      </c>
      <c r="EN68" s="56" t="str">
        <f t="array" ref="EN68">IF(DS68="","", INDEX(#REF!,MATCH(CONCATENATE('Respuestas de formulario 1.1'!$B68,DS68),#REF!,0),MATCH('Respuestas de formulario 1.1'!EN$1,#REF!,0)))</f>
        <v/>
      </c>
      <c r="EO68" s="56" t="str">
        <f t="array" ref="EO68">IF(DT68="","", INDEX(#REF!,MATCH(CONCATENATE('Respuestas de formulario 1.1'!$B68,DT68),#REF!,0),MATCH('Respuestas de formulario 1.1'!EO$1,#REF!,0)))</f>
        <v/>
      </c>
      <c r="EP68" s="45" t="str">
        <f t="array" ref="EP68">IF(DU68="","", INDEX(#REF!,MATCH(CONCATENATE('Respuestas de formulario 1.1'!$B68,DU68),#REF!,0),MATCH('Respuestas de formulario 1.1'!EP$1,#REF!,0)))</f>
        <v/>
      </c>
      <c r="EQ68" s="45" t="str">
        <f t="array" ref="EQ68">IF(DP68="","", INDEX(#REF!,MATCH(CONCATENATE('Respuestas de formulario 1.1'!$B68,DP68),#REF!,0),MATCH('Respuestas de formulario 1.1'!EQ$1,#REF!,0)))</f>
        <v/>
      </c>
      <c r="ER68" s="56" t="str">
        <f t="array" ref="ER68">IF(DQ68="","", INDEX(#REF!,MATCH(CONCATENATE('Respuestas de formulario 1.1'!$B68,DQ68),#REF!,0),MATCH('Respuestas de formulario 1.1'!ER$1,#REF!,0)))</f>
        <v/>
      </c>
      <c r="ES68" s="56" t="str">
        <f t="array" ref="ES68">IF(DR68="","", INDEX(#REF!,MATCH(CONCATENATE('Respuestas de formulario 1.1'!$B68,DR68),#REF!,0),MATCH('Respuestas de formulario 1.1'!ES$1,#REF!,0)))</f>
        <v/>
      </c>
      <c r="ET68" s="56" t="str">
        <f t="array" ref="ET68">IF(DS68="","", INDEX(#REF!,MATCH(CONCATENATE('Respuestas de formulario 1.1'!$B68,DS68),#REF!,0),MATCH('Respuestas de formulario 1.1'!ET$1,#REF!,0)))</f>
        <v/>
      </c>
      <c r="EU68" s="56" t="str">
        <f t="array" ref="EU68">IF(DT68="","", INDEX(#REF!,MATCH(CONCATENATE('Respuestas de formulario 1.1'!$B68,DT68),#REF!,0),MATCH('Respuestas de formulario 1.1'!EU$1,#REF!,0)))</f>
        <v/>
      </c>
      <c r="EV68" s="56" t="str">
        <f t="array" ref="EV68">IF(DU68="","", INDEX(#REF!,MATCH(CONCATENATE('Respuestas de formulario 1.1'!$B68,DU68),#REF!,0),MATCH('Respuestas de formulario 1.1'!EV$1,#REF!,0)))</f>
        <v/>
      </c>
      <c r="EW68" s="45" t="str">
        <f t="array" ref="EW68">IF(DV68="","", INDEX(#REF!,MATCH(CONCATENATE('Respuestas de formulario 1.1'!$B68,DV68),#REF!,0),MATCH('Respuestas de formulario 1.1'!EW$1,#REF!,0)))</f>
        <v/>
      </c>
      <c r="EX68" s="45" t="str">
        <f t="array" ref="EX68">IF($DQ68="","", INDEX(#REF!,MATCH(CONCATENATE('Respuestas de formulario 1.1'!$B68,$DQ68),#REF!,0),MATCH('Respuestas de formulario 1.1'!EX$1,#REF!,0)))</f>
        <v/>
      </c>
      <c r="EY68" s="56" t="str">
        <f t="array" ref="EY68">IF($DQ68="","", INDEX(#REF!,MATCH(CONCATENATE('Respuestas de formulario 1.1'!$B68,$DQ68),#REF!,0),MATCH('Respuestas de formulario 1.1'!EY$1,#REF!,0)))</f>
        <v/>
      </c>
      <c r="EZ68" s="56" t="str">
        <f t="array" ref="EZ68">IF($DQ68="","", INDEX(#REF!,MATCH(CONCATENATE('Respuestas de formulario 1.1'!$B68,$DQ68),#REF!,0),MATCH('Respuestas de formulario 1.1'!EZ$1,#REF!,0)))</f>
        <v/>
      </c>
      <c r="FA68" s="56" t="str">
        <f t="array" ref="FA68">IF($DQ68="","", INDEX(#REF!,MATCH(CONCATENATE('Respuestas de formulario 1.1'!$B68,$DQ68),#REF!,0),MATCH('Respuestas de formulario 1.1'!FA$1,#REF!,0)))</f>
        <v/>
      </c>
      <c r="FB68" s="56" t="str">
        <f t="array" ref="FB68">IF($DQ68="","", INDEX(#REF!,MATCH(CONCATENATE('Respuestas de formulario 1.1'!$B68,$DQ68),#REF!,0),MATCH('Respuestas de formulario 1.1'!FB$1,#REF!,0)))</f>
        <v/>
      </c>
      <c r="FC68" s="56" t="str">
        <f t="array" ref="FC68">IF($DQ68="","", INDEX(#REF!,MATCH(CONCATENATE('Respuestas de formulario 1.1'!$B68,$DQ68),#REF!,0),MATCH('Respuestas de formulario 1.1'!FC$1,#REF!,0)))</f>
        <v/>
      </c>
      <c r="FD68" s="45" t="str">
        <f t="array" ref="FD68">IF($DQ68="","", INDEX(#REF!,MATCH(CONCATENATE('Respuestas de formulario 1.1'!$B68,$DQ68),#REF!,0),MATCH('Respuestas de formulario 1.1'!FD$1,#REF!,0)))</f>
        <v/>
      </c>
      <c r="FE68" s="45" t="str">
        <f t="array" ref="FE68">IF($DR68="","", INDEX(#REF!,MATCH(CONCATENATE(#REF!,$DR68),#REF!,0),MATCH(#REF!,#REF!,0)))</f>
        <v/>
      </c>
      <c r="FF68" s="56" t="str">
        <f t="array" ref="FF68">IF($DR68="","", INDEX(#REF!,MATCH(CONCATENATE(#REF!,$DR68),#REF!,0),MATCH(#REF!,#REF!,0)))</f>
        <v/>
      </c>
      <c r="FG68" s="56" t="str">
        <f t="array" ref="FG68">IF($DR68="","", INDEX(#REF!,MATCH(CONCATENATE(#REF!,$DR68),#REF!,0),MATCH(#REF!,#REF!,0)))</f>
        <v/>
      </c>
      <c r="FH68" s="56" t="str">
        <f t="array" ref="FH68">IF($DR68="","", INDEX(#REF!,MATCH(CONCATENATE(#REF!,$DR68),#REF!,0),MATCH(#REF!,#REF!,0)))</f>
        <v/>
      </c>
      <c r="FI68" s="56" t="str">
        <f t="array" ref="FI68">IF($DR68="","", INDEX(#REF!,MATCH(CONCATENATE(#REF!,$DR68),#REF!,0),MATCH(#REF!,#REF!,0)))</f>
        <v/>
      </c>
      <c r="FJ68" s="56" t="str">
        <f t="array" ref="FJ68">IF($DR68="","", INDEX(#REF!,MATCH(CONCATENATE(#REF!,$DR68),#REF!,0),MATCH(#REF!,#REF!,0)))</f>
        <v/>
      </c>
      <c r="FK68" s="45" t="str">
        <f t="array" ref="FK68">IF($DR68="","", INDEX(#REF!,MATCH(CONCATENATE(#REF!,$DR68),#REF!,0),MATCH(#REF!,#REF!,0)))</f>
        <v/>
      </c>
      <c r="FL68" s="45" t="str">
        <f t="array" ref="FL68">IF($DT68="","", INDEX(#REF!,MATCH(CONCATENATE('Respuestas de formulario 1.1'!$B68,$DS68),#REF!,0),MATCH('Respuestas de formulario 1.1'!FL$1,#REF!,0)))</f>
        <v/>
      </c>
      <c r="FM68" s="56" t="str">
        <f t="array" ref="FM68">IF($DT68="","", INDEX(#REF!,MATCH(CONCATENATE('Respuestas de formulario 1.1'!$B68,$DS68),#REF!,0),MATCH('Respuestas de formulario 1.1'!FM$1,#REF!,0)))</f>
        <v/>
      </c>
      <c r="FN68" s="56" t="str">
        <f t="array" ref="FN68">IF($DT68="","", INDEX(#REF!,MATCH(CONCATENATE('Respuestas de formulario 1.1'!$B68,$DS68),#REF!,0),MATCH('Respuestas de formulario 1.1'!FN$1,#REF!,0)))</f>
        <v/>
      </c>
      <c r="FO68" s="56" t="str">
        <f t="array" ref="FO68">IF($DT68="","", INDEX(#REF!,MATCH(CONCATENATE('Respuestas de formulario 1.1'!$B68,$DS68),#REF!,0),MATCH('Respuestas de formulario 1.1'!FO$1,#REF!,0)))</f>
        <v/>
      </c>
      <c r="FP68" s="56" t="str">
        <f t="array" ref="FP68">IF($DT68="","", INDEX(#REF!,MATCH(CONCATENATE('Respuestas de formulario 1.1'!$B68,$DS68),#REF!,0),MATCH('Respuestas de formulario 1.1'!FP$1,#REF!,0)))</f>
        <v/>
      </c>
      <c r="FQ68" s="56" t="str">
        <f t="array" ref="FQ68">IF($DT68="","", INDEX(#REF!,MATCH(CONCATENATE('Respuestas de formulario 1.1'!$B68,$DS68),#REF!,0),MATCH('Respuestas de formulario 1.1'!FQ$1,#REF!,0)))</f>
        <v/>
      </c>
      <c r="FR68" s="45" t="str">
        <f t="array" ref="FR68">IF($DT68="","", INDEX(#REF!,MATCH(CONCATENATE('Respuestas de formulario 1.1'!$B68,$DS68),#REF!,0),MATCH('Respuestas de formulario 1.1'!FR$1,#REF!,0)))</f>
        <v/>
      </c>
      <c r="FS68" s="45" t="str">
        <f t="array" ref="FS68">IF($DU68="","", INDEX(#REF!,MATCH(CONCATENATE('Respuestas de formulario 1.1'!$B68,$DT68),#REF!,0),MATCH('Respuestas de formulario 1.1'!FS$1,#REF!,0)))</f>
        <v/>
      </c>
      <c r="FT68" s="56" t="str">
        <f t="array" ref="FT68">IF($DU68="","", INDEX(#REF!,MATCH(CONCATENATE('Respuestas de formulario 1.1'!$B68,$DT68),#REF!,0),MATCH('Respuestas de formulario 1.1'!FT$1,#REF!,0)))</f>
        <v/>
      </c>
      <c r="FU68" s="56" t="str">
        <f t="array" ref="FU68">IF($DU68="","", INDEX(#REF!,MATCH(CONCATENATE('Respuestas de formulario 1.1'!$B68,$DT68),#REF!,0),MATCH('Respuestas de formulario 1.1'!FU$1,#REF!,0)))</f>
        <v/>
      </c>
      <c r="FV68" s="56" t="str">
        <f t="array" ref="FV68">IF($DU68="","", INDEX(#REF!,MATCH(CONCATENATE('Respuestas de formulario 1.1'!$B68,$DT68),#REF!,0),MATCH('Respuestas de formulario 1.1'!FV$1,#REF!,0)))</f>
        <v/>
      </c>
      <c r="FW68" s="56" t="str">
        <f t="array" ref="FW68">IF($DU68="","", INDEX(#REF!,MATCH(CONCATENATE('Respuestas de formulario 1.1'!$B68,$DT68),#REF!,0),MATCH('Respuestas de formulario 1.1'!FW$1,#REF!,0)))</f>
        <v/>
      </c>
      <c r="FX68" s="56" t="str">
        <f t="array" ref="FX68">IF($DU68="","", INDEX(#REF!,MATCH(CONCATENATE('Respuestas de formulario 1.1'!$B68,$DT68),#REF!,0),MATCH('Respuestas de formulario 1.1'!FX$1,#REF!,0)))</f>
        <v/>
      </c>
      <c r="FY68" s="45" t="str">
        <f t="array" ref="FY68">IF($DU68="","", INDEX(#REF!,MATCH(CONCATENATE('Respuestas de formulario 1.1'!$B68,$DT68),#REF!,0),MATCH('Respuestas de formulario 1.1'!FY$1,#REF!,0)))</f>
        <v/>
      </c>
      <c r="FZ68" s="3" t="s">
        <v>2860</v>
      </c>
      <c r="GA68" s="1" t="s">
        <v>3995</v>
      </c>
      <c r="GB68" s="5" t="s">
        <v>3996</v>
      </c>
      <c r="GC68" s="4" t="str">
        <f>HYPERLINK("https://drive.google.com/file/d/1IOxg2AS73tlUZkVGQE4I9VjUXcVnWjQb/view?usp=drivesdk","DIONICIO  MORENO  ANDREA  Formato de reinscripción y pago 2022-2")</f>
        <v>DIONICIO  MORENO  ANDREA  Formato de reinscripción y pago 2022-2</v>
      </c>
      <c r="GD68" s="1" t="s">
        <v>3997</v>
      </c>
      <c r="GE68" s="1"/>
      <c r="GF68" s="1"/>
      <c r="GG68" s="1"/>
      <c r="GH68" s="1"/>
      <c r="GI68" s="1" t="s">
        <v>3998</v>
      </c>
      <c r="GJ68" s="5" t="s">
        <v>3999</v>
      </c>
      <c r="GK68" s="4" t="str">
        <f>HYPERLINK("https://drive.google.com/file/d/1Ie9ZeRxlRIcJ9KvRjrl3D60F_FYIK_fU/view?usp=drivesdk","DIONICIO  MORENO  ANDREA  Formato de reinscripción y pago 2022-2")</f>
        <v>DIONICIO  MORENO  ANDREA  Formato de reinscripción y pago 2022-2</v>
      </c>
      <c r="GL68" s="1" t="s">
        <v>4000</v>
      </c>
    </row>
    <row r="69" spans="1:194" ht="38.25" x14ac:dyDescent="0.2">
      <c r="A69" s="2">
        <v>45139.368344664355</v>
      </c>
      <c r="B69" s="1" t="s">
        <v>2257</v>
      </c>
      <c r="C69" s="1" t="s">
        <v>553</v>
      </c>
      <c r="D69" s="1" t="s">
        <v>1983</v>
      </c>
      <c r="E69" s="1" t="s">
        <v>2258</v>
      </c>
      <c r="F69" s="1" t="s">
        <v>262</v>
      </c>
      <c r="G69" s="5" t="s">
        <v>4001</v>
      </c>
      <c r="H69" s="41">
        <v>39116</v>
      </c>
      <c r="I69" s="1">
        <v>16</v>
      </c>
      <c r="J69" s="1">
        <v>5628070664</v>
      </c>
      <c r="K69" s="1">
        <v>5584316718</v>
      </c>
      <c r="L69" s="1" t="s">
        <v>2259</v>
      </c>
      <c r="M69" s="1">
        <v>22309060570728</v>
      </c>
      <c r="N69" s="1" t="s">
        <v>562</v>
      </c>
      <c r="O69" s="1" t="s">
        <v>247</v>
      </c>
      <c r="P69" s="1" t="s">
        <v>278</v>
      </c>
      <c r="Q69" s="1" t="s">
        <v>315</v>
      </c>
      <c r="R69" s="1" t="s">
        <v>236</v>
      </c>
      <c r="S69" s="1" t="s">
        <v>228</v>
      </c>
      <c r="T69" s="1" t="s">
        <v>411</v>
      </c>
      <c r="U69" s="1" t="s">
        <v>481</v>
      </c>
      <c r="V69" s="1" t="s">
        <v>228</v>
      </c>
      <c r="W69" s="1" t="s">
        <v>4002</v>
      </c>
      <c r="X69" s="1" t="s">
        <v>481</v>
      </c>
      <c r="Y69" s="1" t="s">
        <v>2264</v>
      </c>
      <c r="Z69" s="1" t="s">
        <v>240</v>
      </c>
      <c r="AA69" s="1">
        <v>13319</v>
      </c>
      <c r="AB69" s="1">
        <v>263</v>
      </c>
      <c r="AC69" s="1">
        <v>204</v>
      </c>
      <c r="AD69" s="1" t="s">
        <v>4003</v>
      </c>
      <c r="AE69" s="1" t="s">
        <v>4004</v>
      </c>
      <c r="AF69" s="1" t="s">
        <v>461</v>
      </c>
      <c r="AG69" s="1">
        <v>35</v>
      </c>
      <c r="AH69" s="5" t="s">
        <v>4005</v>
      </c>
      <c r="AI69" s="1">
        <v>5584316718</v>
      </c>
      <c r="AJ69" s="1">
        <v>5584316718</v>
      </c>
      <c r="AK69" s="1" t="s">
        <v>2261</v>
      </c>
      <c r="AL69" s="1" t="s">
        <v>553</v>
      </c>
      <c r="AM69" s="1" t="s">
        <v>409</v>
      </c>
      <c r="AN69" s="1" t="s">
        <v>2262</v>
      </c>
      <c r="AO69" s="1" t="s">
        <v>420</v>
      </c>
      <c r="AP69" s="1">
        <v>37</v>
      </c>
      <c r="AQ69" s="1" t="s">
        <v>1150</v>
      </c>
      <c r="AR69" s="42">
        <v>0.33333333333575865</v>
      </c>
      <c r="AS69" s="42">
        <v>0.29166666666424135</v>
      </c>
      <c r="AT69" s="1">
        <v>5621973089</v>
      </c>
      <c r="AU69" s="1">
        <v>5621973089</v>
      </c>
      <c r="AV69" s="1" t="s">
        <v>4006</v>
      </c>
      <c r="AW69" s="5" t="s">
        <v>4007</v>
      </c>
      <c r="AX69" s="1" t="s">
        <v>585</v>
      </c>
      <c r="AY69" s="1" t="s">
        <v>2260</v>
      </c>
      <c r="AZ69" s="1" t="s">
        <v>2077</v>
      </c>
      <c r="BA69" s="1" t="s">
        <v>279</v>
      </c>
      <c r="BB69" s="1">
        <v>57</v>
      </c>
      <c r="BC69" s="1" t="s">
        <v>1921</v>
      </c>
      <c r="BD69" s="43">
        <v>0.375</v>
      </c>
      <c r="BE69" s="43">
        <v>0.20833333333575865</v>
      </c>
      <c r="BF69" s="1">
        <v>5536528737</v>
      </c>
      <c r="BG69" s="1">
        <v>5588630290</v>
      </c>
      <c r="BH69" s="1" t="s">
        <v>4008</v>
      </c>
      <c r="BI69" s="5" t="s">
        <v>4009</v>
      </c>
      <c r="BJ69" s="1" t="s">
        <v>236</v>
      </c>
      <c r="BK69" s="1" t="s">
        <v>4010</v>
      </c>
      <c r="BL69" s="1">
        <v>1.67</v>
      </c>
      <c r="BM69" s="1">
        <v>57</v>
      </c>
      <c r="BN69" s="1" t="s">
        <v>236</v>
      </c>
      <c r="BO69" s="1" t="s">
        <v>228</v>
      </c>
      <c r="BQ69" s="1" t="s">
        <v>228</v>
      </c>
      <c r="BR69" s="1" t="s">
        <v>237</v>
      </c>
      <c r="BS69" s="1" t="s">
        <v>228</v>
      </c>
      <c r="BT69" s="1" t="s">
        <v>237</v>
      </c>
      <c r="BU69" s="1" t="s">
        <v>228</v>
      </c>
      <c r="BW69" s="1" t="s">
        <v>238</v>
      </c>
      <c r="BX69" s="1">
        <v>3</v>
      </c>
      <c r="BY69" s="1">
        <v>300</v>
      </c>
      <c r="BZ69" s="1" t="s">
        <v>4011</v>
      </c>
      <c r="CA69" s="1" t="s">
        <v>509</v>
      </c>
      <c r="CB69" s="1" t="s">
        <v>240</v>
      </c>
      <c r="CC69" s="1" t="s">
        <v>1724</v>
      </c>
      <c r="CD69" s="1">
        <v>1500</v>
      </c>
      <c r="CE69" s="1">
        <v>2000</v>
      </c>
      <c r="CF69" s="1" t="s">
        <v>236</v>
      </c>
      <c r="CG69" s="1" t="s">
        <v>323</v>
      </c>
      <c r="CH69" s="1" t="s">
        <v>243</v>
      </c>
      <c r="CI69" s="1" t="s">
        <v>243</v>
      </c>
      <c r="CJ69" s="1" t="s">
        <v>2848</v>
      </c>
      <c r="CL69" s="5" t="s">
        <v>4012</v>
      </c>
      <c r="CM69" s="1">
        <v>20220711301</v>
      </c>
      <c r="CN69" s="1" t="s">
        <v>228</v>
      </c>
      <c r="CQ69" s="42">
        <v>0.29166666666424135</v>
      </c>
      <c r="CR69" s="42">
        <v>0.20833333333575865</v>
      </c>
      <c r="CT69" s="45" t="str">
        <f t="array" ref="CT69">IFERROR(INDEX(#REF!,MATCH('Respuestas de formulario 1.1'!$B69,#REF!,0),MATCH('Respuestas de formulario 1.1'!CT$1,#REF!,0)),"")</f>
        <v/>
      </c>
      <c r="CU69" s="56" t="str">
        <f t="array" ref="CU69">IFERROR(INDEX(#REF!,MATCH('Respuestas de formulario 1.1'!$B69,#REF!,0),MATCH('Respuestas de formulario 1.1'!CU$1,#REF!,0)),"")</f>
        <v/>
      </c>
      <c r="CV69" s="56" t="str">
        <f t="array" ref="CV69">IFERROR(INDEX(#REF!,MATCH('Respuestas de formulario 1.1'!$B69,#REF!,0),MATCH('Respuestas de formulario 1.1'!CV$1,#REF!,0)),"")</f>
        <v/>
      </c>
      <c r="CW69" s="56" t="str">
        <f t="array" ref="CW69">IFERROR(INDEX(#REF!,MATCH('Respuestas de formulario 1.1'!$B69,#REF!,0),MATCH('Respuestas de formulario 1.1'!CW$1,#REF!,0)),"")</f>
        <v/>
      </c>
      <c r="CX69" s="56" t="str">
        <f t="array" ref="CX69">IFERROR(INDEX(#REF!,MATCH('Respuestas de formulario 1.1'!$B69,#REF!,0),MATCH('Respuestas de formulario 1.1'!CX$1,#REF!,0)),"")</f>
        <v/>
      </c>
      <c r="CY69" s="56" t="str">
        <f t="array" ref="CY69">IFERROR(INDEX(#REF!,MATCH('Respuestas de formulario 1.1'!$B69,#REF!,0),MATCH('Respuestas de formulario 1.1'!CY$1,#REF!,0)),"")</f>
        <v/>
      </c>
      <c r="CZ69" s="57" t="str">
        <f t="array" ref="CZ69">IFERROR(INDEX(#REF!,MATCH('Respuestas de formulario 1.1'!$B69,#REF!,0),MATCH('Respuestas de formulario 1.1'!CZ$1,#REF!,0)),"")</f>
        <v/>
      </c>
      <c r="DA69" s="45" t="e">
        <f t="array" ref="DA69">INDEX(#REF!,MATCH('Respuestas de formulario 1.1'!$B69,#REF!,0),MATCH('Respuestas de formulario 1.1'!DA$1,#REF!,0))</f>
        <v>#REF!</v>
      </c>
      <c r="DB69" s="45" t="e">
        <f t="array" ref="DB69">INDEX(#REF!,MATCH('Respuestas de formulario 1.1'!$B69,#REF!,0),MATCH('Respuestas de formulario 1.1'!DB$1,#REF!,0))</f>
        <v>#REF!</v>
      </c>
      <c r="DC69" s="45" t="e">
        <f t="array" ref="DC69">INDEX(#REF!,MATCH('Respuestas de formulario 1.1'!$B69,#REF!,0),MATCH('Respuestas de formulario 1.1'!DC$1,#REF!,0))</f>
        <v>#REF!</v>
      </c>
      <c r="DD69" s="45" t="e">
        <f t="array" ref="DD69">INDEX(#REF!,MATCH('Respuestas de formulario 1.1'!$B69,#REF!,0),MATCH('Respuestas de formulario 1.1'!DD$1,#REF!,0))</f>
        <v>#REF!</v>
      </c>
      <c r="DE69" s="45" t="e">
        <f t="array" ref="DE69">INDEX(#REF!,MATCH('Respuestas de formulario 1.1'!$B69,#REF!,0),MATCH('Respuestas de formulario 1.1'!DE$1,#REF!,0))</f>
        <v>#REF!</v>
      </c>
      <c r="DF69" s="45" t="e">
        <f t="array" ref="DF69">INDEX(#REF!,MATCH('Respuestas de formulario 1.1'!$B69,#REF!,0),MATCH('Respuestas de formulario 1.1'!DF$1,#REF!,0))</f>
        <v>#REF!</v>
      </c>
      <c r="DG69" s="45" t="e">
        <f t="array" ref="DG69">INDEX(#REF!,MATCH('Respuestas de formulario 1.1'!$B69,#REF!,0),MATCH('Respuestas de formulario 1.1'!DG$1,#REF!,0))</f>
        <v>#REF!</v>
      </c>
      <c r="DH69" s="45" t="e">
        <f t="array" ref="DH69">INDEX(#REF!,MATCH('Respuestas de formulario 1.1'!$B69,#REF!,0),MATCH('Respuestas de formulario 1.1'!DH$1,#REF!,0))</f>
        <v>#REF!</v>
      </c>
      <c r="DI69" s="48" t="e">
        <f>VLOOKUP(CONCATENATE($DF69," TUTO ",$DC69),#REF!,3,0)</f>
        <v>#REF!</v>
      </c>
      <c r="DJ69" s="48" t="e">
        <f t="array" ref="DJ69">IF('Respuestas de formulario 1.1'!A69="","",INDEX(#REF!,MATCH('Respuestas de formulario 1.1'!B69,#REF!,0),MATCH('Respuestas de formulario 1.1'!$DH$1,#REF!,0)))</f>
        <v>#REF!</v>
      </c>
      <c r="DK69" s="52" t="str">
        <f>CONCATENATE("http://doc.google.com/uc?id=",MID('Respuestas de formulario 1.1'!G69,34,33))</f>
        <v>http://doc.google.com/uc?id=1V12nKIlpbe8Lhj8EaMbVcB97HOF9tZ4F</v>
      </c>
      <c r="DL69" s="49" t="str">
        <f>CONCATENATE("http://doc.google.com/uc?id=",MID('Respuestas de formulario 1.1'!AH69,34,33))</f>
        <v>http://doc.google.com/uc?id=1VUmgaMEr6zDHrRYtBIrdAL22flGoyoFw</v>
      </c>
      <c r="DM69" s="50" t="str">
        <f>CONCATENATE("http://doc.google.com/uc?id=",MID('Respuestas de formulario 1.1'!AW69,34,33))</f>
        <v>http://doc.google.com/uc?id=18LZzmIG6l4xV8Oh_8p5Sb0gXyNVeSmt9</v>
      </c>
      <c r="DN69" s="53" t="str">
        <f>CONCATENATE("http://doc.google.com/uc?id=",MID('Respuestas de formulario 1.1'!$BI69,34,33))</f>
        <v>http://doc.google.com/uc?id=1ULEBqmYzJqiiuvpvT6gyiWFwoAtPi8_l</v>
      </c>
      <c r="DO69" s="45" t="str">
        <f>IFERROR(VLOOKUP(CONCATENATE('Respuestas de formulario 1.1'!$B69,MID('Respuestas de formulario 1.1'!DO$1,2,1)),#REF!,12,0),"")</f>
        <v/>
      </c>
      <c r="DP69" s="45" t="str">
        <f>IFERROR(VLOOKUP(CONCATENATE('Respuestas de formulario 1.1'!$B69,MID('Respuestas de formulario 1.1'!DP$1,2,1)),#REF!,12,0),"")</f>
        <v/>
      </c>
      <c r="DQ69" s="45" t="str">
        <f>IFERROR(VLOOKUP(CONCATENATE('Respuestas de formulario 1.1'!$B69,MID('Respuestas de formulario 1.1'!DQ$1,2,1)),#REF!,12,0),"")</f>
        <v/>
      </c>
      <c r="DR69" s="45" t="str">
        <f>IFERROR(VLOOKUP(CONCATENATE('Respuestas de formulario 1.1'!$B69,MID('Respuestas de formulario 1.1'!DR$1,2,1)),#REF!,12,0),"")</f>
        <v/>
      </c>
      <c r="DS69" s="45" t="str">
        <f>IFERROR(VLOOKUP(CONCATENATE('Respuestas de formulario 1.1'!$B69,MID('Respuestas de formulario 1.1'!DS$1,2,1)),#REF!,12,0),"")</f>
        <v/>
      </c>
      <c r="DT69" s="45" t="str">
        <f>IFERROR(VLOOKUP(CONCATENATE('Respuestas de formulario 1.1'!$B69,MID('Respuestas de formulario 1.1'!DT$1,2,1)),#REF!,12,0),"")</f>
        <v/>
      </c>
      <c r="DU69" s="45" t="str">
        <f>IFERROR(VLOOKUP(CONCATENATE('Respuestas de formulario 1.1'!$B69,MID('Respuestas de formulario 1.1'!DU$1,2,1)),#REF!,12,0),"")</f>
        <v/>
      </c>
      <c r="DV69" s="45" t="str">
        <f>IFERROR(VLOOKUP(CONCATENATE('Respuestas de formulario 1.1'!$B69,MID('Respuestas de formulario 1.1'!DV$1,2,1)),#REF!,12,0),"")</f>
        <v/>
      </c>
      <c r="DW69" s="45" t="str">
        <f>IFERROR(VLOOKUP(CONCATENATE('Respuestas de formulario 1.1'!$B69,MID('Respuestas de formulario 1.1'!DW$1,2,1)),#REF!,12,0),"")</f>
        <v/>
      </c>
      <c r="DX69" s="45" t="str">
        <f>IFERROR(VLOOKUP(CONCATENATE('Respuestas de formulario 1.1'!$B69,MID('Respuestas de formulario 1.1'!DX$1,2,1)),#REF!,12,0),"")</f>
        <v/>
      </c>
      <c r="DY69" s="45" t="str">
        <f>IFERROR(VLOOKUP(CONCATENATE('Respuestas de formulario 1.1'!$B69,MID('Respuestas de formulario 1.1'!DY$1,2,1)),#REF!,12,0),"")</f>
        <v/>
      </c>
      <c r="DZ69" s="45" t="str">
        <f>IFERROR(VLOOKUP(CONCATENATE('Respuestas de formulario 1.1'!$B69,MID('Respuestas de formulario 1.1'!DZ$1,2,1)),#REF!,12,0),"")</f>
        <v/>
      </c>
      <c r="EA69" s="45" t="str">
        <f>IFERROR(VLOOKUP(CONCATENATE('Respuestas de formulario 1.1'!$B69,MID('Respuestas de formulario 1.1'!EA$1,2,1)),#REF!,12,0),"")</f>
        <v/>
      </c>
      <c r="EB69" s="45" t="str">
        <f>IFERROR(VLOOKUP(CONCATENATE('Respuestas de formulario 1.1'!$B69,MID('Respuestas de formulario 1.1'!EB$1,2,1)),#REF!,12,0),"")</f>
        <v/>
      </c>
      <c r="EC69" s="45" t="str">
        <f>IFERROR(VLOOKUP(CONCATENATE('Respuestas de formulario 1.1'!$B69,MID('Respuestas de formulario 1.1'!EC$1,2,1)),#REF!,12,0),"")</f>
        <v/>
      </c>
      <c r="ED69" s="45" t="str">
        <f>IFERROR(VLOOKUP(CONCATENATE('Respuestas de formulario 1.1'!$B69,MID('Respuestas de formulario 1.1'!ED$1,2,1)),#REF!,12,0),"")</f>
        <v/>
      </c>
      <c r="EE69" s="45" t="str">
        <f>IFERROR(VLOOKUP(CONCATENATE('Respuestas de formulario 1.1'!$B69,MID('Respuestas de formulario 1.1'!EE$1,2,1)),#REF!,12,0),"")</f>
        <v/>
      </c>
      <c r="EF69" s="45" t="str">
        <f>IFERROR(VLOOKUP(CONCATENATE('Respuestas de formulario 1.1'!$B69,MID('Respuestas de formulario 1.1'!EF$1,2,1)),#REF!,12,0),"")</f>
        <v/>
      </c>
      <c r="EG69" s="45" t="str">
        <f>IFERROR(VLOOKUP(CONCATENATE('Respuestas de formulario 1.1'!$B69,MID('Respuestas de formulario 1.1'!EG$1,2,1)),#REF!,12,0),"")</f>
        <v/>
      </c>
      <c r="EH69" s="45" t="str">
        <f>IFERROR(VLOOKUP(CONCATENATE('Respuestas de formulario 1.1'!$B69,MID('Respuestas de formulario 1.1'!EH$1,2,1)),#REF!,12,0),"")</f>
        <v/>
      </c>
      <c r="EI69" s="45" t="str">
        <f>IFERROR(VLOOKUP(CONCATENATE('Respuestas de formulario 1.1'!$B69,MID('Respuestas de formulario 1.1'!EI$1,2,1)),#REF!,12,0),"")</f>
        <v/>
      </c>
      <c r="EJ69" s="45" t="str">
        <f t="array" ref="EJ69">IF(DO69="","", INDEX(#REF!,MATCH(CONCATENATE('Respuestas de formulario 1.1'!$B69,DO69),#REF!,0),MATCH('Respuestas de formulario 1.1'!EJ$1,#REF!,0)))</f>
        <v/>
      </c>
      <c r="EK69" s="56" t="str">
        <f t="array" ref="EK69">IF(DP69="","", INDEX(#REF!,MATCH(CONCATENATE('Respuestas de formulario 1.1'!$B69,DP69),#REF!,0),MATCH('Respuestas de formulario 1.1'!EK$1,#REF!,0)))</f>
        <v/>
      </c>
      <c r="EL69" s="56" t="str">
        <f t="array" ref="EL69">IF(DQ69="","", INDEX(#REF!,MATCH(CONCATENATE('Respuestas de formulario 1.1'!$B69,DQ69),#REF!,0),MATCH('Respuestas de formulario 1.1'!EL$1,#REF!,0)))</f>
        <v/>
      </c>
      <c r="EM69" s="56" t="str">
        <f t="array" ref="EM69">IF(DR69="","", INDEX(#REF!,MATCH(CONCATENATE('Respuestas de formulario 1.1'!$B69,DR69),#REF!,0),MATCH('Respuestas de formulario 1.1'!EM$1,#REF!,0)))</f>
        <v/>
      </c>
      <c r="EN69" s="56" t="str">
        <f t="array" ref="EN69">IF(DS69="","", INDEX(#REF!,MATCH(CONCATENATE('Respuestas de formulario 1.1'!$B69,DS69),#REF!,0),MATCH('Respuestas de formulario 1.1'!EN$1,#REF!,0)))</f>
        <v/>
      </c>
      <c r="EO69" s="56" t="str">
        <f t="array" ref="EO69">IF(DT69="","", INDEX(#REF!,MATCH(CONCATENATE('Respuestas de formulario 1.1'!$B69,DT69),#REF!,0),MATCH('Respuestas de formulario 1.1'!EO$1,#REF!,0)))</f>
        <v/>
      </c>
      <c r="EP69" s="45" t="str">
        <f t="array" ref="EP69">IF(DU69="","", INDEX(#REF!,MATCH(CONCATENATE('Respuestas de formulario 1.1'!$B69,DU69),#REF!,0),MATCH('Respuestas de formulario 1.1'!EP$1,#REF!,0)))</f>
        <v/>
      </c>
      <c r="EQ69" s="45" t="str">
        <f t="array" ref="EQ69">IF(DP69="","", INDEX(#REF!,MATCH(CONCATENATE('Respuestas de formulario 1.1'!$B69,DP69),#REF!,0),MATCH('Respuestas de formulario 1.1'!EQ$1,#REF!,0)))</f>
        <v/>
      </c>
      <c r="ER69" s="56" t="str">
        <f t="array" ref="ER69">IF(DQ69="","", INDEX(#REF!,MATCH(CONCATENATE('Respuestas de formulario 1.1'!$B69,DQ69),#REF!,0),MATCH('Respuestas de formulario 1.1'!ER$1,#REF!,0)))</f>
        <v/>
      </c>
      <c r="ES69" s="56" t="str">
        <f t="array" ref="ES69">IF(DR69="","", INDEX(#REF!,MATCH(CONCATENATE('Respuestas de formulario 1.1'!$B69,DR69),#REF!,0),MATCH('Respuestas de formulario 1.1'!ES$1,#REF!,0)))</f>
        <v/>
      </c>
      <c r="ET69" s="56" t="str">
        <f t="array" ref="ET69">IF(DS69="","", INDEX(#REF!,MATCH(CONCATENATE('Respuestas de formulario 1.1'!$B69,DS69),#REF!,0),MATCH('Respuestas de formulario 1.1'!ET$1,#REF!,0)))</f>
        <v/>
      </c>
      <c r="EU69" s="56" t="str">
        <f t="array" ref="EU69">IF(DT69="","", INDEX(#REF!,MATCH(CONCATENATE('Respuestas de formulario 1.1'!$B69,DT69),#REF!,0),MATCH('Respuestas de formulario 1.1'!EU$1,#REF!,0)))</f>
        <v/>
      </c>
      <c r="EV69" s="56" t="str">
        <f t="array" ref="EV69">IF(DU69="","", INDEX(#REF!,MATCH(CONCATENATE('Respuestas de formulario 1.1'!$B69,DU69),#REF!,0),MATCH('Respuestas de formulario 1.1'!EV$1,#REF!,0)))</f>
        <v/>
      </c>
      <c r="EW69" s="45" t="str">
        <f t="array" ref="EW69">IF(DV69="","", INDEX(#REF!,MATCH(CONCATENATE('Respuestas de formulario 1.1'!$B69,DV69),#REF!,0),MATCH('Respuestas de formulario 1.1'!EW$1,#REF!,0)))</f>
        <v/>
      </c>
      <c r="EX69" s="45" t="str">
        <f t="array" ref="EX69">IF($DQ69="","", INDEX(#REF!,MATCH(CONCATENATE('Respuestas de formulario 1.1'!$B69,$DQ69),#REF!,0),MATCH('Respuestas de formulario 1.1'!EX$1,#REF!,0)))</f>
        <v/>
      </c>
      <c r="EY69" s="56" t="str">
        <f t="array" ref="EY69">IF($DQ69="","", INDEX(#REF!,MATCH(CONCATENATE('Respuestas de formulario 1.1'!$B69,$DQ69),#REF!,0),MATCH('Respuestas de formulario 1.1'!EY$1,#REF!,0)))</f>
        <v/>
      </c>
      <c r="EZ69" s="56" t="str">
        <f t="array" ref="EZ69">IF($DQ69="","", INDEX(#REF!,MATCH(CONCATENATE('Respuestas de formulario 1.1'!$B69,$DQ69),#REF!,0),MATCH('Respuestas de formulario 1.1'!EZ$1,#REF!,0)))</f>
        <v/>
      </c>
      <c r="FA69" s="56" t="str">
        <f t="array" ref="FA69">IF($DQ69="","", INDEX(#REF!,MATCH(CONCATENATE('Respuestas de formulario 1.1'!$B69,$DQ69),#REF!,0),MATCH('Respuestas de formulario 1.1'!FA$1,#REF!,0)))</f>
        <v/>
      </c>
      <c r="FB69" s="56" t="str">
        <f t="array" ref="FB69">IF($DQ69="","", INDEX(#REF!,MATCH(CONCATENATE('Respuestas de formulario 1.1'!$B69,$DQ69),#REF!,0),MATCH('Respuestas de formulario 1.1'!FB$1,#REF!,0)))</f>
        <v/>
      </c>
      <c r="FC69" s="56" t="str">
        <f t="array" ref="FC69">IF($DQ69="","", INDEX(#REF!,MATCH(CONCATENATE('Respuestas de formulario 1.1'!$B69,$DQ69),#REF!,0),MATCH('Respuestas de formulario 1.1'!FC$1,#REF!,0)))</f>
        <v/>
      </c>
      <c r="FD69" s="45" t="str">
        <f t="array" ref="FD69">IF($DQ69="","", INDEX(#REF!,MATCH(CONCATENATE('Respuestas de formulario 1.1'!$B69,$DQ69),#REF!,0),MATCH('Respuestas de formulario 1.1'!FD$1,#REF!,0)))</f>
        <v/>
      </c>
      <c r="FE69" s="45" t="str">
        <f t="array" ref="FE69">IF($DR69="","", INDEX(#REF!,MATCH(CONCATENATE(#REF!,$DR69),#REF!,0),MATCH(#REF!,#REF!,0)))</f>
        <v/>
      </c>
      <c r="FF69" s="56" t="str">
        <f t="array" ref="FF69">IF($DR69="","", INDEX(#REF!,MATCH(CONCATENATE(#REF!,$DR69),#REF!,0),MATCH(#REF!,#REF!,0)))</f>
        <v/>
      </c>
      <c r="FG69" s="56" t="str">
        <f t="array" ref="FG69">IF($DR69="","", INDEX(#REF!,MATCH(CONCATENATE(#REF!,$DR69),#REF!,0),MATCH(#REF!,#REF!,0)))</f>
        <v/>
      </c>
      <c r="FH69" s="56" t="str">
        <f t="array" ref="FH69">IF($DR69="","", INDEX(#REF!,MATCH(CONCATENATE(#REF!,$DR69),#REF!,0),MATCH(#REF!,#REF!,0)))</f>
        <v/>
      </c>
      <c r="FI69" s="56" t="str">
        <f t="array" ref="FI69">IF($DR69="","", INDEX(#REF!,MATCH(CONCATENATE(#REF!,$DR69),#REF!,0),MATCH(#REF!,#REF!,0)))</f>
        <v/>
      </c>
      <c r="FJ69" s="56" t="str">
        <f t="array" ref="FJ69">IF($DR69="","", INDEX(#REF!,MATCH(CONCATENATE(#REF!,$DR69),#REF!,0),MATCH(#REF!,#REF!,0)))</f>
        <v/>
      </c>
      <c r="FK69" s="45" t="str">
        <f t="array" ref="FK69">IF($DR69="","", INDEX(#REF!,MATCH(CONCATENATE(#REF!,$DR69),#REF!,0),MATCH(#REF!,#REF!,0)))</f>
        <v/>
      </c>
      <c r="FL69" s="45" t="str">
        <f t="array" ref="FL69">IF($DT69="","", INDEX(#REF!,MATCH(CONCATENATE('Respuestas de formulario 1.1'!$B69,$DS69),#REF!,0),MATCH('Respuestas de formulario 1.1'!FL$1,#REF!,0)))</f>
        <v/>
      </c>
      <c r="FM69" s="56" t="str">
        <f t="array" ref="FM69">IF($DT69="","", INDEX(#REF!,MATCH(CONCATENATE('Respuestas de formulario 1.1'!$B69,$DS69),#REF!,0),MATCH('Respuestas de formulario 1.1'!FM$1,#REF!,0)))</f>
        <v/>
      </c>
      <c r="FN69" s="56" t="str">
        <f t="array" ref="FN69">IF($DT69="","", INDEX(#REF!,MATCH(CONCATENATE('Respuestas de formulario 1.1'!$B69,$DS69),#REF!,0),MATCH('Respuestas de formulario 1.1'!FN$1,#REF!,0)))</f>
        <v/>
      </c>
      <c r="FO69" s="56" t="str">
        <f t="array" ref="FO69">IF($DT69="","", INDEX(#REF!,MATCH(CONCATENATE('Respuestas de formulario 1.1'!$B69,$DS69),#REF!,0),MATCH('Respuestas de formulario 1.1'!FO$1,#REF!,0)))</f>
        <v/>
      </c>
      <c r="FP69" s="56" t="str">
        <f t="array" ref="FP69">IF($DT69="","", INDEX(#REF!,MATCH(CONCATENATE('Respuestas de formulario 1.1'!$B69,$DS69),#REF!,0),MATCH('Respuestas de formulario 1.1'!FP$1,#REF!,0)))</f>
        <v/>
      </c>
      <c r="FQ69" s="56" t="str">
        <f t="array" ref="FQ69">IF($DT69="","", INDEX(#REF!,MATCH(CONCATENATE('Respuestas de formulario 1.1'!$B69,$DS69),#REF!,0),MATCH('Respuestas de formulario 1.1'!FQ$1,#REF!,0)))</f>
        <v/>
      </c>
      <c r="FR69" s="45" t="str">
        <f t="array" ref="FR69">IF($DT69="","", INDEX(#REF!,MATCH(CONCATENATE('Respuestas de formulario 1.1'!$B69,$DS69),#REF!,0),MATCH('Respuestas de formulario 1.1'!FR$1,#REF!,0)))</f>
        <v/>
      </c>
      <c r="FS69" s="45" t="str">
        <f t="array" ref="FS69">IF($DU69="","", INDEX(#REF!,MATCH(CONCATENATE('Respuestas de formulario 1.1'!$B69,$DT69),#REF!,0),MATCH('Respuestas de formulario 1.1'!FS$1,#REF!,0)))</f>
        <v/>
      </c>
      <c r="FT69" s="56" t="str">
        <f t="array" ref="FT69">IF($DU69="","", INDEX(#REF!,MATCH(CONCATENATE('Respuestas de formulario 1.1'!$B69,$DT69),#REF!,0),MATCH('Respuestas de formulario 1.1'!FT$1,#REF!,0)))</f>
        <v/>
      </c>
      <c r="FU69" s="56" t="str">
        <f t="array" ref="FU69">IF($DU69="","", INDEX(#REF!,MATCH(CONCATENATE('Respuestas de formulario 1.1'!$B69,$DT69),#REF!,0),MATCH('Respuestas de formulario 1.1'!FU$1,#REF!,0)))</f>
        <v/>
      </c>
      <c r="FV69" s="56" t="str">
        <f t="array" ref="FV69">IF($DU69="","", INDEX(#REF!,MATCH(CONCATENATE('Respuestas de formulario 1.1'!$B69,$DT69),#REF!,0),MATCH('Respuestas de formulario 1.1'!FV$1,#REF!,0)))</f>
        <v/>
      </c>
      <c r="FW69" s="56" t="str">
        <f t="array" ref="FW69">IF($DU69="","", INDEX(#REF!,MATCH(CONCATENATE('Respuestas de formulario 1.1'!$B69,$DT69),#REF!,0),MATCH('Respuestas de formulario 1.1'!FW$1,#REF!,0)))</f>
        <v/>
      </c>
      <c r="FX69" s="56" t="str">
        <f t="array" ref="FX69">IF($DU69="","", INDEX(#REF!,MATCH(CONCATENATE('Respuestas de formulario 1.1'!$B69,$DT69),#REF!,0),MATCH('Respuestas de formulario 1.1'!FX$1,#REF!,0)))</f>
        <v/>
      </c>
      <c r="FY69" s="45" t="str">
        <f t="array" ref="FY69">IF($DU69="","", INDEX(#REF!,MATCH(CONCATENATE('Respuestas de formulario 1.1'!$B69,$DT69),#REF!,0),MATCH('Respuestas de formulario 1.1'!FY$1,#REF!,0)))</f>
        <v/>
      </c>
      <c r="FZ69" s="3" t="s">
        <v>2860</v>
      </c>
      <c r="GA69" s="1" t="s">
        <v>4013</v>
      </c>
      <c r="GB69" s="5" t="s">
        <v>4014</v>
      </c>
      <c r="GC69" s="4" t="str">
        <f>HYPERLINK("https://drive.google.com/file/d/17mHiGXMbmDr1Yqm-tkcDaEdZqmvZzj6f/view?usp=drivesdk","SUAREZ PATIÑO ALEXIS Formato de reinscripción y pago 2022-2")</f>
        <v>SUAREZ PATIÑO ALEXIS Formato de reinscripción y pago 2022-2</v>
      </c>
      <c r="GD69" s="1" t="s">
        <v>4015</v>
      </c>
      <c r="GE69" s="1"/>
      <c r="GF69" s="1"/>
      <c r="GG69" s="1"/>
      <c r="GH69" s="1"/>
      <c r="GI69" s="1" t="s">
        <v>4016</v>
      </c>
      <c r="GJ69" s="5" t="s">
        <v>4017</v>
      </c>
      <c r="GK69" s="5" t="str">
        <f>HYPERLINK("https://drive.google.com/file/d/1Efw0QwtaBbcPyu-rOQMkWwpWA53fV3Bi/view?usp=drivesdk","SUAREZ PATIÑO ALEXIS Formato de reinscripción y pago 2022-2")</f>
        <v>SUAREZ PATIÑO ALEXIS Formato de reinscripción y pago 2022-2</v>
      </c>
      <c r="GL69" s="1" t="s">
        <v>4018</v>
      </c>
    </row>
    <row r="70" spans="1:194" ht="38.25" x14ac:dyDescent="0.2">
      <c r="A70" s="2">
        <v>45139.369647118059</v>
      </c>
      <c r="B70" s="1" t="s">
        <v>589</v>
      </c>
      <c r="C70" s="1" t="s">
        <v>392</v>
      </c>
      <c r="D70" s="1" t="s">
        <v>592</v>
      </c>
      <c r="E70" s="1" t="s">
        <v>404</v>
      </c>
      <c r="F70" s="1" t="s">
        <v>262</v>
      </c>
      <c r="G70" s="5" t="s">
        <v>4019</v>
      </c>
      <c r="H70" s="41">
        <v>38985</v>
      </c>
      <c r="I70" s="1">
        <v>16</v>
      </c>
      <c r="J70" s="1">
        <v>5561140464</v>
      </c>
      <c r="K70" s="1">
        <v>5558321520</v>
      </c>
      <c r="L70" s="1" t="s">
        <v>590</v>
      </c>
      <c r="M70" s="1">
        <v>21309060570028</v>
      </c>
      <c r="N70" s="1" t="s">
        <v>1108</v>
      </c>
      <c r="O70" s="1" t="s">
        <v>247</v>
      </c>
      <c r="P70" s="1" t="s">
        <v>226</v>
      </c>
      <c r="Q70" s="1" t="s">
        <v>248</v>
      </c>
      <c r="R70" s="1" t="s">
        <v>236</v>
      </c>
      <c r="S70" s="1" t="s">
        <v>228</v>
      </c>
      <c r="T70" s="1" t="s">
        <v>229</v>
      </c>
      <c r="U70" s="1" t="s">
        <v>249</v>
      </c>
      <c r="V70" s="1" t="s">
        <v>228</v>
      </c>
      <c r="W70" s="1" t="s">
        <v>4020</v>
      </c>
      <c r="X70" s="1" t="s">
        <v>249</v>
      </c>
      <c r="Y70" s="1" t="s">
        <v>740</v>
      </c>
      <c r="Z70" s="1" t="s">
        <v>240</v>
      </c>
      <c r="AA70" s="44" t="s">
        <v>591</v>
      </c>
      <c r="AB70" s="1" t="s">
        <v>1332</v>
      </c>
      <c r="AC70" s="1" t="s">
        <v>4021</v>
      </c>
      <c r="AD70" s="1" t="s">
        <v>2419</v>
      </c>
      <c r="AE70" s="1" t="s">
        <v>4022</v>
      </c>
      <c r="AF70" s="1" t="s">
        <v>4023</v>
      </c>
      <c r="AG70" s="1">
        <v>51</v>
      </c>
      <c r="AH70" s="5" t="s">
        <v>4024</v>
      </c>
      <c r="AI70" s="1">
        <v>5634679402</v>
      </c>
      <c r="AJ70" s="1">
        <v>5558321520</v>
      </c>
      <c r="AK70" s="1"/>
      <c r="AL70" s="1" t="s">
        <v>392</v>
      </c>
      <c r="AM70" s="1" t="s">
        <v>840</v>
      </c>
      <c r="AN70" s="1" t="s">
        <v>296</v>
      </c>
      <c r="AO70" s="1" t="s">
        <v>420</v>
      </c>
      <c r="AP70" s="1">
        <v>54</v>
      </c>
      <c r="AQ70" s="1" t="s">
        <v>2246</v>
      </c>
      <c r="AR70" s="42">
        <v>0</v>
      </c>
      <c r="AS70" s="42">
        <v>0</v>
      </c>
      <c r="AT70" s="44" t="s">
        <v>594</v>
      </c>
      <c r="AU70" s="44" t="s">
        <v>594</v>
      </c>
      <c r="AV70" s="1"/>
      <c r="AW70" s="5" t="s">
        <v>4025</v>
      </c>
      <c r="AX70" s="1" t="s">
        <v>252</v>
      </c>
      <c r="AY70" s="1" t="s">
        <v>252</v>
      </c>
      <c r="AZ70" s="1" t="s">
        <v>4026</v>
      </c>
      <c r="BA70" s="1" t="s">
        <v>279</v>
      </c>
      <c r="BB70" s="1">
        <v>80</v>
      </c>
      <c r="BC70" s="1" t="s">
        <v>328</v>
      </c>
      <c r="BD70" s="43">
        <v>9.2592592409346253E-5</v>
      </c>
      <c r="BE70" s="43">
        <v>0</v>
      </c>
      <c r="BF70" s="1">
        <v>5558321520</v>
      </c>
      <c r="BG70" s="1">
        <v>5558321520</v>
      </c>
      <c r="BH70" s="1"/>
      <c r="BI70" s="5" t="s">
        <v>4027</v>
      </c>
      <c r="BJ70" s="1" t="s">
        <v>228</v>
      </c>
      <c r="BK70" s="1" t="s">
        <v>461</v>
      </c>
      <c r="BL70" s="1">
        <v>1.69</v>
      </c>
      <c r="BM70" s="1">
        <v>70</v>
      </c>
      <c r="BN70" s="1" t="s">
        <v>228</v>
      </c>
      <c r="BO70" s="1" t="s">
        <v>228</v>
      </c>
      <c r="BQ70" s="1" t="s">
        <v>228</v>
      </c>
      <c r="BR70" s="1" t="s">
        <v>237</v>
      </c>
      <c r="BS70" s="1" t="s">
        <v>228</v>
      </c>
      <c r="BT70" s="1" t="s">
        <v>237</v>
      </c>
      <c r="BU70" s="1" t="s">
        <v>228</v>
      </c>
      <c r="BW70" s="1" t="s">
        <v>272</v>
      </c>
      <c r="BX70" s="1">
        <v>120</v>
      </c>
      <c r="BY70" s="1">
        <v>30</v>
      </c>
      <c r="BZ70" s="1" t="s">
        <v>253</v>
      </c>
      <c r="CA70" s="1" t="s">
        <v>299</v>
      </c>
      <c r="CB70" s="1" t="s">
        <v>240</v>
      </c>
      <c r="CC70" s="1" t="s">
        <v>274</v>
      </c>
      <c r="CD70" s="1">
        <v>200</v>
      </c>
      <c r="CE70" s="1">
        <v>300</v>
      </c>
      <c r="CF70" s="1" t="s">
        <v>236</v>
      </c>
      <c r="CG70" s="1" t="s">
        <v>242</v>
      </c>
      <c r="CH70" s="1" t="s">
        <v>243</v>
      </c>
      <c r="CI70" s="1" t="s">
        <v>243</v>
      </c>
      <c r="CJ70" s="1" t="s">
        <v>2848</v>
      </c>
      <c r="CL70" s="5" t="s">
        <v>4028</v>
      </c>
      <c r="CM70" s="44" t="s">
        <v>595</v>
      </c>
      <c r="CN70" s="1" t="s">
        <v>228</v>
      </c>
      <c r="CQ70" s="42">
        <v>0.375</v>
      </c>
      <c r="CR70" s="42">
        <v>0.33333333333575865</v>
      </c>
      <c r="CT70" s="45" t="str">
        <f t="array" ref="CT70">IFERROR(INDEX(#REF!,MATCH('Respuestas de formulario 1.1'!$B70,#REF!,0),MATCH('Respuestas de formulario 1.1'!CT$1,#REF!,0)),"")</f>
        <v/>
      </c>
      <c r="CU70" s="56" t="str">
        <f t="array" ref="CU70">IFERROR(INDEX(#REF!,MATCH('Respuestas de formulario 1.1'!$B70,#REF!,0),MATCH('Respuestas de formulario 1.1'!CU$1,#REF!,0)),"")</f>
        <v/>
      </c>
      <c r="CV70" s="56" t="str">
        <f t="array" ref="CV70">IFERROR(INDEX(#REF!,MATCH('Respuestas de formulario 1.1'!$B70,#REF!,0),MATCH('Respuestas de formulario 1.1'!CV$1,#REF!,0)),"")</f>
        <v/>
      </c>
      <c r="CW70" s="56" t="str">
        <f t="array" ref="CW70">IFERROR(INDEX(#REF!,MATCH('Respuestas de formulario 1.1'!$B70,#REF!,0),MATCH('Respuestas de formulario 1.1'!CW$1,#REF!,0)),"")</f>
        <v/>
      </c>
      <c r="CX70" s="56" t="str">
        <f t="array" ref="CX70">IFERROR(INDEX(#REF!,MATCH('Respuestas de formulario 1.1'!$B70,#REF!,0),MATCH('Respuestas de formulario 1.1'!CX$1,#REF!,0)),"")</f>
        <v/>
      </c>
      <c r="CY70" s="56" t="str">
        <f t="array" ref="CY70">IFERROR(INDEX(#REF!,MATCH('Respuestas de formulario 1.1'!$B70,#REF!,0),MATCH('Respuestas de formulario 1.1'!CY$1,#REF!,0)),"")</f>
        <v/>
      </c>
      <c r="CZ70" s="57" t="str">
        <f t="array" ref="CZ70">IFERROR(INDEX(#REF!,MATCH('Respuestas de formulario 1.1'!$B70,#REF!,0),MATCH('Respuestas de formulario 1.1'!CZ$1,#REF!,0)),"")</f>
        <v/>
      </c>
      <c r="DA70" s="45" t="e">
        <f t="array" ref="DA70">INDEX(#REF!,MATCH('Respuestas de formulario 1.1'!$B70,#REF!,0),MATCH('Respuestas de formulario 1.1'!DA$1,#REF!,0))</f>
        <v>#REF!</v>
      </c>
      <c r="DB70" s="45" t="e">
        <f t="array" ref="DB70">INDEX(#REF!,MATCH('Respuestas de formulario 1.1'!$B70,#REF!,0),MATCH('Respuestas de formulario 1.1'!DB$1,#REF!,0))</f>
        <v>#REF!</v>
      </c>
      <c r="DC70" s="45" t="e">
        <f t="array" ref="DC70">INDEX(#REF!,MATCH('Respuestas de formulario 1.1'!$B70,#REF!,0),MATCH('Respuestas de formulario 1.1'!DC$1,#REF!,0))</f>
        <v>#REF!</v>
      </c>
      <c r="DD70" s="45" t="e">
        <f t="array" ref="DD70">INDEX(#REF!,MATCH('Respuestas de formulario 1.1'!$B70,#REF!,0),MATCH('Respuestas de formulario 1.1'!DD$1,#REF!,0))</f>
        <v>#REF!</v>
      </c>
      <c r="DE70" s="45" t="e">
        <f t="array" ref="DE70">INDEX(#REF!,MATCH('Respuestas de formulario 1.1'!$B70,#REF!,0),MATCH('Respuestas de formulario 1.1'!DE$1,#REF!,0))</f>
        <v>#REF!</v>
      </c>
      <c r="DF70" s="45" t="e">
        <f t="array" ref="DF70">INDEX(#REF!,MATCH('Respuestas de formulario 1.1'!$B70,#REF!,0),MATCH('Respuestas de formulario 1.1'!DF$1,#REF!,0))</f>
        <v>#REF!</v>
      </c>
      <c r="DG70" s="45" t="e">
        <f t="array" ref="DG70">INDEX(#REF!,MATCH('Respuestas de formulario 1.1'!$B70,#REF!,0),MATCH('Respuestas de formulario 1.1'!DG$1,#REF!,0))</f>
        <v>#REF!</v>
      </c>
      <c r="DH70" s="45" t="e">
        <f t="array" ref="DH70">INDEX(#REF!,MATCH('Respuestas de formulario 1.1'!$B70,#REF!,0),MATCH('Respuestas de formulario 1.1'!DH$1,#REF!,0))</f>
        <v>#REF!</v>
      </c>
      <c r="DI70" s="48" t="e">
        <f>VLOOKUP(CONCATENATE($DF70," TUTO ",$DC70),#REF!,3,0)</f>
        <v>#REF!</v>
      </c>
      <c r="DJ70" s="48" t="e">
        <f t="array" ref="DJ70">IF('Respuestas de formulario 1.1'!A70="","",INDEX(#REF!,MATCH('Respuestas de formulario 1.1'!B70,#REF!,0),MATCH('Respuestas de formulario 1.1'!$DH$1,#REF!,0)))</f>
        <v>#REF!</v>
      </c>
      <c r="DK70" s="52" t="str">
        <f>CONCATENATE("http://doc.google.com/uc?id=",MID('Respuestas de formulario 1.1'!G70,34,33))</f>
        <v>http://doc.google.com/uc?id=1NchE0hl6gdW8N1H0kJaQYFTtXHULRu2y</v>
      </c>
      <c r="DL70" s="49" t="str">
        <f>CONCATENATE("http://doc.google.com/uc?id=",MID('Respuestas de formulario 1.1'!AH70,34,33))</f>
        <v>http://doc.google.com/uc?id=1lsANNAYx-trT1zsCbDMYOEIPPy_aFqSn</v>
      </c>
      <c r="DM70" s="50" t="str">
        <f>CONCATENATE("http://doc.google.com/uc?id=",MID('Respuestas de formulario 1.1'!AW70,34,33))</f>
        <v>http://doc.google.com/uc?id=1cmCbc-DHvyADSrNRovZD_uBuR46C8WbT</v>
      </c>
      <c r="DN70" s="53" t="str">
        <f>CONCATENATE("http://doc.google.com/uc?id=",MID('Respuestas de formulario 1.1'!$BI70,34,33))</f>
        <v>http://doc.google.com/uc?id=1neXss711TaXcQ1VQUiIibxZzYZqxpy1r</v>
      </c>
      <c r="DO70" s="45" t="str">
        <f>IFERROR(VLOOKUP(CONCATENATE('Respuestas de formulario 1.1'!$B70,MID('Respuestas de formulario 1.1'!DO$1,2,1)),#REF!,12,0),"")</f>
        <v/>
      </c>
      <c r="DP70" s="45" t="str">
        <f>IFERROR(VLOOKUP(CONCATENATE('Respuestas de formulario 1.1'!$B70,MID('Respuestas de formulario 1.1'!DP$1,2,1)),#REF!,12,0),"")</f>
        <v/>
      </c>
      <c r="DQ70" s="45" t="str">
        <f>IFERROR(VLOOKUP(CONCATENATE('Respuestas de formulario 1.1'!$B70,MID('Respuestas de formulario 1.1'!DQ$1,2,1)),#REF!,12,0),"")</f>
        <v/>
      </c>
      <c r="DR70" s="45" t="str">
        <f>IFERROR(VLOOKUP(CONCATENATE('Respuestas de formulario 1.1'!$B70,MID('Respuestas de formulario 1.1'!DR$1,2,1)),#REF!,12,0),"")</f>
        <v/>
      </c>
      <c r="DS70" s="45" t="str">
        <f>IFERROR(VLOOKUP(CONCATENATE('Respuestas de formulario 1.1'!$B70,MID('Respuestas de formulario 1.1'!DS$1,2,1)),#REF!,12,0),"")</f>
        <v/>
      </c>
      <c r="DT70" s="45" t="str">
        <f>IFERROR(VLOOKUP(CONCATENATE('Respuestas de formulario 1.1'!$B70,MID('Respuestas de formulario 1.1'!DT$1,2,1)),#REF!,12,0),"")</f>
        <v/>
      </c>
      <c r="DU70" s="45" t="str">
        <f>IFERROR(VLOOKUP(CONCATENATE('Respuestas de formulario 1.1'!$B70,MID('Respuestas de formulario 1.1'!DU$1,2,1)),#REF!,12,0),"")</f>
        <v/>
      </c>
      <c r="DV70" s="45" t="str">
        <f>IFERROR(VLOOKUP(CONCATENATE('Respuestas de formulario 1.1'!$B70,MID('Respuestas de formulario 1.1'!DV$1,2,1)),#REF!,12,0),"")</f>
        <v/>
      </c>
      <c r="DW70" s="45" t="str">
        <f>IFERROR(VLOOKUP(CONCATENATE('Respuestas de formulario 1.1'!$B70,MID('Respuestas de formulario 1.1'!DW$1,2,1)),#REF!,12,0),"")</f>
        <v/>
      </c>
      <c r="DX70" s="45" t="str">
        <f>IFERROR(VLOOKUP(CONCATENATE('Respuestas de formulario 1.1'!$B70,MID('Respuestas de formulario 1.1'!DX$1,2,1)),#REF!,12,0),"")</f>
        <v/>
      </c>
      <c r="DY70" s="45" t="str">
        <f>IFERROR(VLOOKUP(CONCATENATE('Respuestas de formulario 1.1'!$B70,MID('Respuestas de formulario 1.1'!DY$1,2,1)),#REF!,12,0),"")</f>
        <v/>
      </c>
      <c r="DZ70" s="45" t="str">
        <f>IFERROR(VLOOKUP(CONCATENATE('Respuestas de formulario 1.1'!$B70,MID('Respuestas de formulario 1.1'!DZ$1,2,1)),#REF!,12,0),"")</f>
        <v/>
      </c>
      <c r="EA70" s="45" t="str">
        <f>IFERROR(VLOOKUP(CONCATENATE('Respuestas de formulario 1.1'!$B70,MID('Respuestas de formulario 1.1'!EA$1,2,1)),#REF!,12,0),"")</f>
        <v/>
      </c>
      <c r="EB70" s="45" t="str">
        <f>IFERROR(VLOOKUP(CONCATENATE('Respuestas de formulario 1.1'!$B70,MID('Respuestas de formulario 1.1'!EB$1,2,1)),#REF!,12,0),"")</f>
        <v/>
      </c>
      <c r="EC70" s="45" t="str">
        <f>IFERROR(VLOOKUP(CONCATENATE('Respuestas de formulario 1.1'!$B70,MID('Respuestas de formulario 1.1'!EC$1,2,1)),#REF!,12,0),"")</f>
        <v/>
      </c>
      <c r="ED70" s="45" t="str">
        <f>IFERROR(VLOOKUP(CONCATENATE('Respuestas de formulario 1.1'!$B70,MID('Respuestas de formulario 1.1'!ED$1,2,1)),#REF!,12,0),"")</f>
        <v/>
      </c>
      <c r="EE70" s="45" t="str">
        <f>IFERROR(VLOOKUP(CONCATENATE('Respuestas de formulario 1.1'!$B70,MID('Respuestas de formulario 1.1'!EE$1,2,1)),#REF!,12,0),"")</f>
        <v/>
      </c>
      <c r="EF70" s="45" t="str">
        <f>IFERROR(VLOOKUP(CONCATENATE('Respuestas de formulario 1.1'!$B70,MID('Respuestas de formulario 1.1'!EF$1,2,1)),#REF!,12,0),"")</f>
        <v/>
      </c>
      <c r="EG70" s="45" t="str">
        <f>IFERROR(VLOOKUP(CONCATENATE('Respuestas de formulario 1.1'!$B70,MID('Respuestas de formulario 1.1'!EG$1,2,1)),#REF!,12,0),"")</f>
        <v/>
      </c>
      <c r="EH70" s="45" t="str">
        <f>IFERROR(VLOOKUP(CONCATENATE('Respuestas de formulario 1.1'!$B70,MID('Respuestas de formulario 1.1'!EH$1,2,1)),#REF!,12,0),"")</f>
        <v/>
      </c>
      <c r="EI70" s="45" t="str">
        <f>IFERROR(VLOOKUP(CONCATENATE('Respuestas de formulario 1.1'!$B70,MID('Respuestas de formulario 1.1'!EI$1,2,1)),#REF!,12,0),"")</f>
        <v/>
      </c>
      <c r="EJ70" s="45" t="str">
        <f t="array" ref="EJ70">IF(DO70="","", INDEX(#REF!,MATCH(CONCATENATE('Respuestas de formulario 1.1'!$B70,DO70),#REF!,0),MATCH('Respuestas de formulario 1.1'!EJ$1,#REF!,0)))</f>
        <v/>
      </c>
      <c r="EK70" s="56" t="str">
        <f t="array" ref="EK70">IF(DP70="","", INDEX(#REF!,MATCH(CONCATENATE('Respuestas de formulario 1.1'!$B70,DP70),#REF!,0),MATCH('Respuestas de formulario 1.1'!EK$1,#REF!,0)))</f>
        <v/>
      </c>
      <c r="EL70" s="56" t="str">
        <f t="array" ref="EL70">IF(DQ70="","", INDEX(#REF!,MATCH(CONCATENATE('Respuestas de formulario 1.1'!$B70,DQ70),#REF!,0),MATCH('Respuestas de formulario 1.1'!EL$1,#REF!,0)))</f>
        <v/>
      </c>
      <c r="EM70" s="56" t="str">
        <f t="array" ref="EM70">IF(DR70="","", INDEX(#REF!,MATCH(CONCATENATE('Respuestas de formulario 1.1'!$B70,DR70),#REF!,0),MATCH('Respuestas de formulario 1.1'!EM$1,#REF!,0)))</f>
        <v/>
      </c>
      <c r="EN70" s="56" t="str">
        <f t="array" ref="EN70">IF(DS70="","", INDEX(#REF!,MATCH(CONCATENATE('Respuestas de formulario 1.1'!$B70,DS70),#REF!,0),MATCH('Respuestas de formulario 1.1'!EN$1,#REF!,0)))</f>
        <v/>
      </c>
      <c r="EO70" s="56" t="str">
        <f t="array" ref="EO70">IF(DT70="","", INDEX(#REF!,MATCH(CONCATENATE('Respuestas de formulario 1.1'!$B70,DT70),#REF!,0),MATCH('Respuestas de formulario 1.1'!EO$1,#REF!,0)))</f>
        <v/>
      </c>
      <c r="EP70" s="45" t="str">
        <f t="array" ref="EP70">IF(DU70="","", INDEX(#REF!,MATCH(CONCATENATE('Respuestas de formulario 1.1'!$B70,DU70),#REF!,0),MATCH('Respuestas de formulario 1.1'!EP$1,#REF!,0)))</f>
        <v/>
      </c>
      <c r="EQ70" s="45" t="str">
        <f t="array" ref="EQ70">IF(DP70="","", INDEX(#REF!,MATCH(CONCATENATE('Respuestas de formulario 1.1'!$B70,DP70),#REF!,0),MATCH('Respuestas de formulario 1.1'!EQ$1,#REF!,0)))</f>
        <v/>
      </c>
      <c r="ER70" s="56" t="str">
        <f t="array" ref="ER70">IF(DQ70="","", INDEX(#REF!,MATCH(CONCATENATE('Respuestas de formulario 1.1'!$B70,DQ70),#REF!,0),MATCH('Respuestas de formulario 1.1'!ER$1,#REF!,0)))</f>
        <v/>
      </c>
      <c r="ES70" s="56" t="str">
        <f t="array" ref="ES70">IF(DR70="","", INDEX(#REF!,MATCH(CONCATENATE('Respuestas de formulario 1.1'!$B70,DR70),#REF!,0),MATCH('Respuestas de formulario 1.1'!ES$1,#REF!,0)))</f>
        <v/>
      </c>
      <c r="ET70" s="56" t="str">
        <f t="array" ref="ET70">IF(DS70="","", INDEX(#REF!,MATCH(CONCATENATE('Respuestas de formulario 1.1'!$B70,DS70),#REF!,0),MATCH('Respuestas de formulario 1.1'!ET$1,#REF!,0)))</f>
        <v/>
      </c>
      <c r="EU70" s="56" t="str">
        <f t="array" ref="EU70">IF(DT70="","", INDEX(#REF!,MATCH(CONCATENATE('Respuestas de formulario 1.1'!$B70,DT70),#REF!,0),MATCH('Respuestas de formulario 1.1'!EU$1,#REF!,0)))</f>
        <v/>
      </c>
      <c r="EV70" s="56" t="str">
        <f t="array" ref="EV70">IF(DU70="","", INDEX(#REF!,MATCH(CONCATENATE('Respuestas de formulario 1.1'!$B70,DU70),#REF!,0),MATCH('Respuestas de formulario 1.1'!EV$1,#REF!,0)))</f>
        <v/>
      </c>
      <c r="EW70" s="45" t="str">
        <f t="array" ref="EW70">IF(DV70="","", INDEX(#REF!,MATCH(CONCATENATE('Respuestas de formulario 1.1'!$B70,DV70),#REF!,0),MATCH('Respuestas de formulario 1.1'!EW$1,#REF!,0)))</f>
        <v/>
      </c>
      <c r="EX70" s="45" t="str">
        <f t="array" ref="EX70">IF($DQ70="","", INDEX(#REF!,MATCH(CONCATENATE('Respuestas de formulario 1.1'!$B70,$DQ70),#REF!,0),MATCH('Respuestas de formulario 1.1'!EX$1,#REF!,0)))</f>
        <v/>
      </c>
      <c r="EY70" s="56" t="str">
        <f t="array" ref="EY70">IF($DQ70="","", INDEX(#REF!,MATCH(CONCATENATE('Respuestas de formulario 1.1'!$B70,$DQ70),#REF!,0),MATCH('Respuestas de formulario 1.1'!EY$1,#REF!,0)))</f>
        <v/>
      </c>
      <c r="EZ70" s="56" t="str">
        <f t="array" ref="EZ70">IF($DQ70="","", INDEX(#REF!,MATCH(CONCATENATE('Respuestas de formulario 1.1'!$B70,$DQ70),#REF!,0),MATCH('Respuestas de formulario 1.1'!EZ$1,#REF!,0)))</f>
        <v/>
      </c>
      <c r="FA70" s="56" t="str">
        <f t="array" ref="FA70">IF($DQ70="","", INDEX(#REF!,MATCH(CONCATENATE('Respuestas de formulario 1.1'!$B70,$DQ70),#REF!,0),MATCH('Respuestas de formulario 1.1'!FA$1,#REF!,0)))</f>
        <v/>
      </c>
      <c r="FB70" s="56" t="str">
        <f t="array" ref="FB70">IF($DQ70="","", INDEX(#REF!,MATCH(CONCATENATE('Respuestas de formulario 1.1'!$B70,$DQ70),#REF!,0),MATCH('Respuestas de formulario 1.1'!FB$1,#REF!,0)))</f>
        <v/>
      </c>
      <c r="FC70" s="56" t="str">
        <f t="array" ref="FC70">IF($DQ70="","", INDEX(#REF!,MATCH(CONCATENATE('Respuestas de formulario 1.1'!$B70,$DQ70),#REF!,0),MATCH('Respuestas de formulario 1.1'!FC$1,#REF!,0)))</f>
        <v/>
      </c>
      <c r="FD70" s="45" t="str">
        <f t="array" ref="FD70">IF($DQ70="","", INDEX(#REF!,MATCH(CONCATENATE('Respuestas de formulario 1.1'!$B70,$DQ70),#REF!,0),MATCH('Respuestas de formulario 1.1'!FD$1,#REF!,0)))</f>
        <v/>
      </c>
      <c r="FE70" s="45" t="str">
        <f t="array" ref="FE70">IF($DR70="","", INDEX(#REF!,MATCH(CONCATENATE(#REF!,$DR70),#REF!,0),MATCH(#REF!,#REF!,0)))</f>
        <v/>
      </c>
      <c r="FF70" s="56" t="str">
        <f t="array" ref="FF70">IF($DR70="","", INDEX(#REF!,MATCH(CONCATENATE(#REF!,$DR70),#REF!,0),MATCH(#REF!,#REF!,0)))</f>
        <v/>
      </c>
      <c r="FG70" s="56" t="str">
        <f t="array" ref="FG70">IF($DR70="","", INDEX(#REF!,MATCH(CONCATENATE(#REF!,$DR70),#REF!,0),MATCH(#REF!,#REF!,0)))</f>
        <v/>
      </c>
      <c r="FH70" s="56" t="str">
        <f t="array" ref="FH70">IF($DR70="","", INDEX(#REF!,MATCH(CONCATENATE(#REF!,$DR70),#REF!,0),MATCH(#REF!,#REF!,0)))</f>
        <v/>
      </c>
      <c r="FI70" s="56" t="str">
        <f t="array" ref="FI70">IF($DR70="","", INDEX(#REF!,MATCH(CONCATENATE(#REF!,$DR70),#REF!,0),MATCH(#REF!,#REF!,0)))</f>
        <v/>
      </c>
      <c r="FJ70" s="56" t="str">
        <f t="array" ref="FJ70">IF($DR70="","", INDEX(#REF!,MATCH(CONCATENATE(#REF!,$DR70),#REF!,0),MATCH(#REF!,#REF!,0)))</f>
        <v/>
      </c>
      <c r="FK70" s="45" t="str">
        <f t="array" ref="FK70">IF($DR70="","", INDEX(#REF!,MATCH(CONCATENATE(#REF!,$DR70),#REF!,0),MATCH(#REF!,#REF!,0)))</f>
        <v/>
      </c>
      <c r="FL70" s="45" t="str">
        <f t="array" ref="FL70">IF($DT70="","", INDEX(#REF!,MATCH(CONCATENATE('Respuestas de formulario 1.1'!$B70,$DS70),#REF!,0),MATCH('Respuestas de formulario 1.1'!FL$1,#REF!,0)))</f>
        <v/>
      </c>
      <c r="FM70" s="56" t="str">
        <f t="array" ref="FM70">IF($DT70="","", INDEX(#REF!,MATCH(CONCATENATE('Respuestas de formulario 1.1'!$B70,$DS70),#REF!,0),MATCH('Respuestas de formulario 1.1'!FM$1,#REF!,0)))</f>
        <v/>
      </c>
      <c r="FN70" s="56" t="str">
        <f t="array" ref="FN70">IF($DT70="","", INDEX(#REF!,MATCH(CONCATENATE('Respuestas de formulario 1.1'!$B70,$DS70),#REF!,0),MATCH('Respuestas de formulario 1.1'!FN$1,#REF!,0)))</f>
        <v/>
      </c>
      <c r="FO70" s="56" t="str">
        <f t="array" ref="FO70">IF($DT70="","", INDEX(#REF!,MATCH(CONCATENATE('Respuestas de formulario 1.1'!$B70,$DS70),#REF!,0),MATCH('Respuestas de formulario 1.1'!FO$1,#REF!,0)))</f>
        <v/>
      </c>
      <c r="FP70" s="56" t="str">
        <f t="array" ref="FP70">IF($DT70="","", INDEX(#REF!,MATCH(CONCATENATE('Respuestas de formulario 1.1'!$B70,$DS70),#REF!,0),MATCH('Respuestas de formulario 1.1'!FP$1,#REF!,0)))</f>
        <v/>
      </c>
      <c r="FQ70" s="56" t="str">
        <f t="array" ref="FQ70">IF($DT70="","", INDEX(#REF!,MATCH(CONCATENATE('Respuestas de formulario 1.1'!$B70,$DS70),#REF!,0),MATCH('Respuestas de formulario 1.1'!FQ$1,#REF!,0)))</f>
        <v/>
      </c>
      <c r="FR70" s="45" t="str">
        <f t="array" ref="FR70">IF($DT70="","", INDEX(#REF!,MATCH(CONCATENATE('Respuestas de formulario 1.1'!$B70,$DS70),#REF!,0),MATCH('Respuestas de formulario 1.1'!FR$1,#REF!,0)))</f>
        <v/>
      </c>
      <c r="FS70" s="45" t="str">
        <f t="array" ref="FS70">IF($DU70="","", INDEX(#REF!,MATCH(CONCATENATE('Respuestas de formulario 1.1'!$B70,$DT70),#REF!,0),MATCH('Respuestas de formulario 1.1'!FS$1,#REF!,0)))</f>
        <v/>
      </c>
      <c r="FT70" s="56" t="str">
        <f t="array" ref="FT70">IF($DU70="","", INDEX(#REF!,MATCH(CONCATENATE('Respuestas de formulario 1.1'!$B70,$DT70),#REF!,0),MATCH('Respuestas de formulario 1.1'!FT$1,#REF!,0)))</f>
        <v/>
      </c>
      <c r="FU70" s="56" t="str">
        <f t="array" ref="FU70">IF($DU70="","", INDEX(#REF!,MATCH(CONCATENATE('Respuestas de formulario 1.1'!$B70,$DT70),#REF!,0),MATCH('Respuestas de formulario 1.1'!FU$1,#REF!,0)))</f>
        <v/>
      </c>
      <c r="FV70" s="56" t="str">
        <f t="array" ref="FV70">IF($DU70="","", INDEX(#REF!,MATCH(CONCATENATE('Respuestas de formulario 1.1'!$B70,$DT70),#REF!,0),MATCH('Respuestas de formulario 1.1'!FV$1,#REF!,0)))</f>
        <v/>
      </c>
      <c r="FW70" s="56" t="str">
        <f t="array" ref="FW70">IF($DU70="","", INDEX(#REF!,MATCH(CONCATENATE('Respuestas de formulario 1.1'!$B70,$DT70),#REF!,0),MATCH('Respuestas de formulario 1.1'!FW$1,#REF!,0)))</f>
        <v/>
      </c>
      <c r="FX70" s="56" t="str">
        <f t="array" ref="FX70">IF($DU70="","", INDEX(#REF!,MATCH(CONCATENATE('Respuestas de formulario 1.1'!$B70,$DT70),#REF!,0),MATCH('Respuestas de formulario 1.1'!FX$1,#REF!,0)))</f>
        <v/>
      </c>
      <c r="FY70" s="45" t="str">
        <f t="array" ref="FY70">IF($DU70="","", INDEX(#REF!,MATCH(CONCATENATE('Respuestas de formulario 1.1'!$B70,$DT70),#REF!,0),MATCH('Respuestas de formulario 1.1'!FY$1,#REF!,0)))</f>
        <v/>
      </c>
      <c r="FZ70" s="3" t="s">
        <v>2860</v>
      </c>
      <c r="GA70" s="1" t="s">
        <v>4029</v>
      </c>
      <c r="GB70" s="5" t="s">
        <v>4030</v>
      </c>
      <c r="GC70" s="4" t="str">
        <f>HYPERLINK("https://drive.google.com/file/d/1xGiQYGoj56JGoShpY29vyGCHk6fYSgnT/view?usp=drivesdk","HERNANDEZ  CHAVIRA DAVID Formato de reinscripción y pago 2022-2")</f>
        <v>HERNANDEZ  CHAVIRA DAVID Formato de reinscripción y pago 2022-2</v>
      </c>
      <c r="GD70" s="1" t="s">
        <v>4031</v>
      </c>
      <c r="GE70" s="1"/>
      <c r="GF70" s="1"/>
      <c r="GG70" s="1"/>
      <c r="GH70" s="1"/>
      <c r="GI70" s="1" t="s">
        <v>4032</v>
      </c>
      <c r="GJ70" s="5" t="s">
        <v>4033</v>
      </c>
      <c r="GK70" s="5" t="str">
        <f>HYPERLINK("https://drive.google.com/file/d/1fMU8PqPHY2Fw5mqkOqY_DVDNX2VzQMna/view?usp=drivesdk","HERNANDEZ  CHAVIRA DAVID Formato de reinscripción y pago 2022-2")</f>
        <v>HERNANDEZ  CHAVIRA DAVID Formato de reinscripción y pago 2022-2</v>
      </c>
      <c r="GL70" s="1" t="s">
        <v>4034</v>
      </c>
    </row>
    <row r="71" spans="1:194" ht="38.25" x14ac:dyDescent="0.2">
      <c r="A71" s="2">
        <v>45139.374786273147</v>
      </c>
      <c r="B71" s="1" t="s">
        <v>1253</v>
      </c>
      <c r="C71" s="1" t="s">
        <v>4035</v>
      </c>
      <c r="D71" s="1" t="s">
        <v>433</v>
      </c>
      <c r="E71" s="1" t="s">
        <v>4036</v>
      </c>
      <c r="F71" s="1" t="s">
        <v>223</v>
      </c>
      <c r="G71" s="5" t="s">
        <v>4037</v>
      </c>
      <c r="H71" s="41">
        <v>39305</v>
      </c>
      <c r="I71" s="1">
        <v>15</v>
      </c>
      <c r="J71" s="1">
        <v>5627394590</v>
      </c>
      <c r="K71" s="1">
        <v>5522362966</v>
      </c>
      <c r="L71" s="1" t="s">
        <v>1254</v>
      </c>
      <c r="M71" s="1">
        <v>22309060570574</v>
      </c>
      <c r="N71" s="1" t="s">
        <v>562</v>
      </c>
      <c r="O71" s="1" t="s">
        <v>247</v>
      </c>
      <c r="P71" s="1" t="s">
        <v>278</v>
      </c>
      <c r="Q71" s="1" t="s">
        <v>227</v>
      </c>
      <c r="R71" s="1" t="s">
        <v>236</v>
      </c>
      <c r="S71" s="1" t="s">
        <v>228</v>
      </c>
      <c r="T71" s="1" t="s">
        <v>411</v>
      </c>
      <c r="U71" s="1" t="s">
        <v>289</v>
      </c>
      <c r="V71" s="1" t="s">
        <v>228</v>
      </c>
      <c r="W71" s="1" t="s">
        <v>4038</v>
      </c>
      <c r="X71" s="1" t="s">
        <v>289</v>
      </c>
      <c r="Y71" s="1" t="s">
        <v>4039</v>
      </c>
      <c r="Z71" s="1" t="s">
        <v>231</v>
      </c>
      <c r="AA71" s="1">
        <v>56565</v>
      </c>
      <c r="AB71" s="1">
        <v>6</v>
      </c>
      <c r="AC71" s="1">
        <v>6</v>
      </c>
      <c r="AD71" s="1" t="s">
        <v>4040</v>
      </c>
      <c r="AE71" s="1" t="s">
        <v>4041</v>
      </c>
      <c r="AF71" s="1" t="s">
        <v>586</v>
      </c>
      <c r="AG71" s="1">
        <v>19</v>
      </c>
      <c r="AH71" s="5" t="s">
        <v>4042</v>
      </c>
      <c r="AI71" s="1">
        <v>5634420899</v>
      </c>
      <c r="AJ71" s="1">
        <v>5522362966</v>
      </c>
      <c r="AK71" s="1" t="s">
        <v>1255</v>
      </c>
      <c r="AL71" s="1" t="s">
        <v>433</v>
      </c>
      <c r="AM71" s="1" t="s">
        <v>2125</v>
      </c>
      <c r="AN71" s="1" t="s">
        <v>824</v>
      </c>
      <c r="AO71" s="1" t="s">
        <v>265</v>
      </c>
      <c r="AP71" s="1">
        <v>38</v>
      </c>
      <c r="AQ71" s="1" t="s">
        <v>4043</v>
      </c>
      <c r="AR71" s="42">
        <v>0.33333333333575865</v>
      </c>
      <c r="AS71" s="42">
        <v>0.4375</v>
      </c>
      <c r="AT71" s="1">
        <v>5515074924</v>
      </c>
      <c r="AU71" s="1">
        <v>5522362966</v>
      </c>
      <c r="AV71" s="1" t="s">
        <v>1256</v>
      </c>
      <c r="AW71" s="5" t="s">
        <v>4044</v>
      </c>
      <c r="AX71" s="1" t="s">
        <v>1257</v>
      </c>
      <c r="AY71" s="1" t="s">
        <v>252</v>
      </c>
      <c r="AZ71" s="1" t="s">
        <v>1258</v>
      </c>
      <c r="BA71" s="1" t="s">
        <v>505</v>
      </c>
      <c r="BB71" s="1">
        <v>36</v>
      </c>
      <c r="BC71" s="1" t="s">
        <v>1361</v>
      </c>
      <c r="BD71" s="43">
        <v>0.25</v>
      </c>
      <c r="BE71" s="43">
        <v>0.25</v>
      </c>
      <c r="BF71" s="1">
        <v>5614276769</v>
      </c>
      <c r="BG71" s="1">
        <v>5522362966</v>
      </c>
      <c r="BH71" s="1" t="s">
        <v>1259</v>
      </c>
      <c r="BI71" s="5" t="s">
        <v>4045</v>
      </c>
      <c r="BJ71" s="1" t="s">
        <v>228</v>
      </c>
      <c r="BK71" s="1" t="s">
        <v>265</v>
      </c>
      <c r="BL71" s="1">
        <v>1.64</v>
      </c>
      <c r="BM71" s="1">
        <v>60</v>
      </c>
      <c r="BN71" s="1" t="s">
        <v>228</v>
      </c>
      <c r="BO71" s="1" t="s">
        <v>228</v>
      </c>
      <c r="BQ71" s="1" t="s">
        <v>228</v>
      </c>
      <c r="BR71" s="1" t="s">
        <v>237</v>
      </c>
      <c r="BS71" s="1" t="s">
        <v>228</v>
      </c>
      <c r="BT71" s="1" t="s">
        <v>237</v>
      </c>
      <c r="BU71" s="1" t="s">
        <v>228</v>
      </c>
      <c r="BW71" s="1" t="s">
        <v>272</v>
      </c>
      <c r="BX71" s="1">
        <v>90</v>
      </c>
      <c r="BY71" s="1">
        <v>240</v>
      </c>
      <c r="BZ71" s="1" t="s">
        <v>1539</v>
      </c>
      <c r="CA71" s="1" t="s">
        <v>237</v>
      </c>
      <c r="CB71" s="1" t="s">
        <v>240</v>
      </c>
      <c r="CC71" s="1" t="s">
        <v>1641</v>
      </c>
      <c r="CD71" s="1">
        <v>3000</v>
      </c>
      <c r="CE71" s="1">
        <v>4000</v>
      </c>
      <c r="CF71" s="1" t="s">
        <v>236</v>
      </c>
      <c r="CG71" s="1" t="s">
        <v>323</v>
      </c>
      <c r="CH71" s="1" t="s">
        <v>243</v>
      </c>
      <c r="CI71" s="1" t="s">
        <v>243</v>
      </c>
      <c r="CJ71" s="1" t="s">
        <v>2848</v>
      </c>
      <c r="CL71" s="5" t="s">
        <v>4046</v>
      </c>
      <c r="CM71" s="1">
        <v>15220717027</v>
      </c>
      <c r="CN71" s="1" t="s">
        <v>228</v>
      </c>
      <c r="CQ71" s="42">
        <v>0.33333333333575865</v>
      </c>
      <c r="CR71" s="42">
        <v>8.3333333335758653E-2</v>
      </c>
      <c r="CT71" s="45" t="str">
        <f t="array" ref="CT71">IFERROR(INDEX(#REF!,MATCH('Respuestas de formulario 1.1'!$B71,#REF!,0),MATCH('Respuestas de formulario 1.1'!CT$1,#REF!,0)),"")</f>
        <v/>
      </c>
      <c r="CU71" s="56" t="str">
        <f t="array" ref="CU71">IFERROR(INDEX(#REF!,MATCH('Respuestas de formulario 1.1'!$B71,#REF!,0),MATCH('Respuestas de formulario 1.1'!CU$1,#REF!,0)),"")</f>
        <v/>
      </c>
      <c r="CV71" s="56" t="str">
        <f t="array" ref="CV71">IFERROR(INDEX(#REF!,MATCH('Respuestas de formulario 1.1'!$B71,#REF!,0),MATCH('Respuestas de formulario 1.1'!CV$1,#REF!,0)),"")</f>
        <v/>
      </c>
      <c r="CW71" s="56" t="str">
        <f t="array" ref="CW71">IFERROR(INDEX(#REF!,MATCH('Respuestas de formulario 1.1'!$B71,#REF!,0),MATCH('Respuestas de formulario 1.1'!CW$1,#REF!,0)),"")</f>
        <v/>
      </c>
      <c r="CX71" s="56" t="str">
        <f t="array" ref="CX71">IFERROR(INDEX(#REF!,MATCH('Respuestas de formulario 1.1'!$B71,#REF!,0),MATCH('Respuestas de formulario 1.1'!CX$1,#REF!,0)),"")</f>
        <v/>
      </c>
      <c r="CY71" s="56" t="str">
        <f t="array" ref="CY71">IFERROR(INDEX(#REF!,MATCH('Respuestas de formulario 1.1'!$B71,#REF!,0),MATCH('Respuestas de formulario 1.1'!CY$1,#REF!,0)),"")</f>
        <v/>
      </c>
      <c r="CZ71" s="57" t="str">
        <f t="array" ref="CZ71">IFERROR(INDEX(#REF!,MATCH('Respuestas de formulario 1.1'!$B71,#REF!,0),MATCH('Respuestas de formulario 1.1'!CZ$1,#REF!,0)),"")</f>
        <v/>
      </c>
      <c r="DA71" s="45" t="e">
        <f t="array" ref="DA71">INDEX(#REF!,MATCH('Respuestas de formulario 1.1'!$B71,#REF!,0),MATCH('Respuestas de formulario 1.1'!DA$1,#REF!,0))</f>
        <v>#REF!</v>
      </c>
      <c r="DB71" s="45" t="e">
        <f t="array" ref="DB71">INDEX(#REF!,MATCH('Respuestas de formulario 1.1'!$B71,#REF!,0),MATCH('Respuestas de formulario 1.1'!DB$1,#REF!,0))</f>
        <v>#REF!</v>
      </c>
      <c r="DC71" s="45" t="e">
        <f t="array" ref="DC71">INDEX(#REF!,MATCH('Respuestas de formulario 1.1'!$B71,#REF!,0),MATCH('Respuestas de formulario 1.1'!DC$1,#REF!,0))</f>
        <v>#REF!</v>
      </c>
      <c r="DD71" s="45" t="e">
        <f t="array" ref="DD71">INDEX(#REF!,MATCH('Respuestas de formulario 1.1'!$B71,#REF!,0),MATCH('Respuestas de formulario 1.1'!DD$1,#REF!,0))</f>
        <v>#REF!</v>
      </c>
      <c r="DE71" s="45" t="e">
        <f t="array" ref="DE71">INDEX(#REF!,MATCH('Respuestas de formulario 1.1'!$B71,#REF!,0),MATCH('Respuestas de formulario 1.1'!DE$1,#REF!,0))</f>
        <v>#REF!</v>
      </c>
      <c r="DF71" s="45" t="e">
        <f t="array" ref="DF71">INDEX(#REF!,MATCH('Respuestas de formulario 1.1'!$B71,#REF!,0),MATCH('Respuestas de formulario 1.1'!DF$1,#REF!,0))</f>
        <v>#REF!</v>
      </c>
      <c r="DG71" s="45" t="e">
        <f t="array" ref="DG71">INDEX(#REF!,MATCH('Respuestas de formulario 1.1'!$B71,#REF!,0),MATCH('Respuestas de formulario 1.1'!DG$1,#REF!,0))</f>
        <v>#REF!</v>
      </c>
      <c r="DH71" s="45" t="e">
        <f t="array" ref="DH71">INDEX(#REF!,MATCH('Respuestas de formulario 1.1'!$B71,#REF!,0),MATCH('Respuestas de formulario 1.1'!DH$1,#REF!,0))</f>
        <v>#REF!</v>
      </c>
      <c r="DI71" s="48" t="e">
        <f>VLOOKUP(CONCATENATE($DF71," TUTO ",$DC71),#REF!,3,0)</f>
        <v>#REF!</v>
      </c>
      <c r="DJ71" s="48" t="e">
        <f t="array" ref="DJ71">IF('Respuestas de formulario 1.1'!A71="","",INDEX(#REF!,MATCH('Respuestas de formulario 1.1'!B71,#REF!,0),MATCH('Respuestas de formulario 1.1'!$DH$1,#REF!,0)))</f>
        <v>#REF!</v>
      </c>
      <c r="DK71" s="52" t="str">
        <f>CONCATENATE("http://doc.google.com/uc?id=",MID('Respuestas de formulario 1.1'!G71,34,33))</f>
        <v>http://doc.google.com/uc?id=1cG5zCCcKSdb0sUtOOs3TvGERP4i0ereV</v>
      </c>
      <c r="DL71" s="49" t="str">
        <f>CONCATENATE("http://doc.google.com/uc?id=",MID('Respuestas de formulario 1.1'!AH71,34,33))</f>
        <v>http://doc.google.com/uc?id=1J0SGwbkbmLR8crBpTGWlMulHBy9H4KBL</v>
      </c>
      <c r="DM71" s="50" t="str">
        <f>CONCATENATE("http://doc.google.com/uc?id=",MID('Respuestas de formulario 1.1'!AW71,34,33))</f>
        <v>http://doc.google.com/uc?id=1nQKdZshPIgXEYMA2NtiQNegsKVNCWOis</v>
      </c>
      <c r="DN71" s="53" t="str">
        <f>CONCATENATE("http://doc.google.com/uc?id=",MID('Respuestas de formulario 1.1'!$BI71,34,33))</f>
        <v>http://doc.google.com/uc?id=1yYAe9MN_dDUflZrn1Z5rEpdHflEX4r15</v>
      </c>
      <c r="DO71" s="45" t="str">
        <f>IFERROR(VLOOKUP(CONCATENATE('Respuestas de formulario 1.1'!$B71,MID('Respuestas de formulario 1.1'!DO$1,2,1)),#REF!,12,0),"")</f>
        <v/>
      </c>
      <c r="DP71" s="45" t="str">
        <f>IFERROR(VLOOKUP(CONCATENATE('Respuestas de formulario 1.1'!$B71,MID('Respuestas de formulario 1.1'!DP$1,2,1)),#REF!,12,0),"")</f>
        <v/>
      </c>
      <c r="DQ71" s="45" t="str">
        <f>IFERROR(VLOOKUP(CONCATENATE('Respuestas de formulario 1.1'!$B71,MID('Respuestas de formulario 1.1'!DQ$1,2,1)),#REF!,12,0),"")</f>
        <v/>
      </c>
      <c r="DR71" s="45" t="str">
        <f>IFERROR(VLOOKUP(CONCATENATE('Respuestas de formulario 1.1'!$B71,MID('Respuestas de formulario 1.1'!DR$1,2,1)),#REF!,12,0),"")</f>
        <v/>
      </c>
      <c r="DS71" s="45" t="str">
        <f>IFERROR(VLOOKUP(CONCATENATE('Respuestas de formulario 1.1'!$B71,MID('Respuestas de formulario 1.1'!DS$1,2,1)),#REF!,12,0),"")</f>
        <v/>
      </c>
      <c r="DT71" s="45" t="str">
        <f>IFERROR(VLOOKUP(CONCATENATE('Respuestas de formulario 1.1'!$B71,MID('Respuestas de formulario 1.1'!DT$1,2,1)),#REF!,12,0),"")</f>
        <v/>
      </c>
      <c r="DU71" s="45" t="str">
        <f>IFERROR(VLOOKUP(CONCATENATE('Respuestas de formulario 1.1'!$B71,MID('Respuestas de formulario 1.1'!DU$1,2,1)),#REF!,12,0),"")</f>
        <v/>
      </c>
      <c r="DV71" s="45" t="str">
        <f>IFERROR(VLOOKUP(CONCATENATE('Respuestas de formulario 1.1'!$B71,MID('Respuestas de formulario 1.1'!DV$1,2,1)),#REF!,12,0),"")</f>
        <v/>
      </c>
      <c r="DW71" s="45" t="str">
        <f>IFERROR(VLOOKUP(CONCATENATE('Respuestas de formulario 1.1'!$B71,MID('Respuestas de formulario 1.1'!DW$1,2,1)),#REF!,12,0),"")</f>
        <v/>
      </c>
      <c r="DX71" s="45" t="str">
        <f>IFERROR(VLOOKUP(CONCATENATE('Respuestas de formulario 1.1'!$B71,MID('Respuestas de formulario 1.1'!DX$1,2,1)),#REF!,12,0),"")</f>
        <v/>
      </c>
      <c r="DY71" s="45" t="str">
        <f>IFERROR(VLOOKUP(CONCATENATE('Respuestas de formulario 1.1'!$B71,MID('Respuestas de formulario 1.1'!DY$1,2,1)),#REF!,12,0),"")</f>
        <v/>
      </c>
      <c r="DZ71" s="45" t="str">
        <f>IFERROR(VLOOKUP(CONCATENATE('Respuestas de formulario 1.1'!$B71,MID('Respuestas de formulario 1.1'!DZ$1,2,1)),#REF!,12,0),"")</f>
        <v/>
      </c>
      <c r="EA71" s="45" t="str">
        <f>IFERROR(VLOOKUP(CONCATENATE('Respuestas de formulario 1.1'!$B71,MID('Respuestas de formulario 1.1'!EA$1,2,1)),#REF!,12,0),"")</f>
        <v/>
      </c>
      <c r="EB71" s="45" t="str">
        <f>IFERROR(VLOOKUP(CONCATENATE('Respuestas de formulario 1.1'!$B71,MID('Respuestas de formulario 1.1'!EB$1,2,1)),#REF!,12,0),"")</f>
        <v/>
      </c>
      <c r="EC71" s="45" t="str">
        <f>IFERROR(VLOOKUP(CONCATENATE('Respuestas de formulario 1.1'!$B71,MID('Respuestas de formulario 1.1'!EC$1,2,1)),#REF!,12,0),"")</f>
        <v/>
      </c>
      <c r="ED71" s="45" t="str">
        <f>IFERROR(VLOOKUP(CONCATENATE('Respuestas de formulario 1.1'!$B71,MID('Respuestas de formulario 1.1'!ED$1,2,1)),#REF!,12,0),"")</f>
        <v/>
      </c>
      <c r="EE71" s="45" t="str">
        <f>IFERROR(VLOOKUP(CONCATENATE('Respuestas de formulario 1.1'!$B71,MID('Respuestas de formulario 1.1'!EE$1,2,1)),#REF!,12,0),"")</f>
        <v/>
      </c>
      <c r="EF71" s="45" t="str">
        <f>IFERROR(VLOOKUP(CONCATENATE('Respuestas de formulario 1.1'!$B71,MID('Respuestas de formulario 1.1'!EF$1,2,1)),#REF!,12,0),"")</f>
        <v/>
      </c>
      <c r="EG71" s="45" t="str">
        <f>IFERROR(VLOOKUP(CONCATENATE('Respuestas de formulario 1.1'!$B71,MID('Respuestas de formulario 1.1'!EG$1,2,1)),#REF!,12,0),"")</f>
        <v/>
      </c>
      <c r="EH71" s="45" t="str">
        <f>IFERROR(VLOOKUP(CONCATENATE('Respuestas de formulario 1.1'!$B71,MID('Respuestas de formulario 1.1'!EH$1,2,1)),#REF!,12,0),"")</f>
        <v/>
      </c>
      <c r="EI71" s="45" t="str">
        <f>IFERROR(VLOOKUP(CONCATENATE('Respuestas de formulario 1.1'!$B71,MID('Respuestas de formulario 1.1'!EI$1,2,1)),#REF!,12,0),"")</f>
        <v/>
      </c>
      <c r="EJ71" s="45" t="str">
        <f t="array" ref="EJ71">IF(DO71="","", INDEX(#REF!,MATCH(CONCATENATE('Respuestas de formulario 1.1'!$B71,DO71),#REF!,0),MATCH('Respuestas de formulario 1.1'!EJ$1,#REF!,0)))</f>
        <v/>
      </c>
      <c r="EK71" s="56" t="str">
        <f t="array" ref="EK71">IF(DP71="","", INDEX(#REF!,MATCH(CONCATENATE('Respuestas de formulario 1.1'!$B71,DP71),#REF!,0),MATCH('Respuestas de formulario 1.1'!EK$1,#REF!,0)))</f>
        <v/>
      </c>
      <c r="EL71" s="56" t="str">
        <f t="array" ref="EL71">IF(DQ71="","", INDEX(#REF!,MATCH(CONCATENATE('Respuestas de formulario 1.1'!$B71,DQ71),#REF!,0),MATCH('Respuestas de formulario 1.1'!EL$1,#REF!,0)))</f>
        <v/>
      </c>
      <c r="EM71" s="56" t="str">
        <f t="array" ref="EM71">IF(DR71="","", INDEX(#REF!,MATCH(CONCATENATE('Respuestas de formulario 1.1'!$B71,DR71),#REF!,0),MATCH('Respuestas de formulario 1.1'!EM$1,#REF!,0)))</f>
        <v/>
      </c>
      <c r="EN71" s="56" t="str">
        <f t="array" ref="EN71">IF(DS71="","", INDEX(#REF!,MATCH(CONCATENATE('Respuestas de formulario 1.1'!$B71,DS71),#REF!,0),MATCH('Respuestas de formulario 1.1'!EN$1,#REF!,0)))</f>
        <v/>
      </c>
      <c r="EO71" s="56" t="str">
        <f t="array" ref="EO71">IF(DT71="","", INDEX(#REF!,MATCH(CONCATENATE('Respuestas de formulario 1.1'!$B71,DT71),#REF!,0),MATCH('Respuestas de formulario 1.1'!EO$1,#REF!,0)))</f>
        <v/>
      </c>
      <c r="EP71" s="45" t="str">
        <f t="array" ref="EP71">IF(DU71="","", INDEX(#REF!,MATCH(CONCATENATE('Respuestas de formulario 1.1'!$B71,DU71),#REF!,0),MATCH('Respuestas de formulario 1.1'!EP$1,#REF!,0)))</f>
        <v/>
      </c>
      <c r="EQ71" s="45" t="str">
        <f t="array" ref="EQ71">IF(DP71="","", INDEX(#REF!,MATCH(CONCATENATE('Respuestas de formulario 1.1'!$B71,DP71),#REF!,0),MATCH('Respuestas de formulario 1.1'!EQ$1,#REF!,0)))</f>
        <v/>
      </c>
      <c r="ER71" s="56" t="str">
        <f t="array" ref="ER71">IF(DQ71="","", INDEX(#REF!,MATCH(CONCATENATE('Respuestas de formulario 1.1'!$B71,DQ71),#REF!,0),MATCH('Respuestas de formulario 1.1'!ER$1,#REF!,0)))</f>
        <v/>
      </c>
      <c r="ES71" s="56" t="str">
        <f t="array" ref="ES71">IF(DR71="","", INDEX(#REF!,MATCH(CONCATENATE('Respuestas de formulario 1.1'!$B71,DR71),#REF!,0),MATCH('Respuestas de formulario 1.1'!ES$1,#REF!,0)))</f>
        <v/>
      </c>
      <c r="ET71" s="56" t="str">
        <f t="array" ref="ET71">IF(DS71="","", INDEX(#REF!,MATCH(CONCATENATE('Respuestas de formulario 1.1'!$B71,DS71),#REF!,0),MATCH('Respuestas de formulario 1.1'!ET$1,#REF!,0)))</f>
        <v/>
      </c>
      <c r="EU71" s="56" t="str">
        <f t="array" ref="EU71">IF(DT71="","", INDEX(#REF!,MATCH(CONCATENATE('Respuestas de formulario 1.1'!$B71,DT71),#REF!,0),MATCH('Respuestas de formulario 1.1'!EU$1,#REF!,0)))</f>
        <v/>
      </c>
      <c r="EV71" s="56" t="str">
        <f t="array" ref="EV71">IF(DU71="","", INDEX(#REF!,MATCH(CONCATENATE('Respuestas de formulario 1.1'!$B71,DU71),#REF!,0),MATCH('Respuestas de formulario 1.1'!EV$1,#REF!,0)))</f>
        <v/>
      </c>
      <c r="EW71" s="45" t="str">
        <f t="array" ref="EW71">IF(DV71="","", INDEX(#REF!,MATCH(CONCATENATE('Respuestas de formulario 1.1'!$B71,DV71),#REF!,0),MATCH('Respuestas de formulario 1.1'!EW$1,#REF!,0)))</f>
        <v/>
      </c>
      <c r="EX71" s="45" t="str">
        <f t="array" ref="EX71">IF($DQ71="","", INDEX(#REF!,MATCH(CONCATENATE('Respuestas de formulario 1.1'!$B71,$DQ71),#REF!,0),MATCH('Respuestas de formulario 1.1'!EX$1,#REF!,0)))</f>
        <v/>
      </c>
      <c r="EY71" s="56" t="str">
        <f t="array" ref="EY71">IF($DQ71="","", INDEX(#REF!,MATCH(CONCATENATE('Respuestas de formulario 1.1'!$B71,$DQ71),#REF!,0),MATCH('Respuestas de formulario 1.1'!EY$1,#REF!,0)))</f>
        <v/>
      </c>
      <c r="EZ71" s="56" t="str">
        <f t="array" ref="EZ71">IF($DQ71="","", INDEX(#REF!,MATCH(CONCATENATE('Respuestas de formulario 1.1'!$B71,$DQ71),#REF!,0),MATCH('Respuestas de formulario 1.1'!EZ$1,#REF!,0)))</f>
        <v/>
      </c>
      <c r="FA71" s="56" t="str">
        <f t="array" ref="FA71">IF($DQ71="","", INDEX(#REF!,MATCH(CONCATENATE('Respuestas de formulario 1.1'!$B71,$DQ71),#REF!,0),MATCH('Respuestas de formulario 1.1'!FA$1,#REF!,0)))</f>
        <v/>
      </c>
      <c r="FB71" s="56" t="str">
        <f t="array" ref="FB71">IF($DQ71="","", INDEX(#REF!,MATCH(CONCATENATE('Respuestas de formulario 1.1'!$B71,$DQ71),#REF!,0),MATCH('Respuestas de formulario 1.1'!FB$1,#REF!,0)))</f>
        <v/>
      </c>
      <c r="FC71" s="56" t="str">
        <f t="array" ref="FC71">IF($DQ71="","", INDEX(#REF!,MATCH(CONCATENATE('Respuestas de formulario 1.1'!$B71,$DQ71),#REF!,0),MATCH('Respuestas de formulario 1.1'!FC$1,#REF!,0)))</f>
        <v/>
      </c>
      <c r="FD71" s="45" t="str">
        <f t="array" ref="FD71">IF($DQ71="","", INDEX(#REF!,MATCH(CONCATENATE('Respuestas de formulario 1.1'!$B71,$DQ71),#REF!,0),MATCH('Respuestas de formulario 1.1'!FD$1,#REF!,0)))</f>
        <v/>
      </c>
      <c r="FE71" s="45" t="str">
        <f t="array" ref="FE71">IF($DR71="","", INDEX(#REF!,MATCH(CONCATENATE(#REF!,$DR71),#REF!,0),MATCH(#REF!,#REF!,0)))</f>
        <v/>
      </c>
      <c r="FF71" s="56" t="str">
        <f t="array" ref="FF71">IF($DR71="","", INDEX(#REF!,MATCH(CONCATENATE(#REF!,$DR71),#REF!,0),MATCH(#REF!,#REF!,0)))</f>
        <v/>
      </c>
      <c r="FG71" s="56" t="str">
        <f t="array" ref="FG71">IF($DR71="","", INDEX(#REF!,MATCH(CONCATENATE(#REF!,$DR71),#REF!,0),MATCH(#REF!,#REF!,0)))</f>
        <v/>
      </c>
      <c r="FH71" s="56" t="str">
        <f t="array" ref="FH71">IF($DR71="","", INDEX(#REF!,MATCH(CONCATENATE(#REF!,$DR71),#REF!,0),MATCH(#REF!,#REF!,0)))</f>
        <v/>
      </c>
      <c r="FI71" s="56" t="str">
        <f t="array" ref="FI71">IF($DR71="","", INDEX(#REF!,MATCH(CONCATENATE(#REF!,$DR71),#REF!,0),MATCH(#REF!,#REF!,0)))</f>
        <v/>
      </c>
      <c r="FJ71" s="56" t="str">
        <f t="array" ref="FJ71">IF($DR71="","", INDEX(#REF!,MATCH(CONCATENATE(#REF!,$DR71),#REF!,0),MATCH(#REF!,#REF!,0)))</f>
        <v/>
      </c>
      <c r="FK71" s="45" t="str">
        <f t="array" ref="FK71">IF($DR71="","", INDEX(#REF!,MATCH(CONCATENATE(#REF!,$DR71),#REF!,0),MATCH(#REF!,#REF!,0)))</f>
        <v/>
      </c>
      <c r="FL71" s="45" t="str">
        <f t="array" ref="FL71">IF($DT71="","", INDEX(#REF!,MATCH(CONCATENATE('Respuestas de formulario 1.1'!$B71,$DS71),#REF!,0),MATCH('Respuestas de formulario 1.1'!FL$1,#REF!,0)))</f>
        <v/>
      </c>
      <c r="FM71" s="56" t="str">
        <f t="array" ref="FM71">IF($DT71="","", INDEX(#REF!,MATCH(CONCATENATE('Respuestas de formulario 1.1'!$B71,$DS71),#REF!,0),MATCH('Respuestas de formulario 1.1'!FM$1,#REF!,0)))</f>
        <v/>
      </c>
      <c r="FN71" s="56" t="str">
        <f t="array" ref="FN71">IF($DT71="","", INDEX(#REF!,MATCH(CONCATENATE('Respuestas de formulario 1.1'!$B71,$DS71),#REF!,0),MATCH('Respuestas de formulario 1.1'!FN$1,#REF!,0)))</f>
        <v/>
      </c>
      <c r="FO71" s="56" t="str">
        <f t="array" ref="FO71">IF($DT71="","", INDEX(#REF!,MATCH(CONCATENATE('Respuestas de formulario 1.1'!$B71,$DS71),#REF!,0),MATCH('Respuestas de formulario 1.1'!FO$1,#REF!,0)))</f>
        <v/>
      </c>
      <c r="FP71" s="56" t="str">
        <f t="array" ref="FP71">IF($DT71="","", INDEX(#REF!,MATCH(CONCATENATE('Respuestas de formulario 1.1'!$B71,$DS71),#REF!,0),MATCH('Respuestas de formulario 1.1'!FP$1,#REF!,0)))</f>
        <v/>
      </c>
      <c r="FQ71" s="56" t="str">
        <f t="array" ref="FQ71">IF($DT71="","", INDEX(#REF!,MATCH(CONCATENATE('Respuestas de formulario 1.1'!$B71,$DS71),#REF!,0),MATCH('Respuestas de formulario 1.1'!FQ$1,#REF!,0)))</f>
        <v/>
      </c>
      <c r="FR71" s="45" t="str">
        <f t="array" ref="FR71">IF($DT71="","", INDEX(#REF!,MATCH(CONCATENATE('Respuestas de formulario 1.1'!$B71,$DS71),#REF!,0),MATCH('Respuestas de formulario 1.1'!FR$1,#REF!,0)))</f>
        <v/>
      </c>
      <c r="FS71" s="45" t="str">
        <f t="array" ref="FS71">IF($DU71="","", INDEX(#REF!,MATCH(CONCATENATE('Respuestas de formulario 1.1'!$B71,$DT71),#REF!,0),MATCH('Respuestas de formulario 1.1'!FS$1,#REF!,0)))</f>
        <v/>
      </c>
      <c r="FT71" s="56" t="str">
        <f t="array" ref="FT71">IF($DU71="","", INDEX(#REF!,MATCH(CONCATENATE('Respuestas de formulario 1.1'!$B71,$DT71),#REF!,0),MATCH('Respuestas de formulario 1.1'!FT$1,#REF!,0)))</f>
        <v/>
      </c>
      <c r="FU71" s="56" t="str">
        <f t="array" ref="FU71">IF($DU71="","", INDEX(#REF!,MATCH(CONCATENATE('Respuestas de formulario 1.1'!$B71,$DT71),#REF!,0),MATCH('Respuestas de formulario 1.1'!FU$1,#REF!,0)))</f>
        <v/>
      </c>
      <c r="FV71" s="56" t="str">
        <f t="array" ref="FV71">IF($DU71="","", INDEX(#REF!,MATCH(CONCATENATE('Respuestas de formulario 1.1'!$B71,$DT71),#REF!,0),MATCH('Respuestas de formulario 1.1'!FV$1,#REF!,0)))</f>
        <v/>
      </c>
      <c r="FW71" s="56" t="str">
        <f t="array" ref="FW71">IF($DU71="","", INDEX(#REF!,MATCH(CONCATENATE('Respuestas de formulario 1.1'!$B71,$DT71),#REF!,0),MATCH('Respuestas de formulario 1.1'!FW$1,#REF!,0)))</f>
        <v/>
      </c>
      <c r="FX71" s="56" t="str">
        <f t="array" ref="FX71">IF($DU71="","", INDEX(#REF!,MATCH(CONCATENATE('Respuestas de formulario 1.1'!$B71,$DT71),#REF!,0),MATCH('Respuestas de formulario 1.1'!FX$1,#REF!,0)))</f>
        <v/>
      </c>
      <c r="FY71" s="45" t="str">
        <f t="array" ref="FY71">IF($DU71="","", INDEX(#REF!,MATCH(CONCATENATE('Respuestas de formulario 1.1'!$B71,$DT71),#REF!,0),MATCH('Respuestas de formulario 1.1'!FY$1,#REF!,0)))</f>
        <v/>
      </c>
      <c r="FZ71" s="3" t="s">
        <v>2860</v>
      </c>
      <c r="GA71" s="1" t="s">
        <v>4047</v>
      </c>
      <c r="GB71" s="5" t="s">
        <v>4048</v>
      </c>
      <c r="GC71" s="4" t="str">
        <f>HYPERLINK("https://drive.google.com/file/d/1lB_EqJDp_rlxTvG-sfBsq7QIYZ5jyvHa/view?usp=drivesdk","RAMALES MARTINEZ NOELI YAMILE Formato de reinscripción y pago 2022-2")</f>
        <v>RAMALES MARTINEZ NOELI YAMILE Formato de reinscripción y pago 2022-2</v>
      </c>
      <c r="GD71" s="1" t="s">
        <v>4049</v>
      </c>
      <c r="GE71" s="1"/>
      <c r="GF71" s="1"/>
      <c r="GG71" s="1"/>
      <c r="GH71" s="1"/>
      <c r="GI71" s="1" t="s">
        <v>4050</v>
      </c>
      <c r="GJ71" s="5" t="s">
        <v>4051</v>
      </c>
      <c r="GK71" s="5" t="str">
        <f>HYPERLINK("https://drive.google.com/file/d/1u_sDTA6K_g-DOHBZfI9RvsuXZYsYjOft/view?usp=drivesdk","RAMALES MARTINEZ NOELI YAMILE Formato de reinscripción y pago 2022-2")</f>
        <v>RAMALES MARTINEZ NOELI YAMILE Formato de reinscripción y pago 2022-2</v>
      </c>
      <c r="GL71" s="1" t="s">
        <v>4052</v>
      </c>
    </row>
    <row r="72" spans="1:194" ht="38.25" x14ac:dyDescent="0.2">
      <c r="A72" s="2">
        <v>45139.376902673612</v>
      </c>
      <c r="B72" s="1" t="s">
        <v>982</v>
      </c>
      <c r="C72" s="1" t="s">
        <v>987</v>
      </c>
      <c r="D72" s="1" t="s">
        <v>819</v>
      </c>
      <c r="E72" s="1" t="s">
        <v>983</v>
      </c>
      <c r="F72" s="1" t="s">
        <v>223</v>
      </c>
      <c r="G72" s="5" t="s">
        <v>4053</v>
      </c>
      <c r="H72" s="41">
        <v>38695</v>
      </c>
      <c r="I72" s="1">
        <v>17</v>
      </c>
      <c r="J72" s="1">
        <v>5633517605</v>
      </c>
      <c r="K72" s="1">
        <v>5570227198</v>
      </c>
      <c r="L72" s="1" t="s">
        <v>984</v>
      </c>
      <c r="M72" s="1">
        <v>21309060570190</v>
      </c>
      <c r="N72" s="1" t="s">
        <v>1108</v>
      </c>
      <c r="O72" s="1" t="s">
        <v>247</v>
      </c>
      <c r="P72" s="1" t="s">
        <v>278</v>
      </c>
      <c r="Q72" s="1" t="s">
        <v>227</v>
      </c>
      <c r="R72" s="1" t="s">
        <v>236</v>
      </c>
      <c r="S72" s="1" t="s">
        <v>228</v>
      </c>
      <c r="T72" s="1" t="s">
        <v>411</v>
      </c>
      <c r="U72" s="1" t="s">
        <v>393</v>
      </c>
      <c r="V72" s="1" t="s">
        <v>228</v>
      </c>
      <c r="W72" s="1" t="s">
        <v>4054</v>
      </c>
      <c r="X72" s="1" t="s">
        <v>249</v>
      </c>
      <c r="Y72" s="1" t="s">
        <v>274</v>
      </c>
      <c r="Z72" s="1" t="s">
        <v>240</v>
      </c>
      <c r="AA72" s="44" t="s">
        <v>985</v>
      </c>
      <c r="AB72" s="44" t="s">
        <v>2775</v>
      </c>
      <c r="AC72" s="1">
        <v>0</v>
      </c>
      <c r="AD72" s="1" t="s">
        <v>4055</v>
      </c>
      <c r="AE72" s="1" t="s">
        <v>4056</v>
      </c>
      <c r="AF72" s="1" t="s">
        <v>420</v>
      </c>
      <c r="AG72" s="1">
        <v>47</v>
      </c>
      <c r="AH72" s="5" t="s">
        <v>4057</v>
      </c>
      <c r="AI72" s="1">
        <v>5570227198</v>
      </c>
      <c r="AJ72" s="1">
        <v>5570227198</v>
      </c>
      <c r="AK72" s="1" t="s">
        <v>986</v>
      </c>
      <c r="AL72" s="1" t="s">
        <v>819</v>
      </c>
      <c r="AM72" s="1" t="s">
        <v>392</v>
      </c>
      <c r="AN72" s="1" t="s">
        <v>4058</v>
      </c>
      <c r="AO72" s="1" t="s">
        <v>461</v>
      </c>
      <c r="AP72" s="1">
        <v>48</v>
      </c>
      <c r="AQ72" s="1" t="s">
        <v>328</v>
      </c>
      <c r="AR72" s="42">
        <v>0.375</v>
      </c>
      <c r="AS72" s="42">
        <v>0.91666666666424135</v>
      </c>
      <c r="AT72" s="1">
        <v>5570227198</v>
      </c>
      <c r="AU72" s="1">
        <v>5570227198</v>
      </c>
      <c r="AV72" s="1" t="s">
        <v>986</v>
      </c>
      <c r="AW72" s="5" t="s">
        <v>4059</v>
      </c>
      <c r="AX72" s="1" t="s">
        <v>801</v>
      </c>
      <c r="AY72" s="1" t="s">
        <v>819</v>
      </c>
      <c r="AZ72" s="1" t="s">
        <v>4060</v>
      </c>
      <c r="BA72" s="1" t="s">
        <v>488</v>
      </c>
      <c r="BB72" s="1">
        <v>24</v>
      </c>
      <c r="BC72" s="1" t="s">
        <v>1044</v>
      </c>
      <c r="BD72" s="43">
        <v>0.58333333333575865</v>
      </c>
      <c r="BE72" s="43">
        <v>0.91666666666424135</v>
      </c>
      <c r="BF72" s="1">
        <v>5570227198</v>
      </c>
      <c r="BG72" s="1">
        <v>5570227198</v>
      </c>
      <c r="BH72" s="1" t="s">
        <v>4061</v>
      </c>
      <c r="BI72" s="5" t="s">
        <v>4062</v>
      </c>
      <c r="BJ72" s="1" t="s">
        <v>236</v>
      </c>
      <c r="BK72" s="1" t="s">
        <v>228</v>
      </c>
      <c r="BL72" s="1">
        <v>157</v>
      </c>
      <c r="BM72" s="1">
        <v>50</v>
      </c>
      <c r="BN72" s="1" t="s">
        <v>236</v>
      </c>
      <c r="BO72" s="1" t="s">
        <v>228</v>
      </c>
      <c r="BP72" s="1" t="s">
        <v>450</v>
      </c>
      <c r="BQ72" s="1" t="s">
        <v>228</v>
      </c>
      <c r="BR72" s="1" t="s">
        <v>237</v>
      </c>
      <c r="BS72" s="1" t="s">
        <v>228</v>
      </c>
      <c r="BT72" s="1" t="s">
        <v>237</v>
      </c>
      <c r="BU72" s="1" t="s">
        <v>228</v>
      </c>
      <c r="BW72" s="1" t="s">
        <v>307</v>
      </c>
      <c r="BX72" s="1">
        <v>90</v>
      </c>
      <c r="BY72" s="1">
        <v>33</v>
      </c>
      <c r="BZ72" s="1" t="s">
        <v>253</v>
      </c>
      <c r="CA72" s="1" t="s">
        <v>847</v>
      </c>
      <c r="CB72" s="1" t="s">
        <v>240</v>
      </c>
      <c r="CC72" s="1" t="s">
        <v>274</v>
      </c>
      <c r="CD72" s="1">
        <v>700</v>
      </c>
      <c r="CE72" s="1">
        <v>300</v>
      </c>
      <c r="CF72" s="1" t="s">
        <v>236</v>
      </c>
      <c r="CG72" s="1" t="s">
        <v>242</v>
      </c>
      <c r="CH72" s="1" t="s">
        <v>243</v>
      </c>
      <c r="CI72" s="1" t="s">
        <v>243</v>
      </c>
      <c r="CJ72" s="1" t="s">
        <v>2848</v>
      </c>
      <c r="CL72" s="5" t="s">
        <v>4063</v>
      </c>
      <c r="CM72" s="44" t="s">
        <v>989</v>
      </c>
      <c r="CN72" s="1" t="s">
        <v>228</v>
      </c>
      <c r="CQ72" s="42">
        <v>0.45833333333575865</v>
      </c>
      <c r="CR72" s="42">
        <v>0.875</v>
      </c>
      <c r="CT72" s="45" t="str">
        <f t="array" ref="CT72">IFERROR(INDEX(#REF!,MATCH('Respuestas de formulario 1.1'!$B72,#REF!,0),MATCH('Respuestas de formulario 1.1'!CT$1,#REF!,0)),"")</f>
        <v/>
      </c>
      <c r="CU72" s="56" t="str">
        <f t="array" ref="CU72">IFERROR(INDEX(#REF!,MATCH('Respuestas de formulario 1.1'!$B72,#REF!,0),MATCH('Respuestas de formulario 1.1'!CU$1,#REF!,0)),"")</f>
        <v/>
      </c>
      <c r="CV72" s="56" t="str">
        <f t="array" ref="CV72">IFERROR(INDEX(#REF!,MATCH('Respuestas de formulario 1.1'!$B72,#REF!,0),MATCH('Respuestas de formulario 1.1'!CV$1,#REF!,0)),"")</f>
        <v/>
      </c>
      <c r="CW72" s="56" t="str">
        <f t="array" ref="CW72">IFERROR(INDEX(#REF!,MATCH('Respuestas de formulario 1.1'!$B72,#REF!,0),MATCH('Respuestas de formulario 1.1'!CW$1,#REF!,0)),"")</f>
        <v/>
      </c>
      <c r="CX72" s="56" t="str">
        <f t="array" ref="CX72">IFERROR(INDEX(#REF!,MATCH('Respuestas de formulario 1.1'!$B72,#REF!,0),MATCH('Respuestas de formulario 1.1'!CX$1,#REF!,0)),"")</f>
        <v/>
      </c>
      <c r="CY72" s="56" t="str">
        <f t="array" ref="CY72">IFERROR(INDEX(#REF!,MATCH('Respuestas de formulario 1.1'!$B72,#REF!,0),MATCH('Respuestas de formulario 1.1'!CY$1,#REF!,0)),"")</f>
        <v/>
      </c>
      <c r="CZ72" s="57" t="str">
        <f t="array" ref="CZ72">IFERROR(INDEX(#REF!,MATCH('Respuestas de formulario 1.1'!$B72,#REF!,0),MATCH('Respuestas de formulario 1.1'!CZ$1,#REF!,0)),"")</f>
        <v/>
      </c>
      <c r="DA72" s="45" t="e">
        <f t="array" ref="DA72">INDEX(#REF!,MATCH('Respuestas de formulario 1.1'!$B72,#REF!,0),MATCH('Respuestas de formulario 1.1'!DA$1,#REF!,0))</f>
        <v>#REF!</v>
      </c>
      <c r="DB72" s="45" t="e">
        <f t="array" ref="DB72">INDEX(#REF!,MATCH('Respuestas de formulario 1.1'!$B72,#REF!,0),MATCH('Respuestas de formulario 1.1'!DB$1,#REF!,0))</f>
        <v>#REF!</v>
      </c>
      <c r="DC72" s="45" t="e">
        <f t="array" ref="DC72">INDEX(#REF!,MATCH('Respuestas de formulario 1.1'!$B72,#REF!,0),MATCH('Respuestas de formulario 1.1'!DC$1,#REF!,0))</f>
        <v>#REF!</v>
      </c>
      <c r="DD72" s="45" t="e">
        <f t="array" ref="DD72">INDEX(#REF!,MATCH('Respuestas de formulario 1.1'!$B72,#REF!,0),MATCH('Respuestas de formulario 1.1'!DD$1,#REF!,0))</f>
        <v>#REF!</v>
      </c>
      <c r="DE72" s="45" t="e">
        <f t="array" ref="DE72">INDEX(#REF!,MATCH('Respuestas de formulario 1.1'!$B72,#REF!,0),MATCH('Respuestas de formulario 1.1'!DE$1,#REF!,0))</f>
        <v>#REF!</v>
      </c>
      <c r="DF72" s="45" t="e">
        <f t="array" ref="DF72">INDEX(#REF!,MATCH('Respuestas de formulario 1.1'!$B72,#REF!,0),MATCH('Respuestas de formulario 1.1'!DF$1,#REF!,0))</f>
        <v>#REF!</v>
      </c>
      <c r="DG72" s="45" t="e">
        <f t="array" ref="DG72">INDEX(#REF!,MATCH('Respuestas de formulario 1.1'!$B72,#REF!,0),MATCH('Respuestas de formulario 1.1'!DG$1,#REF!,0))</f>
        <v>#REF!</v>
      </c>
      <c r="DH72" s="45" t="e">
        <f t="array" ref="DH72">INDEX(#REF!,MATCH('Respuestas de formulario 1.1'!$B72,#REF!,0),MATCH('Respuestas de formulario 1.1'!DH$1,#REF!,0))</f>
        <v>#REF!</v>
      </c>
      <c r="DI72" s="48" t="e">
        <f>VLOOKUP(CONCATENATE($DF72," TUTO ",$DC72),#REF!,3,0)</f>
        <v>#REF!</v>
      </c>
      <c r="DJ72" s="48" t="e">
        <f t="array" ref="DJ72">IF('Respuestas de formulario 1.1'!A72="","",INDEX(#REF!,MATCH('Respuestas de formulario 1.1'!B72,#REF!,0),MATCH('Respuestas de formulario 1.1'!$DH$1,#REF!,0)))</f>
        <v>#REF!</v>
      </c>
      <c r="DK72" s="52" t="str">
        <f>CONCATENATE("http://doc.google.com/uc?id=",MID('Respuestas de formulario 1.1'!G72,34,33))</f>
        <v>http://doc.google.com/uc?id=1DUDniSUh1Jd5eXQflo__biZyk2msJ4E8</v>
      </c>
      <c r="DL72" s="49" t="str">
        <f>CONCATENATE("http://doc.google.com/uc?id=",MID('Respuestas de formulario 1.1'!AH72,34,33))</f>
        <v>http://doc.google.com/uc?id=15uMqHmur-LQlgOZdSfR5jU5S6MhfWBf2</v>
      </c>
      <c r="DM72" s="50" t="str">
        <f>CONCATENATE("http://doc.google.com/uc?id=",MID('Respuestas de formulario 1.1'!AW72,34,33))</f>
        <v>http://doc.google.com/uc?id=1t5p4P5JoeR9epvmYN53-78v9BH8XXhcS</v>
      </c>
      <c r="DN72" s="53" t="str">
        <f>CONCATENATE("http://doc.google.com/uc?id=",MID('Respuestas de formulario 1.1'!$BI72,34,33))</f>
        <v>http://doc.google.com/uc?id=11a66-DIVCY_HxZ8csLFP3qOsyDTSYoBh</v>
      </c>
      <c r="DO72" s="45" t="str">
        <f>IFERROR(VLOOKUP(CONCATENATE('Respuestas de formulario 1.1'!$B72,MID('Respuestas de formulario 1.1'!DO$1,2,1)),#REF!,12,0),"")</f>
        <v/>
      </c>
      <c r="DP72" s="45" t="str">
        <f>IFERROR(VLOOKUP(CONCATENATE('Respuestas de formulario 1.1'!$B72,MID('Respuestas de formulario 1.1'!DP$1,2,1)),#REF!,12,0),"")</f>
        <v/>
      </c>
      <c r="DQ72" s="45" t="str">
        <f>IFERROR(VLOOKUP(CONCATENATE('Respuestas de formulario 1.1'!$B72,MID('Respuestas de formulario 1.1'!DQ$1,2,1)),#REF!,12,0),"")</f>
        <v/>
      </c>
      <c r="DR72" s="45" t="str">
        <f>IFERROR(VLOOKUP(CONCATENATE('Respuestas de formulario 1.1'!$B72,MID('Respuestas de formulario 1.1'!DR$1,2,1)),#REF!,12,0),"")</f>
        <v/>
      </c>
      <c r="DS72" s="45" t="str">
        <f>IFERROR(VLOOKUP(CONCATENATE('Respuestas de formulario 1.1'!$B72,MID('Respuestas de formulario 1.1'!DS$1,2,1)),#REF!,12,0),"")</f>
        <v/>
      </c>
      <c r="DT72" s="45" t="str">
        <f>IFERROR(VLOOKUP(CONCATENATE('Respuestas de formulario 1.1'!$B72,MID('Respuestas de formulario 1.1'!DT$1,2,1)),#REF!,12,0),"")</f>
        <v/>
      </c>
      <c r="DU72" s="45" t="str">
        <f>IFERROR(VLOOKUP(CONCATENATE('Respuestas de formulario 1.1'!$B72,MID('Respuestas de formulario 1.1'!DU$1,2,1)),#REF!,12,0),"")</f>
        <v/>
      </c>
      <c r="DV72" s="45" t="str">
        <f>IFERROR(VLOOKUP(CONCATENATE('Respuestas de formulario 1.1'!$B72,MID('Respuestas de formulario 1.1'!DV$1,2,1)),#REF!,12,0),"")</f>
        <v/>
      </c>
      <c r="DW72" s="45" t="str">
        <f>IFERROR(VLOOKUP(CONCATENATE('Respuestas de formulario 1.1'!$B72,MID('Respuestas de formulario 1.1'!DW$1,2,1)),#REF!,12,0),"")</f>
        <v/>
      </c>
      <c r="DX72" s="45" t="str">
        <f>IFERROR(VLOOKUP(CONCATENATE('Respuestas de formulario 1.1'!$B72,MID('Respuestas de formulario 1.1'!DX$1,2,1)),#REF!,12,0),"")</f>
        <v/>
      </c>
      <c r="DY72" s="45" t="str">
        <f>IFERROR(VLOOKUP(CONCATENATE('Respuestas de formulario 1.1'!$B72,MID('Respuestas de formulario 1.1'!DY$1,2,1)),#REF!,12,0),"")</f>
        <v/>
      </c>
      <c r="DZ72" s="45" t="str">
        <f>IFERROR(VLOOKUP(CONCATENATE('Respuestas de formulario 1.1'!$B72,MID('Respuestas de formulario 1.1'!DZ$1,2,1)),#REF!,12,0),"")</f>
        <v/>
      </c>
      <c r="EA72" s="45" t="str">
        <f>IFERROR(VLOOKUP(CONCATENATE('Respuestas de formulario 1.1'!$B72,MID('Respuestas de formulario 1.1'!EA$1,2,1)),#REF!,12,0),"")</f>
        <v/>
      </c>
      <c r="EB72" s="45" t="str">
        <f>IFERROR(VLOOKUP(CONCATENATE('Respuestas de formulario 1.1'!$B72,MID('Respuestas de formulario 1.1'!EB$1,2,1)),#REF!,12,0),"")</f>
        <v/>
      </c>
      <c r="EC72" s="45" t="str">
        <f>IFERROR(VLOOKUP(CONCATENATE('Respuestas de formulario 1.1'!$B72,MID('Respuestas de formulario 1.1'!EC$1,2,1)),#REF!,12,0),"")</f>
        <v/>
      </c>
      <c r="ED72" s="45" t="str">
        <f>IFERROR(VLOOKUP(CONCATENATE('Respuestas de formulario 1.1'!$B72,MID('Respuestas de formulario 1.1'!ED$1,2,1)),#REF!,12,0),"")</f>
        <v/>
      </c>
      <c r="EE72" s="45" t="str">
        <f>IFERROR(VLOOKUP(CONCATENATE('Respuestas de formulario 1.1'!$B72,MID('Respuestas de formulario 1.1'!EE$1,2,1)),#REF!,12,0),"")</f>
        <v/>
      </c>
      <c r="EF72" s="45" t="str">
        <f>IFERROR(VLOOKUP(CONCATENATE('Respuestas de formulario 1.1'!$B72,MID('Respuestas de formulario 1.1'!EF$1,2,1)),#REF!,12,0),"")</f>
        <v/>
      </c>
      <c r="EG72" s="45" t="str">
        <f>IFERROR(VLOOKUP(CONCATENATE('Respuestas de formulario 1.1'!$B72,MID('Respuestas de formulario 1.1'!EG$1,2,1)),#REF!,12,0),"")</f>
        <v/>
      </c>
      <c r="EH72" s="45" t="str">
        <f>IFERROR(VLOOKUP(CONCATENATE('Respuestas de formulario 1.1'!$B72,MID('Respuestas de formulario 1.1'!EH$1,2,1)),#REF!,12,0),"")</f>
        <v/>
      </c>
      <c r="EI72" s="45" t="str">
        <f>IFERROR(VLOOKUP(CONCATENATE('Respuestas de formulario 1.1'!$B72,MID('Respuestas de formulario 1.1'!EI$1,2,1)),#REF!,12,0),"")</f>
        <v/>
      </c>
      <c r="EJ72" s="45" t="str">
        <f t="array" ref="EJ72">IF(DO72="","", INDEX(#REF!,MATCH(CONCATENATE('Respuestas de formulario 1.1'!$B72,DO72),#REF!,0),MATCH('Respuestas de formulario 1.1'!EJ$1,#REF!,0)))</f>
        <v/>
      </c>
      <c r="EK72" s="56" t="str">
        <f t="array" ref="EK72">IF(DP72="","", INDEX(#REF!,MATCH(CONCATENATE('Respuestas de formulario 1.1'!$B72,DP72),#REF!,0),MATCH('Respuestas de formulario 1.1'!EK$1,#REF!,0)))</f>
        <v/>
      </c>
      <c r="EL72" s="56" t="str">
        <f t="array" ref="EL72">IF(DQ72="","", INDEX(#REF!,MATCH(CONCATENATE('Respuestas de formulario 1.1'!$B72,DQ72),#REF!,0),MATCH('Respuestas de formulario 1.1'!EL$1,#REF!,0)))</f>
        <v/>
      </c>
      <c r="EM72" s="56" t="str">
        <f t="array" ref="EM72">IF(DR72="","", INDEX(#REF!,MATCH(CONCATENATE('Respuestas de formulario 1.1'!$B72,DR72),#REF!,0),MATCH('Respuestas de formulario 1.1'!EM$1,#REF!,0)))</f>
        <v/>
      </c>
      <c r="EN72" s="56" t="str">
        <f t="array" ref="EN72">IF(DS72="","", INDEX(#REF!,MATCH(CONCATENATE('Respuestas de formulario 1.1'!$B72,DS72),#REF!,0),MATCH('Respuestas de formulario 1.1'!EN$1,#REF!,0)))</f>
        <v/>
      </c>
      <c r="EO72" s="56" t="str">
        <f t="array" ref="EO72">IF(DT72="","", INDEX(#REF!,MATCH(CONCATENATE('Respuestas de formulario 1.1'!$B72,DT72),#REF!,0),MATCH('Respuestas de formulario 1.1'!EO$1,#REF!,0)))</f>
        <v/>
      </c>
      <c r="EP72" s="45" t="str">
        <f t="array" ref="EP72">IF(DU72="","", INDEX(#REF!,MATCH(CONCATENATE('Respuestas de formulario 1.1'!$B72,DU72),#REF!,0),MATCH('Respuestas de formulario 1.1'!EP$1,#REF!,0)))</f>
        <v/>
      </c>
      <c r="EQ72" s="45" t="str">
        <f t="array" ref="EQ72">IF(DP72="","", INDEX(#REF!,MATCH(CONCATENATE('Respuestas de formulario 1.1'!$B72,DP72),#REF!,0),MATCH('Respuestas de formulario 1.1'!EQ$1,#REF!,0)))</f>
        <v/>
      </c>
      <c r="ER72" s="56" t="str">
        <f t="array" ref="ER72">IF(DQ72="","", INDEX(#REF!,MATCH(CONCATENATE('Respuestas de formulario 1.1'!$B72,DQ72),#REF!,0),MATCH('Respuestas de formulario 1.1'!ER$1,#REF!,0)))</f>
        <v/>
      </c>
      <c r="ES72" s="56" t="str">
        <f t="array" ref="ES72">IF(DR72="","", INDEX(#REF!,MATCH(CONCATENATE('Respuestas de formulario 1.1'!$B72,DR72),#REF!,0),MATCH('Respuestas de formulario 1.1'!ES$1,#REF!,0)))</f>
        <v/>
      </c>
      <c r="ET72" s="56" t="str">
        <f t="array" ref="ET72">IF(DS72="","", INDEX(#REF!,MATCH(CONCATENATE('Respuestas de formulario 1.1'!$B72,DS72),#REF!,0),MATCH('Respuestas de formulario 1.1'!ET$1,#REF!,0)))</f>
        <v/>
      </c>
      <c r="EU72" s="56" t="str">
        <f t="array" ref="EU72">IF(DT72="","", INDEX(#REF!,MATCH(CONCATENATE('Respuestas de formulario 1.1'!$B72,DT72),#REF!,0),MATCH('Respuestas de formulario 1.1'!EU$1,#REF!,0)))</f>
        <v/>
      </c>
      <c r="EV72" s="56" t="str">
        <f t="array" ref="EV72">IF(DU72="","", INDEX(#REF!,MATCH(CONCATENATE('Respuestas de formulario 1.1'!$B72,DU72),#REF!,0),MATCH('Respuestas de formulario 1.1'!EV$1,#REF!,0)))</f>
        <v/>
      </c>
      <c r="EW72" s="45" t="str">
        <f t="array" ref="EW72">IF(DV72="","", INDEX(#REF!,MATCH(CONCATENATE('Respuestas de formulario 1.1'!$B72,DV72),#REF!,0),MATCH('Respuestas de formulario 1.1'!EW$1,#REF!,0)))</f>
        <v/>
      </c>
      <c r="EX72" s="45" t="str">
        <f t="array" ref="EX72">IF($DQ72="","", INDEX(#REF!,MATCH(CONCATENATE('Respuestas de formulario 1.1'!$B72,$DQ72),#REF!,0),MATCH('Respuestas de formulario 1.1'!EX$1,#REF!,0)))</f>
        <v/>
      </c>
      <c r="EY72" s="56" t="str">
        <f t="array" ref="EY72">IF($DQ72="","", INDEX(#REF!,MATCH(CONCATENATE('Respuestas de formulario 1.1'!$B72,$DQ72),#REF!,0),MATCH('Respuestas de formulario 1.1'!EY$1,#REF!,0)))</f>
        <v/>
      </c>
      <c r="EZ72" s="56" t="str">
        <f t="array" ref="EZ72">IF($DQ72="","", INDEX(#REF!,MATCH(CONCATENATE('Respuestas de formulario 1.1'!$B72,$DQ72),#REF!,0),MATCH('Respuestas de formulario 1.1'!EZ$1,#REF!,0)))</f>
        <v/>
      </c>
      <c r="FA72" s="56" t="str">
        <f t="array" ref="FA72">IF($DQ72="","", INDEX(#REF!,MATCH(CONCATENATE('Respuestas de formulario 1.1'!$B72,$DQ72),#REF!,0),MATCH('Respuestas de formulario 1.1'!FA$1,#REF!,0)))</f>
        <v/>
      </c>
      <c r="FB72" s="56" t="str">
        <f t="array" ref="FB72">IF($DQ72="","", INDEX(#REF!,MATCH(CONCATENATE('Respuestas de formulario 1.1'!$B72,$DQ72),#REF!,0),MATCH('Respuestas de formulario 1.1'!FB$1,#REF!,0)))</f>
        <v/>
      </c>
      <c r="FC72" s="56" t="str">
        <f t="array" ref="FC72">IF($DQ72="","", INDEX(#REF!,MATCH(CONCATENATE('Respuestas de formulario 1.1'!$B72,$DQ72),#REF!,0),MATCH('Respuestas de formulario 1.1'!FC$1,#REF!,0)))</f>
        <v/>
      </c>
      <c r="FD72" s="45" t="str">
        <f t="array" ref="FD72">IF($DQ72="","", INDEX(#REF!,MATCH(CONCATENATE('Respuestas de formulario 1.1'!$B72,$DQ72),#REF!,0),MATCH('Respuestas de formulario 1.1'!FD$1,#REF!,0)))</f>
        <v/>
      </c>
      <c r="FE72" s="45" t="str">
        <f t="array" ref="FE72">IF($DR72="","", INDEX(#REF!,MATCH(CONCATENATE(#REF!,$DR72),#REF!,0),MATCH(#REF!,#REF!,0)))</f>
        <v/>
      </c>
      <c r="FF72" s="56" t="str">
        <f t="array" ref="FF72">IF($DR72="","", INDEX(#REF!,MATCH(CONCATENATE(#REF!,$DR72),#REF!,0),MATCH(#REF!,#REF!,0)))</f>
        <v/>
      </c>
      <c r="FG72" s="56" t="str">
        <f t="array" ref="FG72">IF($DR72="","", INDEX(#REF!,MATCH(CONCATENATE(#REF!,$DR72),#REF!,0),MATCH(#REF!,#REF!,0)))</f>
        <v/>
      </c>
      <c r="FH72" s="56" t="str">
        <f t="array" ref="FH72">IF($DR72="","", INDEX(#REF!,MATCH(CONCATENATE(#REF!,$DR72),#REF!,0),MATCH(#REF!,#REF!,0)))</f>
        <v/>
      </c>
      <c r="FI72" s="56" t="str">
        <f t="array" ref="FI72">IF($DR72="","", INDEX(#REF!,MATCH(CONCATENATE(#REF!,$DR72),#REF!,0),MATCH(#REF!,#REF!,0)))</f>
        <v/>
      </c>
      <c r="FJ72" s="56" t="str">
        <f t="array" ref="FJ72">IF($DR72="","", INDEX(#REF!,MATCH(CONCATENATE(#REF!,$DR72),#REF!,0),MATCH(#REF!,#REF!,0)))</f>
        <v/>
      </c>
      <c r="FK72" s="45" t="str">
        <f t="array" ref="FK72">IF($DR72="","", INDEX(#REF!,MATCH(CONCATENATE(#REF!,$DR72),#REF!,0),MATCH(#REF!,#REF!,0)))</f>
        <v/>
      </c>
      <c r="FL72" s="45" t="str">
        <f t="array" ref="FL72">IF($DT72="","", INDEX(#REF!,MATCH(CONCATENATE('Respuestas de formulario 1.1'!$B72,$DS72),#REF!,0),MATCH('Respuestas de formulario 1.1'!FL$1,#REF!,0)))</f>
        <v/>
      </c>
      <c r="FM72" s="56" t="str">
        <f t="array" ref="FM72">IF($DT72="","", INDEX(#REF!,MATCH(CONCATENATE('Respuestas de formulario 1.1'!$B72,$DS72),#REF!,0),MATCH('Respuestas de formulario 1.1'!FM$1,#REF!,0)))</f>
        <v/>
      </c>
      <c r="FN72" s="56" t="str">
        <f t="array" ref="FN72">IF($DT72="","", INDEX(#REF!,MATCH(CONCATENATE('Respuestas de formulario 1.1'!$B72,$DS72),#REF!,0),MATCH('Respuestas de formulario 1.1'!FN$1,#REF!,0)))</f>
        <v/>
      </c>
      <c r="FO72" s="56" t="str">
        <f t="array" ref="FO72">IF($DT72="","", INDEX(#REF!,MATCH(CONCATENATE('Respuestas de formulario 1.1'!$B72,$DS72),#REF!,0),MATCH('Respuestas de formulario 1.1'!FO$1,#REF!,0)))</f>
        <v/>
      </c>
      <c r="FP72" s="56" t="str">
        <f t="array" ref="FP72">IF($DT72="","", INDEX(#REF!,MATCH(CONCATENATE('Respuestas de formulario 1.1'!$B72,$DS72),#REF!,0),MATCH('Respuestas de formulario 1.1'!FP$1,#REF!,0)))</f>
        <v/>
      </c>
      <c r="FQ72" s="56" t="str">
        <f t="array" ref="FQ72">IF($DT72="","", INDEX(#REF!,MATCH(CONCATENATE('Respuestas de formulario 1.1'!$B72,$DS72),#REF!,0),MATCH('Respuestas de formulario 1.1'!FQ$1,#REF!,0)))</f>
        <v/>
      </c>
      <c r="FR72" s="45" t="str">
        <f t="array" ref="FR72">IF($DT72="","", INDEX(#REF!,MATCH(CONCATENATE('Respuestas de formulario 1.1'!$B72,$DS72),#REF!,0),MATCH('Respuestas de formulario 1.1'!FR$1,#REF!,0)))</f>
        <v/>
      </c>
      <c r="FS72" s="45" t="str">
        <f t="array" ref="FS72">IF($DU72="","", INDEX(#REF!,MATCH(CONCATENATE('Respuestas de formulario 1.1'!$B72,$DT72),#REF!,0),MATCH('Respuestas de formulario 1.1'!FS$1,#REF!,0)))</f>
        <v/>
      </c>
      <c r="FT72" s="56" t="str">
        <f t="array" ref="FT72">IF($DU72="","", INDEX(#REF!,MATCH(CONCATENATE('Respuestas de formulario 1.1'!$B72,$DT72),#REF!,0),MATCH('Respuestas de formulario 1.1'!FT$1,#REF!,0)))</f>
        <v/>
      </c>
      <c r="FU72" s="56" t="str">
        <f t="array" ref="FU72">IF($DU72="","", INDEX(#REF!,MATCH(CONCATENATE('Respuestas de formulario 1.1'!$B72,$DT72),#REF!,0),MATCH('Respuestas de formulario 1.1'!FU$1,#REF!,0)))</f>
        <v/>
      </c>
      <c r="FV72" s="56" t="str">
        <f t="array" ref="FV72">IF($DU72="","", INDEX(#REF!,MATCH(CONCATENATE('Respuestas de formulario 1.1'!$B72,$DT72),#REF!,0),MATCH('Respuestas de formulario 1.1'!FV$1,#REF!,0)))</f>
        <v/>
      </c>
      <c r="FW72" s="56" t="str">
        <f t="array" ref="FW72">IF($DU72="","", INDEX(#REF!,MATCH(CONCATENATE('Respuestas de formulario 1.1'!$B72,$DT72),#REF!,0),MATCH('Respuestas de formulario 1.1'!FW$1,#REF!,0)))</f>
        <v/>
      </c>
      <c r="FX72" s="56" t="str">
        <f t="array" ref="FX72">IF($DU72="","", INDEX(#REF!,MATCH(CONCATENATE('Respuestas de formulario 1.1'!$B72,$DT72),#REF!,0),MATCH('Respuestas de formulario 1.1'!FX$1,#REF!,0)))</f>
        <v/>
      </c>
      <c r="FY72" s="45" t="str">
        <f t="array" ref="FY72">IF($DU72="","", INDEX(#REF!,MATCH(CONCATENATE('Respuestas de formulario 1.1'!$B72,$DT72),#REF!,0),MATCH('Respuestas de formulario 1.1'!FY$1,#REF!,0)))</f>
        <v/>
      </c>
      <c r="FZ72" s="3" t="s">
        <v>2860</v>
      </c>
      <c r="GA72" s="1" t="s">
        <v>4064</v>
      </c>
      <c r="GB72" s="5" t="s">
        <v>4065</v>
      </c>
      <c r="GC72" s="4" t="str">
        <f>HYPERLINK("https://drive.google.com/file/d/1JZteSGHLuupyavY6kYu-JHSiaS9HV0cv/view?usp=drivesdk","PABLO  BAUTISTA  AZUL JAZMIN  Formato de reinscripción y pago 2022-2")</f>
        <v>PABLO  BAUTISTA  AZUL JAZMIN  Formato de reinscripción y pago 2022-2</v>
      </c>
      <c r="GD72" s="1" t="s">
        <v>4066</v>
      </c>
      <c r="GE72" s="1"/>
      <c r="GF72" s="1"/>
      <c r="GG72" s="1"/>
      <c r="GH72" s="1"/>
      <c r="GI72" s="1" t="s">
        <v>4067</v>
      </c>
      <c r="GJ72" s="5" t="s">
        <v>4068</v>
      </c>
      <c r="GK72" s="5" t="str">
        <f>HYPERLINK("https://drive.google.com/file/d/1aAEBMJLTFEN0eX8Vc0958DrEwbPYhM2P/view?usp=drivesdk","PABLO  BAUTISTA  AZUL JAZMIN  Formato de reinscripción y pago 2022-2")</f>
        <v>PABLO  BAUTISTA  AZUL JAZMIN  Formato de reinscripción y pago 2022-2</v>
      </c>
      <c r="GL72" s="1" t="s">
        <v>4069</v>
      </c>
    </row>
    <row r="73" spans="1:194" ht="38.25" x14ac:dyDescent="0.2">
      <c r="A73" s="2">
        <v>45139.380117974535</v>
      </c>
      <c r="B73" s="1" t="s">
        <v>2487</v>
      </c>
      <c r="C73" s="1" t="s">
        <v>433</v>
      </c>
      <c r="D73" s="1" t="s">
        <v>433</v>
      </c>
      <c r="E73" s="1" t="s">
        <v>4070</v>
      </c>
      <c r="F73" s="1" t="s">
        <v>262</v>
      </c>
      <c r="G73" s="5" t="s">
        <v>4071</v>
      </c>
      <c r="H73" s="41">
        <v>38993</v>
      </c>
      <c r="I73" s="1">
        <v>16</v>
      </c>
      <c r="J73" s="1">
        <v>5551637427</v>
      </c>
      <c r="K73" s="1">
        <v>5563092232</v>
      </c>
      <c r="L73" s="1" t="s">
        <v>2488</v>
      </c>
      <c r="M73" s="1">
        <v>22309060570903</v>
      </c>
      <c r="N73" s="1" t="s">
        <v>562</v>
      </c>
      <c r="O73" s="1" t="s">
        <v>247</v>
      </c>
      <c r="P73" s="1" t="s">
        <v>278</v>
      </c>
      <c r="Q73" s="1" t="s">
        <v>248</v>
      </c>
      <c r="R73" s="1" t="s">
        <v>236</v>
      </c>
      <c r="S73" s="1" t="s">
        <v>228</v>
      </c>
      <c r="T73" s="1" t="s">
        <v>229</v>
      </c>
      <c r="U73" s="1" t="s">
        <v>230</v>
      </c>
      <c r="V73" s="1" t="s">
        <v>228</v>
      </c>
      <c r="W73" s="1" t="s">
        <v>4072</v>
      </c>
      <c r="X73" s="1" t="s">
        <v>434</v>
      </c>
      <c r="Y73" s="1" t="s">
        <v>4073</v>
      </c>
      <c r="Z73" s="1" t="s">
        <v>240</v>
      </c>
      <c r="AA73" s="1">
        <v>56617</v>
      </c>
      <c r="AB73" s="1">
        <v>711</v>
      </c>
      <c r="AC73" s="1">
        <v>711</v>
      </c>
      <c r="AD73" s="1" t="s">
        <v>4074</v>
      </c>
      <c r="AE73" s="1" t="s">
        <v>4075</v>
      </c>
      <c r="AF73" s="1" t="s">
        <v>265</v>
      </c>
      <c r="AG73" s="1">
        <v>53</v>
      </c>
      <c r="AH73" s="5" t="s">
        <v>4076</v>
      </c>
      <c r="AI73" s="1">
        <v>5621448250</v>
      </c>
      <c r="AJ73" s="1">
        <v>5563092232</v>
      </c>
      <c r="AK73" s="1" t="s">
        <v>2491</v>
      </c>
      <c r="AL73" s="1" t="s">
        <v>433</v>
      </c>
      <c r="AM73" s="1" t="s">
        <v>259</v>
      </c>
      <c r="AN73" s="1" t="s">
        <v>4077</v>
      </c>
      <c r="AO73" s="1" t="s">
        <v>488</v>
      </c>
      <c r="AP73" s="1">
        <v>23</v>
      </c>
      <c r="AQ73" s="1" t="s">
        <v>1501</v>
      </c>
      <c r="AR73" s="42">
        <v>0.29166666666424135</v>
      </c>
      <c r="AS73" s="42">
        <v>0.125</v>
      </c>
      <c r="AT73" s="1">
        <v>5529350338</v>
      </c>
      <c r="AU73" s="1">
        <v>5563092232</v>
      </c>
      <c r="AV73" s="1" t="s">
        <v>2489</v>
      </c>
      <c r="AW73" s="5" t="s">
        <v>4078</v>
      </c>
      <c r="AX73" s="1" t="s">
        <v>433</v>
      </c>
      <c r="AY73" s="1" t="s">
        <v>525</v>
      </c>
      <c r="AZ73" s="1" t="s">
        <v>2490</v>
      </c>
      <c r="BA73" s="1" t="s">
        <v>265</v>
      </c>
      <c r="BB73" s="1">
        <v>53</v>
      </c>
      <c r="BC73" s="1" t="s">
        <v>1501</v>
      </c>
      <c r="BD73" s="43">
        <v>0.33333333333575865</v>
      </c>
      <c r="BE73" s="43">
        <v>0.16666666666424135</v>
      </c>
      <c r="BF73" s="1">
        <v>5621448250</v>
      </c>
      <c r="BG73" s="1">
        <v>5563092232</v>
      </c>
      <c r="BH73" s="1" t="s">
        <v>2491</v>
      </c>
      <c r="BI73" s="5" t="s">
        <v>4079</v>
      </c>
      <c r="BJ73" s="1" t="s">
        <v>236</v>
      </c>
      <c r="BK73" s="1" t="s">
        <v>310</v>
      </c>
      <c r="BL73" s="1">
        <v>1.58</v>
      </c>
      <c r="BM73" s="1">
        <v>50</v>
      </c>
      <c r="BN73" s="1" t="s">
        <v>236</v>
      </c>
      <c r="BO73" s="1" t="s">
        <v>228</v>
      </c>
      <c r="BP73" s="1" t="s">
        <v>310</v>
      </c>
      <c r="BQ73" s="1" t="s">
        <v>228</v>
      </c>
      <c r="BR73" s="1" t="s">
        <v>237</v>
      </c>
      <c r="BS73" s="1" t="s">
        <v>228</v>
      </c>
      <c r="BT73" s="1" t="s">
        <v>237</v>
      </c>
      <c r="BU73" s="1" t="s">
        <v>228</v>
      </c>
      <c r="BW73" s="1" t="s">
        <v>272</v>
      </c>
      <c r="BX73" s="1">
        <v>180</v>
      </c>
      <c r="BY73" s="1">
        <v>250</v>
      </c>
      <c r="BZ73" s="1" t="s">
        <v>298</v>
      </c>
      <c r="CA73" s="1" t="s">
        <v>343</v>
      </c>
      <c r="CB73" s="1" t="s">
        <v>240</v>
      </c>
      <c r="CC73" s="1" t="s">
        <v>1997</v>
      </c>
      <c r="CD73" s="1">
        <v>2000</v>
      </c>
      <c r="CE73" s="1">
        <v>1500</v>
      </c>
      <c r="CF73" s="1" t="s">
        <v>236</v>
      </c>
      <c r="CG73" s="1" t="s">
        <v>242</v>
      </c>
      <c r="CH73" s="1" t="s">
        <v>243</v>
      </c>
      <c r="CI73" s="1" t="s">
        <v>243</v>
      </c>
      <c r="CJ73" s="1" t="s">
        <v>2848</v>
      </c>
      <c r="CL73" s="5" t="s">
        <v>4080</v>
      </c>
      <c r="CM73" s="1">
        <v>59210697070</v>
      </c>
      <c r="CN73" s="1" t="s">
        <v>228</v>
      </c>
      <c r="CQ73" s="42">
        <v>0.33333333333575865</v>
      </c>
      <c r="CR73" s="42">
        <v>0.16666666666424135</v>
      </c>
      <c r="CT73" s="45" t="str">
        <f t="array" ref="CT73">IFERROR(INDEX(#REF!,MATCH('Respuestas de formulario 1.1'!$B73,#REF!,0),MATCH('Respuestas de formulario 1.1'!CT$1,#REF!,0)),"")</f>
        <v/>
      </c>
      <c r="CU73" s="56" t="str">
        <f t="array" ref="CU73">IFERROR(INDEX(#REF!,MATCH('Respuestas de formulario 1.1'!$B73,#REF!,0),MATCH('Respuestas de formulario 1.1'!CU$1,#REF!,0)),"")</f>
        <v/>
      </c>
      <c r="CV73" s="56" t="str">
        <f t="array" ref="CV73">IFERROR(INDEX(#REF!,MATCH('Respuestas de formulario 1.1'!$B73,#REF!,0),MATCH('Respuestas de formulario 1.1'!CV$1,#REF!,0)),"")</f>
        <v/>
      </c>
      <c r="CW73" s="56" t="str">
        <f t="array" ref="CW73">IFERROR(INDEX(#REF!,MATCH('Respuestas de formulario 1.1'!$B73,#REF!,0),MATCH('Respuestas de formulario 1.1'!CW$1,#REF!,0)),"")</f>
        <v/>
      </c>
      <c r="CX73" s="56" t="str">
        <f t="array" ref="CX73">IFERROR(INDEX(#REF!,MATCH('Respuestas de formulario 1.1'!$B73,#REF!,0),MATCH('Respuestas de formulario 1.1'!CX$1,#REF!,0)),"")</f>
        <v/>
      </c>
      <c r="CY73" s="56" t="str">
        <f t="array" ref="CY73">IFERROR(INDEX(#REF!,MATCH('Respuestas de formulario 1.1'!$B73,#REF!,0),MATCH('Respuestas de formulario 1.1'!CY$1,#REF!,0)),"")</f>
        <v/>
      </c>
      <c r="CZ73" s="57" t="str">
        <f t="array" ref="CZ73">IFERROR(INDEX(#REF!,MATCH('Respuestas de formulario 1.1'!$B73,#REF!,0),MATCH('Respuestas de formulario 1.1'!CZ$1,#REF!,0)),"")</f>
        <v/>
      </c>
      <c r="DA73" s="45" t="e">
        <f t="array" ref="DA73">INDEX(#REF!,MATCH('Respuestas de formulario 1.1'!$B73,#REF!,0),MATCH('Respuestas de formulario 1.1'!DA$1,#REF!,0))</f>
        <v>#REF!</v>
      </c>
      <c r="DB73" s="45" t="e">
        <f t="array" ref="DB73">INDEX(#REF!,MATCH('Respuestas de formulario 1.1'!$B73,#REF!,0),MATCH('Respuestas de formulario 1.1'!DB$1,#REF!,0))</f>
        <v>#REF!</v>
      </c>
      <c r="DC73" s="45" t="e">
        <f t="array" ref="DC73">INDEX(#REF!,MATCH('Respuestas de formulario 1.1'!$B73,#REF!,0),MATCH('Respuestas de formulario 1.1'!DC$1,#REF!,0))</f>
        <v>#REF!</v>
      </c>
      <c r="DD73" s="45" t="e">
        <f t="array" ref="DD73">INDEX(#REF!,MATCH('Respuestas de formulario 1.1'!$B73,#REF!,0),MATCH('Respuestas de formulario 1.1'!DD$1,#REF!,0))</f>
        <v>#REF!</v>
      </c>
      <c r="DE73" s="45" t="e">
        <f t="array" ref="DE73">INDEX(#REF!,MATCH('Respuestas de formulario 1.1'!$B73,#REF!,0),MATCH('Respuestas de formulario 1.1'!DE$1,#REF!,0))</f>
        <v>#REF!</v>
      </c>
      <c r="DF73" s="45" t="e">
        <f t="array" ref="DF73">INDEX(#REF!,MATCH('Respuestas de formulario 1.1'!$B73,#REF!,0),MATCH('Respuestas de formulario 1.1'!DF$1,#REF!,0))</f>
        <v>#REF!</v>
      </c>
      <c r="DG73" s="45" t="e">
        <f t="array" ref="DG73">INDEX(#REF!,MATCH('Respuestas de formulario 1.1'!$B73,#REF!,0),MATCH('Respuestas de formulario 1.1'!DG$1,#REF!,0))</f>
        <v>#REF!</v>
      </c>
      <c r="DH73" s="45" t="e">
        <f t="array" ref="DH73">INDEX(#REF!,MATCH('Respuestas de formulario 1.1'!$B73,#REF!,0),MATCH('Respuestas de formulario 1.1'!DH$1,#REF!,0))</f>
        <v>#REF!</v>
      </c>
      <c r="DI73" s="48" t="e">
        <f>VLOOKUP(CONCATENATE($DF73," TUTO ",$DC73),#REF!,3,0)</f>
        <v>#REF!</v>
      </c>
      <c r="DJ73" s="48" t="e">
        <f t="array" ref="DJ73">IF('Respuestas de formulario 1.1'!A73="","",INDEX(#REF!,MATCH('Respuestas de formulario 1.1'!B73,#REF!,0),MATCH('Respuestas de formulario 1.1'!$DH$1,#REF!,0)))</f>
        <v>#REF!</v>
      </c>
      <c r="DK73" s="52" t="str">
        <f>CONCATENATE("http://doc.google.com/uc?id=",MID('Respuestas de formulario 1.1'!G73,34,33))</f>
        <v>http://doc.google.com/uc?id=19tx1AZtE9dFeQ0NaV3PgYHFNM6PvghO2</v>
      </c>
      <c r="DL73" s="49" t="str">
        <f>CONCATENATE("http://doc.google.com/uc?id=",MID('Respuestas de formulario 1.1'!AH73,34,33))</f>
        <v>http://doc.google.com/uc?id=1gYfcbDhYyQalmwfi6aqlE0QhQaa1vdIy</v>
      </c>
      <c r="DM73" s="50" t="str">
        <f>CONCATENATE("http://doc.google.com/uc?id=",MID('Respuestas de formulario 1.1'!AW73,34,33))</f>
        <v>http://doc.google.com/uc?id=1usFSt57SN6tuaBEBDvqzfktcExug5YU1</v>
      </c>
      <c r="DN73" s="53" t="str">
        <f>CONCATENATE("http://doc.google.com/uc?id=",MID('Respuestas de formulario 1.1'!$BI73,34,33))</f>
        <v>http://doc.google.com/uc?id=1oZjwD-IYNKjh9dD22R6C15AvetmsLfCO</v>
      </c>
      <c r="DO73" s="45" t="str">
        <f>IFERROR(VLOOKUP(CONCATENATE('Respuestas de formulario 1.1'!$B73,MID('Respuestas de formulario 1.1'!DO$1,2,1)),#REF!,12,0),"")</f>
        <v/>
      </c>
      <c r="DP73" s="45" t="str">
        <f>IFERROR(VLOOKUP(CONCATENATE('Respuestas de formulario 1.1'!$B73,MID('Respuestas de formulario 1.1'!DP$1,2,1)),#REF!,12,0),"")</f>
        <v/>
      </c>
      <c r="DQ73" s="45" t="str">
        <f>IFERROR(VLOOKUP(CONCATENATE('Respuestas de formulario 1.1'!$B73,MID('Respuestas de formulario 1.1'!DQ$1,2,1)),#REF!,12,0),"")</f>
        <v/>
      </c>
      <c r="DR73" s="45" t="str">
        <f>IFERROR(VLOOKUP(CONCATENATE('Respuestas de formulario 1.1'!$B73,MID('Respuestas de formulario 1.1'!DR$1,2,1)),#REF!,12,0),"")</f>
        <v/>
      </c>
      <c r="DS73" s="45" t="str">
        <f>IFERROR(VLOOKUP(CONCATENATE('Respuestas de formulario 1.1'!$B73,MID('Respuestas de formulario 1.1'!DS$1,2,1)),#REF!,12,0),"")</f>
        <v/>
      </c>
      <c r="DT73" s="45" t="str">
        <f>IFERROR(VLOOKUP(CONCATENATE('Respuestas de formulario 1.1'!$B73,MID('Respuestas de formulario 1.1'!DT$1,2,1)),#REF!,12,0),"")</f>
        <v/>
      </c>
      <c r="DU73" s="45" t="str">
        <f>IFERROR(VLOOKUP(CONCATENATE('Respuestas de formulario 1.1'!$B73,MID('Respuestas de formulario 1.1'!DU$1,2,1)),#REF!,12,0),"")</f>
        <v/>
      </c>
      <c r="DV73" s="45" t="str">
        <f>IFERROR(VLOOKUP(CONCATENATE('Respuestas de formulario 1.1'!$B73,MID('Respuestas de formulario 1.1'!DV$1,2,1)),#REF!,12,0),"")</f>
        <v/>
      </c>
      <c r="DW73" s="45" t="str">
        <f>IFERROR(VLOOKUP(CONCATENATE('Respuestas de formulario 1.1'!$B73,MID('Respuestas de formulario 1.1'!DW$1,2,1)),#REF!,12,0),"")</f>
        <v/>
      </c>
      <c r="DX73" s="45" t="str">
        <f>IFERROR(VLOOKUP(CONCATENATE('Respuestas de formulario 1.1'!$B73,MID('Respuestas de formulario 1.1'!DX$1,2,1)),#REF!,12,0),"")</f>
        <v/>
      </c>
      <c r="DY73" s="45" t="str">
        <f>IFERROR(VLOOKUP(CONCATENATE('Respuestas de formulario 1.1'!$B73,MID('Respuestas de formulario 1.1'!DY$1,2,1)),#REF!,12,0),"")</f>
        <v/>
      </c>
      <c r="DZ73" s="45" t="str">
        <f>IFERROR(VLOOKUP(CONCATENATE('Respuestas de formulario 1.1'!$B73,MID('Respuestas de formulario 1.1'!DZ$1,2,1)),#REF!,12,0),"")</f>
        <v/>
      </c>
      <c r="EA73" s="45" t="str">
        <f>IFERROR(VLOOKUP(CONCATENATE('Respuestas de formulario 1.1'!$B73,MID('Respuestas de formulario 1.1'!EA$1,2,1)),#REF!,12,0),"")</f>
        <v/>
      </c>
      <c r="EB73" s="45" t="str">
        <f>IFERROR(VLOOKUP(CONCATENATE('Respuestas de formulario 1.1'!$B73,MID('Respuestas de formulario 1.1'!EB$1,2,1)),#REF!,12,0),"")</f>
        <v/>
      </c>
      <c r="EC73" s="45" t="str">
        <f>IFERROR(VLOOKUP(CONCATENATE('Respuestas de formulario 1.1'!$B73,MID('Respuestas de formulario 1.1'!EC$1,2,1)),#REF!,12,0),"")</f>
        <v/>
      </c>
      <c r="ED73" s="45" t="str">
        <f>IFERROR(VLOOKUP(CONCATENATE('Respuestas de formulario 1.1'!$B73,MID('Respuestas de formulario 1.1'!ED$1,2,1)),#REF!,12,0),"")</f>
        <v/>
      </c>
      <c r="EE73" s="45" t="str">
        <f>IFERROR(VLOOKUP(CONCATENATE('Respuestas de formulario 1.1'!$B73,MID('Respuestas de formulario 1.1'!EE$1,2,1)),#REF!,12,0),"")</f>
        <v/>
      </c>
      <c r="EF73" s="45" t="str">
        <f>IFERROR(VLOOKUP(CONCATENATE('Respuestas de formulario 1.1'!$B73,MID('Respuestas de formulario 1.1'!EF$1,2,1)),#REF!,12,0),"")</f>
        <v/>
      </c>
      <c r="EG73" s="45" t="str">
        <f>IFERROR(VLOOKUP(CONCATENATE('Respuestas de formulario 1.1'!$B73,MID('Respuestas de formulario 1.1'!EG$1,2,1)),#REF!,12,0),"")</f>
        <v/>
      </c>
      <c r="EH73" s="45" t="str">
        <f>IFERROR(VLOOKUP(CONCATENATE('Respuestas de formulario 1.1'!$B73,MID('Respuestas de formulario 1.1'!EH$1,2,1)),#REF!,12,0),"")</f>
        <v/>
      </c>
      <c r="EI73" s="45" t="str">
        <f>IFERROR(VLOOKUP(CONCATENATE('Respuestas de formulario 1.1'!$B73,MID('Respuestas de formulario 1.1'!EI$1,2,1)),#REF!,12,0),"")</f>
        <v/>
      </c>
      <c r="EJ73" s="45" t="str">
        <f t="array" ref="EJ73">IF(DO73="","", INDEX(#REF!,MATCH(CONCATENATE('Respuestas de formulario 1.1'!$B73,DO73),#REF!,0),MATCH('Respuestas de formulario 1.1'!EJ$1,#REF!,0)))</f>
        <v/>
      </c>
      <c r="EK73" s="56" t="str">
        <f t="array" ref="EK73">IF(DP73="","", INDEX(#REF!,MATCH(CONCATENATE('Respuestas de formulario 1.1'!$B73,DP73),#REF!,0),MATCH('Respuestas de formulario 1.1'!EK$1,#REF!,0)))</f>
        <v/>
      </c>
      <c r="EL73" s="56" t="str">
        <f t="array" ref="EL73">IF(DQ73="","", INDEX(#REF!,MATCH(CONCATENATE('Respuestas de formulario 1.1'!$B73,DQ73),#REF!,0),MATCH('Respuestas de formulario 1.1'!EL$1,#REF!,0)))</f>
        <v/>
      </c>
      <c r="EM73" s="56" t="str">
        <f t="array" ref="EM73">IF(DR73="","", INDEX(#REF!,MATCH(CONCATENATE('Respuestas de formulario 1.1'!$B73,DR73),#REF!,0),MATCH('Respuestas de formulario 1.1'!EM$1,#REF!,0)))</f>
        <v/>
      </c>
      <c r="EN73" s="56" t="str">
        <f t="array" ref="EN73">IF(DS73="","", INDEX(#REF!,MATCH(CONCATENATE('Respuestas de formulario 1.1'!$B73,DS73),#REF!,0),MATCH('Respuestas de formulario 1.1'!EN$1,#REF!,0)))</f>
        <v/>
      </c>
      <c r="EO73" s="56" t="str">
        <f t="array" ref="EO73">IF(DT73="","", INDEX(#REF!,MATCH(CONCATENATE('Respuestas de formulario 1.1'!$B73,DT73),#REF!,0),MATCH('Respuestas de formulario 1.1'!EO$1,#REF!,0)))</f>
        <v/>
      </c>
      <c r="EP73" s="45" t="str">
        <f t="array" ref="EP73">IF(DU73="","", INDEX(#REF!,MATCH(CONCATENATE('Respuestas de formulario 1.1'!$B73,DU73),#REF!,0),MATCH('Respuestas de formulario 1.1'!EP$1,#REF!,0)))</f>
        <v/>
      </c>
      <c r="EQ73" s="45" t="str">
        <f t="array" ref="EQ73">IF(DP73="","", INDEX(#REF!,MATCH(CONCATENATE('Respuestas de formulario 1.1'!$B73,DP73),#REF!,0),MATCH('Respuestas de formulario 1.1'!EQ$1,#REF!,0)))</f>
        <v/>
      </c>
      <c r="ER73" s="56" t="str">
        <f t="array" ref="ER73">IF(DQ73="","", INDEX(#REF!,MATCH(CONCATENATE('Respuestas de formulario 1.1'!$B73,DQ73),#REF!,0),MATCH('Respuestas de formulario 1.1'!ER$1,#REF!,0)))</f>
        <v/>
      </c>
      <c r="ES73" s="56" t="str">
        <f t="array" ref="ES73">IF(DR73="","", INDEX(#REF!,MATCH(CONCATENATE('Respuestas de formulario 1.1'!$B73,DR73),#REF!,0),MATCH('Respuestas de formulario 1.1'!ES$1,#REF!,0)))</f>
        <v/>
      </c>
      <c r="ET73" s="56" t="str">
        <f t="array" ref="ET73">IF(DS73="","", INDEX(#REF!,MATCH(CONCATENATE('Respuestas de formulario 1.1'!$B73,DS73),#REF!,0),MATCH('Respuestas de formulario 1.1'!ET$1,#REF!,0)))</f>
        <v/>
      </c>
      <c r="EU73" s="56" t="str">
        <f t="array" ref="EU73">IF(DT73="","", INDEX(#REF!,MATCH(CONCATENATE('Respuestas de formulario 1.1'!$B73,DT73),#REF!,0),MATCH('Respuestas de formulario 1.1'!EU$1,#REF!,0)))</f>
        <v/>
      </c>
      <c r="EV73" s="56" t="str">
        <f t="array" ref="EV73">IF(DU73="","", INDEX(#REF!,MATCH(CONCATENATE('Respuestas de formulario 1.1'!$B73,DU73),#REF!,0),MATCH('Respuestas de formulario 1.1'!EV$1,#REF!,0)))</f>
        <v/>
      </c>
      <c r="EW73" s="45" t="str">
        <f t="array" ref="EW73">IF(DV73="","", INDEX(#REF!,MATCH(CONCATENATE('Respuestas de formulario 1.1'!$B73,DV73),#REF!,0),MATCH('Respuestas de formulario 1.1'!EW$1,#REF!,0)))</f>
        <v/>
      </c>
      <c r="EX73" s="45" t="str">
        <f t="array" ref="EX73">IF($DQ73="","", INDEX(#REF!,MATCH(CONCATENATE('Respuestas de formulario 1.1'!$B73,$DQ73),#REF!,0),MATCH('Respuestas de formulario 1.1'!EX$1,#REF!,0)))</f>
        <v/>
      </c>
      <c r="EY73" s="56" t="str">
        <f t="array" ref="EY73">IF($DQ73="","", INDEX(#REF!,MATCH(CONCATENATE('Respuestas de formulario 1.1'!$B73,$DQ73),#REF!,0),MATCH('Respuestas de formulario 1.1'!EY$1,#REF!,0)))</f>
        <v/>
      </c>
      <c r="EZ73" s="56" t="str">
        <f t="array" ref="EZ73">IF($DQ73="","", INDEX(#REF!,MATCH(CONCATENATE('Respuestas de formulario 1.1'!$B73,$DQ73),#REF!,0),MATCH('Respuestas de formulario 1.1'!EZ$1,#REF!,0)))</f>
        <v/>
      </c>
      <c r="FA73" s="56" t="str">
        <f t="array" ref="FA73">IF($DQ73="","", INDEX(#REF!,MATCH(CONCATENATE('Respuestas de formulario 1.1'!$B73,$DQ73),#REF!,0),MATCH('Respuestas de formulario 1.1'!FA$1,#REF!,0)))</f>
        <v/>
      </c>
      <c r="FB73" s="56" t="str">
        <f t="array" ref="FB73">IF($DQ73="","", INDEX(#REF!,MATCH(CONCATENATE('Respuestas de formulario 1.1'!$B73,$DQ73),#REF!,0),MATCH('Respuestas de formulario 1.1'!FB$1,#REF!,0)))</f>
        <v/>
      </c>
      <c r="FC73" s="56" t="str">
        <f t="array" ref="FC73">IF($DQ73="","", INDEX(#REF!,MATCH(CONCATENATE('Respuestas de formulario 1.1'!$B73,$DQ73),#REF!,0),MATCH('Respuestas de formulario 1.1'!FC$1,#REF!,0)))</f>
        <v/>
      </c>
      <c r="FD73" s="45" t="str">
        <f t="array" ref="FD73">IF($DQ73="","", INDEX(#REF!,MATCH(CONCATENATE('Respuestas de formulario 1.1'!$B73,$DQ73),#REF!,0),MATCH('Respuestas de formulario 1.1'!FD$1,#REF!,0)))</f>
        <v/>
      </c>
      <c r="FE73" s="45" t="str">
        <f t="array" ref="FE73">IF($DR73="","", INDEX(#REF!,MATCH(CONCATENATE(#REF!,$DR73),#REF!,0),MATCH(#REF!,#REF!,0)))</f>
        <v/>
      </c>
      <c r="FF73" s="56" t="str">
        <f t="array" ref="FF73">IF($DR73="","", INDEX(#REF!,MATCH(CONCATENATE(#REF!,$DR73),#REF!,0),MATCH(#REF!,#REF!,0)))</f>
        <v/>
      </c>
      <c r="FG73" s="56" t="str">
        <f t="array" ref="FG73">IF($DR73="","", INDEX(#REF!,MATCH(CONCATENATE(#REF!,$DR73),#REF!,0),MATCH(#REF!,#REF!,0)))</f>
        <v/>
      </c>
      <c r="FH73" s="56" t="str">
        <f t="array" ref="FH73">IF($DR73="","", INDEX(#REF!,MATCH(CONCATENATE(#REF!,$DR73),#REF!,0),MATCH(#REF!,#REF!,0)))</f>
        <v/>
      </c>
      <c r="FI73" s="56" t="str">
        <f t="array" ref="FI73">IF($DR73="","", INDEX(#REF!,MATCH(CONCATENATE(#REF!,$DR73),#REF!,0),MATCH(#REF!,#REF!,0)))</f>
        <v/>
      </c>
      <c r="FJ73" s="56" t="str">
        <f t="array" ref="FJ73">IF($DR73="","", INDEX(#REF!,MATCH(CONCATENATE(#REF!,$DR73),#REF!,0),MATCH(#REF!,#REF!,0)))</f>
        <v/>
      </c>
      <c r="FK73" s="45" t="str">
        <f t="array" ref="FK73">IF($DR73="","", INDEX(#REF!,MATCH(CONCATENATE(#REF!,$DR73),#REF!,0),MATCH(#REF!,#REF!,0)))</f>
        <v/>
      </c>
      <c r="FL73" s="45" t="str">
        <f t="array" ref="FL73">IF($DT73="","", INDEX(#REF!,MATCH(CONCATENATE('Respuestas de formulario 1.1'!$B73,$DS73),#REF!,0),MATCH('Respuestas de formulario 1.1'!FL$1,#REF!,0)))</f>
        <v/>
      </c>
      <c r="FM73" s="56" t="str">
        <f t="array" ref="FM73">IF($DT73="","", INDEX(#REF!,MATCH(CONCATENATE('Respuestas de formulario 1.1'!$B73,$DS73),#REF!,0),MATCH('Respuestas de formulario 1.1'!FM$1,#REF!,0)))</f>
        <v/>
      </c>
      <c r="FN73" s="56" t="str">
        <f t="array" ref="FN73">IF($DT73="","", INDEX(#REF!,MATCH(CONCATENATE('Respuestas de formulario 1.1'!$B73,$DS73),#REF!,0),MATCH('Respuestas de formulario 1.1'!FN$1,#REF!,0)))</f>
        <v/>
      </c>
      <c r="FO73" s="56" t="str">
        <f t="array" ref="FO73">IF($DT73="","", INDEX(#REF!,MATCH(CONCATENATE('Respuestas de formulario 1.1'!$B73,$DS73),#REF!,0),MATCH('Respuestas de formulario 1.1'!FO$1,#REF!,0)))</f>
        <v/>
      </c>
      <c r="FP73" s="56" t="str">
        <f t="array" ref="FP73">IF($DT73="","", INDEX(#REF!,MATCH(CONCATENATE('Respuestas de formulario 1.1'!$B73,$DS73),#REF!,0),MATCH('Respuestas de formulario 1.1'!FP$1,#REF!,0)))</f>
        <v/>
      </c>
      <c r="FQ73" s="56" t="str">
        <f t="array" ref="FQ73">IF($DT73="","", INDEX(#REF!,MATCH(CONCATENATE('Respuestas de formulario 1.1'!$B73,$DS73),#REF!,0),MATCH('Respuestas de formulario 1.1'!FQ$1,#REF!,0)))</f>
        <v/>
      </c>
      <c r="FR73" s="45" t="str">
        <f t="array" ref="FR73">IF($DT73="","", INDEX(#REF!,MATCH(CONCATENATE('Respuestas de formulario 1.1'!$B73,$DS73),#REF!,0),MATCH('Respuestas de formulario 1.1'!FR$1,#REF!,0)))</f>
        <v/>
      </c>
      <c r="FS73" s="45" t="str">
        <f t="array" ref="FS73">IF($DU73="","", INDEX(#REF!,MATCH(CONCATENATE('Respuestas de formulario 1.1'!$B73,$DT73),#REF!,0),MATCH('Respuestas de formulario 1.1'!FS$1,#REF!,0)))</f>
        <v/>
      </c>
      <c r="FT73" s="56" t="str">
        <f t="array" ref="FT73">IF($DU73="","", INDEX(#REF!,MATCH(CONCATENATE('Respuestas de formulario 1.1'!$B73,$DT73),#REF!,0),MATCH('Respuestas de formulario 1.1'!FT$1,#REF!,0)))</f>
        <v/>
      </c>
      <c r="FU73" s="56" t="str">
        <f t="array" ref="FU73">IF($DU73="","", INDEX(#REF!,MATCH(CONCATENATE('Respuestas de formulario 1.1'!$B73,$DT73),#REF!,0),MATCH('Respuestas de formulario 1.1'!FU$1,#REF!,0)))</f>
        <v/>
      </c>
      <c r="FV73" s="56" t="str">
        <f t="array" ref="FV73">IF($DU73="","", INDEX(#REF!,MATCH(CONCATENATE('Respuestas de formulario 1.1'!$B73,$DT73),#REF!,0),MATCH('Respuestas de formulario 1.1'!FV$1,#REF!,0)))</f>
        <v/>
      </c>
      <c r="FW73" s="56" t="str">
        <f t="array" ref="FW73">IF($DU73="","", INDEX(#REF!,MATCH(CONCATENATE('Respuestas de formulario 1.1'!$B73,$DT73),#REF!,0),MATCH('Respuestas de formulario 1.1'!FW$1,#REF!,0)))</f>
        <v/>
      </c>
      <c r="FX73" s="56" t="str">
        <f t="array" ref="FX73">IF($DU73="","", INDEX(#REF!,MATCH(CONCATENATE('Respuestas de formulario 1.1'!$B73,$DT73),#REF!,0),MATCH('Respuestas de formulario 1.1'!FX$1,#REF!,0)))</f>
        <v/>
      </c>
      <c r="FY73" s="45" t="str">
        <f t="array" ref="FY73">IF($DU73="","", INDEX(#REF!,MATCH(CONCATENATE('Respuestas de formulario 1.1'!$B73,$DT73),#REF!,0),MATCH('Respuestas de formulario 1.1'!FY$1,#REF!,0)))</f>
        <v/>
      </c>
      <c r="FZ73" s="3" t="s">
        <v>2860</v>
      </c>
      <c r="GA73" s="1" t="s">
        <v>4081</v>
      </c>
      <c r="GB73" s="5" t="s">
        <v>4082</v>
      </c>
      <c r="GC73" s="4" t="str">
        <f>HYPERLINK("https://drive.google.com/file/d/14KEoggJRyTrU2rfiB_a6RT23-mn0i5oF/view?usp=drivesdk","MARTINEZ MARTINEZ JOEL DAVID Formato de reinscripción y pago 2022-2")</f>
        <v>MARTINEZ MARTINEZ JOEL DAVID Formato de reinscripción y pago 2022-2</v>
      </c>
      <c r="GD73" s="1" t="s">
        <v>4083</v>
      </c>
      <c r="GE73" s="1"/>
      <c r="GF73" s="1"/>
      <c r="GG73" s="1"/>
      <c r="GH73" s="1"/>
      <c r="GI73" s="1" t="s">
        <v>4084</v>
      </c>
      <c r="GJ73" s="5" t="s">
        <v>4085</v>
      </c>
      <c r="GK73" s="5" t="str">
        <f>HYPERLINK("https://drive.google.com/file/d/1fWARPg-OrEVN5KAGKLDpeOg--BN1WVCH/view?usp=drivesdk","MARTINEZ MARTINEZ JOEL DAVID Formato de reinscripción y pago 2022-2")</f>
        <v>MARTINEZ MARTINEZ JOEL DAVID Formato de reinscripción y pago 2022-2</v>
      </c>
      <c r="GL73" s="1" t="s">
        <v>4086</v>
      </c>
    </row>
    <row r="74" spans="1:194" ht="38.25" x14ac:dyDescent="0.2">
      <c r="A74" s="2">
        <v>45139.383348831019</v>
      </c>
      <c r="B74" s="1" t="s">
        <v>2421</v>
      </c>
      <c r="C74" s="1" t="s">
        <v>2186</v>
      </c>
      <c r="D74" s="1" t="s">
        <v>1074</v>
      </c>
      <c r="E74" s="1" t="s">
        <v>2111</v>
      </c>
      <c r="F74" s="1" t="s">
        <v>223</v>
      </c>
      <c r="G74" s="5" t="s">
        <v>4087</v>
      </c>
      <c r="H74" s="41">
        <v>39229</v>
      </c>
      <c r="I74" s="1">
        <v>16</v>
      </c>
      <c r="J74" s="1">
        <v>5565407942</v>
      </c>
      <c r="K74" s="1">
        <v>5565407942</v>
      </c>
      <c r="L74" s="1" t="s">
        <v>2422</v>
      </c>
      <c r="M74" s="1">
        <v>22309060570645</v>
      </c>
      <c r="N74" s="1" t="s">
        <v>562</v>
      </c>
      <c r="O74" s="1" t="s">
        <v>247</v>
      </c>
      <c r="P74" s="1" t="s">
        <v>226</v>
      </c>
      <c r="Q74" s="1" t="s">
        <v>248</v>
      </c>
      <c r="R74" s="1" t="s">
        <v>236</v>
      </c>
      <c r="S74" s="1" t="s">
        <v>228</v>
      </c>
      <c r="T74" s="1" t="s">
        <v>229</v>
      </c>
      <c r="U74" s="1" t="s">
        <v>249</v>
      </c>
      <c r="V74" s="1" t="s">
        <v>228</v>
      </c>
      <c r="W74" s="1" t="s">
        <v>4088</v>
      </c>
      <c r="X74" s="1" t="s">
        <v>249</v>
      </c>
      <c r="Y74" s="1" t="s">
        <v>1787</v>
      </c>
      <c r="Z74" s="1" t="s">
        <v>240</v>
      </c>
      <c r="AA74" s="44" t="s">
        <v>423</v>
      </c>
      <c r="AB74" s="1">
        <v>24</v>
      </c>
      <c r="AC74" s="1">
        <v>11</v>
      </c>
      <c r="AD74" s="1" t="s">
        <v>4089</v>
      </c>
      <c r="AE74" s="1" t="s">
        <v>4090</v>
      </c>
      <c r="AF74" s="1" t="s">
        <v>488</v>
      </c>
      <c r="AG74" s="1">
        <v>21</v>
      </c>
      <c r="AH74" s="5" t="s">
        <v>4091</v>
      </c>
      <c r="AI74" s="1">
        <v>5534148857</v>
      </c>
      <c r="AJ74" s="1">
        <v>5534148857</v>
      </c>
      <c r="AK74" s="1" t="s">
        <v>4092</v>
      </c>
      <c r="AL74" s="1" t="s">
        <v>2186</v>
      </c>
      <c r="AM74" s="1" t="s">
        <v>474</v>
      </c>
      <c r="AN74" s="1" t="s">
        <v>744</v>
      </c>
      <c r="AO74" s="1" t="s">
        <v>586</v>
      </c>
      <c r="AP74" s="1">
        <v>31</v>
      </c>
      <c r="AQ74" s="1" t="s">
        <v>1016</v>
      </c>
      <c r="AR74" s="42">
        <v>0.125</v>
      </c>
      <c r="AS74" s="42">
        <v>0.29166666666424135</v>
      </c>
      <c r="AT74" s="1">
        <v>5540606092</v>
      </c>
      <c r="AU74" s="1">
        <v>5540606092</v>
      </c>
      <c r="AV74" s="1" t="s">
        <v>4093</v>
      </c>
      <c r="AW74" s="5" t="s">
        <v>4094</v>
      </c>
      <c r="AX74" s="1" t="s">
        <v>474</v>
      </c>
      <c r="AY74" s="1" t="s">
        <v>1085</v>
      </c>
      <c r="AZ74" s="1" t="s">
        <v>2423</v>
      </c>
      <c r="BA74" s="1" t="s">
        <v>265</v>
      </c>
      <c r="BB74" s="1">
        <v>41</v>
      </c>
      <c r="BC74" s="1" t="s">
        <v>1016</v>
      </c>
      <c r="BD74" s="43">
        <v>0.25</v>
      </c>
      <c r="BE74" s="43">
        <v>0.16666666666424135</v>
      </c>
      <c r="BF74" s="1">
        <v>5578680908</v>
      </c>
      <c r="BG74" s="1">
        <v>5578680908</v>
      </c>
      <c r="BH74" s="1" t="s">
        <v>4095</v>
      </c>
      <c r="BI74" s="5" t="s">
        <v>4096</v>
      </c>
      <c r="BJ74" s="1" t="s">
        <v>236</v>
      </c>
      <c r="BK74" s="1" t="s">
        <v>461</v>
      </c>
      <c r="BL74" s="1">
        <v>1.57</v>
      </c>
      <c r="BM74" s="1">
        <v>53</v>
      </c>
      <c r="BN74" s="1" t="s">
        <v>236</v>
      </c>
      <c r="BO74" s="1" t="s">
        <v>228</v>
      </c>
      <c r="BP74" s="1" t="s">
        <v>297</v>
      </c>
      <c r="BQ74" s="1" t="s">
        <v>228</v>
      </c>
      <c r="BR74" s="1" t="s">
        <v>237</v>
      </c>
      <c r="BS74" s="1" t="s">
        <v>236</v>
      </c>
      <c r="BT74" s="1" t="s">
        <v>457</v>
      </c>
      <c r="BU74" s="1" t="s">
        <v>228</v>
      </c>
      <c r="BW74" s="1" t="s">
        <v>238</v>
      </c>
      <c r="BX74" s="1">
        <v>40</v>
      </c>
      <c r="BY74" s="1">
        <v>80</v>
      </c>
      <c r="BZ74" s="1" t="s">
        <v>2342</v>
      </c>
      <c r="CA74" s="1" t="s">
        <v>2094</v>
      </c>
      <c r="CB74" s="1" t="s">
        <v>240</v>
      </c>
      <c r="CC74" s="1" t="s">
        <v>322</v>
      </c>
      <c r="CD74" s="1">
        <v>1000</v>
      </c>
      <c r="CE74" s="1">
        <v>2000</v>
      </c>
      <c r="CF74" s="1" t="s">
        <v>236</v>
      </c>
      <c r="CG74" s="1" t="s">
        <v>242</v>
      </c>
      <c r="CH74" s="1" t="s">
        <v>243</v>
      </c>
      <c r="CI74" s="1" t="s">
        <v>243</v>
      </c>
      <c r="CJ74" s="1" t="s">
        <v>2848</v>
      </c>
      <c r="CL74" s="5" t="s">
        <v>4097</v>
      </c>
      <c r="CM74" s="1">
        <v>25210732423</v>
      </c>
      <c r="CN74" s="1" t="s">
        <v>228</v>
      </c>
      <c r="CQ74" s="42">
        <v>0.25</v>
      </c>
      <c r="CR74" s="42">
        <v>4.1666666664241347E-2</v>
      </c>
      <c r="CT74" s="45" t="str">
        <f t="array" ref="CT74">IFERROR(INDEX(#REF!,MATCH('Respuestas de formulario 1.1'!$B74,#REF!,0),MATCH('Respuestas de formulario 1.1'!CT$1,#REF!,0)),"")</f>
        <v/>
      </c>
      <c r="CU74" s="56" t="str">
        <f t="array" ref="CU74">IFERROR(INDEX(#REF!,MATCH('Respuestas de formulario 1.1'!$B74,#REF!,0),MATCH('Respuestas de formulario 1.1'!CU$1,#REF!,0)),"")</f>
        <v/>
      </c>
      <c r="CV74" s="56" t="str">
        <f t="array" ref="CV74">IFERROR(INDEX(#REF!,MATCH('Respuestas de formulario 1.1'!$B74,#REF!,0),MATCH('Respuestas de formulario 1.1'!CV$1,#REF!,0)),"")</f>
        <v/>
      </c>
      <c r="CW74" s="56" t="str">
        <f t="array" ref="CW74">IFERROR(INDEX(#REF!,MATCH('Respuestas de formulario 1.1'!$B74,#REF!,0),MATCH('Respuestas de formulario 1.1'!CW$1,#REF!,0)),"")</f>
        <v/>
      </c>
      <c r="CX74" s="56" t="str">
        <f t="array" ref="CX74">IFERROR(INDEX(#REF!,MATCH('Respuestas de formulario 1.1'!$B74,#REF!,0),MATCH('Respuestas de formulario 1.1'!CX$1,#REF!,0)),"")</f>
        <v/>
      </c>
      <c r="CY74" s="56" t="str">
        <f t="array" ref="CY74">IFERROR(INDEX(#REF!,MATCH('Respuestas de formulario 1.1'!$B74,#REF!,0),MATCH('Respuestas de formulario 1.1'!CY$1,#REF!,0)),"")</f>
        <v/>
      </c>
      <c r="CZ74" s="57" t="str">
        <f t="array" ref="CZ74">IFERROR(INDEX(#REF!,MATCH('Respuestas de formulario 1.1'!$B74,#REF!,0),MATCH('Respuestas de formulario 1.1'!CZ$1,#REF!,0)),"")</f>
        <v/>
      </c>
      <c r="DA74" s="45" t="e">
        <f t="array" ref="DA74">INDEX(#REF!,MATCH('Respuestas de formulario 1.1'!$B74,#REF!,0),MATCH('Respuestas de formulario 1.1'!DA$1,#REF!,0))</f>
        <v>#REF!</v>
      </c>
      <c r="DB74" s="45" t="e">
        <f t="array" ref="DB74">INDEX(#REF!,MATCH('Respuestas de formulario 1.1'!$B74,#REF!,0),MATCH('Respuestas de formulario 1.1'!DB$1,#REF!,0))</f>
        <v>#REF!</v>
      </c>
      <c r="DC74" s="45" t="e">
        <f t="array" ref="DC74">INDEX(#REF!,MATCH('Respuestas de formulario 1.1'!$B74,#REF!,0),MATCH('Respuestas de formulario 1.1'!DC$1,#REF!,0))</f>
        <v>#REF!</v>
      </c>
      <c r="DD74" s="45" t="e">
        <f t="array" ref="DD74">INDEX(#REF!,MATCH('Respuestas de formulario 1.1'!$B74,#REF!,0),MATCH('Respuestas de formulario 1.1'!DD$1,#REF!,0))</f>
        <v>#REF!</v>
      </c>
      <c r="DE74" s="45" t="e">
        <f t="array" ref="DE74">INDEX(#REF!,MATCH('Respuestas de formulario 1.1'!$B74,#REF!,0),MATCH('Respuestas de formulario 1.1'!DE$1,#REF!,0))</f>
        <v>#REF!</v>
      </c>
      <c r="DF74" s="45" t="e">
        <f t="array" ref="DF74">INDEX(#REF!,MATCH('Respuestas de formulario 1.1'!$B74,#REF!,0),MATCH('Respuestas de formulario 1.1'!DF$1,#REF!,0))</f>
        <v>#REF!</v>
      </c>
      <c r="DG74" s="45" t="e">
        <f t="array" ref="DG74">INDEX(#REF!,MATCH('Respuestas de formulario 1.1'!$B74,#REF!,0),MATCH('Respuestas de formulario 1.1'!DG$1,#REF!,0))</f>
        <v>#REF!</v>
      </c>
      <c r="DH74" s="45" t="e">
        <f t="array" ref="DH74">INDEX(#REF!,MATCH('Respuestas de formulario 1.1'!$B74,#REF!,0),MATCH('Respuestas de formulario 1.1'!DH$1,#REF!,0))</f>
        <v>#REF!</v>
      </c>
      <c r="DI74" s="48" t="e">
        <f>VLOOKUP(CONCATENATE($DF74," TUTO ",$DC74),#REF!,3,0)</f>
        <v>#REF!</v>
      </c>
      <c r="DJ74" s="48" t="e">
        <f t="array" ref="DJ74">IF('Respuestas de formulario 1.1'!A74="","",INDEX(#REF!,MATCH('Respuestas de formulario 1.1'!B74,#REF!,0),MATCH('Respuestas de formulario 1.1'!$DH$1,#REF!,0)))</f>
        <v>#REF!</v>
      </c>
      <c r="DK74" s="52" t="str">
        <f>CONCATENATE("http://doc.google.com/uc?id=",MID('Respuestas de formulario 1.1'!G74,34,33))</f>
        <v>http://doc.google.com/uc?id=13nWRysXdrHEwfS9tM4MLMQxwjdfPhQtQ</v>
      </c>
      <c r="DL74" s="49" t="str">
        <f>CONCATENATE("http://doc.google.com/uc?id=",MID('Respuestas de formulario 1.1'!AH74,34,33))</f>
        <v>http://doc.google.com/uc?id=1zJtspPnyy100Hji0QbDyJGyuCAkK8UXN</v>
      </c>
      <c r="DM74" s="50" t="str">
        <f>CONCATENATE("http://doc.google.com/uc?id=",MID('Respuestas de formulario 1.1'!AW74,34,33))</f>
        <v>http://doc.google.com/uc?id=1lwNjl4U1-I_Fys1Q_0N1usMuAZGP8geQ</v>
      </c>
      <c r="DN74" s="53" t="str">
        <f>CONCATENATE("http://doc.google.com/uc?id=",MID('Respuestas de formulario 1.1'!$BI74,34,33))</f>
        <v>http://doc.google.com/uc?id=1Umq5uc8jUPXv19WrF5UMb-bLB0SE7r2v</v>
      </c>
      <c r="DO74" s="45" t="str">
        <f>IFERROR(VLOOKUP(CONCATENATE('Respuestas de formulario 1.1'!$B74,MID('Respuestas de formulario 1.1'!DO$1,2,1)),#REF!,12,0),"")</f>
        <v/>
      </c>
      <c r="DP74" s="45" t="str">
        <f>IFERROR(VLOOKUP(CONCATENATE('Respuestas de formulario 1.1'!$B74,MID('Respuestas de formulario 1.1'!DP$1,2,1)),#REF!,12,0),"")</f>
        <v/>
      </c>
      <c r="DQ74" s="45" t="str">
        <f>IFERROR(VLOOKUP(CONCATENATE('Respuestas de formulario 1.1'!$B74,MID('Respuestas de formulario 1.1'!DQ$1,2,1)),#REF!,12,0),"")</f>
        <v/>
      </c>
      <c r="DR74" s="45" t="str">
        <f>IFERROR(VLOOKUP(CONCATENATE('Respuestas de formulario 1.1'!$B74,MID('Respuestas de formulario 1.1'!DR$1,2,1)),#REF!,12,0),"")</f>
        <v/>
      </c>
      <c r="DS74" s="45" t="str">
        <f>IFERROR(VLOOKUP(CONCATENATE('Respuestas de formulario 1.1'!$B74,MID('Respuestas de formulario 1.1'!DS$1,2,1)),#REF!,12,0),"")</f>
        <v/>
      </c>
      <c r="DT74" s="45" t="str">
        <f>IFERROR(VLOOKUP(CONCATENATE('Respuestas de formulario 1.1'!$B74,MID('Respuestas de formulario 1.1'!DT$1,2,1)),#REF!,12,0),"")</f>
        <v/>
      </c>
      <c r="DU74" s="45" t="str">
        <f>IFERROR(VLOOKUP(CONCATENATE('Respuestas de formulario 1.1'!$B74,MID('Respuestas de formulario 1.1'!DU$1,2,1)),#REF!,12,0),"")</f>
        <v/>
      </c>
      <c r="DV74" s="45" t="str">
        <f>IFERROR(VLOOKUP(CONCATENATE('Respuestas de formulario 1.1'!$B74,MID('Respuestas de formulario 1.1'!DV$1,2,1)),#REF!,12,0),"")</f>
        <v/>
      </c>
      <c r="DW74" s="45" t="str">
        <f>IFERROR(VLOOKUP(CONCATENATE('Respuestas de formulario 1.1'!$B74,MID('Respuestas de formulario 1.1'!DW$1,2,1)),#REF!,12,0),"")</f>
        <v/>
      </c>
      <c r="DX74" s="45" t="str">
        <f>IFERROR(VLOOKUP(CONCATENATE('Respuestas de formulario 1.1'!$B74,MID('Respuestas de formulario 1.1'!DX$1,2,1)),#REF!,12,0),"")</f>
        <v/>
      </c>
      <c r="DY74" s="45" t="str">
        <f>IFERROR(VLOOKUP(CONCATENATE('Respuestas de formulario 1.1'!$B74,MID('Respuestas de formulario 1.1'!DY$1,2,1)),#REF!,12,0),"")</f>
        <v/>
      </c>
      <c r="DZ74" s="45" t="str">
        <f>IFERROR(VLOOKUP(CONCATENATE('Respuestas de formulario 1.1'!$B74,MID('Respuestas de formulario 1.1'!DZ$1,2,1)),#REF!,12,0),"")</f>
        <v/>
      </c>
      <c r="EA74" s="45" t="str">
        <f>IFERROR(VLOOKUP(CONCATENATE('Respuestas de formulario 1.1'!$B74,MID('Respuestas de formulario 1.1'!EA$1,2,1)),#REF!,12,0),"")</f>
        <v/>
      </c>
      <c r="EB74" s="45" t="str">
        <f>IFERROR(VLOOKUP(CONCATENATE('Respuestas de formulario 1.1'!$B74,MID('Respuestas de formulario 1.1'!EB$1,2,1)),#REF!,12,0),"")</f>
        <v/>
      </c>
      <c r="EC74" s="45" t="str">
        <f>IFERROR(VLOOKUP(CONCATENATE('Respuestas de formulario 1.1'!$B74,MID('Respuestas de formulario 1.1'!EC$1,2,1)),#REF!,12,0),"")</f>
        <v/>
      </c>
      <c r="ED74" s="45" t="str">
        <f>IFERROR(VLOOKUP(CONCATENATE('Respuestas de formulario 1.1'!$B74,MID('Respuestas de formulario 1.1'!ED$1,2,1)),#REF!,12,0),"")</f>
        <v/>
      </c>
      <c r="EE74" s="45" t="str">
        <f>IFERROR(VLOOKUP(CONCATENATE('Respuestas de formulario 1.1'!$B74,MID('Respuestas de formulario 1.1'!EE$1,2,1)),#REF!,12,0),"")</f>
        <v/>
      </c>
      <c r="EF74" s="45" t="str">
        <f>IFERROR(VLOOKUP(CONCATENATE('Respuestas de formulario 1.1'!$B74,MID('Respuestas de formulario 1.1'!EF$1,2,1)),#REF!,12,0),"")</f>
        <v/>
      </c>
      <c r="EG74" s="45" t="str">
        <f>IFERROR(VLOOKUP(CONCATENATE('Respuestas de formulario 1.1'!$B74,MID('Respuestas de formulario 1.1'!EG$1,2,1)),#REF!,12,0),"")</f>
        <v/>
      </c>
      <c r="EH74" s="45" t="str">
        <f>IFERROR(VLOOKUP(CONCATENATE('Respuestas de formulario 1.1'!$B74,MID('Respuestas de formulario 1.1'!EH$1,2,1)),#REF!,12,0),"")</f>
        <v/>
      </c>
      <c r="EI74" s="45" t="str">
        <f>IFERROR(VLOOKUP(CONCATENATE('Respuestas de formulario 1.1'!$B74,MID('Respuestas de formulario 1.1'!EI$1,2,1)),#REF!,12,0),"")</f>
        <v/>
      </c>
      <c r="EJ74" s="45" t="str">
        <f t="array" ref="EJ74">IF(DO74="","", INDEX(#REF!,MATCH(CONCATENATE('Respuestas de formulario 1.1'!$B74,DO74),#REF!,0),MATCH('Respuestas de formulario 1.1'!EJ$1,#REF!,0)))</f>
        <v/>
      </c>
      <c r="EK74" s="56" t="str">
        <f t="array" ref="EK74">IF(DP74="","", INDEX(#REF!,MATCH(CONCATENATE('Respuestas de formulario 1.1'!$B74,DP74),#REF!,0),MATCH('Respuestas de formulario 1.1'!EK$1,#REF!,0)))</f>
        <v/>
      </c>
      <c r="EL74" s="56" t="str">
        <f t="array" ref="EL74">IF(DQ74="","", INDEX(#REF!,MATCH(CONCATENATE('Respuestas de formulario 1.1'!$B74,DQ74),#REF!,0),MATCH('Respuestas de formulario 1.1'!EL$1,#REF!,0)))</f>
        <v/>
      </c>
      <c r="EM74" s="56" t="str">
        <f t="array" ref="EM74">IF(DR74="","", INDEX(#REF!,MATCH(CONCATENATE('Respuestas de formulario 1.1'!$B74,DR74),#REF!,0),MATCH('Respuestas de formulario 1.1'!EM$1,#REF!,0)))</f>
        <v/>
      </c>
      <c r="EN74" s="56" t="str">
        <f t="array" ref="EN74">IF(DS74="","", INDEX(#REF!,MATCH(CONCATENATE('Respuestas de formulario 1.1'!$B74,DS74),#REF!,0),MATCH('Respuestas de formulario 1.1'!EN$1,#REF!,0)))</f>
        <v/>
      </c>
      <c r="EO74" s="56" t="str">
        <f t="array" ref="EO74">IF(DT74="","", INDEX(#REF!,MATCH(CONCATENATE('Respuestas de formulario 1.1'!$B74,DT74),#REF!,0),MATCH('Respuestas de formulario 1.1'!EO$1,#REF!,0)))</f>
        <v/>
      </c>
      <c r="EP74" s="45" t="str">
        <f t="array" ref="EP74">IF(DU74="","", INDEX(#REF!,MATCH(CONCATENATE('Respuestas de formulario 1.1'!$B74,DU74),#REF!,0),MATCH('Respuestas de formulario 1.1'!EP$1,#REF!,0)))</f>
        <v/>
      </c>
      <c r="EQ74" s="45" t="str">
        <f t="array" ref="EQ74">IF(DP74="","", INDEX(#REF!,MATCH(CONCATENATE('Respuestas de formulario 1.1'!$B74,DP74),#REF!,0),MATCH('Respuestas de formulario 1.1'!EQ$1,#REF!,0)))</f>
        <v/>
      </c>
      <c r="ER74" s="56" t="str">
        <f t="array" ref="ER74">IF(DQ74="","", INDEX(#REF!,MATCH(CONCATENATE('Respuestas de formulario 1.1'!$B74,DQ74),#REF!,0),MATCH('Respuestas de formulario 1.1'!ER$1,#REF!,0)))</f>
        <v/>
      </c>
      <c r="ES74" s="56" t="str">
        <f t="array" ref="ES74">IF(DR74="","", INDEX(#REF!,MATCH(CONCATENATE('Respuestas de formulario 1.1'!$B74,DR74),#REF!,0),MATCH('Respuestas de formulario 1.1'!ES$1,#REF!,0)))</f>
        <v/>
      </c>
      <c r="ET74" s="56" t="str">
        <f t="array" ref="ET74">IF(DS74="","", INDEX(#REF!,MATCH(CONCATENATE('Respuestas de formulario 1.1'!$B74,DS74),#REF!,0),MATCH('Respuestas de formulario 1.1'!ET$1,#REF!,0)))</f>
        <v/>
      </c>
      <c r="EU74" s="56" t="str">
        <f t="array" ref="EU74">IF(DT74="","", INDEX(#REF!,MATCH(CONCATENATE('Respuestas de formulario 1.1'!$B74,DT74),#REF!,0),MATCH('Respuestas de formulario 1.1'!EU$1,#REF!,0)))</f>
        <v/>
      </c>
      <c r="EV74" s="56" t="str">
        <f t="array" ref="EV74">IF(DU74="","", INDEX(#REF!,MATCH(CONCATENATE('Respuestas de formulario 1.1'!$B74,DU74),#REF!,0),MATCH('Respuestas de formulario 1.1'!EV$1,#REF!,0)))</f>
        <v/>
      </c>
      <c r="EW74" s="45" t="str">
        <f t="array" ref="EW74">IF(DV74="","", INDEX(#REF!,MATCH(CONCATENATE('Respuestas de formulario 1.1'!$B74,DV74),#REF!,0),MATCH('Respuestas de formulario 1.1'!EW$1,#REF!,0)))</f>
        <v/>
      </c>
      <c r="EX74" s="45" t="str">
        <f t="array" ref="EX74">IF($DQ74="","", INDEX(#REF!,MATCH(CONCATENATE('Respuestas de formulario 1.1'!$B74,$DQ74),#REF!,0),MATCH('Respuestas de formulario 1.1'!EX$1,#REF!,0)))</f>
        <v/>
      </c>
      <c r="EY74" s="56" t="str">
        <f t="array" ref="EY74">IF($DQ74="","", INDEX(#REF!,MATCH(CONCATENATE('Respuestas de formulario 1.1'!$B74,$DQ74),#REF!,0),MATCH('Respuestas de formulario 1.1'!EY$1,#REF!,0)))</f>
        <v/>
      </c>
      <c r="EZ74" s="56" t="str">
        <f t="array" ref="EZ74">IF($DQ74="","", INDEX(#REF!,MATCH(CONCATENATE('Respuestas de formulario 1.1'!$B74,$DQ74),#REF!,0),MATCH('Respuestas de formulario 1.1'!EZ$1,#REF!,0)))</f>
        <v/>
      </c>
      <c r="FA74" s="56" t="str">
        <f t="array" ref="FA74">IF($DQ74="","", INDEX(#REF!,MATCH(CONCATENATE('Respuestas de formulario 1.1'!$B74,$DQ74),#REF!,0),MATCH('Respuestas de formulario 1.1'!FA$1,#REF!,0)))</f>
        <v/>
      </c>
      <c r="FB74" s="56" t="str">
        <f t="array" ref="FB74">IF($DQ74="","", INDEX(#REF!,MATCH(CONCATENATE('Respuestas de formulario 1.1'!$B74,$DQ74),#REF!,0),MATCH('Respuestas de formulario 1.1'!FB$1,#REF!,0)))</f>
        <v/>
      </c>
      <c r="FC74" s="56" t="str">
        <f t="array" ref="FC74">IF($DQ74="","", INDEX(#REF!,MATCH(CONCATENATE('Respuestas de formulario 1.1'!$B74,$DQ74),#REF!,0),MATCH('Respuestas de formulario 1.1'!FC$1,#REF!,0)))</f>
        <v/>
      </c>
      <c r="FD74" s="45" t="str">
        <f t="array" ref="FD74">IF($DQ74="","", INDEX(#REF!,MATCH(CONCATENATE('Respuestas de formulario 1.1'!$B74,$DQ74),#REF!,0),MATCH('Respuestas de formulario 1.1'!FD$1,#REF!,0)))</f>
        <v/>
      </c>
      <c r="FE74" s="45" t="str">
        <f t="array" ref="FE74">IF($DR74="","", INDEX(#REF!,MATCH(CONCATENATE(#REF!,$DR74),#REF!,0),MATCH(#REF!,#REF!,0)))</f>
        <v/>
      </c>
      <c r="FF74" s="56" t="str">
        <f t="array" ref="FF74">IF($DR74="","", INDEX(#REF!,MATCH(CONCATENATE(#REF!,$DR74),#REF!,0),MATCH(#REF!,#REF!,0)))</f>
        <v/>
      </c>
      <c r="FG74" s="56" t="str">
        <f t="array" ref="FG74">IF($DR74="","", INDEX(#REF!,MATCH(CONCATENATE(#REF!,$DR74),#REF!,0),MATCH(#REF!,#REF!,0)))</f>
        <v/>
      </c>
      <c r="FH74" s="56" t="str">
        <f t="array" ref="FH74">IF($DR74="","", INDEX(#REF!,MATCH(CONCATENATE(#REF!,$DR74),#REF!,0),MATCH(#REF!,#REF!,0)))</f>
        <v/>
      </c>
      <c r="FI74" s="56" t="str">
        <f t="array" ref="FI74">IF($DR74="","", INDEX(#REF!,MATCH(CONCATENATE(#REF!,$DR74),#REF!,0),MATCH(#REF!,#REF!,0)))</f>
        <v/>
      </c>
      <c r="FJ74" s="56" t="str">
        <f t="array" ref="FJ74">IF($DR74="","", INDEX(#REF!,MATCH(CONCATENATE(#REF!,$DR74),#REF!,0),MATCH(#REF!,#REF!,0)))</f>
        <v/>
      </c>
      <c r="FK74" s="45" t="str">
        <f t="array" ref="FK74">IF($DR74="","", INDEX(#REF!,MATCH(CONCATENATE(#REF!,$DR74),#REF!,0),MATCH(#REF!,#REF!,0)))</f>
        <v/>
      </c>
      <c r="FL74" s="45" t="str">
        <f t="array" ref="FL74">IF($DT74="","", INDEX(#REF!,MATCH(CONCATENATE('Respuestas de formulario 1.1'!$B74,$DS74),#REF!,0),MATCH('Respuestas de formulario 1.1'!FL$1,#REF!,0)))</f>
        <v/>
      </c>
      <c r="FM74" s="56" t="str">
        <f t="array" ref="FM74">IF($DT74="","", INDEX(#REF!,MATCH(CONCATENATE('Respuestas de formulario 1.1'!$B74,$DS74),#REF!,0),MATCH('Respuestas de formulario 1.1'!FM$1,#REF!,0)))</f>
        <v/>
      </c>
      <c r="FN74" s="56" t="str">
        <f t="array" ref="FN74">IF($DT74="","", INDEX(#REF!,MATCH(CONCATENATE('Respuestas de formulario 1.1'!$B74,$DS74),#REF!,0),MATCH('Respuestas de formulario 1.1'!FN$1,#REF!,0)))</f>
        <v/>
      </c>
      <c r="FO74" s="56" t="str">
        <f t="array" ref="FO74">IF($DT74="","", INDEX(#REF!,MATCH(CONCATENATE('Respuestas de formulario 1.1'!$B74,$DS74),#REF!,0),MATCH('Respuestas de formulario 1.1'!FO$1,#REF!,0)))</f>
        <v/>
      </c>
      <c r="FP74" s="56" t="str">
        <f t="array" ref="FP74">IF($DT74="","", INDEX(#REF!,MATCH(CONCATENATE('Respuestas de formulario 1.1'!$B74,$DS74),#REF!,0),MATCH('Respuestas de formulario 1.1'!FP$1,#REF!,0)))</f>
        <v/>
      </c>
      <c r="FQ74" s="56" t="str">
        <f t="array" ref="FQ74">IF($DT74="","", INDEX(#REF!,MATCH(CONCATENATE('Respuestas de formulario 1.1'!$B74,$DS74),#REF!,0),MATCH('Respuestas de formulario 1.1'!FQ$1,#REF!,0)))</f>
        <v/>
      </c>
      <c r="FR74" s="45" t="str">
        <f t="array" ref="FR74">IF($DT74="","", INDEX(#REF!,MATCH(CONCATENATE('Respuestas de formulario 1.1'!$B74,$DS74),#REF!,0),MATCH('Respuestas de formulario 1.1'!FR$1,#REF!,0)))</f>
        <v/>
      </c>
      <c r="FS74" s="45" t="str">
        <f t="array" ref="FS74">IF($DU74="","", INDEX(#REF!,MATCH(CONCATENATE('Respuestas de formulario 1.1'!$B74,$DT74),#REF!,0),MATCH('Respuestas de formulario 1.1'!FS$1,#REF!,0)))</f>
        <v/>
      </c>
      <c r="FT74" s="56" t="str">
        <f t="array" ref="FT74">IF($DU74="","", INDEX(#REF!,MATCH(CONCATENATE('Respuestas de formulario 1.1'!$B74,$DT74),#REF!,0),MATCH('Respuestas de formulario 1.1'!FT$1,#REF!,0)))</f>
        <v/>
      </c>
      <c r="FU74" s="56" t="str">
        <f t="array" ref="FU74">IF($DU74="","", INDEX(#REF!,MATCH(CONCATENATE('Respuestas de formulario 1.1'!$B74,$DT74),#REF!,0),MATCH('Respuestas de formulario 1.1'!FU$1,#REF!,0)))</f>
        <v/>
      </c>
      <c r="FV74" s="56" t="str">
        <f t="array" ref="FV74">IF($DU74="","", INDEX(#REF!,MATCH(CONCATENATE('Respuestas de formulario 1.1'!$B74,$DT74),#REF!,0),MATCH('Respuestas de formulario 1.1'!FV$1,#REF!,0)))</f>
        <v/>
      </c>
      <c r="FW74" s="56" t="str">
        <f t="array" ref="FW74">IF($DU74="","", INDEX(#REF!,MATCH(CONCATENATE('Respuestas de formulario 1.1'!$B74,$DT74),#REF!,0),MATCH('Respuestas de formulario 1.1'!FW$1,#REF!,0)))</f>
        <v/>
      </c>
      <c r="FX74" s="56" t="str">
        <f t="array" ref="FX74">IF($DU74="","", INDEX(#REF!,MATCH(CONCATENATE('Respuestas de formulario 1.1'!$B74,$DT74),#REF!,0),MATCH('Respuestas de formulario 1.1'!FX$1,#REF!,0)))</f>
        <v/>
      </c>
      <c r="FY74" s="45" t="str">
        <f t="array" ref="FY74">IF($DU74="","", INDEX(#REF!,MATCH(CONCATENATE('Respuestas de formulario 1.1'!$B74,$DT74),#REF!,0),MATCH('Respuestas de formulario 1.1'!FY$1,#REF!,0)))</f>
        <v/>
      </c>
      <c r="FZ74" s="3" t="s">
        <v>2860</v>
      </c>
      <c r="GA74" s="1" t="s">
        <v>4098</v>
      </c>
      <c r="GB74" s="5" t="s">
        <v>4099</v>
      </c>
      <c r="GC74" s="4" t="str">
        <f>HYPERLINK("https://drive.google.com/file/d/1ILxAaGHUilHO7ezP84tQoVLS2K_BO0qf/view?usp=drivesdk","TRUJILLO  CRUZ  CAROLINA  Formato de reinscripción y pago 2022-2")</f>
        <v>TRUJILLO  CRUZ  CAROLINA  Formato de reinscripción y pago 2022-2</v>
      </c>
      <c r="GD74" s="1" t="s">
        <v>4100</v>
      </c>
      <c r="GE74" s="1"/>
      <c r="GF74" s="1"/>
      <c r="GG74" s="1"/>
      <c r="GH74" s="1"/>
      <c r="GI74" s="1" t="s">
        <v>4101</v>
      </c>
      <c r="GJ74" s="5" t="s">
        <v>4102</v>
      </c>
      <c r="GK74" s="5" t="str">
        <f>HYPERLINK("https://drive.google.com/file/d/18bomlkRHgSn8n7F_gHFu_ACl-rtBROzK/view?usp=drivesdk","TRUJILLO  CRUZ  CAROLINA  Formato de reinscripción y pago 2022-2")</f>
        <v>TRUJILLO  CRUZ  CAROLINA  Formato de reinscripción y pago 2022-2</v>
      </c>
      <c r="GL74" s="1" t="s">
        <v>4103</v>
      </c>
    </row>
    <row r="75" spans="1:194" ht="38.25" x14ac:dyDescent="0.2">
      <c r="A75" s="2">
        <v>45139.715876064816</v>
      </c>
      <c r="B75" s="1" t="s">
        <v>2157</v>
      </c>
      <c r="C75" s="1" t="s">
        <v>286</v>
      </c>
      <c r="D75" s="1" t="s">
        <v>340</v>
      </c>
      <c r="E75" s="1" t="s">
        <v>2163</v>
      </c>
      <c r="F75" s="1" t="s">
        <v>262</v>
      </c>
      <c r="G75" s="5" t="s">
        <v>4104</v>
      </c>
      <c r="H75" s="41">
        <v>38791</v>
      </c>
      <c r="I75" s="1">
        <v>17</v>
      </c>
      <c r="J75" s="1">
        <v>5636070749</v>
      </c>
      <c r="K75" s="1" t="s">
        <v>4105</v>
      </c>
      <c r="L75" s="1" t="s">
        <v>2158</v>
      </c>
      <c r="M75" s="1">
        <v>22309060570578</v>
      </c>
      <c r="N75" s="1" t="s">
        <v>562</v>
      </c>
      <c r="O75" s="1" t="s">
        <v>247</v>
      </c>
      <c r="P75" s="1" t="s">
        <v>278</v>
      </c>
      <c r="Q75" s="1" t="s">
        <v>227</v>
      </c>
      <c r="R75" s="1" t="s">
        <v>236</v>
      </c>
      <c r="S75" s="1" t="s">
        <v>228</v>
      </c>
      <c r="T75" s="1" t="s">
        <v>229</v>
      </c>
      <c r="U75" s="1" t="s">
        <v>230</v>
      </c>
      <c r="V75" s="1" t="s">
        <v>228</v>
      </c>
      <c r="W75" s="1" t="s">
        <v>4106</v>
      </c>
      <c r="X75" s="1" t="s">
        <v>230</v>
      </c>
      <c r="Y75" s="1" t="s">
        <v>1320</v>
      </c>
      <c r="Z75" s="1" t="s">
        <v>231</v>
      </c>
      <c r="AA75" s="1">
        <v>56640</v>
      </c>
      <c r="AB75" s="1" t="s">
        <v>2159</v>
      </c>
      <c r="AC75" s="1" t="s">
        <v>1975</v>
      </c>
      <c r="AD75" s="1" t="s">
        <v>2160</v>
      </c>
      <c r="AE75" s="1" t="s">
        <v>4107</v>
      </c>
      <c r="AF75" s="1" t="s">
        <v>435</v>
      </c>
      <c r="AG75" s="1">
        <v>43</v>
      </c>
      <c r="AH75" s="5" t="s">
        <v>4108</v>
      </c>
      <c r="AI75" s="1">
        <v>5579040893</v>
      </c>
      <c r="AJ75" s="1">
        <v>5560000432</v>
      </c>
      <c r="AK75" s="1" t="s">
        <v>2161</v>
      </c>
      <c r="AL75" s="1" t="s">
        <v>4109</v>
      </c>
      <c r="AM75" s="1" t="s">
        <v>2162</v>
      </c>
      <c r="AN75" s="1" t="s">
        <v>4110</v>
      </c>
      <c r="AO75" s="1" t="s">
        <v>445</v>
      </c>
      <c r="AP75" s="1">
        <v>40</v>
      </c>
      <c r="AQ75" s="1" t="s">
        <v>328</v>
      </c>
      <c r="AR75" s="42">
        <v>0.25</v>
      </c>
      <c r="AS75" s="42">
        <v>0.45833333333575865</v>
      </c>
      <c r="AT75" s="1">
        <v>5517320538</v>
      </c>
      <c r="AU75" s="1">
        <v>5560000432</v>
      </c>
      <c r="AV75" s="1" t="s">
        <v>4111</v>
      </c>
      <c r="AW75" s="5" t="s">
        <v>4112</v>
      </c>
      <c r="AX75" s="1" t="s">
        <v>2162</v>
      </c>
      <c r="AY75" s="1" t="s">
        <v>1441</v>
      </c>
      <c r="AZ75" s="1" t="s">
        <v>1596</v>
      </c>
      <c r="BA75" s="1" t="s">
        <v>968</v>
      </c>
      <c r="BB75" s="1">
        <v>77</v>
      </c>
      <c r="BC75" s="1" t="s">
        <v>233</v>
      </c>
      <c r="BD75" s="43">
        <v>0.25</v>
      </c>
      <c r="BE75" s="43">
        <v>0.45833333333575865</v>
      </c>
      <c r="BF75" s="1">
        <v>5554631978</v>
      </c>
      <c r="BG75" s="1">
        <v>5558552538</v>
      </c>
      <c r="BH75" s="1" t="s">
        <v>4113</v>
      </c>
      <c r="BI75" s="5" t="s">
        <v>4114</v>
      </c>
      <c r="BJ75" s="1" t="s">
        <v>236</v>
      </c>
      <c r="BK75" s="1" t="s">
        <v>612</v>
      </c>
      <c r="BL75" s="1">
        <v>180</v>
      </c>
      <c r="BM75" s="1">
        <v>93</v>
      </c>
      <c r="BN75" s="1" t="s">
        <v>236</v>
      </c>
      <c r="BO75" s="1" t="s">
        <v>228</v>
      </c>
      <c r="BP75" s="1" t="s">
        <v>688</v>
      </c>
      <c r="BQ75" s="1" t="s">
        <v>228</v>
      </c>
      <c r="BR75" s="1" t="s">
        <v>237</v>
      </c>
      <c r="BS75" s="1" t="s">
        <v>236</v>
      </c>
      <c r="BT75" s="1" t="s">
        <v>271</v>
      </c>
      <c r="BU75" s="1" t="s">
        <v>228</v>
      </c>
      <c r="BW75" s="1" t="s">
        <v>238</v>
      </c>
      <c r="BX75" s="1">
        <v>3</v>
      </c>
      <c r="BY75" s="1">
        <v>40</v>
      </c>
      <c r="BZ75" s="1" t="s">
        <v>1615</v>
      </c>
      <c r="CA75" s="1" t="s">
        <v>1131</v>
      </c>
      <c r="CB75" s="1" t="s">
        <v>240</v>
      </c>
      <c r="CC75" s="1" t="s">
        <v>274</v>
      </c>
      <c r="CD75" s="1">
        <v>500</v>
      </c>
      <c r="CE75" s="1">
        <v>1500</v>
      </c>
      <c r="CF75" s="1" t="s">
        <v>236</v>
      </c>
      <c r="CG75" s="1" t="s">
        <v>242</v>
      </c>
      <c r="CH75" s="1" t="s">
        <v>243</v>
      </c>
      <c r="CI75" s="1" t="s">
        <v>243</v>
      </c>
      <c r="CJ75" s="1" t="s">
        <v>2848</v>
      </c>
      <c r="CL75" s="5" t="s">
        <v>4115</v>
      </c>
      <c r="CM75" s="1">
        <v>26210648890</v>
      </c>
      <c r="CN75" s="1" t="s">
        <v>228</v>
      </c>
      <c r="CQ75" s="42">
        <v>0.33333333333575865</v>
      </c>
      <c r="CR75" s="42">
        <v>0.25</v>
      </c>
      <c r="CT75" s="45" t="str">
        <f t="array" ref="CT75">IFERROR(INDEX(#REF!,MATCH('Respuestas de formulario 1.1'!$B75,#REF!,0),MATCH('Respuestas de formulario 1.1'!CT$1,#REF!,0)),"")</f>
        <v/>
      </c>
      <c r="CU75" s="56" t="str">
        <f t="array" ref="CU75">IFERROR(INDEX(#REF!,MATCH('Respuestas de formulario 1.1'!$B75,#REF!,0),MATCH('Respuestas de formulario 1.1'!CU$1,#REF!,0)),"")</f>
        <v/>
      </c>
      <c r="CV75" s="56" t="str">
        <f t="array" ref="CV75">IFERROR(INDEX(#REF!,MATCH('Respuestas de formulario 1.1'!$B75,#REF!,0),MATCH('Respuestas de formulario 1.1'!CV$1,#REF!,0)),"")</f>
        <v/>
      </c>
      <c r="CW75" s="56" t="str">
        <f t="array" ref="CW75">IFERROR(INDEX(#REF!,MATCH('Respuestas de formulario 1.1'!$B75,#REF!,0),MATCH('Respuestas de formulario 1.1'!CW$1,#REF!,0)),"")</f>
        <v/>
      </c>
      <c r="CX75" s="56" t="str">
        <f t="array" ref="CX75">IFERROR(INDEX(#REF!,MATCH('Respuestas de formulario 1.1'!$B75,#REF!,0),MATCH('Respuestas de formulario 1.1'!CX$1,#REF!,0)),"")</f>
        <v/>
      </c>
      <c r="CY75" s="56" t="str">
        <f t="array" ref="CY75">IFERROR(INDEX(#REF!,MATCH('Respuestas de formulario 1.1'!$B75,#REF!,0),MATCH('Respuestas de formulario 1.1'!CY$1,#REF!,0)),"")</f>
        <v/>
      </c>
      <c r="CZ75" s="57" t="str">
        <f t="array" ref="CZ75">IFERROR(INDEX(#REF!,MATCH('Respuestas de formulario 1.1'!$B75,#REF!,0),MATCH('Respuestas de formulario 1.1'!CZ$1,#REF!,0)),"")</f>
        <v/>
      </c>
      <c r="DA75" s="45" t="e">
        <f t="array" ref="DA75">INDEX(#REF!,MATCH('Respuestas de formulario 1.1'!$B75,#REF!,0),MATCH('Respuestas de formulario 1.1'!DA$1,#REF!,0))</f>
        <v>#REF!</v>
      </c>
      <c r="DB75" s="45" t="e">
        <f t="array" ref="DB75">INDEX(#REF!,MATCH('Respuestas de formulario 1.1'!$B75,#REF!,0),MATCH('Respuestas de formulario 1.1'!DB$1,#REF!,0))</f>
        <v>#REF!</v>
      </c>
      <c r="DC75" s="45" t="e">
        <f t="array" ref="DC75">INDEX(#REF!,MATCH('Respuestas de formulario 1.1'!$B75,#REF!,0),MATCH('Respuestas de formulario 1.1'!DC$1,#REF!,0))</f>
        <v>#REF!</v>
      </c>
      <c r="DD75" s="45" t="e">
        <f t="array" ref="DD75">INDEX(#REF!,MATCH('Respuestas de formulario 1.1'!$B75,#REF!,0),MATCH('Respuestas de formulario 1.1'!DD$1,#REF!,0))</f>
        <v>#REF!</v>
      </c>
      <c r="DE75" s="45" t="e">
        <f t="array" ref="DE75">INDEX(#REF!,MATCH('Respuestas de formulario 1.1'!$B75,#REF!,0),MATCH('Respuestas de formulario 1.1'!DE$1,#REF!,0))</f>
        <v>#REF!</v>
      </c>
      <c r="DF75" s="45" t="e">
        <f t="array" ref="DF75">INDEX(#REF!,MATCH('Respuestas de formulario 1.1'!$B75,#REF!,0),MATCH('Respuestas de formulario 1.1'!DF$1,#REF!,0))</f>
        <v>#REF!</v>
      </c>
      <c r="DG75" s="45" t="e">
        <f t="array" ref="DG75">INDEX(#REF!,MATCH('Respuestas de formulario 1.1'!$B75,#REF!,0),MATCH('Respuestas de formulario 1.1'!DG$1,#REF!,0))</f>
        <v>#REF!</v>
      </c>
      <c r="DH75" s="45" t="e">
        <f t="array" ref="DH75">INDEX(#REF!,MATCH('Respuestas de formulario 1.1'!$B75,#REF!,0),MATCH('Respuestas de formulario 1.1'!DH$1,#REF!,0))</f>
        <v>#REF!</v>
      </c>
      <c r="DI75" s="48" t="e">
        <f>VLOOKUP(CONCATENATE($DF75," TUTO ",$DC75),#REF!,3,0)</f>
        <v>#REF!</v>
      </c>
      <c r="DJ75" s="48" t="e">
        <f t="array" ref="DJ75">IF('Respuestas de formulario 1.1'!A75="","",INDEX(#REF!,MATCH('Respuestas de formulario 1.1'!B75,#REF!,0),MATCH('Respuestas de formulario 1.1'!$DH$1,#REF!,0)))</f>
        <v>#REF!</v>
      </c>
      <c r="DK75" s="52" t="str">
        <f>CONCATENATE("http://doc.google.com/uc?id=",MID('Respuestas de formulario 1.1'!G75,34,33))</f>
        <v>http://doc.google.com/uc?id=14F1-D2nCIDFDAIifyWvsLvS4ZcQX1PfJ</v>
      </c>
      <c r="DL75" s="49" t="str">
        <f>CONCATENATE("http://doc.google.com/uc?id=",MID('Respuestas de formulario 1.1'!AH75,34,33))</f>
        <v>http://doc.google.com/uc?id=1lrFWJ-YjKCFSpHmG-terxCpT9lzXAZRI</v>
      </c>
      <c r="DM75" s="50" t="str">
        <f>CONCATENATE("http://doc.google.com/uc?id=",MID('Respuestas de formulario 1.1'!AW75,34,33))</f>
        <v>http://doc.google.com/uc?id=1IA0Rf1pYtRBzwhPaIfJd1mYxrSLvJkeh</v>
      </c>
      <c r="DN75" s="53" t="str">
        <f>CONCATENATE("http://doc.google.com/uc?id=",MID('Respuestas de formulario 1.1'!$BI75,34,33))</f>
        <v>http://doc.google.com/uc?id=1LQBS39tAailhiZhSSMZwbX3-yAW-LIkS</v>
      </c>
      <c r="DO75" s="45" t="str">
        <f>IFERROR(VLOOKUP(CONCATENATE('Respuestas de formulario 1.1'!$B75,MID('Respuestas de formulario 1.1'!DO$1,2,1)),#REF!,12,0),"")</f>
        <v/>
      </c>
      <c r="DP75" s="45" t="str">
        <f>IFERROR(VLOOKUP(CONCATENATE('Respuestas de formulario 1.1'!$B75,MID('Respuestas de formulario 1.1'!DP$1,2,1)),#REF!,12,0),"")</f>
        <v/>
      </c>
      <c r="DQ75" s="45" t="str">
        <f>IFERROR(VLOOKUP(CONCATENATE('Respuestas de formulario 1.1'!$B75,MID('Respuestas de formulario 1.1'!DQ$1,2,1)),#REF!,12,0),"")</f>
        <v/>
      </c>
      <c r="DR75" s="45" t="str">
        <f>IFERROR(VLOOKUP(CONCATENATE('Respuestas de formulario 1.1'!$B75,MID('Respuestas de formulario 1.1'!DR$1,2,1)),#REF!,12,0),"")</f>
        <v/>
      </c>
      <c r="DS75" s="45" t="str">
        <f>IFERROR(VLOOKUP(CONCATENATE('Respuestas de formulario 1.1'!$B75,MID('Respuestas de formulario 1.1'!DS$1,2,1)),#REF!,12,0),"")</f>
        <v/>
      </c>
      <c r="DT75" s="45" t="str">
        <f>IFERROR(VLOOKUP(CONCATENATE('Respuestas de formulario 1.1'!$B75,MID('Respuestas de formulario 1.1'!DT$1,2,1)),#REF!,12,0),"")</f>
        <v/>
      </c>
      <c r="DU75" s="45" t="str">
        <f>IFERROR(VLOOKUP(CONCATENATE('Respuestas de formulario 1.1'!$B75,MID('Respuestas de formulario 1.1'!DU$1,2,1)),#REF!,12,0),"")</f>
        <v/>
      </c>
      <c r="DV75" s="45" t="str">
        <f>IFERROR(VLOOKUP(CONCATENATE('Respuestas de formulario 1.1'!$B75,MID('Respuestas de formulario 1.1'!DV$1,2,1)),#REF!,12,0),"")</f>
        <v/>
      </c>
      <c r="DW75" s="45" t="str">
        <f>IFERROR(VLOOKUP(CONCATENATE('Respuestas de formulario 1.1'!$B75,MID('Respuestas de formulario 1.1'!DW$1,2,1)),#REF!,12,0),"")</f>
        <v/>
      </c>
      <c r="DX75" s="45" t="str">
        <f>IFERROR(VLOOKUP(CONCATENATE('Respuestas de formulario 1.1'!$B75,MID('Respuestas de formulario 1.1'!DX$1,2,1)),#REF!,12,0),"")</f>
        <v/>
      </c>
      <c r="DY75" s="45" t="str">
        <f>IFERROR(VLOOKUP(CONCATENATE('Respuestas de formulario 1.1'!$B75,MID('Respuestas de formulario 1.1'!DY$1,2,1)),#REF!,12,0),"")</f>
        <v/>
      </c>
      <c r="DZ75" s="45" t="str">
        <f>IFERROR(VLOOKUP(CONCATENATE('Respuestas de formulario 1.1'!$B75,MID('Respuestas de formulario 1.1'!DZ$1,2,1)),#REF!,12,0),"")</f>
        <v/>
      </c>
      <c r="EA75" s="45" t="str">
        <f>IFERROR(VLOOKUP(CONCATENATE('Respuestas de formulario 1.1'!$B75,MID('Respuestas de formulario 1.1'!EA$1,2,1)),#REF!,12,0),"")</f>
        <v/>
      </c>
      <c r="EB75" s="45" t="str">
        <f>IFERROR(VLOOKUP(CONCATENATE('Respuestas de formulario 1.1'!$B75,MID('Respuestas de formulario 1.1'!EB$1,2,1)),#REF!,12,0),"")</f>
        <v/>
      </c>
      <c r="EC75" s="45" t="str">
        <f>IFERROR(VLOOKUP(CONCATENATE('Respuestas de formulario 1.1'!$B75,MID('Respuestas de formulario 1.1'!EC$1,2,1)),#REF!,12,0),"")</f>
        <v/>
      </c>
      <c r="ED75" s="45" t="str">
        <f>IFERROR(VLOOKUP(CONCATENATE('Respuestas de formulario 1.1'!$B75,MID('Respuestas de formulario 1.1'!ED$1,2,1)),#REF!,12,0),"")</f>
        <v/>
      </c>
      <c r="EE75" s="45" t="str">
        <f>IFERROR(VLOOKUP(CONCATENATE('Respuestas de formulario 1.1'!$B75,MID('Respuestas de formulario 1.1'!EE$1,2,1)),#REF!,12,0),"")</f>
        <v/>
      </c>
      <c r="EF75" s="45" t="str">
        <f>IFERROR(VLOOKUP(CONCATENATE('Respuestas de formulario 1.1'!$B75,MID('Respuestas de formulario 1.1'!EF$1,2,1)),#REF!,12,0),"")</f>
        <v/>
      </c>
      <c r="EG75" s="45" t="str">
        <f>IFERROR(VLOOKUP(CONCATENATE('Respuestas de formulario 1.1'!$B75,MID('Respuestas de formulario 1.1'!EG$1,2,1)),#REF!,12,0),"")</f>
        <v/>
      </c>
      <c r="EH75" s="45" t="str">
        <f>IFERROR(VLOOKUP(CONCATENATE('Respuestas de formulario 1.1'!$B75,MID('Respuestas de formulario 1.1'!EH$1,2,1)),#REF!,12,0),"")</f>
        <v/>
      </c>
      <c r="EI75" s="45" t="str">
        <f>IFERROR(VLOOKUP(CONCATENATE('Respuestas de formulario 1.1'!$B75,MID('Respuestas de formulario 1.1'!EI$1,2,1)),#REF!,12,0),"")</f>
        <v/>
      </c>
      <c r="EJ75" s="45" t="str">
        <f t="array" ref="EJ75">IF(DO75="","", INDEX(#REF!,MATCH(CONCATENATE('Respuestas de formulario 1.1'!$B75,DO75),#REF!,0),MATCH('Respuestas de formulario 1.1'!EJ$1,#REF!,0)))</f>
        <v/>
      </c>
      <c r="EK75" s="56" t="str">
        <f t="array" ref="EK75">IF(DP75="","", INDEX(#REF!,MATCH(CONCATENATE('Respuestas de formulario 1.1'!$B75,DP75),#REF!,0),MATCH('Respuestas de formulario 1.1'!EK$1,#REF!,0)))</f>
        <v/>
      </c>
      <c r="EL75" s="56" t="str">
        <f t="array" ref="EL75">IF(DQ75="","", INDEX(#REF!,MATCH(CONCATENATE('Respuestas de formulario 1.1'!$B75,DQ75),#REF!,0),MATCH('Respuestas de formulario 1.1'!EL$1,#REF!,0)))</f>
        <v/>
      </c>
      <c r="EM75" s="56" t="str">
        <f t="array" ref="EM75">IF(DR75="","", INDEX(#REF!,MATCH(CONCATENATE('Respuestas de formulario 1.1'!$B75,DR75),#REF!,0),MATCH('Respuestas de formulario 1.1'!EM$1,#REF!,0)))</f>
        <v/>
      </c>
      <c r="EN75" s="56" t="str">
        <f t="array" ref="EN75">IF(DS75="","", INDEX(#REF!,MATCH(CONCATENATE('Respuestas de formulario 1.1'!$B75,DS75),#REF!,0),MATCH('Respuestas de formulario 1.1'!EN$1,#REF!,0)))</f>
        <v/>
      </c>
      <c r="EO75" s="56" t="str">
        <f t="array" ref="EO75">IF(DT75="","", INDEX(#REF!,MATCH(CONCATENATE('Respuestas de formulario 1.1'!$B75,DT75),#REF!,0),MATCH('Respuestas de formulario 1.1'!EO$1,#REF!,0)))</f>
        <v/>
      </c>
      <c r="EP75" s="45" t="str">
        <f t="array" ref="EP75">IF(DU75="","", INDEX(#REF!,MATCH(CONCATENATE('Respuestas de formulario 1.1'!$B75,DU75),#REF!,0),MATCH('Respuestas de formulario 1.1'!EP$1,#REF!,0)))</f>
        <v/>
      </c>
      <c r="EQ75" s="45" t="str">
        <f t="array" ref="EQ75">IF(DP75="","", INDEX(#REF!,MATCH(CONCATENATE('Respuestas de formulario 1.1'!$B75,DP75),#REF!,0),MATCH('Respuestas de formulario 1.1'!EQ$1,#REF!,0)))</f>
        <v/>
      </c>
      <c r="ER75" s="56" t="str">
        <f t="array" ref="ER75">IF(DQ75="","", INDEX(#REF!,MATCH(CONCATENATE('Respuestas de formulario 1.1'!$B75,DQ75),#REF!,0),MATCH('Respuestas de formulario 1.1'!ER$1,#REF!,0)))</f>
        <v/>
      </c>
      <c r="ES75" s="56" t="str">
        <f t="array" ref="ES75">IF(DR75="","", INDEX(#REF!,MATCH(CONCATENATE('Respuestas de formulario 1.1'!$B75,DR75),#REF!,0),MATCH('Respuestas de formulario 1.1'!ES$1,#REF!,0)))</f>
        <v/>
      </c>
      <c r="ET75" s="56" t="str">
        <f t="array" ref="ET75">IF(DS75="","", INDEX(#REF!,MATCH(CONCATENATE('Respuestas de formulario 1.1'!$B75,DS75),#REF!,0),MATCH('Respuestas de formulario 1.1'!ET$1,#REF!,0)))</f>
        <v/>
      </c>
      <c r="EU75" s="56" t="str">
        <f t="array" ref="EU75">IF(DT75="","", INDEX(#REF!,MATCH(CONCATENATE('Respuestas de formulario 1.1'!$B75,DT75),#REF!,0),MATCH('Respuestas de formulario 1.1'!EU$1,#REF!,0)))</f>
        <v/>
      </c>
      <c r="EV75" s="56" t="str">
        <f t="array" ref="EV75">IF(DU75="","", INDEX(#REF!,MATCH(CONCATENATE('Respuestas de formulario 1.1'!$B75,DU75),#REF!,0),MATCH('Respuestas de formulario 1.1'!EV$1,#REF!,0)))</f>
        <v/>
      </c>
      <c r="EW75" s="45" t="str">
        <f t="array" ref="EW75">IF(DV75="","", INDEX(#REF!,MATCH(CONCATENATE('Respuestas de formulario 1.1'!$B75,DV75),#REF!,0),MATCH('Respuestas de formulario 1.1'!EW$1,#REF!,0)))</f>
        <v/>
      </c>
      <c r="EX75" s="45" t="str">
        <f t="array" ref="EX75">IF($DQ75="","", INDEX(#REF!,MATCH(CONCATENATE('Respuestas de formulario 1.1'!$B75,$DQ75),#REF!,0),MATCH('Respuestas de formulario 1.1'!EX$1,#REF!,0)))</f>
        <v/>
      </c>
      <c r="EY75" s="56" t="str">
        <f t="array" ref="EY75">IF($DQ75="","", INDEX(#REF!,MATCH(CONCATENATE('Respuestas de formulario 1.1'!$B75,$DQ75),#REF!,0),MATCH('Respuestas de formulario 1.1'!EY$1,#REF!,0)))</f>
        <v/>
      </c>
      <c r="EZ75" s="56" t="str">
        <f t="array" ref="EZ75">IF($DQ75="","", INDEX(#REF!,MATCH(CONCATENATE('Respuestas de formulario 1.1'!$B75,$DQ75),#REF!,0),MATCH('Respuestas de formulario 1.1'!EZ$1,#REF!,0)))</f>
        <v/>
      </c>
      <c r="FA75" s="56" t="str">
        <f t="array" ref="FA75">IF($DQ75="","", INDEX(#REF!,MATCH(CONCATENATE('Respuestas de formulario 1.1'!$B75,$DQ75),#REF!,0),MATCH('Respuestas de formulario 1.1'!FA$1,#REF!,0)))</f>
        <v/>
      </c>
      <c r="FB75" s="56" t="str">
        <f t="array" ref="FB75">IF($DQ75="","", INDEX(#REF!,MATCH(CONCATENATE('Respuestas de formulario 1.1'!$B75,$DQ75),#REF!,0),MATCH('Respuestas de formulario 1.1'!FB$1,#REF!,0)))</f>
        <v/>
      </c>
      <c r="FC75" s="56" t="str">
        <f t="array" ref="FC75">IF($DQ75="","", INDEX(#REF!,MATCH(CONCATENATE('Respuestas de formulario 1.1'!$B75,$DQ75),#REF!,0),MATCH('Respuestas de formulario 1.1'!FC$1,#REF!,0)))</f>
        <v/>
      </c>
      <c r="FD75" s="45" t="str">
        <f t="array" ref="FD75">IF($DQ75="","", INDEX(#REF!,MATCH(CONCATENATE('Respuestas de formulario 1.1'!$B75,$DQ75),#REF!,0),MATCH('Respuestas de formulario 1.1'!FD$1,#REF!,0)))</f>
        <v/>
      </c>
      <c r="FE75" s="45" t="str">
        <f t="array" ref="FE75">IF($DR75="","", INDEX(#REF!,MATCH(CONCATENATE(#REF!,$DR75),#REF!,0),MATCH(#REF!,#REF!,0)))</f>
        <v/>
      </c>
      <c r="FF75" s="56" t="str">
        <f t="array" ref="FF75">IF($DR75="","", INDEX(#REF!,MATCH(CONCATENATE(#REF!,$DR75),#REF!,0),MATCH(#REF!,#REF!,0)))</f>
        <v/>
      </c>
      <c r="FG75" s="56" t="str">
        <f t="array" ref="FG75">IF($DR75="","", INDEX(#REF!,MATCH(CONCATENATE(#REF!,$DR75),#REF!,0),MATCH(#REF!,#REF!,0)))</f>
        <v/>
      </c>
      <c r="FH75" s="56" t="str">
        <f t="array" ref="FH75">IF($DR75="","", INDEX(#REF!,MATCH(CONCATENATE(#REF!,$DR75),#REF!,0),MATCH(#REF!,#REF!,0)))</f>
        <v/>
      </c>
      <c r="FI75" s="56" t="str">
        <f t="array" ref="FI75">IF($DR75="","", INDEX(#REF!,MATCH(CONCATENATE(#REF!,$DR75),#REF!,0),MATCH(#REF!,#REF!,0)))</f>
        <v/>
      </c>
      <c r="FJ75" s="56" t="str">
        <f t="array" ref="FJ75">IF($DR75="","", INDEX(#REF!,MATCH(CONCATENATE(#REF!,$DR75),#REF!,0),MATCH(#REF!,#REF!,0)))</f>
        <v/>
      </c>
      <c r="FK75" s="45" t="str">
        <f t="array" ref="FK75">IF($DR75="","", INDEX(#REF!,MATCH(CONCATENATE(#REF!,$DR75),#REF!,0),MATCH(#REF!,#REF!,0)))</f>
        <v/>
      </c>
      <c r="FL75" s="45" t="str">
        <f t="array" ref="FL75">IF($DT75="","", INDEX(#REF!,MATCH(CONCATENATE('Respuestas de formulario 1.1'!$B75,$DS75),#REF!,0),MATCH('Respuestas de formulario 1.1'!FL$1,#REF!,0)))</f>
        <v/>
      </c>
      <c r="FM75" s="56" t="str">
        <f t="array" ref="FM75">IF($DT75="","", INDEX(#REF!,MATCH(CONCATENATE('Respuestas de formulario 1.1'!$B75,$DS75),#REF!,0),MATCH('Respuestas de formulario 1.1'!FM$1,#REF!,0)))</f>
        <v/>
      </c>
      <c r="FN75" s="56" t="str">
        <f t="array" ref="FN75">IF($DT75="","", INDEX(#REF!,MATCH(CONCATENATE('Respuestas de formulario 1.1'!$B75,$DS75),#REF!,0),MATCH('Respuestas de formulario 1.1'!FN$1,#REF!,0)))</f>
        <v/>
      </c>
      <c r="FO75" s="56" t="str">
        <f t="array" ref="FO75">IF($DT75="","", INDEX(#REF!,MATCH(CONCATENATE('Respuestas de formulario 1.1'!$B75,$DS75),#REF!,0),MATCH('Respuestas de formulario 1.1'!FO$1,#REF!,0)))</f>
        <v/>
      </c>
      <c r="FP75" s="56" t="str">
        <f t="array" ref="FP75">IF($DT75="","", INDEX(#REF!,MATCH(CONCATENATE('Respuestas de formulario 1.1'!$B75,$DS75),#REF!,0),MATCH('Respuestas de formulario 1.1'!FP$1,#REF!,0)))</f>
        <v/>
      </c>
      <c r="FQ75" s="56" t="str">
        <f t="array" ref="FQ75">IF($DT75="","", INDEX(#REF!,MATCH(CONCATENATE('Respuestas de formulario 1.1'!$B75,$DS75),#REF!,0),MATCH('Respuestas de formulario 1.1'!FQ$1,#REF!,0)))</f>
        <v/>
      </c>
      <c r="FR75" s="45" t="str">
        <f t="array" ref="FR75">IF($DT75="","", INDEX(#REF!,MATCH(CONCATENATE('Respuestas de formulario 1.1'!$B75,$DS75),#REF!,0),MATCH('Respuestas de formulario 1.1'!FR$1,#REF!,0)))</f>
        <v/>
      </c>
      <c r="FS75" s="45" t="str">
        <f t="array" ref="FS75">IF($DU75="","", INDEX(#REF!,MATCH(CONCATENATE('Respuestas de formulario 1.1'!$B75,$DT75),#REF!,0),MATCH('Respuestas de formulario 1.1'!FS$1,#REF!,0)))</f>
        <v/>
      </c>
      <c r="FT75" s="56" t="str">
        <f t="array" ref="FT75">IF($DU75="","", INDEX(#REF!,MATCH(CONCATENATE('Respuestas de formulario 1.1'!$B75,$DT75),#REF!,0),MATCH('Respuestas de formulario 1.1'!FT$1,#REF!,0)))</f>
        <v/>
      </c>
      <c r="FU75" s="56" t="str">
        <f t="array" ref="FU75">IF($DU75="","", INDEX(#REF!,MATCH(CONCATENATE('Respuestas de formulario 1.1'!$B75,$DT75),#REF!,0),MATCH('Respuestas de formulario 1.1'!FU$1,#REF!,0)))</f>
        <v/>
      </c>
      <c r="FV75" s="56" t="str">
        <f t="array" ref="FV75">IF($DU75="","", INDEX(#REF!,MATCH(CONCATENATE('Respuestas de formulario 1.1'!$B75,$DT75),#REF!,0),MATCH('Respuestas de formulario 1.1'!FV$1,#REF!,0)))</f>
        <v/>
      </c>
      <c r="FW75" s="56" t="str">
        <f t="array" ref="FW75">IF($DU75="","", INDEX(#REF!,MATCH(CONCATENATE('Respuestas de formulario 1.1'!$B75,$DT75),#REF!,0),MATCH('Respuestas de formulario 1.1'!FW$1,#REF!,0)))</f>
        <v/>
      </c>
      <c r="FX75" s="56" t="str">
        <f t="array" ref="FX75">IF($DU75="","", INDEX(#REF!,MATCH(CONCATENATE('Respuestas de formulario 1.1'!$B75,$DT75),#REF!,0),MATCH('Respuestas de formulario 1.1'!FX$1,#REF!,0)))</f>
        <v/>
      </c>
      <c r="FY75" s="45" t="str">
        <f t="array" ref="FY75">IF($DU75="","", INDEX(#REF!,MATCH(CONCATENATE('Respuestas de formulario 1.1'!$B75,$DT75),#REF!,0),MATCH('Respuestas de formulario 1.1'!FY$1,#REF!,0)))</f>
        <v/>
      </c>
      <c r="FZ75" s="3" t="s">
        <v>2860</v>
      </c>
      <c r="GA75" s="1" t="s">
        <v>4116</v>
      </c>
      <c r="GB75" s="5" t="s">
        <v>4117</v>
      </c>
      <c r="GC75" s="4" t="str">
        <f>HYPERLINK("https://drive.google.com/file/d/1lGfbmBP3tqcOGqfMWjlLKbOGd4rTzMl0/view?usp=drivesdk","RAMIREZ  TORRES ABRAHAM  Formato de reinscripción y pago 2022-2")</f>
        <v>RAMIREZ  TORRES ABRAHAM  Formato de reinscripción y pago 2022-2</v>
      </c>
      <c r="GD75" s="1" t="s">
        <v>4118</v>
      </c>
      <c r="GE75" s="1"/>
      <c r="GF75" s="1"/>
      <c r="GG75" s="1"/>
      <c r="GH75" s="1"/>
      <c r="GI75" s="1" t="s">
        <v>4119</v>
      </c>
      <c r="GJ75" s="5" t="s">
        <v>4120</v>
      </c>
      <c r="GK75" s="5" t="str">
        <f>HYPERLINK("https://drive.google.com/file/d/1JR7DW7xv2zTcX1OuQXovkF3GFOfZkks-/view?usp=drivesdk","RAMIREZ  TORRES ABRAHAM  Formato de reinscripción y pago 2022-2")</f>
        <v>RAMIREZ  TORRES ABRAHAM  Formato de reinscripción y pago 2022-2</v>
      </c>
      <c r="GL75" s="1" t="s">
        <v>4121</v>
      </c>
    </row>
    <row r="76" spans="1:194" ht="38.25" x14ac:dyDescent="0.2">
      <c r="A76" s="2">
        <v>45139.384757743057</v>
      </c>
      <c r="B76" s="1" t="s">
        <v>25</v>
      </c>
      <c r="C76" s="1" t="s">
        <v>421</v>
      </c>
      <c r="D76" s="1" t="s">
        <v>4122</v>
      </c>
      <c r="E76" s="1" t="s">
        <v>427</v>
      </c>
      <c r="F76" s="1" t="s">
        <v>223</v>
      </c>
      <c r="G76" s="5" t="s">
        <v>4123</v>
      </c>
      <c r="H76" s="41">
        <v>39211</v>
      </c>
      <c r="I76" s="1">
        <v>16</v>
      </c>
      <c r="J76" s="1">
        <v>5624639333</v>
      </c>
      <c r="K76" s="1">
        <v>5558291414</v>
      </c>
      <c r="L76" s="1" t="s">
        <v>1763</v>
      </c>
      <c r="M76" s="1">
        <v>22309060570500</v>
      </c>
      <c r="N76" s="1" t="s">
        <v>562</v>
      </c>
      <c r="O76" s="1" t="s">
        <v>247</v>
      </c>
      <c r="P76" s="1" t="s">
        <v>226</v>
      </c>
      <c r="Q76" s="1" t="s">
        <v>227</v>
      </c>
      <c r="R76" s="1" t="s">
        <v>236</v>
      </c>
      <c r="S76" s="1" t="s">
        <v>228</v>
      </c>
      <c r="T76" s="1" t="s">
        <v>229</v>
      </c>
      <c r="U76" s="1" t="s">
        <v>327</v>
      </c>
      <c r="V76" s="1" t="s">
        <v>228</v>
      </c>
      <c r="W76" s="1" t="s">
        <v>4124</v>
      </c>
      <c r="X76" s="1" t="s">
        <v>327</v>
      </c>
      <c r="Y76" s="1" t="s">
        <v>4125</v>
      </c>
      <c r="Z76" s="1" t="s">
        <v>231</v>
      </c>
      <c r="AA76" s="1">
        <v>56335</v>
      </c>
      <c r="AB76" s="1" t="s">
        <v>2329</v>
      </c>
      <c r="AC76" s="1" t="s">
        <v>1003</v>
      </c>
      <c r="AD76" s="1" t="s">
        <v>4126</v>
      </c>
      <c r="AE76" s="1" t="s">
        <v>4127</v>
      </c>
      <c r="AF76" s="1" t="s">
        <v>265</v>
      </c>
      <c r="AG76" s="1">
        <v>44</v>
      </c>
      <c r="AH76" s="5" t="s">
        <v>4128</v>
      </c>
      <c r="AI76" s="1">
        <v>5566988150</v>
      </c>
      <c r="AJ76" s="1">
        <v>5558291414</v>
      </c>
      <c r="AK76" s="1" t="s">
        <v>4129</v>
      </c>
      <c r="AL76" s="1" t="s">
        <v>421</v>
      </c>
      <c r="AM76" s="1" t="s">
        <v>4122</v>
      </c>
      <c r="AN76" s="1" t="s">
        <v>1764</v>
      </c>
      <c r="AO76" s="1" t="s">
        <v>586</v>
      </c>
      <c r="AP76" s="1">
        <v>24</v>
      </c>
      <c r="AQ76" s="1" t="s">
        <v>267</v>
      </c>
      <c r="AR76" s="42">
        <v>0.25</v>
      </c>
      <c r="AS76" s="42">
        <v>0.625</v>
      </c>
      <c r="AT76" s="1">
        <v>5620896603</v>
      </c>
      <c r="AU76" s="1">
        <v>5620896603</v>
      </c>
      <c r="AV76" s="1" t="s">
        <v>4130</v>
      </c>
      <c r="AW76" s="5" t="s">
        <v>4131</v>
      </c>
      <c r="AX76" s="1" t="s">
        <v>392</v>
      </c>
      <c r="AY76" s="1" t="s">
        <v>244</v>
      </c>
      <c r="AZ76" s="1" t="s">
        <v>4132</v>
      </c>
      <c r="BA76" s="1" t="s">
        <v>279</v>
      </c>
      <c r="BB76" s="1">
        <v>72</v>
      </c>
      <c r="BC76" s="1" t="s">
        <v>454</v>
      </c>
      <c r="BD76" s="43">
        <v>0</v>
      </c>
      <c r="BE76" s="43">
        <v>0</v>
      </c>
      <c r="BF76" s="1">
        <v>5567357760</v>
      </c>
      <c r="BG76" s="1">
        <v>5558291414</v>
      </c>
      <c r="BH76" s="1" t="s">
        <v>4133</v>
      </c>
      <c r="BI76" s="5" t="s">
        <v>4134</v>
      </c>
      <c r="BJ76" s="1" t="s">
        <v>236</v>
      </c>
      <c r="BL76" s="1">
        <v>157</v>
      </c>
      <c r="BM76" s="1">
        <v>49</v>
      </c>
      <c r="BN76" s="1" t="s">
        <v>236</v>
      </c>
      <c r="BO76" s="1" t="s">
        <v>228</v>
      </c>
      <c r="BQ76" s="1" t="s">
        <v>228</v>
      </c>
      <c r="BR76" s="1" t="s">
        <v>237</v>
      </c>
      <c r="BS76" s="1" t="s">
        <v>228</v>
      </c>
      <c r="BT76" s="1" t="s">
        <v>237</v>
      </c>
      <c r="BU76" s="1" t="s">
        <v>228</v>
      </c>
      <c r="BW76" s="1" t="s">
        <v>238</v>
      </c>
      <c r="BX76" s="1">
        <v>240</v>
      </c>
      <c r="BY76" s="1">
        <v>600</v>
      </c>
      <c r="BZ76" s="1" t="s">
        <v>253</v>
      </c>
      <c r="CA76" s="1" t="s">
        <v>468</v>
      </c>
      <c r="CB76" s="1" t="s">
        <v>231</v>
      </c>
      <c r="CC76" s="1" t="s">
        <v>322</v>
      </c>
      <c r="CD76" s="1">
        <v>3000</v>
      </c>
      <c r="CE76" s="1">
        <v>3500</v>
      </c>
      <c r="CF76" s="1" t="s">
        <v>236</v>
      </c>
      <c r="CG76" s="1" t="s">
        <v>242</v>
      </c>
      <c r="CH76" s="1" t="s">
        <v>243</v>
      </c>
      <c r="CI76" s="1" t="s">
        <v>243</v>
      </c>
      <c r="CJ76" s="1" t="s">
        <v>2848</v>
      </c>
      <c r="CL76" s="5" t="s">
        <v>4135</v>
      </c>
      <c r="CM76" s="44" t="s">
        <v>1765</v>
      </c>
      <c r="CN76" s="1" t="s">
        <v>228</v>
      </c>
      <c r="CQ76" s="42">
        <v>0.25</v>
      </c>
      <c r="CR76" s="42">
        <v>0.65625</v>
      </c>
      <c r="CT76" s="45" t="str">
        <f t="array" ref="CT76">IFERROR(INDEX(#REF!,MATCH('Respuestas de formulario 1.1'!$B76,#REF!,0),MATCH('Respuestas de formulario 1.1'!CT$1,#REF!,0)),"")</f>
        <v/>
      </c>
      <c r="CU76" s="56" t="str">
        <f t="array" ref="CU76">IFERROR(INDEX(#REF!,MATCH('Respuestas de formulario 1.1'!$B76,#REF!,0),MATCH('Respuestas de formulario 1.1'!CU$1,#REF!,0)),"")</f>
        <v/>
      </c>
      <c r="CV76" s="56" t="str">
        <f t="array" ref="CV76">IFERROR(INDEX(#REF!,MATCH('Respuestas de formulario 1.1'!$B76,#REF!,0),MATCH('Respuestas de formulario 1.1'!CV$1,#REF!,0)),"")</f>
        <v/>
      </c>
      <c r="CW76" s="56" t="str">
        <f t="array" ref="CW76">IFERROR(INDEX(#REF!,MATCH('Respuestas de formulario 1.1'!$B76,#REF!,0),MATCH('Respuestas de formulario 1.1'!CW$1,#REF!,0)),"")</f>
        <v/>
      </c>
      <c r="CX76" s="56" t="str">
        <f t="array" ref="CX76">IFERROR(INDEX(#REF!,MATCH('Respuestas de formulario 1.1'!$B76,#REF!,0),MATCH('Respuestas de formulario 1.1'!CX$1,#REF!,0)),"")</f>
        <v/>
      </c>
      <c r="CY76" s="56" t="str">
        <f t="array" ref="CY76">IFERROR(INDEX(#REF!,MATCH('Respuestas de formulario 1.1'!$B76,#REF!,0),MATCH('Respuestas de formulario 1.1'!CY$1,#REF!,0)),"")</f>
        <v/>
      </c>
      <c r="CZ76" s="57" t="str">
        <f t="array" ref="CZ76">IFERROR(INDEX(#REF!,MATCH('Respuestas de formulario 1.1'!$B76,#REF!,0),MATCH('Respuestas de formulario 1.1'!CZ$1,#REF!,0)),"")</f>
        <v/>
      </c>
      <c r="DA76" s="45" t="e">
        <f t="array" ref="DA76">INDEX(#REF!,MATCH('Respuestas de formulario 1.1'!$B76,#REF!,0),MATCH('Respuestas de formulario 1.1'!DA$1,#REF!,0))</f>
        <v>#REF!</v>
      </c>
      <c r="DB76" s="45" t="e">
        <f t="array" ref="DB76">INDEX(#REF!,MATCH('Respuestas de formulario 1.1'!$B76,#REF!,0),MATCH('Respuestas de formulario 1.1'!DB$1,#REF!,0))</f>
        <v>#REF!</v>
      </c>
      <c r="DC76" s="45" t="e">
        <f t="array" ref="DC76">INDEX(#REF!,MATCH('Respuestas de formulario 1.1'!$B76,#REF!,0),MATCH('Respuestas de formulario 1.1'!DC$1,#REF!,0))</f>
        <v>#REF!</v>
      </c>
      <c r="DD76" s="45" t="e">
        <f t="array" ref="DD76">INDEX(#REF!,MATCH('Respuestas de formulario 1.1'!$B76,#REF!,0),MATCH('Respuestas de formulario 1.1'!DD$1,#REF!,0))</f>
        <v>#REF!</v>
      </c>
      <c r="DE76" s="45" t="e">
        <f t="array" ref="DE76">INDEX(#REF!,MATCH('Respuestas de formulario 1.1'!$B76,#REF!,0),MATCH('Respuestas de formulario 1.1'!DE$1,#REF!,0))</f>
        <v>#REF!</v>
      </c>
      <c r="DF76" s="45" t="e">
        <f t="array" ref="DF76">INDEX(#REF!,MATCH('Respuestas de formulario 1.1'!$B76,#REF!,0),MATCH('Respuestas de formulario 1.1'!DF$1,#REF!,0))</f>
        <v>#REF!</v>
      </c>
      <c r="DG76" s="45" t="e">
        <f t="array" ref="DG76">INDEX(#REF!,MATCH('Respuestas de formulario 1.1'!$B76,#REF!,0),MATCH('Respuestas de formulario 1.1'!DG$1,#REF!,0))</f>
        <v>#REF!</v>
      </c>
      <c r="DH76" s="45" t="e">
        <f t="array" ref="DH76">INDEX(#REF!,MATCH('Respuestas de formulario 1.1'!$B76,#REF!,0),MATCH('Respuestas de formulario 1.1'!DH$1,#REF!,0))</f>
        <v>#REF!</v>
      </c>
      <c r="DI76" s="48" t="e">
        <f>VLOOKUP(CONCATENATE($DF76," TUTO ",$DC76),#REF!,3,0)</f>
        <v>#REF!</v>
      </c>
      <c r="DJ76" s="48" t="e">
        <f t="array" ref="DJ76">IF('Respuestas de formulario 1.1'!A76="","",INDEX(#REF!,MATCH('Respuestas de formulario 1.1'!B76,#REF!,0),MATCH('Respuestas de formulario 1.1'!$DH$1,#REF!,0)))</f>
        <v>#REF!</v>
      </c>
      <c r="DK76" s="52" t="str">
        <f>CONCATENATE("http://doc.google.com/uc?id=",MID('Respuestas de formulario 1.1'!G76,34,33))</f>
        <v>http://doc.google.com/uc?id=15RSYlQr4t58mpPm-wgrTa3wKTuSa9zSu</v>
      </c>
      <c r="DL76" s="49" t="str">
        <f>CONCATENATE("http://doc.google.com/uc?id=",MID('Respuestas de formulario 1.1'!AH76,34,33))</f>
        <v>http://doc.google.com/uc?id=1NZKRlh4KEDhN7qj_Tf4Ng3uxa5eNyN61</v>
      </c>
      <c r="DM76" s="50" t="str">
        <f>CONCATENATE("http://doc.google.com/uc?id=",MID('Respuestas de formulario 1.1'!AW76,34,33))</f>
        <v>http://doc.google.com/uc?id=1vRslPI3-DFOoOjbYmxVoaEDbYE6Guoiu</v>
      </c>
      <c r="DN76" s="53" t="str">
        <f>CONCATENATE("http://doc.google.com/uc?id=",MID('Respuestas de formulario 1.1'!$BI76,34,33))</f>
        <v>http://doc.google.com/uc?id=1pcsUNmtdFuevDFmfxDdfnRN-rdJrf74J</v>
      </c>
      <c r="DO76" s="45" t="str">
        <f>IFERROR(VLOOKUP(CONCATENATE('Respuestas de formulario 1.1'!$B76,MID('Respuestas de formulario 1.1'!DO$1,2,1)),#REF!,12,0),"")</f>
        <v/>
      </c>
      <c r="DP76" s="45" t="str">
        <f>IFERROR(VLOOKUP(CONCATENATE('Respuestas de formulario 1.1'!$B76,MID('Respuestas de formulario 1.1'!DP$1,2,1)),#REF!,12,0),"")</f>
        <v/>
      </c>
      <c r="DQ76" s="45" t="str">
        <f>IFERROR(VLOOKUP(CONCATENATE('Respuestas de formulario 1.1'!$B76,MID('Respuestas de formulario 1.1'!DQ$1,2,1)),#REF!,12,0),"")</f>
        <v/>
      </c>
      <c r="DR76" s="45" t="str">
        <f>IFERROR(VLOOKUP(CONCATENATE('Respuestas de formulario 1.1'!$B76,MID('Respuestas de formulario 1.1'!DR$1,2,1)),#REF!,12,0),"")</f>
        <v/>
      </c>
      <c r="DS76" s="45" t="str">
        <f>IFERROR(VLOOKUP(CONCATENATE('Respuestas de formulario 1.1'!$B76,MID('Respuestas de formulario 1.1'!DS$1,2,1)),#REF!,12,0),"")</f>
        <v/>
      </c>
      <c r="DT76" s="45" t="str">
        <f>IFERROR(VLOOKUP(CONCATENATE('Respuestas de formulario 1.1'!$B76,MID('Respuestas de formulario 1.1'!DT$1,2,1)),#REF!,12,0),"")</f>
        <v/>
      </c>
      <c r="DU76" s="45" t="str">
        <f>IFERROR(VLOOKUP(CONCATENATE('Respuestas de formulario 1.1'!$B76,MID('Respuestas de formulario 1.1'!DU$1,2,1)),#REF!,12,0),"")</f>
        <v/>
      </c>
      <c r="DV76" s="45" t="str">
        <f>IFERROR(VLOOKUP(CONCATENATE('Respuestas de formulario 1.1'!$B76,MID('Respuestas de formulario 1.1'!DV$1,2,1)),#REF!,12,0),"")</f>
        <v/>
      </c>
      <c r="DW76" s="45" t="str">
        <f>IFERROR(VLOOKUP(CONCATENATE('Respuestas de formulario 1.1'!$B76,MID('Respuestas de formulario 1.1'!DW$1,2,1)),#REF!,12,0),"")</f>
        <v/>
      </c>
      <c r="DX76" s="45" t="str">
        <f>IFERROR(VLOOKUP(CONCATENATE('Respuestas de formulario 1.1'!$B76,MID('Respuestas de formulario 1.1'!DX$1,2,1)),#REF!,12,0),"")</f>
        <v/>
      </c>
      <c r="DY76" s="45" t="str">
        <f>IFERROR(VLOOKUP(CONCATENATE('Respuestas de formulario 1.1'!$B76,MID('Respuestas de formulario 1.1'!DY$1,2,1)),#REF!,12,0),"")</f>
        <v/>
      </c>
      <c r="DZ76" s="45" t="str">
        <f>IFERROR(VLOOKUP(CONCATENATE('Respuestas de formulario 1.1'!$B76,MID('Respuestas de formulario 1.1'!DZ$1,2,1)),#REF!,12,0),"")</f>
        <v/>
      </c>
      <c r="EA76" s="45" t="str">
        <f>IFERROR(VLOOKUP(CONCATENATE('Respuestas de formulario 1.1'!$B76,MID('Respuestas de formulario 1.1'!EA$1,2,1)),#REF!,12,0),"")</f>
        <v/>
      </c>
      <c r="EB76" s="45" t="str">
        <f>IFERROR(VLOOKUP(CONCATENATE('Respuestas de formulario 1.1'!$B76,MID('Respuestas de formulario 1.1'!EB$1,2,1)),#REF!,12,0),"")</f>
        <v/>
      </c>
      <c r="EC76" s="45" t="str">
        <f>IFERROR(VLOOKUP(CONCATENATE('Respuestas de formulario 1.1'!$B76,MID('Respuestas de formulario 1.1'!EC$1,2,1)),#REF!,12,0),"")</f>
        <v/>
      </c>
      <c r="ED76" s="45" t="str">
        <f>IFERROR(VLOOKUP(CONCATENATE('Respuestas de formulario 1.1'!$B76,MID('Respuestas de formulario 1.1'!ED$1,2,1)),#REF!,12,0),"")</f>
        <v/>
      </c>
      <c r="EE76" s="45" t="str">
        <f>IFERROR(VLOOKUP(CONCATENATE('Respuestas de formulario 1.1'!$B76,MID('Respuestas de formulario 1.1'!EE$1,2,1)),#REF!,12,0),"")</f>
        <v/>
      </c>
      <c r="EF76" s="45" t="str">
        <f>IFERROR(VLOOKUP(CONCATENATE('Respuestas de formulario 1.1'!$B76,MID('Respuestas de formulario 1.1'!EF$1,2,1)),#REF!,12,0),"")</f>
        <v/>
      </c>
      <c r="EG76" s="45" t="str">
        <f>IFERROR(VLOOKUP(CONCATENATE('Respuestas de formulario 1.1'!$B76,MID('Respuestas de formulario 1.1'!EG$1,2,1)),#REF!,12,0),"")</f>
        <v/>
      </c>
      <c r="EH76" s="45" t="str">
        <f>IFERROR(VLOOKUP(CONCATENATE('Respuestas de formulario 1.1'!$B76,MID('Respuestas de formulario 1.1'!EH$1,2,1)),#REF!,12,0),"")</f>
        <v/>
      </c>
      <c r="EI76" s="45" t="str">
        <f>IFERROR(VLOOKUP(CONCATENATE('Respuestas de formulario 1.1'!$B76,MID('Respuestas de formulario 1.1'!EI$1,2,1)),#REF!,12,0),"")</f>
        <v/>
      </c>
      <c r="EJ76" s="45" t="str">
        <f t="array" ref="EJ76">IF(DO76="","", INDEX(#REF!,MATCH(CONCATENATE('Respuestas de formulario 1.1'!$B76,DO76),#REF!,0),MATCH('Respuestas de formulario 1.1'!EJ$1,#REF!,0)))</f>
        <v/>
      </c>
      <c r="EK76" s="56" t="str">
        <f t="array" ref="EK76">IF(DP76="","", INDEX(#REF!,MATCH(CONCATENATE('Respuestas de formulario 1.1'!$B76,DP76),#REF!,0),MATCH('Respuestas de formulario 1.1'!EK$1,#REF!,0)))</f>
        <v/>
      </c>
      <c r="EL76" s="56" t="str">
        <f t="array" ref="EL76">IF(DQ76="","", INDEX(#REF!,MATCH(CONCATENATE('Respuestas de formulario 1.1'!$B76,DQ76),#REF!,0),MATCH('Respuestas de formulario 1.1'!EL$1,#REF!,0)))</f>
        <v/>
      </c>
      <c r="EM76" s="56" t="str">
        <f t="array" ref="EM76">IF(DR76="","", INDEX(#REF!,MATCH(CONCATENATE('Respuestas de formulario 1.1'!$B76,DR76),#REF!,0),MATCH('Respuestas de formulario 1.1'!EM$1,#REF!,0)))</f>
        <v/>
      </c>
      <c r="EN76" s="56" t="str">
        <f t="array" ref="EN76">IF(DS76="","", INDEX(#REF!,MATCH(CONCATENATE('Respuestas de formulario 1.1'!$B76,DS76),#REF!,0),MATCH('Respuestas de formulario 1.1'!EN$1,#REF!,0)))</f>
        <v/>
      </c>
      <c r="EO76" s="56" t="str">
        <f t="array" ref="EO76">IF(DT76="","", INDEX(#REF!,MATCH(CONCATENATE('Respuestas de formulario 1.1'!$B76,DT76),#REF!,0),MATCH('Respuestas de formulario 1.1'!EO$1,#REF!,0)))</f>
        <v/>
      </c>
      <c r="EP76" s="45" t="str">
        <f t="array" ref="EP76">IF(DU76="","", INDEX(#REF!,MATCH(CONCATENATE('Respuestas de formulario 1.1'!$B76,DU76),#REF!,0),MATCH('Respuestas de formulario 1.1'!EP$1,#REF!,0)))</f>
        <v/>
      </c>
      <c r="EQ76" s="45" t="str">
        <f t="array" ref="EQ76">IF(DP76="","", INDEX(#REF!,MATCH(CONCATENATE('Respuestas de formulario 1.1'!$B76,DP76),#REF!,0),MATCH('Respuestas de formulario 1.1'!EQ$1,#REF!,0)))</f>
        <v/>
      </c>
      <c r="ER76" s="56" t="str">
        <f t="array" ref="ER76">IF(DQ76="","", INDEX(#REF!,MATCH(CONCATENATE('Respuestas de formulario 1.1'!$B76,DQ76),#REF!,0),MATCH('Respuestas de formulario 1.1'!ER$1,#REF!,0)))</f>
        <v/>
      </c>
      <c r="ES76" s="56" t="str">
        <f t="array" ref="ES76">IF(DR76="","", INDEX(#REF!,MATCH(CONCATENATE('Respuestas de formulario 1.1'!$B76,DR76),#REF!,0),MATCH('Respuestas de formulario 1.1'!ES$1,#REF!,0)))</f>
        <v/>
      </c>
      <c r="ET76" s="56" t="str">
        <f t="array" ref="ET76">IF(DS76="","", INDEX(#REF!,MATCH(CONCATENATE('Respuestas de formulario 1.1'!$B76,DS76),#REF!,0),MATCH('Respuestas de formulario 1.1'!ET$1,#REF!,0)))</f>
        <v/>
      </c>
      <c r="EU76" s="56" t="str">
        <f t="array" ref="EU76">IF(DT76="","", INDEX(#REF!,MATCH(CONCATENATE('Respuestas de formulario 1.1'!$B76,DT76),#REF!,0),MATCH('Respuestas de formulario 1.1'!EU$1,#REF!,0)))</f>
        <v/>
      </c>
      <c r="EV76" s="56" t="str">
        <f t="array" ref="EV76">IF(DU76="","", INDEX(#REF!,MATCH(CONCATENATE('Respuestas de formulario 1.1'!$B76,DU76),#REF!,0),MATCH('Respuestas de formulario 1.1'!EV$1,#REF!,0)))</f>
        <v/>
      </c>
      <c r="EW76" s="45" t="str">
        <f t="array" ref="EW76">IF(DV76="","", INDEX(#REF!,MATCH(CONCATENATE('Respuestas de formulario 1.1'!$B76,DV76),#REF!,0),MATCH('Respuestas de formulario 1.1'!EW$1,#REF!,0)))</f>
        <v/>
      </c>
      <c r="EX76" s="45" t="str">
        <f t="array" ref="EX76">IF($DQ76="","", INDEX(#REF!,MATCH(CONCATENATE('Respuestas de formulario 1.1'!$B76,$DQ76),#REF!,0),MATCH('Respuestas de formulario 1.1'!EX$1,#REF!,0)))</f>
        <v/>
      </c>
      <c r="EY76" s="56" t="str">
        <f t="array" ref="EY76">IF($DQ76="","", INDEX(#REF!,MATCH(CONCATENATE('Respuestas de formulario 1.1'!$B76,$DQ76),#REF!,0),MATCH('Respuestas de formulario 1.1'!EY$1,#REF!,0)))</f>
        <v/>
      </c>
      <c r="EZ76" s="56" t="str">
        <f t="array" ref="EZ76">IF($DQ76="","", INDEX(#REF!,MATCH(CONCATENATE('Respuestas de formulario 1.1'!$B76,$DQ76),#REF!,0),MATCH('Respuestas de formulario 1.1'!EZ$1,#REF!,0)))</f>
        <v/>
      </c>
      <c r="FA76" s="56" t="str">
        <f t="array" ref="FA76">IF($DQ76="","", INDEX(#REF!,MATCH(CONCATENATE('Respuestas de formulario 1.1'!$B76,$DQ76),#REF!,0),MATCH('Respuestas de formulario 1.1'!FA$1,#REF!,0)))</f>
        <v/>
      </c>
      <c r="FB76" s="56" t="str">
        <f t="array" ref="FB76">IF($DQ76="","", INDEX(#REF!,MATCH(CONCATENATE('Respuestas de formulario 1.1'!$B76,$DQ76),#REF!,0),MATCH('Respuestas de formulario 1.1'!FB$1,#REF!,0)))</f>
        <v/>
      </c>
      <c r="FC76" s="56" t="str">
        <f t="array" ref="FC76">IF($DQ76="","", INDEX(#REF!,MATCH(CONCATENATE('Respuestas de formulario 1.1'!$B76,$DQ76),#REF!,0),MATCH('Respuestas de formulario 1.1'!FC$1,#REF!,0)))</f>
        <v/>
      </c>
      <c r="FD76" s="45" t="str">
        <f t="array" ref="FD76">IF($DQ76="","", INDEX(#REF!,MATCH(CONCATENATE('Respuestas de formulario 1.1'!$B76,$DQ76),#REF!,0),MATCH('Respuestas de formulario 1.1'!FD$1,#REF!,0)))</f>
        <v/>
      </c>
      <c r="FE76" s="45" t="str">
        <f t="array" ref="FE76">IF($DR76="","", INDEX(#REF!,MATCH(CONCATENATE(#REF!,$DR76),#REF!,0),MATCH(#REF!,#REF!,0)))</f>
        <v/>
      </c>
      <c r="FF76" s="56" t="str">
        <f t="array" ref="FF76">IF($DR76="","", INDEX(#REF!,MATCH(CONCATENATE(#REF!,$DR76),#REF!,0),MATCH(#REF!,#REF!,0)))</f>
        <v/>
      </c>
      <c r="FG76" s="56" t="str">
        <f t="array" ref="FG76">IF($DR76="","", INDEX(#REF!,MATCH(CONCATENATE(#REF!,$DR76),#REF!,0),MATCH(#REF!,#REF!,0)))</f>
        <v/>
      </c>
      <c r="FH76" s="56" t="str">
        <f t="array" ref="FH76">IF($DR76="","", INDEX(#REF!,MATCH(CONCATENATE(#REF!,$DR76),#REF!,0),MATCH(#REF!,#REF!,0)))</f>
        <v/>
      </c>
      <c r="FI76" s="56" t="str">
        <f t="array" ref="FI76">IF($DR76="","", INDEX(#REF!,MATCH(CONCATENATE(#REF!,$DR76),#REF!,0),MATCH(#REF!,#REF!,0)))</f>
        <v/>
      </c>
      <c r="FJ76" s="56" t="str">
        <f t="array" ref="FJ76">IF($DR76="","", INDEX(#REF!,MATCH(CONCATENATE(#REF!,$DR76),#REF!,0),MATCH(#REF!,#REF!,0)))</f>
        <v/>
      </c>
      <c r="FK76" s="45" t="str">
        <f t="array" ref="FK76">IF($DR76="","", INDEX(#REF!,MATCH(CONCATENATE(#REF!,$DR76),#REF!,0),MATCH(#REF!,#REF!,0)))</f>
        <v/>
      </c>
      <c r="FL76" s="45" t="str">
        <f t="array" ref="FL76">IF($DT76="","", INDEX(#REF!,MATCH(CONCATENATE('Respuestas de formulario 1.1'!$B76,$DS76),#REF!,0),MATCH('Respuestas de formulario 1.1'!FL$1,#REF!,0)))</f>
        <v/>
      </c>
      <c r="FM76" s="56" t="str">
        <f t="array" ref="FM76">IF($DT76="","", INDEX(#REF!,MATCH(CONCATENATE('Respuestas de formulario 1.1'!$B76,$DS76),#REF!,0),MATCH('Respuestas de formulario 1.1'!FM$1,#REF!,0)))</f>
        <v/>
      </c>
      <c r="FN76" s="56" t="str">
        <f t="array" ref="FN76">IF($DT76="","", INDEX(#REF!,MATCH(CONCATENATE('Respuestas de formulario 1.1'!$B76,$DS76),#REF!,0),MATCH('Respuestas de formulario 1.1'!FN$1,#REF!,0)))</f>
        <v/>
      </c>
      <c r="FO76" s="56" t="str">
        <f t="array" ref="FO76">IF($DT76="","", INDEX(#REF!,MATCH(CONCATENATE('Respuestas de formulario 1.1'!$B76,$DS76),#REF!,0),MATCH('Respuestas de formulario 1.1'!FO$1,#REF!,0)))</f>
        <v/>
      </c>
      <c r="FP76" s="56" t="str">
        <f t="array" ref="FP76">IF($DT76="","", INDEX(#REF!,MATCH(CONCATENATE('Respuestas de formulario 1.1'!$B76,$DS76),#REF!,0),MATCH('Respuestas de formulario 1.1'!FP$1,#REF!,0)))</f>
        <v/>
      </c>
      <c r="FQ76" s="56" t="str">
        <f t="array" ref="FQ76">IF($DT76="","", INDEX(#REF!,MATCH(CONCATENATE('Respuestas de formulario 1.1'!$B76,$DS76),#REF!,0),MATCH('Respuestas de formulario 1.1'!FQ$1,#REF!,0)))</f>
        <v/>
      </c>
      <c r="FR76" s="45" t="str">
        <f t="array" ref="FR76">IF($DT76="","", INDEX(#REF!,MATCH(CONCATENATE('Respuestas de formulario 1.1'!$B76,$DS76),#REF!,0),MATCH('Respuestas de formulario 1.1'!FR$1,#REF!,0)))</f>
        <v/>
      </c>
      <c r="FS76" s="45" t="str">
        <f t="array" ref="FS76">IF($DU76="","", INDEX(#REF!,MATCH(CONCATENATE('Respuestas de formulario 1.1'!$B76,$DT76),#REF!,0),MATCH('Respuestas de formulario 1.1'!FS$1,#REF!,0)))</f>
        <v/>
      </c>
      <c r="FT76" s="56" t="str">
        <f t="array" ref="FT76">IF($DU76="","", INDEX(#REF!,MATCH(CONCATENATE('Respuestas de formulario 1.1'!$B76,$DT76),#REF!,0),MATCH('Respuestas de formulario 1.1'!FT$1,#REF!,0)))</f>
        <v/>
      </c>
      <c r="FU76" s="56" t="str">
        <f t="array" ref="FU76">IF($DU76="","", INDEX(#REF!,MATCH(CONCATENATE('Respuestas de formulario 1.1'!$B76,$DT76),#REF!,0),MATCH('Respuestas de formulario 1.1'!FU$1,#REF!,0)))</f>
        <v/>
      </c>
      <c r="FV76" s="56" t="str">
        <f t="array" ref="FV76">IF($DU76="","", INDEX(#REF!,MATCH(CONCATENATE('Respuestas de formulario 1.1'!$B76,$DT76),#REF!,0),MATCH('Respuestas de formulario 1.1'!FV$1,#REF!,0)))</f>
        <v/>
      </c>
      <c r="FW76" s="56" t="str">
        <f t="array" ref="FW76">IF($DU76="","", INDEX(#REF!,MATCH(CONCATENATE('Respuestas de formulario 1.1'!$B76,$DT76),#REF!,0),MATCH('Respuestas de formulario 1.1'!FW$1,#REF!,0)))</f>
        <v/>
      </c>
      <c r="FX76" s="56" t="str">
        <f t="array" ref="FX76">IF($DU76="","", INDEX(#REF!,MATCH(CONCATENATE('Respuestas de formulario 1.1'!$B76,$DT76),#REF!,0),MATCH('Respuestas de formulario 1.1'!FX$1,#REF!,0)))</f>
        <v/>
      </c>
      <c r="FY76" s="45" t="str">
        <f t="array" ref="FY76">IF($DU76="","", INDEX(#REF!,MATCH(CONCATENATE('Respuestas de formulario 1.1'!$B76,$DT76),#REF!,0),MATCH('Respuestas de formulario 1.1'!FY$1,#REF!,0)))</f>
        <v/>
      </c>
      <c r="FZ76" s="3" t="s">
        <v>2860</v>
      </c>
      <c r="GA76" s="1" t="s">
        <v>4136</v>
      </c>
      <c r="GB76" s="5" t="s">
        <v>4137</v>
      </c>
      <c r="GC76" s="4" t="str">
        <f>HYPERLINK("https://drive.google.com/file/d/1HymfTOwKrV9UwHxbwVbZmW3AY8gwvb7Q/view?usp=drivesdk","GONZALEZ REYNOSO  MARIA FERNANDA  Formato de reinscripción y pago 2022-2")</f>
        <v>GONZALEZ REYNOSO  MARIA FERNANDA  Formato de reinscripción y pago 2022-2</v>
      </c>
      <c r="GD76" s="1" t="s">
        <v>4138</v>
      </c>
      <c r="GE76" s="1"/>
      <c r="GF76" s="1"/>
      <c r="GG76" s="1"/>
      <c r="GH76" s="1"/>
      <c r="GI76" s="1" t="s">
        <v>4139</v>
      </c>
      <c r="GJ76" s="5" t="s">
        <v>4140</v>
      </c>
      <c r="GK76" s="5" t="str">
        <f>HYPERLINK("https://drive.google.com/file/d/1czQsKKqXUrxRDyxBXNaJeiIftZf-YoP3/view?usp=drivesdk","GONZALEZ REYNOSO  MARIA FERNANDA  Formato de reinscripción y pago 2022-2")</f>
        <v>GONZALEZ REYNOSO  MARIA FERNANDA  Formato de reinscripción y pago 2022-2</v>
      </c>
      <c r="GL76" s="1" t="s">
        <v>4141</v>
      </c>
    </row>
    <row r="77" spans="1:194" ht="38.25" x14ac:dyDescent="0.2">
      <c r="A77" s="2">
        <v>45140.736732129633</v>
      </c>
      <c r="B77" s="1" t="s">
        <v>1432</v>
      </c>
      <c r="C77" s="1" t="s">
        <v>1433</v>
      </c>
      <c r="D77" s="1" t="s">
        <v>1434</v>
      </c>
      <c r="E77" s="1" t="s">
        <v>1435</v>
      </c>
      <c r="F77" s="1" t="s">
        <v>262</v>
      </c>
      <c r="G77" s="5" t="s">
        <v>4142</v>
      </c>
      <c r="H77" s="41">
        <v>39360</v>
      </c>
      <c r="I77" s="1">
        <v>15</v>
      </c>
      <c r="J77" s="1">
        <v>5569169542</v>
      </c>
      <c r="K77" s="1">
        <v>5557930414</v>
      </c>
      <c r="L77" s="1" t="s">
        <v>1436</v>
      </c>
      <c r="M77" s="1">
        <v>22309060570634</v>
      </c>
      <c r="N77" s="1" t="s">
        <v>562</v>
      </c>
      <c r="O77" s="1" t="s">
        <v>247</v>
      </c>
      <c r="P77" s="1" t="s">
        <v>226</v>
      </c>
      <c r="Q77" s="1" t="s">
        <v>227</v>
      </c>
      <c r="R77" s="1" t="s">
        <v>236</v>
      </c>
      <c r="S77" s="1" t="s">
        <v>228</v>
      </c>
      <c r="T77" s="1" t="s">
        <v>229</v>
      </c>
      <c r="U77" s="1" t="s">
        <v>264</v>
      </c>
      <c r="V77" s="1" t="s">
        <v>228</v>
      </c>
      <c r="W77" s="1" t="s">
        <v>4143</v>
      </c>
      <c r="X77" s="1" t="s">
        <v>264</v>
      </c>
      <c r="Y77" s="1" t="s">
        <v>4144</v>
      </c>
      <c r="Z77" s="1" t="s">
        <v>231</v>
      </c>
      <c r="AA77" s="1">
        <v>57710</v>
      </c>
      <c r="AB77" s="1">
        <v>324</v>
      </c>
      <c r="AC77" s="1">
        <v>0</v>
      </c>
      <c r="AD77" s="1" t="s">
        <v>4145</v>
      </c>
      <c r="AE77" s="1" t="s">
        <v>4146</v>
      </c>
      <c r="AF77" s="1" t="s">
        <v>265</v>
      </c>
      <c r="AG77" s="1">
        <v>34</v>
      </c>
      <c r="AH77" s="5" t="s">
        <v>4147</v>
      </c>
      <c r="AI77" s="1">
        <v>5546826228</v>
      </c>
      <c r="AJ77" s="1">
        <v>5557930414</v>
      </c>
      <c r="AK77" s="1" t="s">
        <v>1440</v>
      </c>
      <c r="AL77" s="1" t="s">
        <v>1433</v>
      </c>
      <c r="AM77" s="1" t="s">
        <v>1164</v>
      </c>
      <c r="AN77" s="1" t="s">
        <v>2406</v>
      </c>
      <c r="AO77" s="1" t="s">
        <v>435</v>
      </c>
      <c r="AP77" s="1">
        <v>37</v>
      </c>
      <c r="AQ77" s="1" t="s">
        <v>739</v>
      </c>
      <c r="AR77" s="42">
        <v>0.33333333333575865</v>
      </c>
      <c r="AS77" s="42">
        <v>0.33333333333575865</v>
      </c>
      <c r="AT77" s="1">
        <v>5533512675</v>
      </c>
      <c r="AU77" s="1">
        <v>5557930414</v>
      </c>
      <c r="AV77" s="1"/>
      <c r="AW77" s="5" t="s">
        <v>4148</v>
      </c>
      <c r="AX77" s="1" t="s">
        <v>4149</v>
      </c>
      <c r="AY77" s="1" t="s">
        <v>1434</v>
      </c>
      <c r="AZ77" s="1" t="s">
        <v>4150</v>
      </c>
      <c r="BA77" s="1" t="s">
        <v>453</v>
      </c>
      <c r="BB77" s="1">
        <v>22</v>
      </c>
      <c r="BC77" s="1" t="s">
        <v>739</v>
      </c>
      <c r="BD77" s="43">
        <v>0.33333333333575865</v>
      </c>
      <c r="BE77" s="43">
        <v>0.33333333333575865</v>
      </c>
      <c r="BF77" s="1">
        <v>5535940071</v>
      </c>
      <c r="BG77" s="1">
        <v>5557930414</v>
      </c>
      <c r="BH77" s="1" t="s">
        <v>1437</v>
      </c>
      <c r="BI77" s="5" t="s">
        <v>4151</v>
      </c>
      <c r="BJ77" s="1" t="s">
        <v>236</v>
      </c>
      <c r="BL77" s="1">
        <v>1.73</v>
      </c>
      <c r="BM77" s="1">
        <v>49</v>
      </c>
      <c r="BN77" s="1" t="s">
        <v>228</v>
      </c>
      <c r="BO77" s="1" t="s">
        <v>228</v>
      </c>
      <c r="BQ77" s="1" t="s">
        <v>228</v>
      </c>
      <c r="BR77" s="1" t="s">
        <v>237</v>
      </c>
      <c r="BS77" s="1" t="s">
        <v>236</v>
      </c>
      <c r="BT77" s="1" t="s">
        <v>271</v>
      </c>
      <c r="BU77" s="1" t="s">
        <v>228</v>
      </c>
      <c r="BW77" s="1" t="s">
        <v>349</v>
      </c>
      <c r="BX77" s="1">
        <v>90</v>
      </c>
      <c r="BY77" s="1">
        <v>300</v>
      </c>
      <c r="BZ77" s="1" t="s">
        <v>253</v>
      </c>
      <c r="CA77" s="1" t="s">
        <v>1996</v>
      </c>
      <c r="CB77" s="1" t="s">
        <v>240</v>
      </c>
      <c r="CC77" s="1" t="s">
        <v>300</v>
      </c>
      <c r="CD77" s="1">
        <v>2500</v>
      </c>
      <c r="CE77" s="1">
        <v>3000</v>
      </c>
      <c r="CF77" s="1" t="s">
        <v>236</v>
      </c>
      <c r="CG77" s="1" t="s">
        <v>242</v>
      </c>
      <c r="CH77" s="1" t="s">
        <v>243</v>
      </c>
      <c r="CI77" s="1" t="s">
        <v>243</v>
      </c>
      <c r="CJ77" s="1" t="s">
        <v>2848</v>
      </c>
      <c r="CL77" s="5" t="s">
        <v>4152</v>
      </c>
      <c r="CM77" s="1">
        <v>16220741090</v>
      </c>
      <c r="CN77" s="1" t="s">
        <v>228</v>
      </c>
      <c r="CQ77" s="42">
        <v>0</v>
      </c>
      <c r="CR77" s="42">
        <v>0</v>
      </c>
      <c r="CT77" s="45" t="str">
        <f t="array" ref="CT77">IFERROR(INDEX(#REF!,MATCH('Respuestas de formulario 1.1'!$B77,#REF!,0),MATCH('Respuestas de formulario 1.1'!CT$1,#REF!,0)),"")</f>
        <v/>
      </c>
      <c r="CU77" s="56" t="str">
        <f t="array" ref="CU77">IFERROR(INDEX(#REF!,MATCH('Respuestas de formulario 1.1'!$B77,#REF!,0),MATCH('Respuestas de formulario 1.1'!CU$1,#REF!,0)),"")</f>
        <v/>
      </c>
      <c r="CV77" s="56" t="str">
        <f t="array" ref="CV77">IFERROR(INDEX(#REF!,MATCH('Respuestas de formulario 1.1'!$B77,#REF!,0),MATCH('Respuestas de formulario 1.1'!CV$1,#REF!,0)),"")</f>
        <v/>
      </c>
      <c r="CW77" s="56" t="str">
        <f t="array" ref="CW77">IFERROR(INDEX(#REF!,MATCH('Respuestas de formulario 1.1'!$B77,#REF!,0),MATCH('Respuestas de formulario 1.1'!CW$1,#REF!,0)),"")</f>
        <v/>
      </c>
      <c r="CX77" s="56" t="str">
        <f t="array" ref="CX77">IFERROR(INDEX(#REF!,MATCH('Respuestas de formulario 1.1'!$B77,#REF!,0),MATCH('Respuestas de formulario 1.1'!CX$1,#REF!,0)),"")</f>
        <v/>
      </c>
      <c r="CY77" s="56" t="str">
        <f t="array" ref="CY77">IFERROR(INDEX(#REF!,MATCH('Respuestas de formulario 1.1'!$B77,#REF!,0),MATCH('Respuestas de formulario 1.1'!CY$1,#REF!,0)),"")</f>
        <v/>
      </c>
      <c r="CZ77" s="57" t="str">
        <f t="array" ref="CZ77">IFERROR(INDEX(#REF!,MATCH('Respuestas de formulario 1.1'!$B77,#REF!,0),MATCH('Respuestas de formulario 1.1'!CZ$1,#REF!,0)),"")</f>
        <v/>
      </c>
      <c r="DA77" s="45" t="e">
        <f t="array" ref="DA77">INDEX(#REF!,MATCH('Respuestas de formulario 1.1'!$B77,#REF!,0),MATCH('Respuestas de formulario 1.1'!DA$1,#REF!,0))</f>
        <v>#REF!</v>
      </c>
      <c r="DB77" s="45" t="e">
        <f t="array" ref="DB77">INDEX(#REF!,MATCH('Respuestas de formulario 1.1'!$B77,#REF!,0),MATCH('Respuestas de formulario 1.1'!DB$1,#REF!,0))</f>
        <v>#REF!</v>
      </c>
      <c r="DC77" s="45" t="e">
        <f t="array" ref="DC77">INDEX(#REF!,MATCH('Respuestas de formulario 1.1'!$B77,#REF!,0),MATCH('Respuestas de formulario 1.1'!DC$1,#REF!,0))</f>
        <v>#REF!</v>
      </c>
      <c r="DD77" s="45" t="e">
        <f t="array" ref="DD77">INDEX(#REF!,MATCH('Respuestas de formulario 1.1'!$B77,#REF!,0),MATCH('Respuestas de formulario 1.1'!DD$1,#REF!,0))</f>
        <v>#REF!</v>
      </c>
      <c r="DE77" s="45" t="e">
        <f t="array" ref="DE77">INDEX(#REF!,MATCH('Respuestas de formulario 1.1'!$B77,#REF!,0),MATCH('Respuestas de formulario 1.1'!DE$1,#REF!,0))</f>
        <v>#REF!</v>
      </c>
      <c r="DF77" s="45" t="e">
        <f t="array" ref="DF77">INDEX(#REF!,MATCH('Respuestas de formulario 1.1'!$B77,#REF!,0),MATCH('Respuestas de formulario 1.1'!DF$1,#REF!,0))</f>
        <v>#REF!</v>
      </c>
      <c r="DG77" s="45" t="e">
        <f t="array" ref="DG77">INDEX(#REF!,MATCH('Respuestas de formulario 1.1'!$B77,#REF!,0),MATCH('Respuestas de formulario 1.1'!DG$1,#REF!,0))</f>
        <v>#REF!</v>
      </c>
      <c r="DH77" s="45" t="e">
        <f t="array" ref="DH77">INDEX(#REF!,MATCH('Respuestas de formulario 1.1'!$B77,#REF!,0),MATCH('Respuestas de formulario 1.1'!DH$1,#REF!,0))</f>
        <v>#REF!</v>
      </c>
      <c r="DI77" s="48" t="e">
        <f>VLOOKUP(CONCATENATE($DF77," TUTO ",$DC77),#REF!,3,0)</f>
        <v>#REF!</v>
      </c>
      <c r="DJ77" s="48" t="e">
        <f t="array" ref="DJ77">IF('Respuestas de formulario 1.1'!A77="","",INDEX(#REF!,MATCH('Respuestas de formulario 1.1'!B77,#REF!,0),MATCH('Respuestas de formulario 1.1'!$DH$1,#REF!,0)))</f>
        <v>#REF!</v>
      </c>
      <c r="DK77" s="52" t="str">
        <f>CONCATENATE("http://doc.google.com/uc?id=",MID('Respuestas de formulario 1.1'!G77,34,33))</f>
        <v>http://doc.google.com/uc?id=14OlDax7H_QywSxEGnLrkU4pyQ-T78yyH</v>
      </c>
      <c r="DL77" s="49" t="str">
        <f>CONCATENATE("http://doc.google.com/uc?id=",MID('Respuestas de formulario 1.1'!AH77,34,33))</f>
        <v>http://doc.google.com/uc?id=1TEUT7D9HUln6uOmFB_-0_o7zusHQPzia</v>
      </c>
      <c r="DM77" s="50" t="str">
        <f>CONCATENATE("http://doc.google.com/uc?id=",MID('Respuestas de formulario 1.1'!AW77,34,33))</f>
        <v>http://doc.google.com/uc?id=1RVQ1lH65fKLkQwa-j2nmn7gkKIEyuGJs</v>
      </c>
      <c r="DN77" s="53" t="str">
        <f>CONCATENATE("http://doc.google.com/uc?id=",MID('Respuestas de formulario 1.1'!$BI77,34,33))</f>
        <v>http://doc.google.com/uc?id=1Lax514baOrpiNiF9V0JM21vd8vmDj6Tz</v>
      </c>
      <c r="DO77" s="45" t="str">
        <f>IFERROR(VLOOKUP(CONCATENATE('Respuestas de formulario 1.1'!$B77,MID('Respuestas de formulario 1.1'!DO$1,2,1)),#REF!,12,0),"")</f>
        <v/>
      </c>
      <c r="DP77" s="45" t="str">
        <f>IFERROR(VLOOKUP(CONCATENATE('Respuestas de formulario 1.1'!$B77,MID('Respuestas de formulario 1.1'!DP$1,2,1)),#REF!,12,0),"")</f>
        <v/>
      </c>
      <c r="DQ77" s="45" t="str">
        <f>IFERROR(VLOOKUP(CONCATENATE('Respuestas de formulario 1.1'!$B77,MID('Respuestas de formulario 1.1'!DQ$1,2,1)),#REF!,12,0),"")</f>
        <v/>
      </c>
      <c r="DR77" s="45" t="str">
        <f>IFERROR(VLOOKUP(CONCATENATE('Respuestas de formulario 1.1'!$B77,MID('Respuestas de formulario 1.1'!DR$1,2,1)),#REF!,12,0),"")</f>
        <v/>
      </c>
      <c r="DS77" s="45" t="str">
        <f>IFERROR(VLOOKUP(CONCATENATE('Respuestas de formulario 1.1'!$B77,MID('Respuestas de formulario 1.1'!DS$1,2,1)),#REF!,12,0),"")</f>
        <v/>
      </c>
      <c r="DT77" s="45" t="str">
        <f>IFERROR(VLOOKUP(CONCATENATE('Respuestas de formulario 1.1'!$B77,MID('Respuestas de formulario 1.1'!DT$1,2,1)),#REF!,12,0),"")</f>
        <v/>
      </c>
      <c r="DU77" s="45" t="str">
        <f>IFERROR(VLOOKUP(CONCATENATE('Respuestas de formulario 1.1'!$B77,MID('Respuestas de formulario 1.1'!DU$1,2,1)),#REF!,12,0),"")</f>
        <v/>
      </c>
      <c r="DV77" s="45" t="str">
        <f>IFERROR(VLOOKUP(CONCATENATE('Respuestas de formulario 1.1'!$B77,MID('Respuestas de formulario 1.1'!DV$1,2,1)),#REF!,12,0),"")</f>
        <v/>
      </c>
      <c r="DW77" s="45" t="str">
        <f>IFERROR(VLOOKUP(CONCATENATE('Respuestas de formulario 1.1'!$B77,MID('Respuestas de formulario 1.1'!DW$1,2,1)),#REF!,12,0),"")</f>
        <v/>
      </c>
      <c r="DX77" s="45" t="str">
        <f>IFERROR(VLOOKUP(CONCATENATE('Respuestas de formulario 1.1'!$B77,MID('Respuestas de formulario 1.1'!DX$1,2,1)),#REF!,12,0),"")</f>
        <v/>
      </c>
      <c r="DY77" s="45" t="str">
        <f>IFERROR(VLOOKUP(CONCATENATE('Respuestas de formulario 1.1'!$B77,MID('Respuestas de formulario 1.1'!DY$1,2,1)),#REF!,12,0),"")</f>
        <v/>
      </c>
      <c r="DZ77" s="45" t="str">
        <f>IFERROR(VLOOKUP(CONCATENATE('Respuestas de formulario 1.1'!$B77,MID('Respuestas de formulario 1.1'!DZ$1,2,1)),#REF!,12,0),"")</f>
        <v/>
      </c>
      <c r="EA77" s="45" t="str">
        <f>IFERROR(VLOOKUP(CONCATENATE('Respuestas de formulario 1.1'!$B77,MID('Respuestas de formulario 1.1'!EA$1,2,1)),#REF!,12,0),"")</f>
        <v/>
      </c>
      <c r="EB77" s="45" t="str">
        <f>IFERROR(VLOOKUP(CONCATENATE('Respuestas de formulario 1.1'!$B77,MID('Respuestas de formulario 1.1'!EB$1,2,1)),#REF!,12,0),"")</f>
        <v/>
      </c>
      <c r="EC77" s="45" t="str">
        <f>IFERROR(VLOOKUP(CONCATENATE('Respuestas de formulario 1.1'!$B77,MID('Respuestas de formulario 1.1'!EC$1,2,1)),#REF!,12,0),"")</f>
        <v/>
      </c>
      <c r="ED77" s="45" t="str">
        <f>IFERROR(VLOOKUP(CONCATENATE('Respuestas de formulario 1.1'!$B77,MID('Respuestas de formulario 1.1'!ED$1,2,1)),#REF!,12,0),"")</f>
        <v/>
      </c>
      <c r="EE77" s="45" t="str">
        <f>IFERROR(VLOOKUP(CONCATENATE('Respuestas de formulario 1.1'!$B77,MID('Respuestas de formulario 1.1'!EE$1,2,1)),#REF!,12,0),"")</f>
        <v/>
      </c>
      <c r="EF77" s="45" t="str">
        <f>IFERROR(VLOOKUP(CONCATENATE('Respuestas de formulario 1.1'!$B77,MID('Respuestas de formulario 1.1'!EF$1,2,1)),#REF!,12,0),"")</f>
        <v/>
      </c>
      <c r="EG77" s="45" t="str">
        <f>IFERROR(VLOOKUP(CONCATENATE('Respuestas de formulario 1.1'!$B77,MID('Respuestas de formulario 1.1'!EG$1,2,1)),#REF!,12,0),"")</f>
        <v/>
      </c>
      <c r="EH77" s="45" t="str">
        <f>IFERROR(VLOOKUP(CONCATENATE('Respuestas de formulario 1.1'!$B77,MID('Respuestas de formulario 1.1'!EH$1,2,1)),#REF!,12,0),"")</f>
        <v/>
      </c>
      <c r="EI77" s="45" t="str">
        <f>IFERROR(VLOOKUP(CONCATENATE('Respuestas de formulario 1.1'!$B77,MID('Respuestas de formulario 1.1'!EI$1,2,1)),#REF!,12,0),"")</f>
        <v/>
      </c>
      <c r="EJ77" s="45" t="str">
        <f t="array" ref="EJ77">IF(DO77="","", INDEX(#REF!,MATCH(CONCATENATE('Respuestas de formulario 1.1'!$B77,DO77),#REF!,0),MATCH('Respuestas de formulario 1.1'!EJ$1,#REF!,0)))</f>
        <v/>
      </c>
      <c r="EK77" s="56" t="str">
        <f t="array" ref="EK77">IF(DP77="","", INDEX(#REF!,MATCH(CONCATENATE('Respuestas de formulario 1.1'!$B77,DP77),#REF!,0),MATCH('Respuestas de formulario 1.1'!EK$1,#REF!,0)))</f>
        <v/>
      </c>
      <c r="EL77" s="56" t="str">
        <f t="array" ref="EL77">IF(DQ77="","", INDEX(#REF!,MATCH(CONCATENATE('Respuestas de formulario 1.1'!$B77,DQ77),#REF!,0),MATCH('Respuestas de formulario 1.1'!EL$1,#REF!,0)))</f>
        <v/>
      </c>
      <c r="EM77" s="56" t="str">
        <f t="array" ref="EM77">IF(DR77="","", INDEX(#REF!,MATCH(CONCATENATE('Respuestas de formulario 1.1'!$B77,DR77),#REF!,0),MATCH('Respuestas de formulario 1.1'!EM$1,#REF!,0)))</f>
        <v/>
      </c>
      <c r="EN77" s="56" t="str">
        <f t="array" ref="EN77">IF(DS77="","", INDEX(#REF!,MATCH(CONCATENATE('Respuestas de formulario 1.1'!$B77,DS77),#REF!,0),MATCH('Respuestas de formulario 1.1'!EN$1,#REF!,0)))</f>
        <v/>
      </c>
      <c r="EO77" s="56" t="str">
        <f t="array" ref="EO77">IF(DT77="","", INDEX(#REF!,MATCH(CONCATENATE('Respuestas de formulario 1.1'!$B77,DT77),#REF!,0),MATCH('Respuestas de formulario 1.1'!EO$1,#REF!,0)))</f>
        <v/>
      </c>
      <c r="EP77" s="45" t="str">
        <f t="array" ref="EP77">IF(DU77="","", INDEX(#REF!,MATCH(CONCATENATE('Respuestas de formulario 1.1'!$B77,DU77),#REF!,0),MATCH('Respuestas de formulario 1.1'!EP$1,#REF!,0)))</f>
        <v/>
      </c>
      <c r="EQ77" s="45" t="str">
        <f t="array" ref="EQ77">IF(DP77="","", INDEX(#REF!,MATCH(CONCATENATE('Respuestas de formulario 1.1'!$B77,DP77),#REF!,0),MATCH('Respuestas de formulario 1.1'!EQ$1,#REF!,0)))</f>
        <v/>
      </c>
      <c r="ER77" s="56" t="str">
        <f t="array" ref="ER77">IF(DQ77="","", INDEX(#REF!,MATCH(CONCATENATE('Respuestas de formulario 1.1'!$B77,DQ77),#REF!,0),MATCH('Respuestas de formulario 1.1'!ER$1,#REF!,0)))</f>
        <v/>
      </c>
      <c r="ES77" s="56" t="str">
        <f t="array" ref="ES77">IF(DR77="","", INDEX(#REF!,MATCH(CONCATENATE('Respuestas de formulario 1.1'!$B77,DR77),#REF!,0),MATCH('Respuestas de formulario 1.1'!ES$1,#REF!,0)))</f>
        <v/>
      </c>
      <c r="ET77" s="56" t="str">
        <f t="array" ref="ET77">IF(DS77="","", INDEX(#REF!,MATCH(CONCATENATE('Respuestas de formulario 1.1'!$B77,DS77),#REF!,0),MATCH('Respuestas de formulario 1.1'!ET$1,#REF!,0)))</f>
        <v/>
      </c>
      <c r="EU77" s="56" t="str">
        <f t="array" ref="EU77">IF(DT77="","", INDEX(#REF!,MATCH(CONCATENATE('Respuestas de formulario 1.1'!$B77,DT77),#REF!,0),MATCH('Respuestas de formulario 1.1'!EU$1,#REF!,0)))</f>
        <v/>
      </c>
      <c r="EV77" s="56" t="str">
        <f t="array" ref="EV77">IF(DU77="","", INDEX(#REF!,MATCH(CONCATENATE('Respuestas de formulario 1.1'!$B77,DU77),#REF!,0),MATCH('Respuestas de formulario 1.1'!EV$1,#REF!,0)))</f>
        <v/>
      </c>
      <c r="EW77" s="45" t="str">
        <f t="array" ref="EW77">IF(DV77="","", INDEX(#REF!,MATCH(CONCATENATE('Respuestas de formulario 1.1'!$B77,DV77),#REF!,0),MATCH('Respuestas de formulario 1.1'!EW$1,#REF!,0)))</f>
        <v/>
      </c>
      <c r="EX77" s="45" t="str">
        <f t="array" ref="EX77">IF($DQ77="","", INDEX(#REF!,MATCH(CONCATENATE('Respuestas de formulario 1.1'!$B77,$DQ77),#REF!,0),MATCH('Respuestas de formulario 1.1'!EX$1,#REF!,0)))</f>
        <v/>
      </c>
      <c r="EY77" s="56" t="str">
        <f t="array" ref="EY77">IF($DQ77="","", INDEX(#REF!,MATCH(CONCATENATE('Respuestas de formulario 1.1'!$B77,$DQ77),#REF!,0),MATCH('Respuestas de formulario 1.1'!EY$1,#REF!,0)))</f>
        <v/>
      </c>
      <c r="EZ77" s="56" t="str">
        <f t="array" ref="EZ77">IF($DQ77="","", INDEX(#REF!,MATCH(CONCATENATE('Respuestas de formulario 1.1'!$B77,$DQ77),#REF!,0),MATCH('Respuestas de formulario 1.1'!EZ$1,#REF!,0)))</f>
        <v/>
      </c>
      <c r="FA77" s="56" t="str">
        <f t="array" ref="FA77">IF($DQ77="","", INDEX(#REF!,MATCH(CONCATENATE('Respuestas de formulario 1.1'!$B77,$DQ77),#REF!,0),MATCH('Respuestas de formulario 1.1'!FA$1,#REF!,0)))</f>
        <v/>
      </c>
      <c r="FB77" s="56" t="str">
        <f t="array" ref="FB77">IF($DQ77="","", INDEX(#REF!,MATCH(CONCATENATE('Respuestas de formulario 1.1'!$B77,$DQ77),#REF!,0),MATCH('Respuestas de formulario 1.1'!FB$1,#REF!,0)))</f>
        <v/>
      </c>
      <c r="FC77" s="56" t="str">
        <f t="array" ref="FC77">IF($DQ77="","", INDEX(#REF!,MATCH(CONCATENATE('Respuestas de formulario 1.1'!$B77,$DQ77),#REF!,0),MATCH('Respuestas de formulario 1.1'!FC$1,#REF!,0)))</f>
        <v/>
      </c>
      <c r="FD77" s="45" t="str">
        <f t="array" ref="FD77">IF($DQ77="","", INDEX(#REF!,MATCH(CONCATENATE('Respuestas de formulario 1.1'!$B77,$DQ77),#REF!,0),MATCH('Respuestas de formulario 1.1'!FD$1,#REF!,0)))</f>
        <v/>
      </c>
      <c r="FE77" s="45" t="str">
        <f t="array" ref="FE77">IF($DR77="","", INDEX(#REF!,MATCH(CONCATENATE(#REF!,$DR77),#REF!,0),MATCH(#REF!,#REF!,0)))</f>
        <v/>
      </c>
      <c r="FF77" s="56" t="str">
        <f t="array" ref="FF77">IF($DR77="","", INDEX(#REF!,MATCH(CONCATENATE(#REF!,$DR77),#REF!,0),MATCH(#REF!,#REF!,0)))</f>
        <v/>
      </c>
      <c r="FG77" s="56" t="str">
        <f t="array" ref="FG77">IF($DR77="","", INDEX(#REF!,MATCH(CONCATENATE(#REF!,$DR77),#REF!,0),MATCH(#REF!,#REF!,0)))</f>
        <v/>
      </c>
      <c r="FH77" s="56" t="str">
        <f t="array" ref="FH77">IF($DR77="","", INDEX(#REF!,MATCH(CONCATENATE(#REF!,$DR77),#REF!,0),MATCH(#REF!,#REF!,0)))</f>
        <v/>
      </c>
      <c r="FI77" s="56" t="str">
        <f t="array" ref="FI77">IF($DR77="","", INDEX(#REF!,MATCH(CONCATENATE(#REF!,$DR77),#REF!,0),MATCH(#REF!,#REF!,0)))</f>
        <v/>
      </c>
      <c r="FJ77" s="56" t="str">
        <f t="array" ref="FJ77">IF($DR77="","", INDEX(#REF!,MATCH(CONCATENATE(#REF!,$DR77),#REF!,0),MATCH(#REF!,#REF!,0)))</f>
        <v/>
      </c>
      <c r="FK77" s="45" t="str">
        <f t="array" ref="FK77">IF($DR77="","", INDEX(#REF!,MATCH(CONCATENATE(#REF!,$DR77),#REF!,0),MATCH(#REF!,#REF!,0)))</f>
        <v/>
      </c>
      <c r="FL77" s="45" t="str">
        <f t="array" ref="FL77">IF($DT77="","", INDEX(#REF!,MATCH(CONCATENATE('Respuestas de formulario 1.1'!$B77,$DS77),#REF!,0),MATCH('Respuestas de formulario 1.1'!FL$1,#REF!,0)))</f>
        <v/>
      </c>
      <c r="FM77" s="56" t="str">
        <f t="array" ref="FM77">IF($DT77="","", INDEX(#REF!,MATCH(CONCATENATE('Respuestas de formulario 1.1'!$B77,$DS77),#REF!,0),MATCH('Respuestas de formulario 1.1'!FM$1,#REF!,0)))</f>
        <v/>
      </c>
      <c r="FN77" s="56" t="str">
        <f t="array" ref="FN77">IF($DT77="","", INDEX(#REF!,MATCH(CONCATENATE('Respuestas de formulario 1.1'!$B77,$DS77),#REF!,0),MATCH('Respuestas de formulario 1.1'!FN$1,#REF!,0)))</f>
        <v/>
      </c>
      <c r="FO77" s="56" t="str">
        <f t="array" ref="FO77">IF($DT77="","", INDEX(#REF!,MATCH(CONCATENATE('Respuestas de formulario 1.1'!$B77,$DS77),#REF!,0),MATCH('Respuestas de formulario 1.1'!FO$1,#REF!,0)))</f>
        <v/>
      </c>
      <c r="FP77" s="56" t="str">
        <f t="array" ref="FP77">IF($DT77="","", INDEX(#REF!,MATCH(CONCATENATE('Respuestas de formulario 1.1'!$B77,$DS77),#REF!,0),MATCH('Respuestas de formulario 1.1'!FP$1,#REF!,0)))</f>
        <v/>
      </c>
      <c r="FQ77" s="56" t="str">
        <f t="array" ref="FQ77">IF($DT77="","", INDEX(#REF!,MATCH(CONCATENATE('Respuestas de formulario 1.1'!$B77,$DS77),#REF!,0),MATCH('Respuestas de formulario 1.1'!FQ$1,#REF!,0)))</f>
        <v/>
      </c>
      <c r="FR77" s="45" t="str">
        <f t="array" ref="FR77">IF($DT77="","", INDEX(#REF!,MATCH(CONCATENATE('Respuestas de formulario 1.1'!$B77,$DS77),#REF!,0),MATCH('Respuestas de formulario 1.1'!FR$1,#REF!,0)))</f>
        <v/>
      </c>
      <c r="FS77" s="45" t="str">
        <f t="array" ref="FS77">IF($DU77="","", INDEX(#REF!,MATCH(CONCATENATE('Respuestas de formulario 1.1'!$B77,$DT77),#REF!,0),MATCH('Respuestas de formulario 1.1'!FS$1,#REF!,0)))</f>
        <v/>
      </c>
      <c r="FT77" s="56" t="str">
        <f t="array" ref="FT77">IF($DU77="","", INDEX(#REF!,MATCH(CONCATENATE('Respuestas de formulario 1.1'!$B77,$DT77),#REF!,0),MATCH('Respuestas de formulario 1.1'!FT$1,#REF!,0)))</f>
        <v/>
      </c>
      <c r="FU77" s="56" t="str">
        <f t="array" ref="FU77">IF($DU77="","", INDEX(#REF!,MATCH(CONCATENATE('Respuestas de formulario 1.1'!$B77,$DT77),#REF!,0),MATCH('Respuestas de formulario 1.1'!FU$1,#REF!,0)))</f>
        <v/>
      </c>
      <c r="FV77" s="56" t="str">
        <f t="array" ref="FV77">IF($DU77="","", INDEX(#REF!,MATCH(CONCATENATE('Respuestas de formulario 1.1'!$B77,$DT77),#REF!,0),MATCH('Respuestas de formulario 1.1'!FV$1,#REF!,0)))</f>
        <v/>
      </c>
      <c r="FW77" s="56" t="str">
        <f t="array" ref="FW77">IF($DU77="","", INDEX(#REF!,MATCH(CONCATENATE('Respuestas de formulario 1.1'!$B77,$DT77),#REF!,0),MATCH('Respuestas de formulario 1.1'!FW$1,#REF!,0)))</f>
        <v/>
      </c>
      <c r="FX77" s="56" t="str">
        <f t="array" ref="FX77">IF($DU77="","", INDEX(#REF!,MATCH(CONCATENATE('Respuestas de formulario 1.1'!$B77,$DT77),#REF!,0),MATCH('Respuestas de formulario 1.1'!FX$1,#REF!,0)))</f>
        <v/>
      </c>
      <c r="FY77" s="45" t="str">
        <f t="array" ref="FY77">IF($DU77="","", INDEX(#REF!,MATCH(CONCATENATE('Respuestas de formulario 1.1'!$B77,$DT77),#REF!,0),MATCH('Respuestas de formulario 1.1'!FY$1,#REF!,0)))</f>
        <v/>
      </c>
      <c r="FZ77" s="3" t="s">
        <v>2860</v>
      </c>
      <c r="GA77" s="1" t="s">
        <v>4153</v>
      </c>
      <c r="GB77" s="5" t="s">
        <v>4154</v>
      </c>
      <c r="GC77" s="4" t="str">
        <f>HYPERLINK("https://drive.google.com/file/d/14ySiKqY9nFGqPoC7rkdGEvtjuwQWF93e/view?usp=drivesdk","SALDAÑA  FERNANDEZ  ANGEL JESUS  Formato de reinscripción y pago 2022-2")</f>
        <v>SALDAÑA  FERNANDEZ  ANGEL JESUS  Formato de reinscripción y pago 2022-2</v>
      </c>
      <c r="GD77" s="1" t="s">
        <v>4155</v>
      </c>
      <c r="GG77" s="1"/>
      <c r="GH77" s="1"/>
      <c r="GI77" s="1" t="s">
        <v>4156</v>
      </c>
      <c r="GJ77" s="5" t="s">
        <v>4157</v>
      </c>
      <c r="GK77" s="5" t="str">
        <f>HYPERLINK("https://drive.google.com/file/d/1mEFH9bHvD75-MFjCR0MbtncQ2htZf3-t/view?usp=drivesdk","SALDAÑA  FERNANDEZ  ANGEL JESUS  Formato de reinscripción y pago 2022-2")</f>
        <v>SALDAÑA  FERNANDEZ  ANGEL JESUS  Formato de reinscripción y pago 2022-2</v>
      </c>
      <c r="GL77" s="1" t="s">
        <v>4158</v>
      </c>
    </row>
    <row r="78" spans="1:194" ht="38.25" x14ac:dyDescent="0.2">
      <c r="A78" s="2">
        <v>45139.906698657403</v>
      </c>
      <c r="B78" s="1" t="s">
        <v>58</v>
      </c>
      <c r="C78" s="1" t="s">
        <v>432</v>
      </c>
      <c r="D78" s="1" t="s">
        <v>508</v>
      </c>
      <c r="E78" s="1" t="s">
        <v>844</v>
      </c>
      <c r="F78" s="1" t="s">
        <v>223</v>
      </c>
      <c r="G78" s="5" t="s">
        <v>4159</v>
      </c>
      <c r="H78" s="41">
        <v>38644</v>
      </c>
      <c r="I78" s="1">
        <v>17</v>
      </c>
      <c r="J78" s="1">
        <v>5623901314</v>
      </c>
      <c r="K78" s="1">
        <v>5623901314</v>
      </c>
      <c r="L78" s="1" t="s">
        <v>845</v>
      </c>
      <c r="M78" s="1">
        <v>21309060570582</v>
      </c>
      <c r="N78" s="1" t="s">
        <v>1108</v>
      </c>
      <c r="O78" s="1" t="s">
        <v>225</v>
      </c>
      <c r="P78" s="1" t="s">
        <v>278</v>
      </c>
      <c r="Q78" s="1" t="s">
        <v>263</v>
      </c>
      <c r="R78" s="1" t="s">
        <v>236</v>
      </c>
      <c r="S78" s="1" t="s">
        <v>228</v>
      </c>
      <c r="T78" s="1" t="s">
        <v>411</v>
      </c>
      <c r="U78" s="1" t="s">
        <v>264</v>
      </c>
      <c r="V78" s="1" t="s">
        <v>228</v>
      </c>
      <c r="W78" s="1" t="s">
        <v>4160</v>
      </c>
      <c r="X78" s="1" t="s">
        <v>230</v>
      </c>
      <c r="Y78" s="1" t="s">
        <v>4161</v>
      </c>
      <c r="Z78" s="1" t="s">
        <v>231</v>
      </c>
      <c r="AA78" s="1">
        <v>56647</v>
      </c>
      <c r="AB78" s="1">
        <v>7</v>
      </c>
      <c r="AC78" s="1">
        <v>7</v>
      </c>
      <c r="AD78" s="1" t="s">
        <v>4162</v>
      </c>
      <c r="AE78" s="1" t="s">
        <v>4163</v>
      </c>
      <c r="AF78" s="1" t="s">
        <v>758</v>
      </c>
      <c r="AG78" s="1"/>
      <c r="AH78" s="5" t="s">
        <v>4164</v>
      </c>
      <c r="AI78" s="1">
        <v>5560872364</v>
      </c>
      <c r="AJ78" s="1">
        <v>5560872364</v>
      </c>
      <c r="AK78" s="1"/>
      <c r="AL78" s="1" t="s">
        <v>432</v>
      </c>
      <c r="AM78" s="1" t="s">
        <v>531</v>
      </c>
      <c r="AN78" s="1" t="s">
        <v>438</v>
      </c>
      <c r="AO78" s="1" t="s">
        <v>435</v>
      </c>
      <c r="AP78" s="1"/>
      <c r="AQ78" s="1" t="s">
        <v>739</v>
      </c>
      <c r="AR78" s="42">
        <v>0.375</v>
      </c>
      <c r="AS78" s="42">
        <v>0.3125</v>
      </c>
      <c r="AT78" s="1">
        <v>5612680409</v>
      </c>
      <c r="AU78" s="1">
        <v>5612680409</v>
      </c>
      <c r="AV78" s="1"/>
      <c r="AW78" s="5" t="s">
        <v>4165</v>
      </c>
      <c r="AX78" s="1" t="s">
        <v>508</v>
      </c>
      <c r="AY78" s="1" t="s">
        <v>846</v>
      </c>
      <c r="AZ78" s="1" t="s">
        <v>4166</v>
      </c>
      <c r="BA78" s="1" t="s">
        <v>265</v>
      </c>
      <c r="BB78" s="1">
        <v>42</v>
      </c>
      <c r="BC78" s="1" t="s">
        <v>306</v>
      </c>
      <c r="BD78" s="43">
        <v>0.29166666666424135</v>
      </c>
      <c r="BE78" s="43">
        <v>0.625</v>
      </c>
      <c r="BF78" s="1">
        <v>5535525548</v>
      </c>
      <c r="BG78" s="1">
        <v>5535525548</v>
      </c>
      <c r="BH78" s="1"/>
      <c r="BI78" s="5" t="s">
        <v>4167</v>
      </c>
      <c r="BJ78" s="1" t="s">
        <v>228</v>
      </c>
      <c r="BK78" s="1" t="s">
        <v>650</v>
      </c>
      <c r="BL78" s="1">
        <v>1.56</v>
      </c>
      <c r="BM78" s="1">
        <v>50</v>
      </c>
      <c r="BN78" s="1" t="s">
        <v>236</v>
      </c>
      <c r="BO78" s="1" t="s">
        <v>228</v>
      </c>
      <c r="BQ78" s="1" t="s">
        <v>228</v>
      </c>
      <c r="BR78" s="1" t="s">
        <v>237</v>
      </c>
      <c r="BS78" s="1" t="s">
        <v>228</v>
      </c>
      <c r="BT78" s="1" t="s">
        <v>237</v>
      </c>
      <c r="BU78" s="1" t="s">
        <v>228</v>
      </c>
      <c r="BW78" s="1" t="s">
        <v>238</v>
      </c>
      <c r="BX78" s="1">
        <v>90</v>
      </c>
      <c r="BY78" s="1">
        <v>500</v>
      </c>
      <c r="BZ78" s="1" t="s">
        <v>4168</v>
      </c>
      <c r="CA78" s="1" t="s">
        <v>1380</v>
      </c>
      <c r="CB78" s="1" t="s">
        <v>380</v>
      </c>
      <c r="CC78" s="1" t="s">
        <v>4169</v>
      </c>
      <c r="CD78" s="1">
        <v>3000</v>
      </c>
      <c r="CE78" s="1">
        <v>2500</v>
      </c>
      <c r="CF78" s="1" t="s">
        <v>236</v>
      </c>
      <c r="CG78" s="1" t="s">
        <v>242</v>
      </c>
      <c r="CH78" s="1" t="s">
        <v>243</v>
      </c>
      <c r="CI78" s="1" t="s">
        <v>243</v>
      </c>
      <c r="CJ78" s="1" t="s">
        <v>2848</v>
      </c>
      <c r="CL78" s="5" t="s">
        <v>4170</v>
      </c>
      <c r="CM78" s="44" t="s">
        <v>848</v>
      </c>
      <c r="CN78" s="1" t="s">
        <v>228</v>
      </c>
      <c r="CQ78" s="42">
        <v>0.29166666666424135</v>
      </c>
      <c r="CR78" s="42">
        <v>0.625</v>
      </c>
      <c r="CT78" s="45" t="str">
        <f t="array" ref="CT78">IFERROR(INDEX(#REF!,MATCH('Respuestas de formulario 1.1'!$B78,#REF!,0),MATCH('Respuestas de formulario 1.1'!CT$1,#REF!,0)),"")</f>
        <v/>
      </c>
      <c r="CU78" s="56" t="str">
        <f t="array" ref="CU78">IFERROR(INDEX(#REF!,MATCH('Respuestas de formulario 1.1'!$B78,#REF!,0),MATCH('Respuestas de formulario 1.1'!CU$1,#REF!,0)),"")</f>
        <v/>
      </c>
      <c r="CV78" s="56" t="str">
        <f t="array" ref="CV78">IFERROR(INDEX(#REF!,MATCH('Respuestas de formulario 1.1'!$B78,#REF!,0),MATCH('Respuestas de formulario 1.1'!CV$1,#REF!,0)),"")</f>
        <v/>
      </c>
      <c r="CW78" s="56" t="str">
        <f t="array" ref="CW78">IFERROR(INDEX(#REF!,MATCH('Respuestas de formulario 1.1'!$B78,#REF!,0),MATCH('Respuestas de formulario 1.1'!CW$1,#REF!,0)),"")</f>
        <v/>
      </c>
      <c r="CX78" s="56" t="str">
        <f t="array" ref="CX78">IFERROR(INDEX(#REF!,MATCH('Respuestas de formulario 1.1'!$B78,#REF!,0),MATCH('Respuestas de formulario 1.1'!CX$1,#REF!,0)),"")</f>
        <v/>
      </c>
      <c r="CY78" s="56" t="str">
        <f t="array" ref="CY78">IFERROR(INDEX(#REF!,MATCH('Respuestas de formulario 1.1'!$B78,#REF!,0),MATCH('Respuestas de formulario 1.1'!CY$1,#REF!,0)),"")</f>
        <v/>
      </c>
      <c r="CZ78" s="57" t="str">
        <f t="array" ref="CZ78">IFERROR(INDEX(#REF!,MATCH('Respuestas de formulario 1.1'!$B78,#REF!,0),MATCH('Respuestas de formulario 1.1'!CZ$1,#REF!,0)),"")</f>
        <v/>
      </c>
      <c r="DA78" s="45" t="e">
        <f t="array" ref="DA78">INDEX(#REF!,MATCH('Respuestas de formulario 1.1'!$B78,#REF!,0),MATCH('Respuestas de formulario 1.1'!DA$1,#REF!,0))</f>
        <v>#REF!</v>
      </c>
      <c r="DB78" s="45" t="e">
        <f t="array" ref="DB78">INDEX(#REF!,MATCH('Respuestas de formulario 1.1'!$B78,#REF!,0),MATCH('Respuestas de formulario 1.1'!DB$1,#REF!,0))</f>
        <v>#REF!</v>
      </c>
      <c r="DC78" s="45" t="e">
        <f t="array" ref="DC78">INDEX(#REF!,MATCH('Respuestas de formulario 1.1'!$B78,#REF!,0),MATCH('Respuestas de formulario 1.1'!DC$1,#REF!,0))</f>
        <v>#REF!</v>
      </c>
      <c r="DD78" s="45" t="e">
        <f t="array" ref="DD78">INDEX(#REF!,MATCH('Respuestas de formulario 1.1'!$B78,#REF!,0),MATCH('Respuestas de formulario 1.1'!DD$1,#REF!,0))</f>
        <v>#REF!</v>
      </c>
      <c r="DE78" s="45" t="e">
        <f t="array" ref="DE78">INDEX(#REF!,MATCH('Respuestas de formulario 1.1'!$B78,#REF!,0),MATCH('Respuestas de formulario 1.1'!DE$1,#REF!,0))</f>
        <v>#REF!</v>
      </c>
      <c r="DF78" s="45" t="e">
        <f t="array" ref="DF78">INDEX(#REF!,MATCH('Respuestas de formulario 1.1'!$B78,#REF!,0),MATCH('Respuestas de formulario 1.1'!DF$1,#REF!,0))</f>
        <v>#REF!</v>
      </c>
      <c r="DG78" s="45" t="e">
        <f t="array" ref="DG78">INDEX(#REF!,MATCH('Respuestas de formulario 1.1'!$B78,#REF!,0),MATCH('Respuestas de formulario 1.1'!DG$1,#REF!,0))</f>
        <v>#REF!</v>
      </c>
      <c r="DH78" s="45" t="e">
        <f t="array" ref="DH78">INDEX(#REF!,MATCH('Respuestas de formulario 1.1'!$B78,#REF!,0),MATCH('Respuestas de formulario 1.1'!DH$1,#REF!,0))</f>
        <v>#REF!</v>
      </c>
      <c r="DI78" s="48" t="e">
        <f>VLOOKUP(CONCATENATE($DF78," TUTO ",$DC78),#REF!,3,0)</f>
        <v>#REF!</v>
      </c>
      <c r="DJ78" s="48" t="e">
        <f t="array" ref="DJ78">IF('Respuestas de formulario 1.1'!A78="","",INDEX(#REF!,MATCH('Respuestas de formulario 1.1'!B78,#REF!,0),MATCH('Respuestas de formulario 1.1'!$DH$1,#REF!,0)))</f>
        <v>#REF!</v>
      </c>
      <c r="DK78" s="52" t="str">
        <f>CONCATENATE("http://doc.google.com/uc?id=",MID('Respuestas de formulario 1.1'!G78,34,33))</f>
        <v>http://doc.google.com/uc?id=1WStJWMZwSarlHEtvf4ezP52M4uLE7qVt</v>
      </c>
      <c r="DL78" s="49" t="str">
        <f>CONCATENATE("http://doc.google.com/uc?id=",MID('Respuestas de formulario 1.1'!AH78,34,33))</f>
        <v>http://doc.google.com/uc?id=19NyjsR6466ra4CIY7OhKiVAD7RXFZVki</v>
      </c>
      <c r="DM78" s="50" t="str">
        <f>CONCATENATE("http://doc.google.com/uc?id=",MID('Respuestas de formulario 1.1'!AW78,34,33))</f>
        <v>http://doc.google.com/uc?id=1xNl_dleXY9ltIfm8eGgW8VK2_SOHe0g7</v>
      </c>
      <c r="DN78" s="53" t="str">
        <f>CONCATENATE("http://doc.google.com/uc?id=",MID('Respuestas de formulario 1.1'!$BI78,34,33))</f>
        <v>http://doc.google.com/uc?id=17yFuCJDjjwnme77PzoO3MmHtsSstnF37</v>
      </c>
      <c r="DO78" s="45" t="str">
        <f>IFERROR(VLOOKUP(CONCATENATE('Respuestas de formulario 1.1'!$B78,MID('Respuestas de formulario 1.1'!DO$1,2,1)),#REF!,12,0),"")</f>
        <v/>
      </c>
      <c r="DP78" s="45" t="str">
        <f>IFERROR(VLOOKUP(CONCATENATE('Respuestas de formulario 1.1'!$B78,MID('Respuestas de formulario 1.1'!DP$1,2,1)),#REF!,12,0),"")</f>
        <v/>
      </c>
      <c r="DQ78" s="45" t="str">
        <f>IFERROR(VLOOKUP(CONCATENATE('Respuestas de formulario 1.1'!$B78,MID('Respuestas de formulario 1.1'!DQ$1,2,1)),#REF!,12,0),"")</f>
        <v/>
      </c>
      <c r="DR78" s="45" t="str">
        <f>IFERROR(VLOOKUP(CONCATENATE('Respuestas de formulario 1.1'!$B78,MID('Respuestas de formulario 1.1'!DR$1,2,1)),#REF!,12,0),"")</f>
        <v/>
      </c>
      <c r="DS78" s="45" t="str">
        <f>IFERROR(VLOOKUP(CONCATENATE('Respuestas de formulario 1.1'!$B78,MID('Respuestas de formulario 1.1'!DS$1,2,1)),#REF!,12,0),"")</f>
        <v/>
      </c>
      <c r="DT78" s="45" t="str">
        <f>IFERROR(VLOOKUP(CONCATENATE('Respuestas de formulario 1.1'!$B78,MID('Respuestas de formulario 1.1'!DT$1,2,1)),#REF!,12,0),"")</f>
        <v/>
      </c>
      <c r="DU78" s="45" t="str">
        <f>IFERROR(VLOOKUP(CONCATENATE('Respuestas de formulario 1.1'!$B78,MID('Respuestas de formulario 1.1'!DU$1,2,1)),#REF!,12,0),"")</f>
        <v/>
      </c>
      <c r="DV78" s="45" t="str">
        <f>IFERROR(VLOOKUP(CONCATENATE('Respuestas de formulario 1.1'!$B78,MID('Respuestas de formulario 1.1'!DV$1,2,1)),#REF!,12,0),"")</f>
        <v/>
      </c>
      <c r="DW78" s="45" t="str">
        <f>IFERROR(VLOOKUP(CONCATENATE('Respuestas de formulario 1.1'!$B78,MID('Respuestas de formulario 1.1'!DW$1,2,1)),#REF!,12,0),"")</f>
        <v/>
      </c>
      <c r="DX78" s="45" t="str">
        <f>IFERROR(VLOOKUP(CONCATENATE('Respuestas de formulario 1.1'!$B78,MID('Respuestas de formulario 1.1'!DX$1,2,1)),#REF!,12,0),"")</f>
        <v/>
      </c>
      <c r="DY78" s="45" t="str">
        <f>IFERROR(VLOOKUP(CONCATENATE('Respuestas de formulario 1.1'!$B78,MID('Respuestas de formulario 1.1'!DY$1,2,1)),#REF!,12,0),"")</f>
        <v/>
      </c>
      <c r="DZ78" s="45" t="str">
        <f>IFERROR(VLOOKUP(CONCATENATE('Respuestas de formulario 1.1'!$B78,MID('Respuestas de formulario 1.1'!DZ$1,2,1)),#REF!,12,0),"")</f>
        <v/>
      </c>
      <c r="EA78" s="45" t="str">
        <f>IFERROR(VLOOKUP(CONCATENATE('Respuestas de formulario 1.1'!$B78,MID('Respuestas de formulario 1.1'!EA$1,2,1)),#REF!,12,0),"")</f>
        <v/>
      </c>
      <c r="EB78" s="45" t="str">
        <f>IFERROR(VLOOKUP(CONCATENATE('Respuestas de formulario 1.1'!$B78,MID('Respuestas de formulario 1.1'!EB$1,2,1)),#REF!,12,0),"")</f>
        <v/>
      </c>
      <c r="EC78" s="45" t="str">
        <f>IFERROR(VLOOKUP(CONCATENATE('Respuestas de formulario 1.1'!$B78,MID('Respuestas de formulario 1.1'!EC$1,2,1)),#REF!,12,0),"")</f>
        <v/>
      </c>
      <c r="ED78" s="45" t="str">
        <f>IFERROR(VLOOKUP(CONCATENATE('Respuestas de formulario 1.1'!$B78,MID('Respuestas de formulario 1.1'!ED$1,2,1)),#REF!,12,0),"")</f>
        <v/>
      </c>
      <c r="EE78" s="45" t="str">
        <f>IFERROR(VLOOKUP(CONCATENATE('Respuestas de formulario 1.1'!$B78,MID('Respuestas de formulario 1.1'!EE$1,2,1)),#REF!,12,0),"")</f>
        <v/>
      </c>
      <c r="EF78" s="45" t="str">
        <f>IFERROR(VLOOKUP(CONCATENATE('Respuestas de formulario 1.1'!$B78,MID('Respuestas de formulario 1.1'!EF$1,2,1)),#REF!,12,0),"")</f>
        <v/>
      </c>
      <c r="EG78" s="45" t="str">
        <f>IFERROR(VLOOKUP(CONCATENATE('Respuestas de formulario 1.1'!$B78,MID('Respuestas de formulario 1.1'!EG$1,2,1)),#REF!,12,0),"")</f>
        <v/>
      </c>
      <c r="EH78" s="45" t="str">
        <f>IFERROR(VLOOKUP(CONCATENATE('Respuestas de formulario 1.1'!$B78,MID('Respuestas de formulario 1.1'!EH$1,2,1)),#REF!,12,0),"")</f>
        <v/>
      </c>
      <c r="EI78" s="45" t="str">
        <f>IFERROR(VLOOKUP(CONCATENATE('Respuestas de formulario 1.1'!$B78,MID('Respuestas de formulario 1.1'!EI$1,2,1)),#REF!,12,0),"")</f>
        <v/>
      </c>
      <c r="EJ78" s="45" t="str">
        <f t="array" ref="EJ78">IF(DO78="","", INDEX(#REF!,MATCH(CONCATENATE('Respuestas de formulario 1.1'!$B78,DO78),#REF!,0),MATCH('Respuestas de formulario 1.1'!EJ$1,#REF!,0)))</f>
        <v/>
      </c>
      <c r="EK78" s="56" t="str">
        <f t="array" ref="EK78">IF(DP78="","", INDEX(#REF!,MATCH(CONCATENATE('Respuestas de formulario 1.1'!$B78,DP78),#REF!,0),MATCH('Respuestas de formulario 1.1'!EK$1,#REF!,0)))</f>
        <v/>
      </c>
      <c r="EL78" s="56" t="str">
        <f t="array" ref="EL78">IF(DQ78="","", INDEX(#REF!,MATCH(CONCATENATE('Respuestas de formulario 1.1'!$B78,DQ78),#REF!,0),MATCH('Respuestas de formulario 1.1'!EL$1,#REF!,0)))</f>
        <v/>
      </c>
      <c r="EM78" s="56" t="str">
        <f t="array" ref="EM78">IF(DR78="","", INDEX(#REF!,MATCH(CONCATENATE('Respuestas de formulario 1.1'!$B78,DR78),#REF!,0),MATCH('Respuestas de formulario 1.1'!EM$1,#REF!,0)))</f>
        <v/>
      </c>
      <c r="EN78" s="56" t="str">
        <f t="array" ref="EN78">IF(DS78="","", INDEX(#REF!,MATCH(CONCATENATE('Respuestas de formulario 1.1'!$B78,DS78),#REF!,0),MATCH('Respuestas de formulario 1.1'!EN$1,#REF!,0)))</f>
        <v/>
      </c>
      <c r="EO78" s="56" t="str">
        <f t="array" ref="EO78">IF(DT78="","", INDEX(#REF!,MATCH(CONCATENATE('Respuestas de formulario 1.1'!$B78,DT78),#REF!,0),MATCH('Respuestas de formulario 1.1'!EO$1,#REF!,0)))</f>
        <v/>
      </c>
      <c r="EP78" s="45" t="str">
        <f t="array" ref="EP78">IF(DU78="","", INDEX(#REF!,MATCH(CONCATENATE('Respuestas de formulario 1.1'!$B78,DU78),#REF!,0),MATCH('Respuestas de formulario 1.1'!EP$1,#REF!,0)))</f>
        <v/>
      </c>
      <c r="EQ78" s="45" t="str">
        <f t="array" ref="EQ78">IF(DP78="","", INDEX(#REF!,MATCH(CONCATENATE('Respuestas de formulario 1.1'!$B78,DP78),#REF!,0),MATCH('Respuestas de formulario 1.1'!EQ$1,#REF!,0)))</f>
        <v/>
      </c>
      <c r="ER78" s="56" t="str">
        <f t="array" ref="ER78">IF(DQ78="","", INDEX(#REF!,MATCH(CONCATENATE('Respuestas de formulario 1.1'!$B78,DQ78),#REF!,0),MATCH('Respuestas de formulario 1.1'!ER$1,#REF!,0)))</f>
        <v/>
      </c>
      <c r="ES78" s="56" t="str">
        <f t="array" ref="ES78">IF(DR78="","", INDEX(#REF!,MATCH(CONCATENATE('Respuestas de formulario 1.1'!$B78,DR78),#REF!,0),MATCH('Respuestas de formulario 1.1'!ES$1,#REF!,0)))</f>
        <v/>
      </c>
      <c r="ET78" s="56" t="str">
        <f t="array" ref="ET78">IF(DS78="","", INDEX(#REF!,MATCH(CONCATENATE('Respuestas de formulario 1.1'!$B78,DS78),#REF!,0),MATCH('Respuestas de formulario 1.1'!ET$1,#REF!,0)))</f>
        <v/>
      </c>
      <c r="EU78" s="56" t="str">
        <f t="array" ref="EU78">IF(DT78="","", INDEX(#REF!,MATCH(CONCATENATE('Respuestas de formulario 1.1'!$B78,DT78),#REF!,0),MATCH('Respuestas de formulario 1.1'!EU$1,#REF!,0)))</f>
        <v/>
      </c>
      <c r="EV78" s="56" t="str">
        <f t="array" ref="EV78">IF(DU78="","", INDEX(#REF!,MATCH(CONCATENATE('Respuestas de formulario 1.1'!$B78,DU78),#REF!,0),MATCH('Respuestas de formulario 1.1'!EV$1,#REF!,0)))</f>
        <v/>
      </c>
      <c r="EW78" s="45" t="str">
        <f t="array" ref="EW78">IF(DV78="","", INDEX(#REF!,MATCH(CONCATENATE('Respuestas de formulario 1.1'!$B78,DV78),#REF!,0),MATCH('Respuestas de formulario 1.1'!EW$1,#REF!,0)))</f>
        <v/>
      </c>
      <c r="EX78" s="45" t="str">
        <f t="array" ref="EX78">IF($DQ78="","", INDEX(#REF!,MATCH(CONCATENATE('Respuestas de formulario 1.1'!$B78,$DQ78),#REF!,0),MATCH('Respuestas de formulario 1.1'!EX$1,#REF!,0)))</f>
        <v/>
      </c>
      <c r="EY78" s="56" t="str">
        <f t="array" ref="EY78">IF($DQ78="","", INDEX(#REF!,MATCH(CONCATENATE('Respuestas de formulario 1.1'!$B78,$DQ78),#REF!,0),MATCH('Respuestas de formulario 1.1'!EY$1,#REF!,0)))</f>
        <v/>
      </c>
      <c r="EZ78" s="56" t="str">
        <f t="array" ref="EZ78">IF($DQ78="","", INDEX(#REF!,MATCH(CONCATENATE('Respuestas de formulario 1.1'!$B78,$DQ78),#REF!,0),MATCH('Respuestas de formulario 1.1'!EZ$1,#REF!,0)))</f>
        <v/>
      </c>
      <c r="FA78" s="56" t="str">
        <f t="array" ref="FA78">IF($DQ78="","", INDEX(#REF!,MATCH(CONCATENATE('Respuestas de formulario 1.1'!$B78,$DQ78),#REF!,0),MATCH('Respuestas de formulario 1.1'!FA$1,#REF!,0)))</f>
        <v/>
      </c>
      <c r="FB78" s="56" t="str">
        <f t="array" ref="FB78">IF($DQ78="","", INDEX(#REF!,MATCH(CONCATENATE('Respuestas de formulario 1.1'!$B78,$DQ78),#REF!,0),MATCH('Respuestas de formulario 1.1'!FB$1,#REF!,0)))</f>
        <v/>
      </c>
      <c r="FC78" s="56" t="str">
        <f t="array" ref="FC78">IF($DQ78="","", INDEX(#REF!,MATCH(CONCATENATE('Respuestas de formulario 1.1'!$B78,$DQ78),#REF!,0),MATCH('Respuestas de formulario 1.1'!FC$1,#REF!,0)))</f>
        <v/>
      </c>
      <c r="FD78" s="45" t="str">
        <f t="array" ref="FD78">IF($DQ78="","", INDEX(#REF!,MATCH(CONCATENATE('Respuestas de formulario 1.1'!$B78,$DQ78),#REF!,0),MATCH('Respuestas de formulario 1.1'!FD$1,#REF!,0)))</f>
        <v/>
      </c>
      <c r="FE78" s="45" t="str">
        <f t="array" ref="FE78">IF($DR78="","", INDEX(#REF!,MATCH(CONCATENATE(#REF!,$DR78),#REF!,0),MATCH(#REF!,#REF!,0)))</f>
        <v/>
      </c>
      <c r="FF78" s="56" t="str">
        <f t="array" ref="FF78">IF($DR78="","", INDEX(#REF!,MATCH(CONCATENATE(#REF!,$DR78),#REF!,0),MATCH(#REF!,#REF!,0)))</f>
        <v/>
      </c>
      <c r="FG78" s="56" t="str">
        <f t="array" ref="FG78">IF($DR78="","", INDEX(#REF!,MATCH(CONCATENATE(#REF!,$DR78),#REF!,0),MATCH(#REF!,#REF!,0)))</f>
        <v/>
      </c>
      <c r="FH78" s="56" t="str">
        <f t="array" ref="FH78">IF($DR78="","", INDEX(#REF!,MATCH(CONCATENATE(#REF!,$DR78),#REF!,0),MATCH(#REF!,#REF!,0)))</f>
        <v/>
      </c>
      <c r="FI78" s="56" t="str">
        <f t="array" ref="FI78">IF($DR78="","", INDEX(#REF!,MATCH(CONCATENATE(#REF!,$DR78),#REF!,0),MATCH(#REF!,#REF!,0)))</f>
        <v/>
      </c>
      <c r="FJ78" s="56" t="str">
        <f t="array" ref="FJ78">IF($DR78="","", INDEX(#REF!,MATCH(CONCATENATE(#REF!,$DR78),#REF!,0),MATCH(#REF!,#REF!,0)))</f>
        <v/>
      </c>
      <c r="FK78" s="45" t="str">
        <f t="array" ref="FK78">IF($DR78="","", INDEX(#REF!,MATCH(CONCATENATE(#REF!,$DR78),#REF!,0),MATCH(#REF!,#REF!,0)))</f>
        <v/>
      </c>
      <c r="FL78" s="45" t="str">
        <f t="array" ref="FL78">IF($DT78="","", INDEX(#REF!,MATCH(CONCATENATE('Respuestas de formulario 1.1'!$B78,$DS78),#REF!,0),MATCH('Respuestas de formulario 1.1'!FL$1,#REF!,0)))</f>
        <v/>
      </c>
      <c r="FM78" s="56" t="str">
        <f t="array" ref="FM78">IF($DT78="","", INDEX(#REF!,MATCH(CONCATENATE('Respuestas de formulario 1.1'!$B78,$DS78),#REF!,0),MATCH('Respuestas de formulario 1.1'!FM$1,#REF!,0)))</f>
        <v/>
      </c>
      <c r="FN78" s="56" t="str">
        <f t="array" ref="FN78">IF($DT78="","", INDEX(#REF!,MATCH(CONCATENATE('Respuestas de formulario 1.1'!$B78,$DS78),#REF!,0),MATCH('Respuestas de formulario 1.1'!FN$1,#REF!,0)))</f>
        <v/>
      </c>
      <c r="FO78" s="56" t="str">
        <f t="array" ref="FO78">IF($DT78="","", INDEX(#REF!,MATCH(CONCATENATE('Respuestas de formulario 1.1'!$B78,$DS78),#REF!,0),MATCH('Respuestas de formulario 1.1'!FO$1,#REF!,0)))</f>
        <v/>
      </c>
      <c r="FP78" s="56" t="str">
        <f t="array" ref="FP78">IF($DT78="","", INDEX(#REF!,MATCH(CONCATENATE('Respuestas de formulario 1.1'!$B78,$DS78),#REF!,0),MATCH('Respuestas de formulario 1.1'!FP$1,#REF!,0)))</f>
        <v/>
      </c>
      <c r="FQ78" s="56" t="str">
        <f t="array" ref="FQ78">IF($DT78="","", INDEX(#REF!,MATCH(CONCATENATE('Respuestas de formulario 1.1'!$B78,$DS78),#REF!,0),MATCH('Respuestas de formulario 1.1'!FQ$1,#REF!,0)))</f>
        <v/>
      </c>
      <c r="FR78" s="45" t="str">
        <f t="array" ref="FR78">IF($DT78="","", INDEX(#REF!,MATCH(CONCATENATE('Respuestas de formulario 1.1'!$B78,$DS78),#REF!,0),MATCH('Respuestas de formulario 1.1'!FR$1,#REF!,0)))</f>
        <v/>
      </c>
      <c r="FS78" s="45" t="str">
        <f t="array" ref="FS78">IF($DU78="","", INDEX(#REF!,MATCH(CONCATENATE('Respuestas de formulario 1.1'!$B78,$DT78),#REF!,0),MATCH('Respuestas de formulario 1.1'!FS$1,#REF!,0)))</f>
        <v/>
      </c>
      <c r="FT78" s="56" t="str">
        <f t="array" ref="FT78">IF($DU78="","", INDEX(#REF!,MATCH(CONCATENATE('Respuestas de formulario 1.1'!$B78,$DT78),#REF!,0),MATCH('Respuestas de formulario 1.1'!FT$1,#REF!,0)))</f>
        <v/>
      </c>
      <c r="FU78" s="56" t="str">
        <f t="array" ref="FU78">IF($DU78="","", INDEX(#REF!,MATCH(CONCATENATE('Respuestas de formulario 1.1'!$B78,$DT78),#REF!,0),MATCH('Respuestas de formulario 1.1'!FU$1,#REF!,0)))</f>
        <v/>
      </c>
      <c r="FV78" s="56" t="str">
        <f t="array" ref="FV78">IF($DU78="","", INDEX(#REF!,MATCH(CONCATENATE('Respuestas de formulario 1.1'!$B78,$DT78),#REF!,0),MATCH('Respuestas de formulario 1.1'!FV$1,#REF!,0)))</f>
        <v/>
      </c>
      <c r="FW78" s="56" t="str">
        <f t="array" ref="FW78">IF($DU78="","", INDEX(#REF!,MATCH(CONCATENATE('Respuestas de formulario 1.1'!$B78,$DT78),#REF!,0),MATCH('Respuestas de formulario 1.1'!FW$1,#REF!,0)))</f>
        <v/>
      </c>
      <c r="FX78" s="56" t="str">
        <f t="array" ref="FX78">IF($DU78="","", INDEX(#REF!,MATCH(CONCATENATE('Respuestas de formulario 1.1'!$B78,$DT78),#REF!,0),MATCH('Respuestas de formulario 1.1'!FX$1,#REF!,0)))</f>
        <v/>
      </c>
      <c r="FY78" s="45" t="str">
        <f t="array" ref="FY78">IF($DU78="","", INDEX(#REF!,MATCH(CONCATENATE('Respuestas de formulario 1.1'!$B78,$DT78),#REF!,0),MATCH('Respuestas de formulario 1.1'!FY$1,#REF!,0)))</f>
        <v/>
      </c>
      <c r="FZ78" s="3" t="s">
        <v>2860</v>
      </c>
      <c r="GA78" s="1" t="s">
        <v>4171</v>
      </c>
      <c r="GB78" s="5" t="s">
        <v>4172</v>
      </c>
      <c r="GC78" s="4" t="str">
        <f>HYPERLINK("https://drive.google.com/file/d/1tQ-sTxIlkFwfPXjyQJoJrjK1vGY5O88j/view?usp=drivesdk","JUAREZ RANGEL NATALIA MICHELL  Formato de reinscripción y pago 2022-2")</f>
        <v>JUAREZ RANGEL NATALIA MICHELL  Formato de reinscripción y pago 2022-2</v>
      </c>
      <c r="GD78" s="1" t="s">
        <v>4173</v>
      </c>
      <c r="GE78" s="1"/>
      <c r="GF78" s="1"/>
      <c r="GG78" s="1"/>
      <c r="GH78" s="1"/>
      <c r="GI78" s="1" t="s">
        <v>4174</v>
      </c>
      <c r="GJ78" s="5" t="s">
        <v>4175</v>
      </c>
      <c r="GK78" s="5" t="str">
        <f>HYPERLINK("https://drive.google.com/file/d/1ebaEMq-daJjt6oKi_jD7kVeoGiyzFcwq/view?usp=drivesdk","JUAREZ RANGEL NATALIA MICHELL  Formato de reinscripción y pago 2022-2")</f>
        <v>JUAREZ RANGEL NATALIA MICHELL  Formato de reinscripción y pago 2022-2</v>
      </c>
      <c r="GL78" s="1" t="s">
        <v>4176</v>
      </c>
    </row>
    <row r="79" spans="1:194" ht="38.25" x14ac:dyDescent="0.2">
      <c r="A79" s="2">
        <v>45139.389848287035</v>
      </c>
      <c r="B79" s="1" t="s">
        <v>35</v>
      </c>
      <c r="C79" s="1" t="s">
        <v>911</v>
      </c>
      <c r="D79" s="1" t="s">
        <v>661</v>
      </c>
      <c r="E79" s="1" t="s">
        <v>4177</v>
      </c>
      <c r="F79" s="1" t="s">
        <v>223</v>
      </c>
      <c r="G79" s="5" t="s">
        <v>4178</v>
      </c>
      <c r="H79" s="41">
        <v>39234</v>
      </c>
      <c r="I79" s="1">
        <v>16</v>
      </c>
      <c r="J79" s="1">
        <v>5610909263</v>
      </c>
      <c r="K79" s="1">
        <v>5592763339</v>
      </c>
      <c r="L79" s="1" t="s">
        <v>2075</v>
      </c>
      <c r="M79" s="1">
        <v>22309060570102</v>
      </c>
      <c r="N79" s="1" t="s">
        <v>562</v>
      </c>
      <c r="O79" s="1" t="s">
        <v>247</v>
      </c>
      <c r="P79" s="1" t="s">
        <v>226</v>
      </c>
      <c r="Q79" s="1" t="s">
        <v>227</v>
      </c>
      <c r="R79" s="1" t="s">
        <v>236</v>
      </c>
      <c r="S79" s="1" t="s">
        <v>228</v>
      </c>
      <c r="T79" s="1" t="s">
        <v>229</v>
      </c>
      <c r="U79" s="1" t="s">
        <v>289</v>
      </c>
      <c r="V79" s="1" t="s">
        <v>228</v>
      </c>
      <c r="W79" s="1" t="s">
        <v>4179</v>
      </c>
      <c r="X79" s="1" t="s">
        <v>289</v>
      </c>
      <c r="Y79" s="1" t="s">
        <v>1281</v>
      </c>
      <c r="Z79" s="1" t="s">
        <v>231</v>
      </c>
      <c r="AA79" s="1">
        <v>56585</v>
      </c>
      <c r="AB79" s="1" t="s">
        <v>4180</v>
      </c>
      <c r="AC79" s="1">
        <v>41</v>
      </c>
      <c r="AD79" s="1" t="s">
        <v>4181</v>
      </c>
      <c r="AE79" s="1" t="s">
        <v>4182</v>
      </c>
      <c r="AF79" s="1" t="s">
        <v>265</v>
      </c>
      <c r="AG79" s="1">
        <v>38</v>
      </c>
      <c r="AH79" s="5" t="s">
        <v>4183</v>
      </c>
      <c r="AI79" s="1">
        <v>5575546387</v>
      </c>
      <c r="AJ79" s="1">
        <v>5592763336</v>
      </c>
      <c r="AK79" s="1" t="s">
        <v>2076</v>
      </c>
      <c r="AL79" s="1" t="s">
        <v>244</v>
      </c>
      <c r="AM79" s="1" t="s">
        <v>382</v>
      </c>
      <c r="AN79" s="1" t="s">
        <v>2077</v>
      </c>
      <c r="AO79" s="1" t="s">
        <v>907</v>
      </c>
      <c r="AP79" s="1">
        <v>57</v>
      </c>
      <c r="AQ79" s="1" t="s">
        <v>233</v>
      </c>
      <c r="AR79" s="42">
        <v>0</v>
      </c>
      <c r="AS79" s="42">
        <v>0</v>
      </c>
      <c r="AT79" s="1">
        <v>5517612023</v>
      </c>
      <c r="AU79" s="1">
        <v>5592763336</v>
      </c>
      <c r="AV79" s="1" t="s">
        <v>4184</v>
      </c>
      <c r="AW79" s="5" t="s">
        <v>4185</v>
      </c>
      <c r="AX79" s="1" t="s">
        <v>661</v>
      </c>
      <c r="AY79" s="1" t="s">
        <v>4186</v>
      </c>
      <c r="AZ79" s="1" t="s">
        <v>736</v>
      </c>
      <c r="BA79" s="1" t="s">
        <v>2021</v>
      </c>
      <c r="BB79" s="1">
        <v>59</v>
      </c>
      <c r="BC79" s="1" t="s">
        <v>4187</v>
      </c>
      <c r="BD79" s="43">
        <v>0.29166666666424135</v>
      </c>
      <c r="BE79" s="43">
        <v>0.70833333333575865</v>
      </c>
      <c r="BF79" s="1">
        <v>5567532855</v>
      </c>
      <c r="BG79" s="1">
        <v>5592763338</v>
      </c>
      <c r="BH79" s="1" t="s">
        <v>4188</v>
      </c>
      <c r="BI79" s="5" t="s">
        <v>4189</v>
      </c>
      <c r="BJ79" s="1" t="s">
        <v>236</v>
      </c>
      <c r="BL79" s="1">
        <v>165</v>
      </c>
      <c r="BM79" s="1">
        <v>62</v>
      </c>
      <c r="BN79" s="1" t="s">
        <v>236</v>
      </c>
      <c r="BO79" s="1" t="s">
        <v>228</v>
      </c>
      <c r="BQ79" s="1" t="s">
        <v>228</v>
      </c>
      <c r="BR79" s="1" t="s">
        <v>348</v>
      </c>
      <c r="BS79" s="1" t="s">
        <v>228</v>
      </c>
      <c r="BT79" s="1" t="s">
        <v>237</v>
      </c>
      <c r="BU79" s="1" t="s">
        <v>228</v>
      </c>
      <c r="BW79" s="1" t="s">
        <v>238</v>
      </c>
      <c r="BX79" s="1">
        <v>240</v>
      </c>
      <c r="BY79" s="1">
        <v>250</v>
      </c>
      <c r="BZ79" s="1" t="s">
        <v>253</v>
      </c>
      <c r="CA79" s="1" t="s">
        <v>343</v>
      </c>
      <c r="CB79" s="1" t="s">
        <v>231</v>
      </c>
      <c r="CC79" s="1" t="s">
        <v>255</v>
      </c>
      <c r="CD79" s="1">
        <v>2000</v>
      </c>
      <c r="CE79" s="1">
        <v>2000</v>
      </c>
      <c r="CF79" s="1" t="s">
        <v>236</v>
      </c>
      <c r="CG79" s="1" t="s">
        <v>242</v>
      </c>
      <c r="CH79" s="1" t="s">
        <v>243</v>
      </c>
      <c r="CI79" s="1" t="s">
        <v>243</v>
      </c>
      <c r="CJ79" s="1" t="s">
        <v>2848</v>
      </c>
      <c r="CL79" s="5" t="s">
        <v>4190</v>
      </c>
      <c r="CM79" s="1">
        <v>69210702887</v>
      </c>
      <c r="CN79" s="1" t="s">
        <v>228</v>
      </c>
      <c r="CQ79" s="42">
        <v>0.41666666666424135</v>
      </c>
      <c r="CR79" s="42">
        <v>0.85416666666424135</v>
      </c>
      <c r="CT79" s="45" t="str">
        <f t="array" ref="CT79">IFERROR(INDEX(#REF!,MATCH('Respuestas de formulario 1.1'!$B79,#REF!,0),MATCH('Respuestas de formulario 1.1'!CT$1,#REF!,0)),"")</f>
        <v/>
      </c>
      <c r="CU79" s="56" t="str">
        <f t="array" ref="CU79">IFERROR(INDEX(#REF!,MATCH('Respuestas de formulario 1.1'!$B79,#REF!,0),MATCH('Respuestas de formulario 1.1'!CU$1,#REF!,0)),"")</f>
        <v/>
      </c>
      <c r="CV79" s="56" t="str">
        <f t="array" ref="CV79">IFERROR(INDEX(#REF!,MATCH('Respuestas de formulario 1.1'!$B79,#REF!,0),MATCH('Respuestas de formulario 1.1'!CV$1,#REF!,0)),"")</f>
        <v/>
      </c>
      <c r="CW79" s="56" t="str">
        <f t="array" ref="CW79">IFERROR(INDEX(#REF!,MATCH('Respuestas de formulario 1.1'!$B79,#REF!,0),MATCH('Respuestas de formulario 1.1'!CW$1,#REF!,0)),"")</f>
        <v/>
      </c>
      <c r="CX79" s="56" t="str">
        <f t="array" ref="CX79">IFERROR(INDEX(#REF!,MATCH('Respuestas de formulario 1.1'!$B79,#REF!,0),MATCH('Respuestas de formulario 1.1'!CX$1,#REF!,0)),"")</f>
        <v/>
      </c>
      <c r="CY79" s="56" t="str">
        <f t="array" ref="CY79">IFERROR(INDEX(#REF!,MATCH('Respuestas de formulario 1.1'!$B79,#REF!,0),MATCH('Respuestas de formulario 1.1'!CY$1,#REF!,0)),"")</f>
        <v/>
      </c>
      <c r="CZ79" s="57" t="str">
        <f t="array" ref="CZ79">IFERROR(INDEX(#REF!,MATCH('Respuestas de formulario 1.1'!$B79,#REF!,0),MATCH('Respuestas de formulario 1.1'!CZ$1,#REF!,0)),"")</f>
        <v/>
      </c>
      <c r="DA79" s="45" t="e">
        <f t="array" ref="DA79">INDEX(#REF!,MATCH('Respuestas de formulario 1.1'!$B79,#REF!,0),MATCH('Respuestas de formulario 1.1'!DA$1,#REF!,0))</f>
        <v>#REF!</v>
      </c>
      <c r="DB79" s="45" t="e">
        <f t="array" ref="DB79">INDEX(#REF!,MATCH('Respuestas de formulario 1.1'!$B79,#REF!,0),MATCH('Respuestas de formulario 1.1'!DB$1,#REF!,0))</f>
        <v>#REF!</v>
      </c>
      <c r="DC79" s="45" t="e">
        <f t="array" ref="DC79">INDEX(#REF!,MATCH('Respuestas de formulario 1.1'!$B79,#REF!,0),MATCH('Respuestas de formulario 1.1'!DC$1,#REF!,0))</f>
        <v>#REF!</v>
      </c>
      <c r="DD79" s="45" t="e">
        <f t="array" ref="DD79">INDEX(#REF!,MATCH('Respuestas de formulario 1.1'!$B79,#REF!,0),MATCH('Respuestas de formulario 1.1'!DD$1,#REF!,0))</f>
        <v>#REF!</v>
      </c>
      <c r="DE79" s="45" t="e">
        <f t="array" ref="DE79">INDEX(#REF!,MATCH('Respuestas de formulario 1.1'!$B79,#REF!,0),MATCH('Respuestas de formulario 1.1'!DE$1,#REF!,0))</f>
        <v>#REF!</v>
      </c>
      <c r="DF79" s="45" t="e">
        <f t="array" ref="DF79">INDEX(#REF!,MATCH('Respuestas de formulario 1.1'!$B79,#REF!,0),MATCH('Respuestas de formulario 1.1'!DF$1,#REF!,0))</f>
        <v>#REF!</v>
      </c>
      <c r="DG79" s="45" t="e">
        <f t="array" ref="DG79">INDEX(#REF!,MATCH('Respuestas de formulario 1.1'!$B79,#REF!,0),MATCH('Respuestas de formulario 1.1'!DG$1,#REF!,0))</f>
        <v>#REF!</v>
      </c>
      <c r="DH79" s="45" t="e">
        <f t="array" ref="DH79">INDEX(#REF!,MATCH('Respuestas de formulario 1.1'!$B79,#REF!,0),MATCH('Respuestas de formulario 1.1'!DH$1,#REF!,0))</f>
        <v>#REF!</v>
      </c>
      <c r="DI79" s="48" t="e">
        <f>VLOOKUP(CONCATENATE($DF79," TUTO ",$DC79),#REF!,3,0)</f>
        <v>#REF!</v>
      </c>
      <c r="DJ79" s="48" t="e">
        <f t="array" ref="DJ79">IF('Respuestas de formulario 1.1'!A79="","",INDEX(#REF!,MATCH('Respuestas de formulario 1.1'!B79,#REF!,0),MATCH('Respuestas de formulario 1.1'!$DH$1,#REF!,0)))</f>
        <v>#REF!</v>
      </c>
      <c r="DK79" s="52" t="str">
        <f>CONCATENATE("http://doc.google.com/uc?id=",MID('Respuestas de formulario 1.1'!G79,34,33))</f>
        <v>http://doc.google.com/uc?id=1UkHwjG03nvtwJ6MTE0Et52iFrvwRqdgK</v>
      </c>
      <c r="DL79" s="49" t="str">
        <f>CONCATENATE("http://doc.google.com/uc?id=",MID('Respuestas de formulario 1.1'!AH79,34,33))</f>
        <v>http://doc.google.com/uc?id=1WHcdPLPfeMuoRcxbChgEPenX6bJ2pHZV</v>
      </c>
      <c r="DM79" s="50" t="str">
        <f>CONCATENATE("http://doc.google.com/uc?id=",MID('Respuestas de formulario 1.1'!AW79,34,33))</f>
        <v>http://doc.google.com/uc?id=1kfLuxAYIBg-rJfP_lHOYYH93-8fRjbMK</v>
      </c>
      <c r="DN79" s="53" t="str">
        <f>CONCATENATE("http://doc.google.com/uc?id=",MID('Respuestas de formulario 1.1'!$BI79,34,33))</f>
        <v>http://doc.google.com/uc?id=1JLBxumpyr2sC4cD1qY0h9_R5gAsHQSZF</v>
      </c>
      <c r="DO79" s="45" t="str">
        <f>IFERROR(VLOOKUP(CONCATENATE('Respuestas de formulario 1.1'!$B79,MID('Respuestas de formulario 1.1'!DO$1,2,1)),#REF!,12,0),"")</f>
        <v/>
      </c>
      <c r="DP79" s="45" t="str">
        <f>IFERROR(VLOOKUP(CONCATENATE('Respuestas de formulario 1.1'!$B79,MID('Respuestas de formulario 1.1'!DP$1,2,1)),#REF!,12,0),"")</f>
        <v/>
      </c>
      <c r="DQ79" s="45" t="str">
        <f>IFERROR(VLOOKUP(CONCATENATE('Respuestas de formulario 1.1'!$B79,MID('Respuestas de formulario 1.1'!DQ$1,2,1)),#REF!,12,0),"")</f>
        <v/>
      </c>
      <c r="DR79" s="45" t="str">
        <f>IFERROR(VLOOKUP(CONCATENATE('Respuestas de formulario 1.1'!$B79,MID('Respuestas de formulario 1.1'!DR$1,2,1)),#REF!,12,0),"")</f>
        <v/>
      </c>
      <c r="DS79" s="45" t="str">
        <f>IFERROR(VLOOKUP(CONCATENATE('Respuestas de formulario 1.1'!$B79,MID('Respuestas de formulario 1.1'!DS$1,2,1)),#REF!,12,0),"")</f>
        <v/>
      </c>
      <c r="DT79" s="45" t="str">
        <f>IFERROR(VLOOKUP(CONCATENATE('Respuestas de formulario 1.1'!$B79,MID('Respuestas de formulario 1.1'!DT$1,2,1)),#REF!,12,0),"")</f>
        <v/>
      </c>
      <c r="DU79" s="45" t="str">
        <f>IFERROR(VLOOKUP(CONCATENATE('Respuestas de formulario 1.1'!$B79,MID('Respuestas de formulario 1.1'!DU$1,2,1)),#REF!,12,0),"")</f>
        <v/>
      </c>
      <c r="DV79" s="45" t="str">
        <f>IFERROR(VLOOKUP(CONCATENATE('Respuestas de formulario 1.1'!$B79,MID('Respuestas de formulario 1.1'!DV$1,2,1)),#REF!,12,0),"")</f>
        <v/>
      </c>
      <c r="DW79" s="45" t="str">
        <f>IFERROR(VLOOKUP(CONCATENATE('Respuestas de formulario 1.1'!$B79,MID('Respuestas de formulario 1.1'!DW$1,2,1)),#REF!,12,0),"")</f>
        <v/>
      </c>
      <c r="DX79" s="45" t="str">
        <f>IFERROR(VLOOKUP(CONCATENATE('Respuestas de formulario 1.1'!$B79,MID('Respuestas de formulario 1.1'!DX$1,2,1)),#REF!,12,0),"")</f>
        <v/>
      </c>
      <c r="DY79" s="45" t="str">
        <f>IFERROR(VLOOKUP(CONCATENATE('Respuestas de formulario 1.1'!$B79,MID('Respuestas de formulario 1.1'!DY$1,2,1)),#REF!,12,0),"")</f>
        <v/>
      </c>
      <c r="DZ79" s="45" t="str">
        <f>IFERROR(VLOOKUP(CONCATENATE('Respuestas de formulario 1.1'!$B79,MID('Respuestas de formulario 1.1'!DZ$1,2,1)),#REF!,12,0),"")</f>
        <v/>
      </c>
      <c r="EA79" s="45" t="str">
        <f>IFERROR(VLOOKUP(CONCATENATE('Respuestas de formulario 1.1'!$B79,MID('Respuestas de formulario 1.1'!EA$1,2,1)),#REF!,12,0),"")</f>
        <v/>
      </c>
      <c r="EB79" s="45" t="str">
        <f>IFERROR(VLOOKUP(CONCATENATE('Respuestas de formulario 1.1'!$B79,MID('Respuestas de formulario 1.1'!EB$1,2,1)),#REF!,12,0),"")</f>
        <v/>
      </c>
      <c r="EC79" s="45" t="str">
        <f>IFERROR(VLOOKUP(CONCATENATE('Respuestas de formulario 1.1'!$B79,MID('Respuestas de formulario 1.1'!EC$1,2,1)),#REF!,12,0),"")</f>
        <v/>
      </c>
      <c r="ED79" s="45" t="str">
        <f>IFERROR(VLOOKUP(CONCATENATE('Respuestas de formulario 1.1'!$B79,MID('Respuestas de formulario 1.1'!ED$1,2,1)),#REF!,12,0),"")</f>
        <v/>
      </c>
      <c r="EE79" s="45" t="str">
        <f>IFERROR(VLOOKUP(CONCATENATE('Respuestas de formulario 1.1'!$B79,MID('Respuestas de formulario 1.1'!EE$1,2,1)),#REF!,12,0),"")</f>
        <v/>
      </c>
      <c r="EF79" s="45" t="str">
        <f>IFERROR(VLOOKUP(CONCATENATE('Respuestas de formulario 1.1'!$B79,MID('Respuestas de formulario 1.1'!EF$1,2,1)),#REF!,12,0),"")</f>
        <v/>
      </c>
      <c r="EG79" s="45" t="str">
        <f>IFERROR(VLOOKUP(CONCATENATE('Respuestas de formulario 1.1'!$B79,MID('Respuestas de formulario 1.1'!EG$1,2,1)),#REF!,12,0),"")</f>
        <v/>
      </c>
      <c r="EH79" s="45" t="str">
        <f>IFERROR(VLOOKUP(CONCATENATE('Respuestas de formulario 1.1'!$B79,MID('Respuestas de formulario 1.1'!EH$1,2,1)),#REF!,12,0),"")</f>
        <v/>
      </c>
      <c r="EI79" s="45" t="str">
        <f>IFERROR(VLOOKUP(CONCATENATE('Respuestas de formulario 1.1'!$B79,MID('Respuestas de formulario 1.1'!EI$1,2,1)),#REF!,12,0),"")</f>
        <v/>
      </c>
      <c r="EJ79" s="45" t="str">
        <f t="array" ref="EJ79">IF(DO79="","", INDEX(#REF!,MATCH(CONCATENATE('Respuestas de formulario 1.1'!$B79,DO79),#REF!,0),MATCH('Respuestas de formulario 1.1'!EJ$1,#REF!,0)))</f>
        <v/>
      </c>
      <c r="EK79" s="56" t="str">
        <f t="array" ref="EK79">IF(DP79="","", INDEX(#REF!,MATCH(CONCATENATE('Respuestas de formulario 1.1'!$B79,DP79),#REF!,0),MATCH('Respuestas de formulario 1.1'!EK$1,#REF!,0)))</f>
        <v/>
      </c>
      <c r="EL79" s="56" t="str">
        <f t="array" ref="EL79">IF(DQ79="","", INDEX(#REF!,MATCH(CONCATENATE('Respuestas de formulario 1.1'!$B79,DQ79),#REF!,0),MATCH('Respuestas de formulario 1.1'!EL$1,#REF!,0)))</f>
        <v/>
      </c>
      <c r="EM79" s="56" t="str">
        <f t="array" ref="EM79">IF(DR79="","", INDEX(#REF!,MATCH(CONCATENATE('Respuestas de formulario 1.1'!$B79,DR79),#REF!,0),MATCH('Respuestas de formulario 1.1'!EM$1,#REF!,0)))</f>
        <v/>
      </c>
      <c r="EN79" s="56" t="str">
        <f t="array" ref="EN79">IF(DS79="","", INDEX(#REF!,MATCH(CONCATENATE('Respuestas de formulario 1.1'!$B79,DS79),#REF!,0),MATCH('Respuestas de formulario 1.1'!EN$1,#REF!,0)))</f>
        <v/>
      </c>
      <c r="EO79" s="56" t="str">
        <f t="array" ref="EO79">IF(DT79="","", INDEX(#REF!,MATCH(CONCATENATE('Respuestas de formulario 1.1'!$B79,DT79),#REF!,0),MATCH('Respuestas de formulario 1.1'!EO$1,#REF!,0)))</f>
        <v/>
      </c>
      <c r="EP79" s="45" t="str">
        <f t="array" ref="EP79">IF(DU79="","", INDEX(#REF!,MATCH(CONCATENATE('Respuestas de formulario 1.1'!$B79,DU79),#REF!,0),MATCH('Respuestas de formulario 1.1'!EP$1,#REF!,0)))</f>
        <v/>
      </c>
      <c r="EQ79" s="45" t="str">
        <f t="array" ref="EQ79">IF(DP79="","", INDEX(#REF!,MATCH(CONCATENATE('Respuestas de formulario 1.1'!$B79,DP79),#REF!,0),MATCH('Respuestas de formulario 1.1'!EQ$1,#REF!,0)))</f>
        <v/>
      </c>
      <c r="ER79" s="56" t="str">
        <f t="array" ref="ER79">IF(DQ79="","", INDEX(#REF!,MATCH(CONCATENATE('Respuestas de formulario 1.1'!$B79,DQ79),#REF!,0),MATCH('Respuestas de formulario 1.1'!ER$1,#REF!,0)))</f>
        <v/>
      </c>
      <c r="ES79" s="56" t="str">
        <f t="array" ref="ES79">IF(DR79="","", INDEX(#REF!,MATCH(CONCATENATE('Respuestas de formulario 1.1'!$B79,DR79),#REF!,0),MATCH('Respuestas de formulario 1.1'!ES$1,#REF!,0)))</f>
        <v/>
      </c>
      <c r="ET79" s="56" t="str">
        <f t="array" ref="ET79">IF(DS79="","", INDEX(#REF!,MATCH(CONCATENATE('Respuestas de formulario 1.1'!$B79,DS79),#REF!,0),MATCH('Respuestas de formulario 1.1'!ET$1,#REF!,0)))</f>
        <v/>
      </c>
      <c r="EU79" s="56" t="str">
        <f t="array" ref="EU79">IF(DT79="","", INDEX(#REF!,MATCH(CONCATENATE('Respuestas de formulario 1.1'!$B79,DT79),#REF!,0),MATCH('Respuestas de formulario 1.1'!EU$1,#REF!,0)))</f>
        <v/>
      </c>
      <c r="EV79" s="56" t="str">
        <f t="array" ref="EV79">IF(DU79="","", INDEX(#REF!,MATCH(CONCATENATE('Respuestas de formulario 1.1'!$B79,DU79),#REF!,0),MATCH('Respuestas de formulario 1.1'!EV$1,#REF!,0)))</f>
        <v/>
      </c>
      <c r="EW79" s="45" t="str">
        <f t="array" ref="EW79">IF(DV79="","", INDEX(#REF!,MATCH(CONCATENATE('Respuestas de formulario 1.1'!$B79,DV79),#REF!,0),MATCH('Respuestas de formulario 1.1'!EW$1,#REF!,0)))</f>
        <v/>
      </c>
      <c r="EX79" s="45" t="str">
        <f t="array" ref="EX79">IF($DQ79="","", INDEX(#REF!,MATCH(CONCATENATE('Respuestas de formulario 1.1'!$B79,$DQ79),#REF!,0),MATCH('Respuestas de formulario 1.1'!EX$1,#REF!,0)))</f>
        <v/>
      </c>
      <c r="EY79" s="56" t="str">
        <f t="array" ref="EY79">IF($DQ79="","", INDEX(#REF!,MATCH(CONCATENATE('Respuestas de formulario 1.1'!$B79,$DQ79),#REF!,0),MATCH('Respuestas de formulario 1.1'!EY$1,#REF!,0)))</f>
        <v/>
      </c>
      <c r="EZ79" s="56" t="str">
        <f t="array" ref="EZ79">IF($DQ79="","", INDEX(#REF!,MATCH(CONCATENATE('Respuestas de formulario 1.1'!$B79,$DQ79),#REF!,0),MATCH('Respuestas de formulario 1.1'!EZ$1,#REF!,0)))</f>
        <v/>
      </c>
      <c r="FA79" s="56" t="str">
        <f t="array" ref="FA79">IF($DQ79="","", INDEX(#REF!,MATCH(CONCATENATE('Respuestas de formulario 1.1'!$B79,$DQ79),#REF!,0),MATCH('Respuestas de formulario 1.1'!FA$1,#REF!,0)))</f>
        <v/>
      </c>
      <c r="FB79" s="56" t="str">
        <f t="array" ref="FB79">IF($DQ79="","", INDEX(#REF!,MATCH(CONCATENATE('Respuestas de formulario 1.1'!$B79,$DQ79),#REF!,0),MATCH('Respuestas de formulario 1.1'!FB$1,#REF!,0)))</f>
        <v/>
      </c>
      <c r="FC79" s="56" t="str">
        <f t="array" ref="FC79">IF($DQ79="","", INDEX(#REF!,MATCH(CONCATENATE('Respuestas de formulario 1.1'!$B79,$DQ79),#REF!,0),MATCH('Respuestas de formulario 1.1'!FC$1,#REF!,0)))</f>
        <v/>
      </c>
      <c r="FD79" s="45" t="str">
        <f t="array" ref="FD79">IF($DQ79="","", INDEX(#REF!,MATCH(CONCATENATE('Respuestas de formulario 1.1'!$B79,$DQ79),#REF!,0),MATCH('Respuestas de formulario 1.1'!FD$1,#REF!,0)))</f>
        <v/>
      </c>
      <c r="FE79" s="45" t="str">
        <f t="array" ref="FE79">IF($DR79="","", INDEX(#REF!,MATCH(CONCATENATE(#REF!,$DR79),#REF!,0),MATCH(#REF!,#REF!,0)))</f>
        <v/>
      </c>
      <c r="FF79" s="56" t="str">
        <f t="array" ref="FF79">IF($DR79="","", INDEX(#REF!,MATCH(CONCATENATE(#REF!,$DR79),#REF!,0),MATCH(#REF!,#REF!,0)))</f>
        <v/>
      </c>
      <c r="FG79" s="56" t="str">
        <f t="array" ref="FG79">IF($DR79="","", INDEX(#REF!,MATCH(CONCATENATE(#REF!,$DR79),#REF!,0),MATCH(#REF!,#REF!,0)))</f>
        <v/>
      </c>
      <c r="FH79" s="56" t="str">
        <f t="array" ref="FH79">IF($DR79="","", INDEX(#REF!,MATCH(CONCATENATE(#REF!,$DR79),#REF!,0),MATCH(#REF!,#REF!,0)))</f>
        <v/>
      </c>
      <c r="FI79" s="56" t="str">
        <f t="array" ref="FI79">IF($DR79="","", INDEX(#REF!,MATCH(CONCATENATE(#REF!,$DR79),#REF!,0),MATCH(#REF!,#REF!,0)))</f>
        <v/>
      </c>
      <c r="FJ79" s="56" t="str">
        <f t="array" ref="FJ79">IF($DR79="","", INDEX(#REF!,MATCH(CONCATENATE(#REF!,$DR79),#REF!,0),MATCH(#REF!,#REF!,0)))</f>
        <v/>
      </c>
      <c r="FK79" s="45" t="str">
        <f t="array" ref="FK79">IF($DR79="","", INDEX(#REF!,MATCH(CONCATENATE(#REF!,$DR79),#REF!,0),MATCH(#REF!,#REF!,0)))</f>
        <v/>
      </c>
      <c r="FL79" s="45" t="str">
        <f t="array" ref="FL79">IF($DT79="","", INDEX(#REF!,MATCH(CONCATENATE('Respuestas de formulario 1.1'!$B79,$DS79),#REF!,0),MATCH('Respuestas de formulario 1.1'!FL$1,#REF!,0)))</f>
        <v/>
      </c>
      <c r="FM79" s="56" t="str">
        <f t="array" ref="FM79">IF($DT79="","", INDEX(#REF!,MATCH(CONCATENATE('Respuestas de formulario 1.1'!$B79,$DS79),#REF!,0),MATCH('Respuestas de formulario 1.1'!FM$1,#REF!,0)))</f>
        <v/>
      </c>
      <c r="FN79" s="56" t="str">
        <f t="array" ref="FN79">IF($DT79="","", INDEX(#REF!,MATCH(CONCATENATE('Respuestas de formulario 1.1'!$B79,$DS79),#REF!,0),MATCH('Respuestas de formulario 1.1'!FN$1,#REF!,0)))</f>
        <v/>
      </c>
      <c r="FO79" s="56" t="str">
        <f t="array" ref="FO79">IF($DT79="","", INDEX(#REF!,MATCH(CONCATENATE('Respuestas de formulario 1.1'!$B79,$DS79),#REF!,0),MATCH('Respuestas de formulario 1.1'!FO$1,#REF!,0)))</f>
        <v/>
      </c>
      <c r="FP79" s="56" t="str">
        <f t="array" ref="FP79">IF($DT79="","", INDEX(#REF!,MATCH(CONCATENATE('Respuestas de formulario 1.1'!$B79,$DS79),#REF!,0),MATCH('Respuestas de formulario 1.1'!FP$1,#REF!,0)))</f>
        <v/>
      </c>
      <c r="FQ79" s="56" t="str">
        <f t="array" ref="FQ79">IF($DT79="","", INDEX(#REF!,MATCH(CONCATENATE('Respuestas de formulario 1.1'!$B79,$DS79),#REF!,0),MATCH('Respuestas de formulario 1.1'!FQ$1,#REF!,0)))</f>
        <v/>
      </c>
      <c r="FR79" s="45" t="str">
        <f t="array" ref="FR79">IF($DT79="","", INDEX(#REF!,MATCH(CONCATENATE('Respuestas de formulario 1.1'!$B79,$DS79),#REF!,0),MATCH('Respuestas de formulario 1.1'!FR$1,#REF!,0)))</f>
        <v/>
      </c>
      <c r="FS79" s="45" t="str">
        <f t="array" ref="FS79">IF($DU79="","", INDEX(#REF!,MATCH(CONCATENATE('Respuestas de formulario 1.1'!$B79,$DT79),#REF!,0),MATCH('Respuestas de formulario 1.1'!FS$1,#REF!,0)))</f>
        <v/>
      </c>
      <c r="FT79" s="56" t="str">
        <f t="array" ref="FT79">IF($DU79="","", INDEX(#REF!,MATCH(CONCATENATE('Respuestas de formulario 1.1'!$B79,$DT79),#REF!,0),MATCH('Respuestas de formulario 1.1'!FT$1,#REF!,0)))</f>
        <v/>
      </c>
      <c r="FU79" s="56" t="str">
        <f t="array" ref="FU79">IF($DU79="","", INDEX(#REF!,MATCH(CONCATENATE('Respuestas de formulario 1.1'!$B79,$DT79),#REF!,0),MATCH('Respuestas de formulario 1.1'!FU$1,#REF!,0)))</f>
        <v/>
      </c>
      <c r="FV79" s="56" t="str">
        <f t="array" ref="FV79">IF($DU79="","", INDEX(#REF!,MATCH(CONCATENATE('Respuestas de formulario 1.1'!$B79,$DT79),#REF!,0),MATCH('Respuestas de formulario 1.1'!FV$1,#REF!,0)))</f>
        <v/>
      </c>
      <c r="FW79" s="56" t="str">
        <f t="array" ref="FW79">IF($DU79="","", INDEX(#REF!,MATCH(CONCATENATE('Respuestas de formulario 1.1'!$B79,$DT79),#REF!,0),MATCH('Respuestas de formulario 1.1'!FW$1,#REF!,0)))</f>
        <v/>
      </c>
      <c r="FX79" s="56" t="str">
        <f t="array" ref="FX79">IF($DU79="","", INDEX(#REF!,MATCH(CONCATENATE('Respuestas de formulario 1.1'!$B79,$DT79),#REF!,0),MATCH('Respuestas de formulario 1.1'!FX$1,#REF!,0)))</f>
        <v/>
      </c>
      <c r="FY79" s="45" t="str">
        <f t="array" ref="FY79">IF($DU79="","", INDEX(#REF!,MATCH(CONCATENATE('Respuestas de formulario 1.1'!$B79,$DT79),#REF!,0),MATCH('Respuestas de formulario 1.1'!FY$1,#REF!,0)))</f>
        <v/>
      </c>
      <c r="FZ79" s="3" t="s">
        <v>2860</v>
      </c>
      <c r="GA79" s="1" t="s">
        <v>4191</v>
      </c>
      <c r="GB79" s="5" t="s">
        <v>4192</v>
      </c>
      <c r="GC79" s="4" t="str">
        <f>HYPERLINK("https://drive.google.com/file/d/1Sjc9-jhL8fK3TFdNlmEQY922oVE_5h5u/view?usp=drivesdk","BADILLO GUTIERREZ MAYTE DANIELA  Formato de reinscripción y pago 2022-2")</f>
        <v>BADILLO GUTIERREZ MAYTE DANIELA  Formato de reinscripción y pago 2022-2</v>
      </c>
      <c r="GD79" s="1" t="s">
        <v>4193</v>
      </c>
      <c r="GE79" s="1"/>
      <c r="GF79" s="1"/>
      <c r="GG79" s="1"/>
      <c r="GH79" s="1"/>
      <c r="GI79" s="1" t="s">
        <v>4194</v>
      </c>
      <c r="GJ79" s="5" t="s">
        <v>4195</v>
      </c>
      <c r="GK79" s="5" t="str">
        <f>HYPERLINK("https://drive.google.com/file/d/1NTPF6JDMQw-nTdtW3QXfwb2ordOmYJkF/view?usp=drivesdk","BADILLO GUTIERREZ MAYTE DANIELA  Formato de reinscripción y pago 2022-2")</f>
        <v>BADILLO GUTIERREZ MAYTE DANIELA  Formato de reinscripción y pago 2022-2</v>
      </c>
      <c r="GL79" s="1" t="s">
        <v>4196</v>
      </c>
    </row>
    <row r="80" spans="1:194" ht="38.25" x14ac:dyDescent="0.2">
      <c r="A80" s="2">
        <v>45139.391314641209</v>
      </c>
      <c r="B80" s="1" t="s">
        <v>1670</v>
      </c>
      <c r="C80" s="1" t="s">
        <v>304</v>
      </c>
      <c r="D80" s="1" t="s">
        <v>474</v>
      </c>
      <c r="E80" s="1" t="s">
        <v>1453</v>
      </c>
      <c r="F80" s="1" t="s">
        <v>262</v>
      </c>
      <c r="G80" s="5" t="s">
        <v>4197</v>
      </c>
      <c r="H80" s="41">
        <v>39301</v>
      </c>
      <c r="I80" s="1">
        <v>15</v>
      </c>
      <c r="J80" s="1">
        <v>5537479010</v>
      </c>
      <c r="K80" s="1">
        <v>5588205673</v>
      </c>
      <c r="L80" s="1" t="s">
        <v>1671</v>
      </c>
      <c r="M80" s="1">
        <v>22309060570465</v>
      </c>
      <c r="N80" s="1" t="s">
        <v>562</v>
      </c>
      <c r="O80" s="1" t="s">
        <v>247</v>
      </c>
      <c r="P80" s="1" t="s">
        <v>314</v>
      </c>
      <c r="Q80" s="1" t="s">
        <v>315</v>
      </c>
      <c r="R80" s="1" t="s">
        <v>236</v>
      </c>
      <c r="S80" s="1" t="s">
        <v>228</v>
      </c>
      <c r="T80" s="1" t="s">
        <v>229</v>
      </c>
      <c r="U80" s="1" t="s">
        <v>249</v>
      </c>
      <c r="V80" s="1" t="s">
        <v>228</v>
      </c>
      <c r="W80" s="1" t="s">
        <v>4198</v>
      </c>
      <c r="X80" s="1" t="s">
        <v>249</v>
      </c>
      <c r="Y80" s="1" t="s">
        <v>1673</v>
      </c>
      <c r="Z80" s="1" t="s">
        <v>240</v>
      </c>
      <c r="AA80" s="44" t="s">
        <v>1450</v>
      </c>
      <c r="AB80" s="1" t="s">
        <v>4199</v>
      </c>
      <c r="AC80" s="1" t="s">
        <v>2710</v>
      </c>
      <c r="AD80" s="1" t="s">
        <v>4200</v>
      </c>
      <c r="AE80" s="1" t="s">
        <v>4201</v>
      </c>
      <c r="AF80" s="1" t="s">
        <v>461</v>
      </c>
      <c r="AG80" s="1">
        <v>39</v>
      </c>
      <c r="AH80" s="5" t="s">
        <v>4202</v>
      </c>
      <c r="AI80" s="1">
        <v>5588205673</v>
      </c>
      <c r="AJ80" s="1">
        <v>5588205673</v>
      </c>
      <c r="AK80" s="1" t="s">
        <v>4203</v>
      </c>
      <c r="AL80" s="1" t="s">
        <v>2173</v>
      </c>
      <c r="AM80" s="1" t="s">
        <v>1672</v>
      </c>
      <c r="AN80" s="1" t="s">
        <v>1576</v>
      </c>
      <c r="AO80" s="1" t="s">
        <v>1732</v>
      </c>
      <c r="AP80" s="1">
        <v>49</v>
      </c>
      <c r="AQ80" s="1" t="s">
        <v>546</v>
      </c>
      <c r="AR80" s="42">
        <v>0.33333333333575865</v>
      </c>
      <c r="AS80" s="42">
        <v>0.25</v>
      </c>
      <c r="AT80" s="1">
        <v>5546446378</v>
      </c>
      <c r="AU80" s="1">
        <v>5546446378</v>
      </c>
      <c r="AV80" s="1" t="s">
        <v>4204</v>
      </c>
      <c r="AW80" s="5" t="s">
        <v>4205</v>
      </c>
      <c r="AX80" s="1" t="s">
        <v>333</v>
      </c>
      <c r="AY80" s="1" t="s">
        <v>1831</v>
      </c>
      <c r="AZ80" s="1" t="s">
        <v>2470</v>
      </c>
      <c r="BA80" s="1" t="s">
        <v>279</v>
      </c>
      <c r="BB80" s="1">
        <v>70</v>
      </c>
      <c r="BC80" s="1" t="s">
        <v>454</v>
      </c>
      <c r="BD80" s="43">
        <v>0.5</v>
      </c>
      <c r="BE80" s="43">
        <v>0.5</v>
      </c>
      <c r="BF80" s="1">
        <v>5580878448</v>
      </c>
      <c r="BG80" s="1">
        <v>5580878448</v>
      </c>
      <c r="BH80" s="1" t="s">
        <v>4206</v>
      </c>
      <c r="BI80" s="5" t="s">
        <v>4207</v>
      </c>
      <c r="BJ80" s="1" t="s">
        <v>236</v>
      </c>
      <c r="BL80" s="1">
        <v>1.75</v>
      </c>
      <c r="BM80" s="1">
        <v>70</v>
      </c>
      <c r="BN80" s="1" t="s">
        <v>236</v>
      </c>
      <c r="BO80" s="1" t="s">
        <v>228</v>
      </c>
      <c r="BQ80" s="1" t="s">
        <v>228</v>
      </c>
      <c r="BR80" s="1" t="s">
        <v>237</v>
      </c>
      <c r="BS80" s="1" t="s">
        <v>236</v>
      </c>
      <c r="BT80" s="1" t="s">
        <v>271</v>
      </c>
      <c r="BU80" s="1" t="s">
        <v>228</v>
      </c>
      <c r="BW80" s="1" t="s">
        <v>307</v>
      </c>
      <c r="BX80" s="1">
        <v>120</v>
      </c>
      <c r="BY80" s="1">
        <v>32</v>
      </c>
      <c r="BZ80" s="1" t="s">
        <v>253</v>
      </c>
      <c r="CA80" s="1" t="s">
        <v>4208</v>
      </c>
      <c r="CB80" s="1" t="s">
        <v>240</v>
      </c>
      <c r="CC80" s="1" t="s">
        <v>255</v>
      </c>
      <c r="CD80" s="1">
        <v>3000</v>
      </c>
      <c r="CE80" s="1">
        <v>800</v>
      </c>
      <c r="CF80" s="1" t="s">
        <v>236</v>
      </c>
      <c r="CG80" s="1" t="s">
        <v>323</v>
      </c>
      <c r="CH80" s="1" t="s">
        <v>243</v>
      </c>
      <c r="CI80" s="1" t="s">
        <v>243</v>
      </c>
      <c r="CJ80" s="1" t="s">
        <v>2848</v>
      </c>
      <c r="CL80" s="5" t="s">
        <v>4209</v>
      </c>
      <c r="CM80" s="44" t="s">
        <v>4210</v>
      </c>
      <c r="CN80" s="1" t="s">
        <v>236</v>
      </c>
      <c r="CO80" s="1" t="s">
        <v>4211</v>
      </c>
      <c r="CP80" s="1" t="s">
        <v>2762</v>
      </c>
      <c r="CQ80" s="42">
        <v>0.33333333333575865</v>
      </c>
      <c r="CR80" s="42">
        <v>8.3333333335758653E-2</v>
      </c>
      <c r="CT80" s="45" t="str">
        <f t="array" ref="CT80">IFERROR(INDEX(#REF!,MATCH('Respuestas de formulario 1.1'!$B80,#REF!,0),MATCH('Respuestas de formulario 1.1'!CT$1,#REF!,0)),"")</f>
        <v/>
      </c>
      <c r="CU80" s="56" t="str">
        <f t="array" ref="CU80">IFERROR(INDEX(#REF!,MATCH('Respuestas de formulario 1.1'!$B80,#REF!,0),MATCH('Respuestas de formulario 1.1'!CU$1,#REF!,0)),"")</f>
        <v/>
      </c>
      <c r="CV80" s="56" t="str">
        <f t="array" ref="CV80">IFERROR(INDEX(#REF!,MATCH('Respuestas de formulario 1.1'!$B80,#REF!,0),MATCH('Respuestas de formulario 1.1'!CV$1,#REF!,0)),"")</f>
        <v/>
      </c>
      <c r="CW80" s="56" t="str">
        <f t="array" ref="CW80">IFERROR(INDEX(#REF!,MATCH('Respuestas de formulario 1.1'!$B80,#REF!,0),MATCH('Respuestas de formulario 1.1'!CW$1,#REF!,0)),"")</f>
        <v/>
      </c>
      <c r="CX80" s="56" t="str">
        <f t="array" ref="CX80">IFERROR(INDEX(#REF!,MATCH('Respuestas de formulario 1.1'!$B80,#REF!,0),MATCH('Respuestas de formulario 1.1'!CX$1,#REF!,0)),"")</f>
        <v/>
      </c>
      <c r="CY80" s="56" t="str">
        <f t="array" ref="CY80">IFERROR(INDEX(#REF!,MATCH('Respuestas de formulario 1.1'!$B80,#REF!,0),MATCH('Respuestas de formulario 1.1'!CY$1,#REF!,0)),"")</f>
        <v/>
      </c>
      <c r="CZ80" s="57" t="str">
        <f t="array" ref="CZ80">IFERROR(INDEX(#REF!,MATCH('Respuestas de formulario 1.1'!$B80,#REF!,0),MATCH('Respuestas de formulario 1.1'!CZ$1,#REF!,0)),"")</f>
        <v/>
      </c>
      <c r="DA80" s="45" t="e">
        <f t="array" ref="DA80">INDEX(#REF!,MATCH('Respuestas de formulario 1.1'!$B80,#REF!,0),MATCH('Respuestas de formulario 1.1'!DA$1,#REF!,0))</f>
        <v>#REF!</v>
      </c>
      <c r="DB80" s="45" t="e">
        <f t="array" ref="DB80">INDEX(#REF!,MATCH('Respuestas de formulario 1.1'!$B80,#REF!,0),MATCH('Respuestas de formulario 1.1'!DB$1,#REF!,0))</f>
        <v>#REF!</v>
      </c>
      <c r="DC80" s="45" t="e">
        <f t="array" ref="DC80">INDEX(#REF!,MATCH('Respuestas de formulario 1.1'!$B80,#REF!,0),MATCH('Respuestas de formulario 1.1'!DC$1,#REF!,0))</f>
        <v>#REF!</v>
      </c>
      <c r="DD80" s="45" t="e">
        <f t="array" ref="DD80">INDEX(#REF!,MATCH('Respuestas de formulario 1.1'!$B80,#REF!,0),MATCH('Respuestas de formulario 1.1'!DD$1,#REF!,0))</f>
        <v>#REF!</v>
      </c>
      <c r="DE80" s="45" t="e">
        <f t="array" ref="DE80">INDEX(#REF!,MATCH('Respuestas de formulario 1.1'!$B80,#REF!,0),MATCH('Respuestas de formulario 1.1'!DE$1,#REF!,0))</f>
        <v>#REF!</v>
      </c>
      <c r="DF80" s="45" t="e">
        <f t="array" ref="DF80">INDEX(#REF!,MATCH('Respuestas de formulario 1.1'!$B80,#REF!,0),MATCH('Respuestas de formulario 1.1'!DF$1,#REF!,0))</f>
        <v>#REF!</v>
      </c>
      <c r="DG80" s="45" t="e">
        <f t="array" ref="DG80">INDEX(#REF!,MATCH('Respuestas de formulario 1.1'!$B80,#REF!,0),MATCH('Respuestas de formulario 1.1'!DG$1,#REF!,0))</f>
        <v>#REF!</v>
      </c>
      <c r="DH80" s="45" t="e">
        <f t="array" ref="DH80">INDEX(#REF!,MATCH('Respuestas de formulario 1.1'!$B80,#REF!,0),MATCH('Respuestas de formulario 1.1'!DH$1,#REF!,0))</f>
        <v>#REF!</v>
      </c>
      <c r="DI80" s="48" t="e">
        <f>VLOOKUP(CONCATENATE($DF80," TUTO ",$DC80),#REF!,3,0)</f>
        <v>#REF!</v>
      </c>
      <c r="DJ80" s="48" t="e">
        <f t="array" ref="DJ80">IF('Respuestas de formulario 1.1'!A80="","",INDEX(#REF!,MATCH('Respuestas de formulario 1.1'!B80,#REF!,0),MATCH('Respuestas de formulario 1.1'!$DH$1,#REF!,0)))</f>
        <v>#REF!</v>
      </c>
      <c r="DK80" s="52" t="str">
        <f>CONCATENATE("http://doc.google.com/uc?id=",MID('Respuestas de formulario 1.1'!G80,34,33))</f>
        <v>http://doc.google.com/uc?id=13v72oH-6ecVbO3asLUFU2Yyb467oBqZG</v>
      </c>
      <c r="DL80" s="49" t="str">
        <f>CONCATENATE("http://doc.google.com/uc?id=",MID('Respuestas de formulario 1.1'!AH80,34,33))</f>
        <v>http://doc.google.com/uc?id=19AzrCEvxAxysqOM8iDScC0tbLMHTfapk</v>
      </c>
      <c r="DM80" s="50" t="str">
        <f>CONCATENATE("http://doc.google.com/uc?id=",MID('Respuestas de formulario 1.1'!AW80,34,33))</f>
        <v>http://doc.google.com/uc?id=1J7_ge0bNWFw75R7fCTX71tFG3XVzHax7</v>
      </c>
      <c r="DN80" s="53" t="str">
        <f>CONCATENATE("http://doc.google.com/uc?id=",MID('Respuestas de formulario 1.1'!$BI80,34,33))</f>
        <v>http://doc.google.com/uc?id=16VzKhEFEqOswL1N6WWF9q-f-IeyCxE1f</v>
      </c>
      <c r="DO80" s="45" t="str">
        <f>IFERROR(VLOOKUP(CONCATENATE('Respuestas de formulario 1.1'!$B80,MID('Respuestas de formulario 1.1'!DO$1,2,1)),#REF!,12,0),"")</f>
        <v/>
      </c>
      <c r="DP80" s="45" t="str">
        <f>IFERROR(VLOOKUP(CONCATENATE('Respuestas de formulario 1.1'!$B80,MID('Respuestas de formulario 1.1'!DP$1,2,1)),#REF!,12,0),"")</f>
        <v/>
      </c>
      <c r="DQ80" s="45" t="str">
        <f>IFERROR(VLOOKUP(CONCATENATE('Respuestas de formulario 1.1'!$B80,MID('Respuestas de formulario 1.1'!DQ$1,2,1)),#REF!,12,0),"")</f>
        <v/>
      </c>
      <c r="DR80" s="45" t="str">
        <f>IFERROR(VLOOKUP(CONCATENATE('Respuestas de formulario 1.1'!$B80,MID('Respuestas de formulario 1.1'!DR$1,2,1)),#REF!,12,0),"")</f>
        <v/>
      </c>
      <c r="DS80" s="45" t="str">
        <f>IFERROR(VLOOKUP(CONCATENATE('Respuestas de formulario 1.1'!$B80,MID('Respuestas de formulario 1.1'!DS$1,2,1)),#REF!,12,0),"")</f>
        <v/>
      </c>
      <c r="DT80" s="45" t="str">
        <f>IFERROR(VLOOKUP(CONCATENATE('Respuestas de formulario 1.1'!$B80,MID('Respuestas de formulario 1.1'!DT$1,2,1)),#REF!,12,0),"")</f>
        <v/>
      </c>
      <c r="DU80" s="45" t="str">
        <f>IFERROR(VLOOKUP(CONCATENATE('Respuestas de formulario 1.1'!$B80,MID('Respuestas de formulario 1.1'!DU$1,2,1)),#REF!,12,0),"")</f>
        <v/>
      </c>
      <c r="DV80" s="45" t="str">
        <f>IFERROR(VLOOKUP(CONCATENATE('Respuestas de formulario 1.1'!$B80,MID('Respuestas de formulario 1.1'!DV$1,2,1)),#REF!,12,0),"")</f>
        <v/>
      </c>
      <c r="DW80" s="45" t="str">
        <f>IFERROR(VLOOKUP(CONCATENATE('Respuestas de formulario 1.1'!$B80,MID('Respuestas de formulario 1.1'!DW$1,2,1)),#REF!,12,0),"")</f>
        <v/>
      </c>
      <c r="DX80" s="45" t="str">
        <f>IFERROR(VLOOKUP(CONCATENATE('Respuestas de formulario 1.1'!$B80,MID('Respuestas de formulario 1.1'!DX$1,2,1)),#REF!,12,0),"")</f>
        <v/>
      </c>
      <c r="DY80" s="45" t="str">
        <f>IFERROR(VLOOKUP(CONCATENATE('Respuestas de formulario 1.1'!$B80,MID('Respuestas de formulario 1.1'!DY$1,2,1)),#REF!,12,0),"")</f>
        <v/>
      </c>
      <c r="DZ80" s="45" t="str">
        <f>IFERROR(VLOOKUP(CONCATENATE('Respuestas de formulario 1.1'!$B80,MID('Respuestas de formulario 1.1'!DZ$1,2,1)),#REF!,12,0),"")</f>
        <v/>
      </c>
      <c r="EA80" s="45" t="str">
        <f>IFERROR(VLOOKUP(CONCATENATE('Respuestas de formulario 1.1'!$B80,MID('Respuestas de formulario 1.1'!EA$1,2,1)),#REF!,12,0),"")</f>
        <v/>
      </c>
      <c r="EB80" s="45" t="str">
        <f>IFERROR(VLOOKUP(CONCATENATE('Respuestas de formulario 1.1'!$B80,MID('Respuestas de formulario 1.1'!EB$1,2,1)),#REF!,12,0),"")</f>
        <v/>
      </c>
      <c r="EC80" s="45" t="str">
        <f>IFERROR(VLOOKUP(CONCATENATE('Respuestas de formulario 1.1'!$B80,MID('Respuestas de formulario 1.1'!EC$1,2,1)),#REF!,12,0),"")</f>
        <v/>
      </c>
      <c r="ED80" s="45" t="str">
        <f>IFERROR(VLOOKUP(CONCATENATE('Respuestas de formulario 1.1'!$B80,MID('Respuestas de formulario 1.1'!ED$1,2,1)),#REF!,12,0),"")</f>
        <v/>
      </c>
      <c r="EE80" s="45" t="str">
        <f>IFERROR(VLOOKUP(CONCATENATE('Respuestas de formulario 1.1'!$B80,MID('Respuestas de formulario 1.1'!EE$1,2,1)),#REF!,12,0),"")</f>
        <v/>
      </c>
      <c r="EF80" s="45" t="str">
        <f>IFERROR(VLOOKUP(CONCATENATE('Respuestas de formulario 1.1'!$B80,MID('Respuestas de formulario 1.1'!EF$1,2,1)),#REF!,12,0),"")</f>
        <v/>
      </c>
      <c r="EG80" s="45" t="str">
        <f>IFERROR(VLOOKUP(CONCATENATE('Respuestas de formulario 1.1'!$B80,MID('Respuestas de formulario 1.1'!EG$1,2,1)),#REF!,12,0),"")</f>
        <v/>
      </c>
      <c r="EH80" s="45" t="str">
        <f>IFERROR(VLOOKUP(CONCATENATE('Respuestas de formulario 1.1'!$B80,MID('Respuestas de formulario 1.1'!EH$1,2,1)),#REF!,12,0),"")</f>
        <v/>
      </c>
      <c r="EI80" s="45" t="str">
        <f>IFERROR(VLOOKUP(CONCATENATE('Respuestas de formulario 1.1'!$B80,MID('Respuestas de formulario 1.1'!EI$1,2,1)),#REF!,12,0),"")</f>
        <v/>
      </c>
      <c r="EJ80" s="45" t="str">
        <f t="array" ref="EJ80">IF(DO80="","", INDEX(#REF!,MATCH(CONCATENATE('Respuestas de formulario 1.1'!$B80,DO80),#REF!,0),MATCH('Respuestas de formulario 1.1'!EJ$1,#REF!,0)))</f>
        <v/>
      </c>
      <c r="EK80" s="56" t="str">
        <f t="array" ref="EK80">IF(DP80="","", INDEX(#REF!,MATCH(CONCATENATE('Respuestas de formulario 1.1'!$B80,DP80),#REF!,0),MATCH('Respuestas de formulario 1.1'!EK$1,#REF!,0)))</f>
        <v/>
      </c>
      <c r="EL80" s="56" t="str">
        <f t="array" ref="EL80">IF(DQ80="","", INDEX(#REF!,MATCH(CONCATENATE('Respuestas de formulario 1.1'!$B80,DQ80),#REF!,0),MATCH('Respuestas de formulario 1.1'!EL$1,#REF!,0)))</f>
        <v/>
      </c>
      <c r="EM80" s="56" t="str">
        <f t="array" ref="EM80">IF(DR80="","", INDEX(#REF!,MATCH(CONCATENATE('Respuestas de formulario 1.1'!$B80,DR80),#REF!,0),MATCH('Respuestas de formulario 1.1'!EM$1,#REF!,0)))</f>
        <v/>
      </c>
      <c r="EN80" s="56" t="str">
        <f t="array" ref="EN80">IF(DS80="","", INDEX(#REF!,MATCH(CONCATENATE('Respuestas de formulario 1.1'!$B80,DS80),#REF!,0),MATCH('Respuestas de formulario 1.1'!EN$1,#REF!,0)))</f>
        <v/>
      </c>
      <c r="EO80" s="56" t="str">
        <f t="array" ref="EO80">IF(DT80="","", INDEX(#REF!,MATCH(CONCATENATE('Respuestas de formulario 1.1'!$B80,DT80),#REF!,0),MATCH('Respuestas de formulario 1.1'!EO$1,#REF!,0)))</f>
        <v/>
      </c>
      <c r="EP80" s="45" t="str">
        <f t="array" ref="EP80">IF(DU80="","", INDEX(#REF!,MATCH(CONCATENATE('Respuestas de formulario 1.1'!$B80,DU80),#REF!,0),MATCH('Respuestas de formulario 1.1'!EP$1,#REF!,0)))</f>
        <v/>
      </c>
      <c r="EQ80" s="45" t="str">
        <f t="array" ref="EQ80">IF(DP80="","", INDEX(#REF!,MATCH(CONCATENATE('Respuestas de formulario 1.1'!$B80,DP80),#REF!,0),MATCH('Respuestas de formulario 1.1'!EQ$1,#REF!,0)))</f>
        <v/>
      </c>
      <c r="ER80" s="56" t="str">
        <f t="array" ref="ER80">IF(DQ80="","", INDEX(#REF!,MATCH(CONCATENATE('Respuestas de formulario 1.1'!$B80,DQ80),#REF!,0),MATCH('Respuestas de formulario 1.1'!ER$1,#REF!,0)))</f>
        <v/>
      </c>
      <c r="ES80" s="56" t="str">
        <f t="array" ref="ES80">IF(DR80="","", INDEX(#REF!,MATCH(CONCATENATE('Respuestas de formulario 1.1'!$B80,DR80),#REF!,0),MATCH('Respuestas de formulario 1.1'!ES$1,#REF!,0)))</f>
        <v/>
      </c>
      <c r="ET80" s="56" t="str">
        <f t="array" ref="ET80">IF(DS80="","", INDEX(#REF!,MATCH(CONCATENATE('Respuestas de formulario 1.1'!$B80,DS80),#REF!,0),MATCH('Respuestas de formulario 1.1'!ET$1,#REF!,0)))</f>
        <v/>
      </c>
      <c r="EU80" s="56" t="str">
        <f t="array" ref="EU80">IF(DT80="","", INDEX(#REF!,MATCH(CONCATENATE('Respuestas de formulario 1.1'!$B80,DT80),#REF!,0),MATCH('Respuestas de formulario 1.1'!EU$1,#REF!,0)))</f>
        <v/>
      </c>
      <c r="EV80" s="56" t="str">
        <f t="array" ref="EV80">IF(DU80="","", INDEX(#REF!,MATCH(CONCATENATE('Respuestas de formulario 1.1'!$B80,DU80),#REF!,0),MATCH('Respuestas de formulario 1.1'!EV$1,#REF!,0)))</f>
        <v/>
      </c>
      <c r="EW80" s="45" t="str">
        <f t="array" ref="EW80">IF(DV80="","", INDEX(#REF!,MATCH(CONCATENATE('Respuestas de formulario 1.1'!$B80,DV80),#REF!,0),MATCH('Respuestas de formulario 1.1'!EW$1,#REF!,0)))</f>
        <v/>
      </c>
      <c r="EX80" s="45" t="str">
        <f t="array" ref="EX80">IF($DQ80="","", INDEX(#REF!,MATCH(CONCATENATE('Respuestas de formulario 1.1'!$B80,$DQ80),#REF!,0),MATCH('Respuestas de formulario 1.1'!EX$1,#REF!,0)))</f>
        <v/>
      </c>
      <c r="EY80" s="56" t="str">
        <f t="array" ref="EY80">IF($DQ80="","", INDEX(#REF!,MATCH(CONCATENATE('Respuestas de formulario 1.1'!$B80,$DQ80),#REF!,0),MATCH('Respuestas de formulario 1.1'!EY$1,#REF!,0)))</f>
        <v/>
      </c>
      <c r="EZ80" s="56" t="str">
        <f t="array" ref="EZ80">IF($DQ80="","", INDEX(#REF!,MATCH(CONCATENATE('Respuestas de formulario 1.1'!$B80,$DQ80),#REF!,0),MATCH('Respuestas de formulario 1.1'!EZ$1,#REF!,0)))</f>
        <v/>
      </c>
      <c r="FA80" s="56" t="str">
        <f t="array" ref="FA80">IF($DQ80="","", INDEX(#REF!,MATCH(CONCATENATE('Respuestas de formulario 1.1'!$B80,$DQ80),#REF!,0),MATCH('Respuestas de formulario 1.1'!FA$1,#REF!,0)))</f>
        <v/>
      </c>
      <c r="FB80" s="56" t="str">
        <f t="array" ref="FB80">IF($DQ80="","", INDEX(#REF!,MATCH(CONCATENATE('Respuestas de formulario 1.1'!$B80,$DQ80),#REF!,0),MATCH('Respuestas de formulario 1.1'!FB$1,#REF!,0)))</f>
        <v/>
      </c>
      <c r="FC80" s="56" t="str">
        <f t="array" ref="FC80">IF($DQ80="","", INDEX(#REF!,MATCH(CONCATENATE('Respuestas de formulario 1.1'!$B80,$DQ80),#REF!,0),MATCH('Respuestas de formulario 1.1'!FC$1,#REF!,0)))</f>
        <v/>
      </c>
      <c r="FD80" s="45" t="str">
        <f t="array" ref="FD80">IF($DQ80="","", INDEX(#REF!,MATCH(CONCATENATE('Respuestas de formulario 1.1'!$B80,$DQ80),#REF!,0),MATCH('Respuestas de formulario 1.1'!FD$1,#REF!,0)))</f>
        <v/>
      </c>
      <c r="FE80" s="45" t="str">
        <f t="array" ref="FE80">IF($DR80="","", INDEX(#REF!,MATCH(CONCATENATE(#REF!,$DR80),#REF!,0),MATCH(#REF!,#REF!,0)))</f>
        <v/>
      </c>
      <c r="FF80" s="56" t="str">
        <f t="array" ref="FF80">IF($DR80="","", INDEX(#REF!,MATCH(CONCATENATE(#REF!,$DR80),#REF!,0),MATCH(#REF!,#REF!,0)))</f>
        <v/>
      </c>
      <c r="FG80" s="56" t="str">
        <f t="array" ref="FG80">IF($DR80="","", INDEX(#REF!,MATCH(CONCATENATE(#REF!,$DR80),#REF!,0),MATCH(#REF!,#REF!,0)))</f>
        <v/>
      </c>
      <c r="FH80" s="56" t="str">
        <f t="array" ref="FH80">IF($DR80="","", INDEX(#REF!,MATCH(CONCATENATE(#REF!,$DR80),#REF!,0),MATCH(#REF!,#REF!,0)))</f>
        <v/>
      </c>
      <c r="FI80" s="56" t="str">
        <f t="array" ref="FI80">IF($DR80="","", INDEX(#REF!,MATCH(CONCATENATE(#REF!,$DR80),#REF!,0),MATCH(#REF!,#REF!,0)))</f>
        <v/>
      </c>
      <c r="FJ80" s="56" t="str">
        <f t="array" ref="FJ80">IF($DR80="","", INDEX(#REF!,MATCH(CONCATENATE(#REF!,$DR80),#REF!,0),MATCH(#REF!,#REF!,0)))</f>
        <v/>
      </c>
      <c r="FK80" s="45" t="str">
        <f t="array" ref="FK80">IF($DR80="","", INDEX(#REF!,MATCH(CONCATENATE(#REF!,$DR80),#REF!,0),MATCH(#REF!,#REF!,0)))</f>
        <v/>
      </c>
      <c r="FL80" s="45" t="str">
        <f t="array" ref="FL80">IF($DT80="","", INDEX(#REF!,MATCH(CONCATENATE('Respuestas de formulario 1.1'!$B80,$DS80),#REF!,0),MATCH('Respuestas de formulario 1.1'!FL$1,#REF!,0)))</f>
        <v/>
      </c>
      <c r="FM80" s="56" t="str">
        <f t="array" ref="FM80">IF($DT80="","", INDEX(#REF!,MATCH(CONCATENATE('Respuestas de formulario 1.1'!$B80,$DS80),#REF!,0),MATCH('Respuestas de formulario 1.1'!FM$1,#REF!,0)))</f>
        <v/>
      </c>
      <c r="FN80" s="56" t="str">
        <f t="array" ref="FN80">IF($DT80="","", INDEX(#REF!,MATCH(CONCATENATE('Respuestas de formulario 1.1'!$B80,$DS80),#REF!,0),MATCH('Respuestas de formulario 1.1'!FN$1,#REF!,0)))</f>
        <v/>
      </c>
      <c r="FO80" s="56" t="str">
        <f t="array" ref="FO80">IF($DT80="","", INDEX(#REF!,MATCH(CONCATENATE('Respuestas de formulario 1.1'!$B80,$DS80),#REF!,0),MATCH('Respuestas de formulario 1.1'!FO$1,#REF!,0)))</f>
        <v/>
      </c>
      <c r="FP80" s="56" t="str">
        <f t="array" ref="FP80">IF($DT80="","", INDEX(#REF!,MATCH(CONCATENATE('Respuestas de formulario 1.1'!$B80,$DS80),#REF!,0),MATCH('Respuestas de formulario 1.1'!FP$1,#REF!,0)))</f>
        <v/>
      </c>
      <c r="FQ80" s="56" t="str">
        <f t="array" ref="FQ80">IF($DT80="","", INDEX(#REF!,MATCH(CONCATENATE('Respuestas de formulario 1.1'!$B80,$DS80),#REF!,0),MATCH('Respuestas de formulario 1.1'!FQ$1,#REF!,0)))</f>
        <v/>
      </c>
      <c r="FR80" s="45" t="str">
        <f t="array" ref="FR80">IF($DT80="","", INDEX(#REF!,MATCH(CONCATENATE('Respuestas de formulario 1.1'!$B80,$DS80),#REF!,0),MATCH('Respuestas de formulario 1.1'!FR$1,#REF!,0)))</f>
        <v/>
      </c>
      <c r="FS80" s="45" t="str">
        <f t="array" ref="FS80">IF($DU80="","", INDEX(#REF!,MATCH(CONCATENATE('Respuestas de formulario 1.1'!$B80,$DT80),#REF!,0),MATCH('Respuestas de formulario 1.1'!FS$1,#REF!,0)))</f>
        <v/>
      </c>
      <c r="FT80" s="56" t="str">
        <f t="array" ref="FT80">IF($DU80="","", INDEX(#REF!,MATCH(CONCATENATE('Respuestas de formulario 1.1'!$B80,$DT80),#REF!,0),MATCH('Respuestas de formulario 1.1'!FT$1,#REF!,0)))</f>
        <v/>
      </c>
      <c r="FU80" s="56" t="str">
        <f t="array" ref="FU80">IF($DU80="","", INDEX(#REF!,MATCH(CONCATENATE('Respuestas de formulario 1.1'!$B80,$DT80),#REF!,0),MATCH('Respuestas de formulario 1.1'!FU$1,#REF!,0)))</f>
        <v/>
      </c>
      <c r="FV80" s="56" t="str">
        <f t="array" ref="FV80">IF($DU80="","", INDEX(#REF!,MATCH(CONCATENATE('Respuestas de formulario 1.1'!$B80,$DT80),#REF!,0),MATCH('Respuestas de formulario 1.1'!FV$1,#REF!,0)))</f>
        <v/>
      </c>
      <c r="FW80" s="56" t="str">
        <f t="array" ref="FW80">IF($DU80="","", INDEX(#REF!,MATCH(CONCATENATE('Respuestas de formulario 1.1'!$B80,$DT80),#REF!,0),MATCH('Respuestas de formulario 1.1'!FW$1,#REF!,0)))</f>
        <v/>
      </c>
      <c r="FX80" s="56" t="str">
        <f t="array" ref="FX80">IF($DU80="","", INDEX(#REF!,MATCH(CONCATENATE('Respuestas de formulario 1.1'!$B80,$DT80),#REF!,0),MATCH('Respuestas de formulario 1.1'!FX$1,#REF!,0)))</f>
        <v/>
      </c>
      <c r="FY80" s="45" t="str">
        <f t="array" ref="FY80">IF($DU80="","", INDEX(#REF!,MATCH(CONCATENATE('Respuestas de formulario 1.1'!$B80,$DT80),#REF!,0),MATCH('Respuestas de formulario 1.1'!FY$1,#REF!,0)))</f>
        <v/>
      </c>
      <c r="FZ80" s="3" t="s">
        <v>2860</v>
      </c>
      <c r="GA80" s="1" t="s">
        <v>4212</v>
      </c>
      <c r="GB80" s="5" t="s">
        <v>4213</v>
      </c>
      <c r="GC80" s="4" t="str">
        <f>HYPERLINK("https://drive.google.com/file/d/17SEsrYaLD1nt_Eq9I7i_YZkygwgQ2k8h/view?usp=drivesdk","GARCIA CRUZ DORIAN Formato de reinscripción y pago 2022-2")</f>
        <v>GARCIA CRUZ DORIAN Formato de reinscripción y pago 2022-2</v>
      </c>
      <c r="GD80" s="1" t="s">
        <v>4214</v>
      </c>
      <c r="GE80" s="1"/>
      <c r="GF80" s="1"/>
      <c r="GG80" s="1"/>
      <c r="GH80" s="1"/>
      <c r="GI80" s="1" t="s">
        <v>4215</v>
      </c>
      <c r="GJ80" s="5" t="s">
        <v>4216</v>
      </c>
      <c r="GK80" s="5" t="str">
        <f>HYPERLINK("https://drive.google.com/file/d/1BvYSjHan107z5EpMASlmpNd8pd763M2V/view?usp=drivesdk","GARCIA CRUZ DORIAN Formato de reinscripción y pago 2022-2")</f>
        <v>GARCIA CRUZ DORIAN Formato de reinscripción y pago 2022-2</v>
      </c>
      <c r="GL80" s="1" t="s">
        <v>4217</v>
      </c>
    </row>
    <row r="81" spans="1:194" ht="38.25" x14ac:dyDescent="0.2">
      <c r="A81" s="2">
        <v>45139.391720891203</v>
      </c>
      <c r="B81" s="1" t="s">
        <v>46</v>
      </c>
      <c r="C81" s="1" t="s">
        <v>259</v>
      </c>
      <c r="D81" s="1" t="s">
        <v>486</v>
      </c>
      <c r="E81" s="1" t="s">
        <v>667</v>
      </c>
      <c r="F81" s="1" t="s">
        <v>223</v>
      </c>
      <c r="G81" s="5" t="s">
        <v>4218</v>
      </c>
      <c r="H81" s="41">
        <v>39098</v>
      </c>
      <c r="I81" s="1">
        <v>16</v>
      </c>
      <c r="J81" s="1">
        <v>5516807680</v>
      </c>
      <c r="K81" s="1">
        <v>5577071181</v>
      </c>
      <c r="L81" s="1" t="s">
        <v>2154</v>
      </c>
      <c r="M81" s="1">
        <v>22309060570243</v>
      </c>
      <c r="N81" s="1" t="s">
        <v>562</v>
      </c>
      <c r="O81" s="1" t="s">
        <v>225</v>
      </c>
      <c r="P81" s="1" t="s">
        <v>314</v>
      </c>
      <c r="Q81" s="1" t="s">
        <v>248</v>
      </c>
      <c r="R81" s="1" t="s">
        <v>236</v>
      </c>
      <c r="S81" s="1" t="s">
        <v>228</v>
      </c>
      <c r="T81" s="1" t="s">
        <v>229</v>
      </c>
      <c r="U81" s="1" t="s">
        <v>249</v>
      </c>
      <c r="V81" s="1" t="s">
        <v>228</v>
      </c>
      <c r="W81" s="1" t="s">
        <v>4219</v>
      </c>
      <c r="X81" s="1" t="s">
        <v>249</v>
      </c>
      <c r="Y81" s="1" t="s">
        <v>2156</v>
      </c>
      <c r="Z81" s="1" t="s">
        <v>240</v>
      </c>
      <c r="AA81" s="44" t="s">
        <v>1631</v>
      </c>
      <c r="AB81" s="1">
        <v>30</v>
      </c>
      <c r="AC81" s="1">
        <v>12</v>
      </c>
      <c r="AD81" s="1" t="s">
        <v>4220</v>
      </c>
      <c r="AE81" s="1" t="s">
        <v>4221</v>
      </c>
      <c r="AF81" s="1" t="s">
        <v>336</v>
      </c>
      <c r="AG81" s="1">
        <v>26</v>
      </c>
      <c r="AH81" s="5" t="s">
        <v>4222</v>
      </c>
      <c r="AI81" s="1">
        <v>5530408491</v>
      </c>
      <c r="AJ81" s="1">
        <v>5563784943</v>
      </c>
      <c r="AK81" s="1" t="s">
        <v>4223</v>
      </c>
      <c r="AL81" s="1" t="s">
        <v>661</v>
      </c>
      <c r="AM81" s="1" t="s">
        <v>884</v>
      </c>
      <c r="AN81" s="1" t="s">
        <v>1873</v>
      </c>
      <c r="AO81" s="1" t="s">
        <v>279</v>
      </c>
      <c r="AP81" s="1">
        <v>60</v>
      </c>
      <c r="AQ81" s="1" t="s">
        <v>233</v>
      </c>
      <c r="AR81" s="42">
        <v>0.20833333333575865</v>
      </c>
      <c r="AS81" s="42">
        <v>0.45833333333575865</v>
      </c>
      <c r="AT81" s="1">
        <v>5526627005</v>
      </c>
      <c r="AU81" s="1">
        <v>5577071181</v>
      </c>
      <c r="AV81" s="1"/>
      <c r="AW81" s="5" t="s">
        <v>4224</v>
      </c>
      <c r="AX81" s="1" t="s">
        <v>259</v>
      </c>
      <c r="AY81" s="1" t="s">
        <v>409</v>
      </c>
      <c r="AZ81" s="1" t="s">
        <v>1690</v>
      </c>
      <c r="BA81" s="1" t="s">
        <v>420</v>
      </c>
      <c r="BB81" s="1">
        <v>35</v>
      </c>
      <c r="BC81" s="1" t="s">
        <v>1784</v>
      </c>
      <c r="BD81" s="43">
        <v>0.29166666666424135</v>
      </c>
      <c r="BE81" s="43">
        <v>0.39583333333575865</v>
      </c>
      <c r="BF81" s="1">
        <v>5527228356</v>
      </c>
      <c r="BG81" s="1">
        <v>5577071181</v>
      </c>
      <c r="BH81" s="1" t="s">
        <v>4225</v>
      </c>
      <c r="BI81" s="5" t="s">
        <v>4226</v>
      </c>
      <c r="BJ81" s="1" t="s">
        <v>228</v>
      </c>
      <c r="BK81" s="1" t="s">
        <v>4227</v>
      </c>
      <c r="BL81" s="1">
        <v>1.59</v>
      </c>
      <c r="BM81" s="1">
        <v>60</v>
      </c>
      <c r="BN81" s="1" t="s">
        <v>236</v>
      </c>
      <c r="BO81" s="1" t="s">
        <v>228</v>
      </c>
      <c r="BQ81" s="1" t="s">
        <v>228</v>
      </c>
      <c r="BR81" s="1" t="s">
        <v>237</v>
      </c>
      <c r="BS81" s="1" t="s">
        <v>228</v>
      </c>
      <c r="BT81" s="1" t="s">
        <v>237</v>
      </c>
      <c r="BU81" s="1" t="s">
        <v>228</v>
      </c>
      <c r="BW81" s="1" t="s">
        <v>238</v>
      </c>
      <c r="BX81" s="1">
        <v>180</v>
      </c>
      <c r="BY81" s="1">
        <v>160</v>
      </c>
      <c r="BZ81" s="1" t="s">
        <v>906</v>
      </c>
      <c r="CA81" s="1" t="s">
        <v>343</v>
      </c>
      <c r="CB81" s="1" t="s">
        <v>240</v>
      </c>
      <c r="CC81" s="1" t="s">
        <v>322</v>
      </c>
      <c r="CD81" s="1">
        <v>2500</v>
      </c>
      <c r="CE81" s="1">
        <v>1800</v>
      </c>
      <c r="CF81" s="1" t="s">
        <v>236</v>
      </c>
      <c r="CG81" s="1" t="s">
        <v>242</v>
      </c>
      <c r="CH81" s="1" t="s">
        <v>243</v>
      </c>
      <c r="CI81" s="1" t="s">
        <v>243</v>
      </c>
      <c r="CJ81" s="1" t="s">
        <v>2848</v>
      </c>
      <c r="CL81" s="5" t="s">
        <v>4228</v>
      </c>
      <c r="CM81" s="44" t="s">
        <v>2155</v>
      </c>
      <c r="CN81" s="1" t="s">
        <v>228</v>
      </c>
      <c r="CQ81" s="42">
        <v>0.29166666666424135</v>
      </c>
      <c r="CR81" s="42">
        <v>0.16666666666424135</v>
      </c>
      <c r="CT81" s="45" t="str">
        <f t="array" ref="CT81">IFERROR(INDEX(#REF!,MATCH('Respuestas de formulario 1.1'!$B81,#REF!,0),MATCH('Respuestas de formulario 1.1'!CT$1,#REF!,0)),"")</f>
        <v/>
      </c>
      <c r="CU81" s="56" t="str">
        <f t="array" ref="CU81">IFERROR(INDEX(#REF!,MATCH('Respuestas de formulario 1.1'!$B81,#REF!,0),MATCH('Respuestas de formulario 1.1'!CU$1,#REF!,0)),"")</f>
        <v/>
      </c>
      <c r="CV81" s="56" t="str">
        <f t="array" ref="CV81">IFERROR(INDEX(#REF!,MATCH('Respuestas de formulario 1.1'!$B81,#REF!,0),MATCH('Respuestas de formulario 1.1'!CV$1,#REF!,0)),"")</f>
        <v/>
      </c>
      <c r="CW81" s="56" t="str">
        <f t="array" ref="CW81">IFERROR(INDEX(#REF!,MATCH('Respuestas de formulario 1.1'!$B81,#REF!,0),MATCH('Respuestas de formulario 1.1'!CW$1,#REF!,0)),"")</f>
        <v/>
      </c>
      <c r="CX81" s="56" t="str">
        <f t="array" ref="CX81">IFERROR(INDEX(#REF!,MATCH('Respuestas de formulario 1.1'!$B81,#REF!,0),MATCH('Respuestas de formulario 1.1'!CX$1,#REF!,0)),"")</f>
        <v/>
      </c>
      <c r="CY81" s="56" t="str">
        <f t="array" ref="CY81">IFERROR(INDEX(#REF!,MATCH('Respuestas de formulario 1.1'!$B81,#REF!,0),MATCH('Respuestas de formulario 1.1'!CY$1,#REF!,0)),"")</f>
        <v/>
      </c>
      <c r="CZ81" s="57" t="str">
        <f t="array" ref="CZ81">IFERROR(INDEX(#REF!,MATCH('Respuestas de formulario 1.1'!$B81,#REF!,0),MATCH('Respuestas de formulario 1.1'!CZ$1,#REF!,0)),"")</f>
        <v/>
      </c>
      <c r="DA81" s="45" t="e">
        <f t="array" ref="DA81">INDEX(#REF!,MATCH('Respuestas de formulario 1.1'!$B81,#REF!,0),MATCH('Respuestas de formulario 1.1'!DA$1,#REF!,0))</f>
        <v>#REF!</v>
      </c>
      <c r="DB81" s="45" t="e">
        <f t="array" ref="DB81">INDEX(#REF!,MATCH('Respuestas de formulario 1.1'!$B81,#REF!,0),MATCH('Respuestas de formulario 1.1'!DB$1,#REF!,0))</f>
        <v>#REF!</v>
      </c>
      <c r="DC81" s="45" t="e">
        <f t="array" ref="DC81">INDEX(#REF!,MATCH('Respuestas de formulario 1.1'!$B81,#REF!,0),MATCH('Respuestas de formulario 1.1'!DC$1,#REF!,0))</f>
        <v>#REF!</v>
      </c>
      <c r="DD81" s="45" t="e">
        <f t="array" ref="DD81">INDEX(#REF!,MATCH('Respuestas de formulario 1.1'!$B81,#REF!,0),MATCH('Respuestas de formulario 1.1'!DD$1,#REF!,0))</f>
        <v>#REF!</v>
      </c>
      <c r="DE81" s="45" t="e">
        <f t="array" ref="DE81">INDEX(#REF!,MATCH('Respuestas de formulario 1.1'!$B81,#REF!,0),MATCH('Respuestas de formulario 1.1'!DE$1,#REF!,0))</f>
        <v>#REF!</v>
      </c>
      <c r="DF81" s="45" t="e">
        <f t="array" ref="DF81">INDEX(#REF!,MATCH('Respuestas de formulario 1.1'!$B81,#REF!,0),MATCH('Respuestas de formulario 1.1'!DF$1,#REF!,0))</f>
        <v>#REF!</v>
      </c>
      <c r="DG81" s="45" t="e">
        <f t="array" ref="DG81">INDEX(#REF!,MATCH('Respuestas de formulario 1.1'!$B81,#REF!,0),MATCH('Respuestas de formulario 1.1'!DG$1,#REF!,0))</f>
        <v>#REF!</v>
      </c>
      <c r="DH81" s="45" t="e">
        <f t="array" ref="DH81">INDEX(#REF!,MATCH('Respuestas de formulario 1.1'!$B81,#REF!,0),MATCH('Respuestas de formulario 1.1'!DH$1,#REF!,0))</f>
        <v>#REF!</v>
      </c>
      <c r="DI81" s="48" t="e">
        <f>VLOOKUP(CONCATENATE($DF81," TUTO ",$DC81),#REF!,3,0)</f>
        <v>#REF!</v>
      </c>
      <c r="DJ81" s="48" t="e">
        <f t="array" ref="DJ81">IF('Respuestas de formulario 1.1'!A81="","",INDEX(#REF!,MATCH('Respuestas de formulario 1.1'!B81,#REF!,0),MATCH('Respuestas de formulario 1.1'!$DH$1,#REF!,0)))</f>
        <v>#REF!</v>
      </c>
      <c r="DK81" s="52" t="str">
        <f>CONCATENATE("http://doc.google.com/uc?id=",MID('Respuestas de formulario 1.1'!G81,34,33))</f>
        <v>http://doc.google.com/uc?id=1FrI5dzpc4DycXSrl2w_F7fajf0wwBr4E</v>
      </c>
      <c r="DL81" s="49" t="str">
        <f>CONCATENATE("http://doc.google.com/uc?id=",MID('Respuestas de formulario 1.1'!AH81,34,33))</f>
        <v>http://doc.google.com/uc?id=1yz_mV0T2DnVoE_CacoEFU7f9AQJd9zw7</v>
      </c>
      <c r="DM81" s="50" t="str">
        <f>CONCATENATE("http://doc.google.com/uc?id=",MID('Respuestas de formulario 1.1'!AW81,34,33))</f>
        <v>http://doc.google.com/uc?id=1Qd8mR45cadWQgQZ3cRxVzgWCSXcGVqHQ</v>
      </c>
      <c r="DN81" s="53" t="str">
        <f>CONCATENATE("http://doc.google.com/uc?id=",MID('Respuestas de formulario 1.1'!$BI81,34,33))</f>
        <v>http://doc.google.com/uc?id=1KJ47x7aRgfZeVDYqA6ipvP07io6cDSV6</v>
      </c>
      <c r="DO81" s="45" t="str">
        <f>IFERROR(VLOOKUP(CONCATENATE('Respuestas de formulario 1.1'!$B81,MID('Respuestas de formulario 1.1'!DO$1,2,1)),#REF!,12,0),"")</f>
        <v/>
      </c>
      <c r="DP81" s="45" t="str">
        <f>IFERROR(VLOOKUP(CONCATENATE('Respuestas de formulario 1.1'!$B81,MID('Respuestas de formulario 1.1'!DP$1,2,1)),#REF!,12,0),"")</f>
        <v/>
      </c>
      <c r="DQ81" s="45" t="str">
        <f>IFERROR(VLOOKUP(CONCATENATE('Respuestas de formulario 1.1'!$B81,MID('Respuestas de formulario 1.1'!DQ$1,2,1)),#REF!,12,0),"")</f>
        <v/>
      </c>
      <c r="DR81" s="45" t="str">
        <f>IFERROR(VLOOKUP(CONCATENATE('Respuestas de formulario 1.1'!$B81,MID('Respuestas de formulario 1.1'!DR$1,2,1)),#REF!,12,0),"")</f>
        <v/>
      </c>
      <c r="DS81" s="45" t="str">
        <f>IFERROR(VLOOKUP(CONCATENATE('Respuestas de formulario 1.1'!$B81,MID('Respuestas de formulario 1.1'!DS$1,2,1)),#REF!,12,0),"")</f>
        <v/>
      </c>
      <c r="DT81" s="45" t="str">
        <f>IFERROR(VLOOKUP(CONCATENATE('Respuestas de formulario 1.1'!$B81,MID('Respuestas de formulario 1.1'!DT$1,2,1)),#REF!,12,0),"")</f>
        <v/>
      </c>
      <c r="DU81" s="45" t="str">
        <f>IFERROR(VLOOKUP(CONCATENATE('Respuestas de formulario 1.1'!$B81,MID('Respuestas de formulario 1.1'!DU$1,2,1)),#REF!,12,0),"")</f>
        <v/>
      </c>
      <c r="DV81" s="45" t="str">
        <f>IFERROR(VLOOKUP(CONCATENATE('Respuestas de formulario 1.1'!$B81,MID('Respuestas de formulario 1.1'!DV$1,2,1)),#REF!,12,0),"")</f>
        <v/>
      </c>
      <c r="DW81" s="45" t="str">
        <f>IFERROR(VLOOKUP(CONCATENATE('Respuestas de formulario 1.1'!$B81,MID('Respuestas de formulario 1.1'!DW$1,2,1)),#REF!,12,0),"")</f>
        <v/>
      </c>
      <c r="DX81" s="45" t="str">
        <f>IFERROR(VLOOKUP(CONCATENATE('Respuestas de formulario 1.1'!$B81,MID('Respuestas de formulario 1.1'!DX$1,2,1)),#REF!,12,0),"")</f>
        <v/>
      </c>
      <c r="DY81" s="45" t="str">
        <f>IFERROR(VLOOKUP(CONCATENATE('Respuestas de formulario 1.1'!$B81,MID('Respuestas de formulario 1.1'!DY$1,2,1)),#REF!,12,0),"")</f>
        <v/>
      </c>
      <c r="DZ81" s="45" t="str">
        <f>IFERROR(VLOOKUP(CONCATENATE('Respuestas de formulario 1.1'!$B81,MID('Respuestas de formulario 1.1'!DZ$1,2,1)),#REF!,12,0),"")</f>
        <v/>
      </c>
      <c r="EA81" s="45" t="str">
        <f>IFERROR(VLOOKUP(CONCATENATE('Respuestas de formulario 1.1'!$B81,MID('Respuestas de formulario 1.1'!EA$1,2,1)),#REF!,12,0),"")</f>
        <v/>
      </c>
      <c r="EB81" s="45" t="str">
        <f>IFERROR(VLOOKUP(CONCATENATE('Respuestas de formulario 1.1'!$B81,MID('Respuestas de formulario 1.1'!EB$1,2,1)),#REF!,12,0),"")</f>
        <v/>
      </c>
      <c r="EC81" s="45" t="str">
        <f>IFERROR(VLOOKUP(CONCATENATE('Respuestas de formulario 1.1'!$B81,MID('Respuestas de formulario 1.1'!EC$1,2,1)),#REF!,12,0),"")</f>
        <v/>
      </c>
      <c r="ED81" s="45" t="str">
        <f>IFERROR(VLOOKUP(CONCATENATE('Respuestas de formulario 1.1'!$B81,MID('Respuestas de formulario 1.1'!ED$1,2,1)),#REF!,12,0),"")</f>
        <v/>
      </c>
      <c r="EE81" s="45" t="str">
        <f>IFERROR(VLOOKUP(CONCATENATE('Respuestas de formulario 1.1'!$B81,MID('Respuestas de formulario 1.1'!EE$1,2,1)),#REF!,12,0),"")</f>
        <v/>
      </c>
      <c r="EF81" s="45" t="str">
        <f>IFERROR(VLOOKUP(CONCATENATE('Respuestas de formulario 1.1'!$B81,MID('Respuestas de formulario 1.1'!EF$1,2,1)),#REF!,12,0),"")</f>
        <v/>
      </c>
      <c r="EG81" s="45" t="str">
        <f>IFERROR(VLOOKUP(CONCATENATE('Respuestas de formulario 1.1'!$B81,MID('Respuestas de formulario 1.1'!EG$1,2,1)),#REF!,12,0),"")</f>
        <v/>
      </c>
      <c r="EH81" s="45" t="str">
        <f>IFERROR(VLOOKUP(CONCATENATE('Respuestas de formulario 1.1'!$B81,MID('Respuestas de formulario 1.1'!EH$1,2,1)),#REF!,12,0),"")</f>
        <v/>
      </c>
      <c r="EI81" s="45" t="str">
        <f>IFERROR(VLOOKUP(CONCATENATE('Respuestas de formulario 1.1'!$B81,MID('Respuestas de formulario 1.1'!EI$1,2,1)),#REF!,12,0),"")</f>
        <v/>
      </c>
      <c r="EJ81" s="45" t="str">
        <f t="array" ref="EJ81">IF(DO81="","", INDEX(#REF!,MATCH(CONCATENATE('Respuestas de formulario 1.1'!$B81,DO81),#REF!,0),MATCH('Respuestas de formulario 1.1'!EJ$1,#REF!,0)))</f>
        <v/>
      </c>
      <c r="EK81" s="56" t="str">
        <f t="array" ref="EK81">IF(DP81="","", INDEX(#REF!,MATCH(CONCATENATE('Respuestas de formulario 1.1'!$B81,DP81),#REF!,0),MATCH('Respuestas de formulario 1.1'!EK$1,#REF!,0)))</f>
        <v/>
      </c>
      <c r="EL81" s="56" t="str">
        <f t="array" ref="EL81">IF(DQ81="","", INDEX(#REF!,MATCH(CONCATENATE('Respuestas de formulario 1.1'!$B81,DQ81),#REF!,0),MATCH('Respuestas de formulario 1.1'!EL$1,#REF!,0)))</f>
        <v/>
      </c>
      <c r="EM81" s="56" t="str">
        <f t="array" ref="EM81">IF(DR81="","", INDEX(#REF!,MATCH(CONCATENATE('Respuestas de formulario 1.1'!$B81,DR81),#REF!,0),MATCH('Respuestas de formulario 1.1'!EM$1,#REF!,0)))</f>
        <v/>
      </c>
      <c r="EN81" s="56" t="str">
        <f t="array" ref="EN81">IF(DS81="","", INDEX(#REF!,MATCH(CONCATENATE('Respuestas de formulario 1.1'!$B81,DS81),#REF!,0),MATCH('Respuestas de formulario 1.1'!EN$1,#REF!,0)))</f>
        <v/>
      </c>
      <c r="EO81" s="56" t="str">
        <f t="array" ref="EO81">IF(DT81="","", INDEX(#REF!,MATCH(CONCATENATE('Respuestas de formulario 1.1'!$B81,DT81),#REF!,0),MATCH('Respuestas de formulario 1.1'!EO$1,#REF!,0)))</f>
        <v/>
      </c>
      <c r="EP81" s="45" t="str">
        <f t="array" ref="EP81">IF(DU81="","", INDEX(#REF!,MATCH(CONCATENATE('Respuestas de formulario 1.1'!$B81,DU81),#REF!,0),MATCH('Respuestas de formulario 1.1'!EP$1,#REF!,0)))</f>
        <v/>
      </c>
      <c r="EQ81" s="45" t="str">
        <f t="array" ref="EQ81">IF(DP81="","", INDEX(#REF!,MATCH(CONCATENATE('Respuestas de formulario 1.1'!$B81,DP81),#REF!,0),MATCH('Respuestas de formulario 1.1'!EQ$1,#REF!,0)))</f>
        <v/>
      </c>
      <c r="ER81" s="56" t="str">
        <f t="array" ref="ER81">IF(DQ81="","", INDEX(#REF!,MATCH(CONCATENATE('Respuestas de formulario 1.1'!$B81,DQ81),#REF!,0),MATCH('Respuestas de formulario 1.1'!ER$1,#REF!,0)))</f>
        <v/>
      </c>
      <c r="ES81" s="56" t="str">
        <f t="array" ref="ES81">IF(DR81="","", INDEX(#REF!,MATCH(CONCATENATE('Respuestas de formulario 1.1'!$B81,DR81),#REF!,0),MATCH('Respuestas de formulario 1.1'!ES$1,#REF!,0)))</f>
        <v/>
      </c>
      <c r="ET81" s="56" t="str">
        <f t="array" ref="ET81">IF(DS81="","", INDEX(#REF!,MATCH(CONCATENATE('Respuestas de formulario 1.1'!$B81,DS81),#REF!,0),MATCH('Respuestas de formulario 1.1'!ET$1,#REF!,0)))</f>
        <v/>
      </c>
      <c r="EU81" s="56" t="str">
        <f t="array" ref="EU81">IF(DT81="","", INDEX(#REF!,MATCH(CONCATENATE('Respuestas de formulario 1.1'!$B81,DT81),#REF!,0),MATCH('Respuestas de formulario 1.1'!EU$1,#REF!,0)))</f>
        <v/>
      </c>
      <c r="EV81" s="56" t="str">
        <f t="array" ref="EV81">IF(DU81="","", INDEX(#REF!,MATCH(CONCATENATE('Respuestas de formulario 1.1'!$B81,DU81),#REF!,0),MATCH('Respuestas de formulario 1.1'!EV$1,#REF!,0)))</f>
        <v/>
      </c>
      <c r="EW81" s="45" t="str">
        <f t="array" ref="EW81">IF(DV81="","", INDEX(#REF!,MATCH(CONCATENATE('Respuestas de formulario 1.1'!$B81,DV81),#REF!,0),MATCH('Respuestas de formulario 1.1'!EW$1,#REF!,0)))</f>
        <v/>
      </c>
      <c r="EX81" s="45" t="str">
        <f t="array" ref="EX81">IF($DQ81="","", INDEX(#REF!,MATCH(CONCATENATE('Respuestas de formulario 1.1'!$B81,$DQ81),#REF!,0),MATCH('Respuestas de formulario 1.1'!EX$1,#REF!,0)))</f>
        <v/>
      </c>
      <c r="EY81" s="56" t="str">
        <f t="array" ref="EY81">IF($DQ81="","", INDEX(#REF!,MATCH(CONCATENATE('Respuestas de formulario 1.1'!$B81,$DQ81),#REF!,0),MATCH('Respuestas de formulario 1.1'!EY$1,#REF!,0)))</f>
        <v/>
      </c>
      <c r="EZ81" s="56" t="str">
        <f t="array" ref="EZ81">IF($DQ81="","", INDEX(#REF!,MATCH(CONCATENATE('Respuestas de formulario 1.1'!$B81,$DQ81),#REF!,0),MATCH('Respuestas de formulario 1.1'!EZ$1,#REF!,0)))</f>
        <v/>
      </c>
      <c r="FA81" s="56" t="str">
        <f t="array" ref="FA81">IF($DQ81="","", INDEX(#REF!,MATCH(CONCATENATE('Respuestas de formulario 1.1'!$B81,$DQ81),#REF!,0),MATCH('Respuestas de formulario 1.1'!FA$1,#REF!,0)))</f>
        <v/>
      </c>
      <c r="FB81" s="56" t="str">
        <f t="array" ref="FB81">IF($DQ81="","", INDEX(#REF!,MATCH(CONCATENATE('Respuestas de formulario 1.1'!$B81,$DQ81),#REF!,0),MATCH('Respuestas de formulario 1.1'!FB$1,#REF!,0)))</f>
        <v/>
      </c>
      <c r="FC81" s="56" t="str">
        <f t="array" ref="FC81">IF($DQ81="","", INDEX(#REF!,MATCH(CONCATENATE('Respuestas de formulario 1.1'!$B81,$DQ81),#REF!,0),MATCH('Respuestas de formulario 1.1'!FC$1,#REF!,0)))</f>
        <v/>
      </c>
      <c r="FD81" s="45" t="str">
        <f t="array" ref="FD81">IF($DQ81="","", INDEX(#REF!,MATCH(CONCATENATE('Respuestas de formulario 1.1'!$B81,$DQ81),#REF!,0),MATCH('Respuestas de formulario 1.1'!FD$1,#REF!,0)))</f>
        <v/>
      </c>
      <c r="FE81" s="45" t="str">
        <f t="array" ref="FE81">IF($DR81="","", INDEX(#REF!,MATCH(CONCATENATE(#REF!,$DR81),#REF!,0),MATCH(#REF!,#REF!,0)))</f>
        <v/>
      </c>
      <c r="FF81" s="56" t="str">
        <f t="array" ref="FF81">IF($DR81="","", INDEX(#REF!,MATCH(CONCATENATE(#REF!,$DR81),#REF!,0),MATCH(#REF!,#REF!,0)))</f>
        <v/>
      </c>
      <c r="FG81" s="56" t="str">
        <f t="array" ref="FG81">IF($DR81="","", INDEX(#REF!,MATCH(CONCATENATE(#REF!,$DR81),#REF!,0),MATCH(#REF!,#REF!,0)))</f>
        <v/>
      </c>
      <c r="FH81" s="56" t="str">
        <f t="array" ref="FH81">IF($DR81="","", INDEX(#REF!,MATCH(CONCATENATE(#REF!,$DR81),#REF!,0),MATCH(#REF!,#REF!,0)))</f>
        <v/>
      </c>
      <c r="FI81" s="56" t="str">
        <f t="array" ref="FI81">IF($DR81="","", INDEX(#REF!,MATCH(CONCATENATE(#REF!,$DR81),#REF!,0),MATCH(#REF!,#REF!,0)))</f>
        <v/>
      </c>
      <c r="FJ81" s="56" t="str">
        <f t="array" ref="FJ81">IF($DR81="","", INDEX(#REF!,MATCH(CONCATENATE(#REF!,$DR81),#REF!,0),MATCH(#REF!,#REF!,0)))</f>
        <v/>
      </c>
      <c r="FK81" s="45" t="str">
        <f t="array" ref="FK81">IF($DR81="","", INDEX(#REF!,MATCH(CONCATENATE(#REF!,$DR81),#REF!,0),MATCH(#REF!,#REF!,0)))</f>
        <v/>
      </c>
      <c r="FL81" s="45" t="str">
        <f t="array" ref="FL81">IF($DT81="","", INDEX(#REF!,MATCH(CONCATENATE('Respuestas de formulario 1.1'!$B81,$DS81),#REF!,0),MATCH('Respuestas de formulario 1.1'!FL$1,#REF!,0)))</f>
        <v/>
      </c>
      <c r="FM81" s="56" t="str">
        <f t="array" ref="FM81">IF($DT81="","", INDEX(#REF!,MATCH(CONCATENATE('Respuestas de formulario 1.1'!$B81,$DS81),#REF!,0),MATCH('Respuestas de formulario 1.1'!FM$1,#REF!,0)))</f>
        <v/>
      </c>
      <c r="FN81" s="56" t="str">
        <f t="array" ref="FN81">IF($DT81="","", INDEX(#REF!,MATCH(CONCATENATE('Respuestas de formulario 1.1'!$B81,$DS81),#REF!,0),MATCH('Respuestas de formulario 1.1'!FN$1,#REF!,0)))</f>
        <v/>
      </c>
      <c r="FO81" s="56" t="str">
        <f t="array" ref="FO81">IF($DT81="","", INDEX(#REF!,MATCH(CONCATENATE('Respuestas de formulario 1.1'!$B81,$DS81),#REF!,0),MATCH('Respuestas de formulario 1.1'!FO$1,#REF!,0)))</f>
        <v/>
      </c>
      <c r="FP81" s="56" t="str">
        <f t="array" ref="FP81">IF($DT81="","", INDEX(#REF!,MATCH(CONCATENATE('Respuestas de formulario 1.1'!$B81,$DS81),#REF!,0),MATCH('Respuestas de formulario 1.1'!FP$1,#REF!,0)))</f>
        <v/>
      </c>
      <c r="FQ81" s="56" t="str">
        <f t="array" ref="FQ81">IF($DT81="","", INDEX(#REF!,MATCH(CONCATENATE('Respuestas de formulario 1.1'!$B81,$DS81),#REF!,0),MATCH('Respuestas de formulario 1.1'!FQ$1,#REF!,0)))</f>
        <v/>
      </c>
      <c r="FR81" s="45" t="str">
        <f t="array" ref="FR81">IF($DT81="","", INDEX(#REF!,MATCH(CONCATENATE('Respuestas de formulario 1.1'!$B81,$DS81),#REF!,0),MATCH('Respuestas de formulario 1.1'!FR$1,#REF!,0)))</f>
        <v/>
      </c>
      <c r="FS81" s="45" t="str">
        <f t="array" ref="FS81">IF($DU81="","", INDEX(#REF!,MATCH(CONCATENATE('Respuestas de formulario 1.1'!$B81,$DT81),#REF!,0),MATCH('Respuestas de formulario 1.1'!FS$1,#REF!,0)))</f>
        <v/>
      </c>
      <c r="FT81" s="56" t="str">
        <f t="array" ref="FT81">IF($DU81="","", INDEX(#REF!,MATCH(CONCATENATE('Respuestas de formulario 1.1'!$B81,$DT81),#REF!,0),MATCH('Respuestas de formulario 1.1'!FT$1,#REF!,0)))</f>
        <v/>
      </c>
      <c r="FU81" s="56" t="str">
        <f t="array" ref="FU81">IF($DU81="","", INDEX(#REF!,MATCH(CONCATENATE('Respuestas de formulario 1.1'!$B81,$DT81),#REF!,0),MATCH('Respuestas de formulario 1.1'!FU$1,#REF!,0)))</f>
        <v/>
      </c>
      <c r="FV81" s="56" t="str">
        <f t="array" ref="FV81">IF($DU81="","", INDEX(#REF!,MATCH(CONCATENATE('Respuestas de formulario 1.1'!$B81,$DT81),#REF!,0),MATCH('Respuestas de formulario 1.1'!FV$1,#REF!,0)))</f>
        <v/>
      </c>
      <c r="FW81" s="56" t="str">
        <f t="array" ref="FW81">IF($DU81="","", INDEX(#REF!,MATCH(CONCATENATE('Respuestas de formulario 1.1'!$B81,$DT81),#REF!,0),MATCH('Respuestas de formulario 1.1'!FW$1,#REF!,0)))</f>
        <v/>
      </c>
      <c r="FX81" s="56" t="str">
        <f t="array" ref="FX81">IF($DU81="","", INDEX(#REF!,MATCH(CONCATENATE('Respuestas de formulario 1.1'!$B81,$DT81),#REF!,0),MATCH('Respuestas de formulario 1.1'!FX$1,#REF!,0)))</f>
        <v/>
      </c>
      <c r="FY81" s="45" t="str">
        <f t="array" ref="FY81">IF($DU81="","", INDEX(#REF!,MATCH(CONCATENATE('Respuestas de formulario 1.1'!$B81,$DT81),#REF!,0),MATCH('Respuestas de formulario 1.1'!FY$1,#REF!,0)))</f>
        <v/>
      </c>
      <c r="FZ81" s="3" t="s">
        <v>2860</v>
      </c>
      <c r="GA81" s="1" t="s">
        <v>4229</v>
      </c>
      <c r="GB81" s="5" t="s">
        <v>4230</v>
      </c>
      <c r="GC81" s="4" t="str">
        <f>HYPERLINK("https://drive.google.com/file/d/1mIJ-XyxU5Ezx0cXoNuplYfkfd1ImJb1R/view?usp=drivesdk","MARTINEZ  RODRIGUEZ  FERNANDA  Formato de reinscripción y pago 2022-2")</f>
        <v>MARTINEZ  RODRIGUEZ  FERNANDA  Formato de reinscripción y pago 2022-2</v>
      </c>
      <c r="GD81" s="1" t="s">
        <v>4231</v>
      </c>
      <c r="GE81" s="1"/>
      <c r="GF81" s="1"/>
      <c r="GG81" s="1"/>
      <c r="GH81" s="1"/>
      <c r="GI81" s="1" t="s">
        <v>4232</v>
      </c>
      <c r="GJ81" s="5" t="s">
        <v>4233</v>
      </c>
      <c r="GK81" s="5" t="str">
        <f>HYPERLINK("https://drive.google.com/file/d/1sk2K5FjrfdT_6DkJCOaYfrcWJ1fRfxJE/view?usp=drivesdk","MARTINEZ  RODRIGUEZ  FERNANDA  Formato de reinscripción y pago 2022-2")</f>
        <v>MARTINEZ  RODRIGUEZ  FERNANDA  Formato de reinscripción y pago 2022-2</v>
      </c>
      <c r="GL81" s="1" t="s">
        <v>4234</v>
      </c>
    </row>
    <row r="82" spans="1:194" ht="38.25" x14ac:dyDescent="0.2">
      <c r="A82" s="2">
        <v>45139.69639474537</v>
      </c>
      <c r="B82" s="1" t="s">
        <v>1153</v>
      </c>
      <c r="C82" s="1" t="s">
        <v>1443</v>
      </c>
      <c r="D82" s="1" t="s">
        <v>351</v>
      </c>
      <c r="E82" s="1" t="s">
        <v>1154</v>
      </c>
      <c r="F82" s="1" t="s">
        <v>223</v>
      </c>
      <c r="G82" s="5" t="s">
        <v>4235</v>
      </c>
      <c r="H82" s="41">
        <v>38753</v>
      </c>
      <c r="I82" s="1">
        <v>17</v>
      </c>
      <c r="J82" s="1">
        <v>5573101710</v>
      </c>
      <c r="K82" s="1">
        <v>5573101710</v>
      </c>
      <c r="L82" s="1" t="s">
        <v>4236</v>
      </c>
      <c r="M82" s="1">
        <v>21309060570231</v>
      </c>
      <c r="N82" s="1" t="s">
        <v>1108</v>
      </c>
      <c r="O82" s="1" t="s">
        <v>247</v>
      </c>
      <c r="P82" s="1" t="s">
        <v>226</v>
      </c>
      <c r="Q82" s="1" t="s">
        <v>263</v>
      </c>
      <c r="R82" s="1" t="s">
        <v>236</v>
      </c>
      <c r="S82" s="1" t="s">
        <v>236</v>
      </c>
      <c r="T82" s="1" t="s">
        <v>411</v>
      </c>
      <c r="U82" s="1" t="s">
        <v>249</v>
      </c>
      <c r="V82" s="1" t="s">
        <v>228</v>
      </c>
      <c r="W82" s="1" t="s">
        <v>4237</v>
      </c>
      <c r="X82" s="1" t="s">
        <v>249</v>
      </c>
      <c r="Y82" s="1" t="s">
        <v>718</v>
      </c>
      <c r="Z82" s="1" t="s">
        <v>240</v>
      </c>
      <c r="AA82" s="44" t="s">
        <v>716</v>
      </c>
      <c r="AB82" s="1" t="s">
        <v>1155</v>
      </c>
      <c r="AC82" s="1" t="s">
        <v>1156</v>
      </c>
      <c r="AD82" s="1" t="s">
        <v>4238</v>
      </c>
      <c r="AE82" s="1" t="s">
        <v>4239</v>
      </c>
      <c r="AF82" s="1" t="s">
        <v>461</v>
      </c>
      <c r="AG82" s="1">
        <v>34</v>
      </c>
      <c r="AH82" s="5" t="s">
        <v>4240</v>
      </c>
      <c r="AI82" s="1">
        <v>5951484780</v>
      </c>
      <c r="AJ82" s="1">
        <v>5951484780</v>
      </c>
      <c r="AK82" s="1" t="s">
        <v>1157</v>
      </c>
      <c r="AL82" s="1" t="s">
        <v>1275</v>
      </c>
      <c r="AM82" s="1" t="s">
        <v>1881</v>
      </c>
      <c r="AN82" s="1" t="s">
        <v>4241</v>
      </c>
      <c r="AO82" s="1" t="s">
        <v>420</v>
      </c>
      <c r="AP82" s="1">
        <v>33</v>
      </c>
      <c r="AQ82" s="1" t="s">
        <v>689</v>
      </c>
      <c r="AR82" s="42">
        <v>0.66666666666424135</v>
      </c>
      <c r="AS82" s="42">
        <v>0.5</v>
      </c>
      <c r="AT82" s="1">
        <v>5546705922</v>
      </c>
      <c r="AU82" s="1">
        <v>5546705922</v>
      </c>
      <c r="AV82" s="1" t="s">
        <v>1157</v>
      </c>
      <c r="AW82" s="5" t="s">
        <v>4242</v>
      </c>
      <c r="AX82" s="1" t="s">
        <v>1273</v>
      </c>
      <c r="AY82" s="1" t="s">
        <v>666</v>
      </c>
      <c r="AZ82" s="1" t="s">
        <v>4243</v>
      </c>
      <c r="BA82" s="1" t="s">
        <v>461</v>
      </c>
      <c r="BB82" s="1">
        <v>34</v>
      </c>
      <c r="BC82" s="1" t="s">
        <v>4244</v>
      </c>
      <c r="BD82" s="43">
        <v>0.5</v>
      </c>
      <c r="BE82" s="43">
        <v>0.5</v>
      </c>
      <c r="BF82" s="1">
        <v>5951484780</v>
      </c>
      <c r="BG82" s="1">
        <v>5951484780</v>
      </c>
      <c r="BH82" s="1" t="s">
        <v>1157</v>
      </c>
      <c r="BI82" s="5" t="s">
        <v>4245</v>
      </c>
      <c r="BJ82" s="1" t="s">
        <v>236</v>
      </c>
      <c r="BK82" s="1" t="s">
        <v>4246</v>
      </c>
      <c r="BL82" s="1">
        <v>1054</v>
      </c>
      <c r="BM82" s="1">
        <v>58</v>
      </c>
      <c r="BN82" s="1" t="s">
        <v>228</v>
      </c>
      <c r="BO82" s="1" t="s">
        <v>228</v>
      </c>
      <c r="BQ82" s="1" t="s">
        <v>228</v>
      </c>
      <c r="BR82" s="1" t="s">
        <v>237</v>
      </c>
      <c r="BS82" s="1" t="s">
        <v>236</v>
      </c>
      <c r="BT82" s="1" t="s">
        <v>271</v>
      </c>
      <c r="BU82" s="1" t="s">
        <v>228</v>
      </c>
      <c r="BW82" s="1" t="s">
        <v>272</v>
      </c>
      <c r="BX82" s="1">
        <v>150</v>
      </c>
      <c r="BY82" s="1">
        <v>250</v>
      </c>
      <c r="BZ82" s="1" t="s">
        <v>4247</v>
      </c>
      <c r="CA82" s="1" t="s">
        <v>2206</v>
      </c>
      <c r="CB82" s="1" t="s">
        <v>240</v>
      </c>
      <c r="CC82" s="1" t="s">
        <v>255</v>
      </c>
      <c r="CD82" s="1">
        <v>1500</v>
      </c>
      <c r="CE82" s="1">
        <v>800</v>
      </c>
      <c r="CF82" s="1" t="s">
        <v>228</v>
      </c>
      <c r="CG82" s="1" t="s">
        <v>242</v>
      </c>
      <c r="CH82" s="1" t="s">
        <v>243</v>
      </c>
      <c r="CI82" s="1" t="s">
        <v>243</v>
      </c>
      <c r="CJ82" s="1" t="s">
        <v>2848</v>
      </c>
      <c r="CL82" s="5" t="s">
        <v>4248</v>
      </c>
      <c r="CM82" s="44" t="s">
        <v>1158</v>
      </c>
      <c r="CN82" s="1" t="s">
        <v>228</v>
      </c>
      <c r="CQ82" s="42">
        <v>0.5</v>
      </c>
      <c r="CR82" s="42">
        <v>0.5</v>
      </c>
      <c r="CT82" s="45" t="str">
        <f t="array" ref="CT82">IFERROR(INDEX(#REF!,MATCH('Respuestas de formulario 1.1'!$B82,#REF!,0),MATCH('Respuestas de formulario 1.1'!CT$1,#REF!,0)),"")</f>
        <v/>
      </c>
      <c r="CU82" s="56" t="str">
        <f t="array" ref="CU82">IFERROR(INDEX(#REF!,MATCH('Respuestas de formulario 1.1'!$B82,#REF!,0),MATCH('Respuestas de formulario 1.1'!CU$1,#REF!,0)),"")</f>
        <v/>
      </c>
      <c r="CV82" s="56" t="str">
        <f t="array" ref="CV82">IFERROR(INDEX(#REF!,MATCH('Respuestas de formulario 1.1'!$B82,#REF!,0),MATCH('Respuestas de formulario 1.1'!CV$1,#REF!,0)),"")</f>
        <v/>
      </c>
      <c r="CW82" s="56" t="str">
        <f t="array" ref="CW82">IFERROR(INDEX(#REF!,MATCH('Respuestas de formulario 1.1'!$B82,#REF!,0),MATCH('Respuestas de formulario 1.1'!CW$1,#REF!,0)),"")</f>
        <v/>
      </c>
      <c r="CX82" s="56" t="str">
        <f t="array" ref="CX82">IFERROR(INDEX(#REF!,MATCH('Respuestas de formulario 1.1'!$B82,#REF!,0),MATCH('Respuestas de formulario 1.1'!CX$1,#REF!,0)),"")</f>
        <v/>
      </c>
      <c r="CY82" s="56" t="str">
        <f t="array" ref="CY82">IFERROR(INDEX(#REF!,MATCH('Respuestas de formulario 1.1'!$B82,#REF!,0),MATCH('Respuestas de formulario 1.1'!CY$1,#REF!,0)),"")</f>
        <v/>
      </c>
      <c r="CZ82" s="57" t="str">
        <f t="array" ref="CZ82">IFERROR(INDEX(#REF!,MATCH('Respuestas de formulario 1.1'!$B82,#REF!,0),MATCH('Respuestas de formulario 1.1'!CZ$1,#REF!,0)),"")</f>
        <v/>
      </c>
      <c r="DA82" s="45" t="e">
        <f t="array" ref="DA82">INDEX(#REF!,MATCH('Respuestas de formulario 1.1'!$B82,#REF!,0),MATCH('Respuestas de formulario 1.1'!DA$1,#REF!,0))</f>
        <v>#REF!</v>
      </c>
      <c r="DB82" s="45" t="e">
        <f t="array" ref="DB82">INDEX(#REF!,MATCH('Respuestas de formulario 1.1'!$B82,#REF!,0),MATCH('Respuestas de formulario 1.1'!DB$1,#REF!,0))</f>
        <v>#REF!</v>
      </c>
      <c r="DC82" s="45" t="e">
        <f t="array" ref="DC82">INDEX(#REF!,MATCH('Respuestas de formulario 1.1'!$B82,#REF!,0),MATCH('Respuestas de formulario 1.1'!DC$1,#REF!,0))</f>
        <v>#REF!</v>
      </c>
      <c r="DD82" s="45" t="e">
        <f t="array" ref="DD82">INDEX(#REF!,MATCH('Respuestas de formulario 1.1'!$B82,#REF!,0),MATCH('Respuestas de formulario 1.1'!DD$1,#REF!,0))</f>
        <v>#REF!</v>
      </c>
      <c r="DE82" s="45" t="e">
        <f t="array" ref="DE82">INDEX(#REF!,MATCH('Respuestas de formulario 1.1'!$B82,#REF!,0),MATCH('Respuestas de formulario 1.1'!DE$1,#REF!,0))</f>
        <v>#REF!</v>
      </c>
      <c r="DF82" s="45" t="e">
        <f t="array" ref="DF82">INDEX(#REF!,MATCH('Respuestas de formulario 1.1'!$B82,#REF!,0),MATCH('Respuestas de formulario 1.1'!DF$1,#REF!,0))</f>
        <v>#REF!</v>
      </c>
      <c r="DG82" s="45" t="e">
        <f t="array" ref="DG82">INDEX(#REF!,MATCH('Respuestas de formulario 1.1'!$B82,#REF!,0),MATCH('Respuestas de formulario 1.1'!DG$1,#REF!,0))</f>
        <v>#REF!</v>
      </c>
      <c r="DH82" s="45" t="e">
        <f t="array" ref="DH82">INDEX(#REF!,MATCH('Respuestas de formulario 1.1'!$B82,#REF!,0),MATCH('Respuestas de formulario 1.1'!DH$1,#REF!,0))</f>
        <v>#REF!</v>
      </c>
      <c r="DI82" s="48" t="e">
        <f>VLOOKUP(CONCATENATE($DF82," TUTO ",$DC82),#REF!,3,0)</f>
        <v>#REF!</v>
      </c>
      <c r="DJ82" s="48" t="e">
        <f t="array" ref="DJ82">IF('Respuestas de formulario 1.1'!A82="","",INDEX(#REF!,MATCH('Respuestas de formulario 1.1'!B82,#REF!,0),MATCH('Respuestas de formulario 1.1'!$DH$1,#REF!,0)))</f>
        <v>#REF!</v>
      </c>
      <c r="DK82" s="52" t="str">
        <f>CONCATENATE("http://doc.google.com/uc?id=",MID('Respuestas de formulario 1.1'!G82,34,33))</f>
        <v>http://doc.google.com/uc?id=1QiLLHAqAdky5D0pUfTOQGCO09rVy_Iwe</v>
      </c>
      <c r="DL82" s="49" t="str">
        <f>CONCATENATE("http://doc.google.com/uc?id=",MID('Respuestas de formulario 1.1'!AH82,34,33))</f>
        <v>http://doc.google.com/uc?id=1cm78TgAk2AhiNbl5USLCwMaWCyll5nPu</v>
      </c>
      <c r="DM82" s="50" t="str">
        <f>CONCATENATE("http://doc.google.com/uc?id=",MID('Respuestas de formulario 1.1'!AW82,34,33))</f>
        <v>http://doc.google.com/uc?id=1Y5MZLPhtUSwNRrpMdO9eiWPbnuMBWam9</v>
      </c>
      <c r="DN82" s="53" t="str">
        <f>CONCATENATE("http://doc.google.com/uc?id=",MID('Respuestas de formulario 1.1'!$BI82,34,33))</f>
        <v>http://doc.google.com/uc?id=1WhTwL7qz93JcYjEqy_5HaRhqH-KrUXM5</v>
      </c>
      <c r="DO82" s="45" t="str">
        <f>IFERROR(VLOOKUP(CONCATENATE('Respuestas de formulario 1.1'!$B82,MID('Respuestas de formulario 1.1'!DO$1,2,1)),#REF!,12,0),"")</f>
        <v/>
      </c>
      <c r="DP82" s="45" t="str">
        <f>IFERROR(VLOOKUP(CONCATENATE('Respuestas de formulario 1.1'!$B82,MID('Respuestas de formulario 1.1'!DP$1,2,1)),#REF!,12,0),"")</f>
        <v/>
      </c>
      <c r="DQ82" s="45" t="str">
        <f>IFERROR(VLOOKUP(CONCATENATE('Respuestas de formulario 1.1'!$B82,MID('Respuestas de formulario 1.1'!DQ$1,2,1)),#REF!,12,0),"")</f>
        <v/>
      </c>
      <c r="DR82" s="45" t="str">
        <f>IFERROR(VLOOKUP(CONCATENATE('Respuestas de formulario 1.1'!$B82,MID('Respuestas de formulario 1.1'!DR$1,2,1)),#REF!,12,0),"")</f>
        <v/>
      </c>
      <c r="DS82" s="45" t="str">
        <f>IFERROR(VLOOKUP(CONCATENATE('Respuestas de formulario 1.1'!$B82,MID('Respuestas de formulario 1.1'!DS$1,2,1)),#REF!,12,0),"")</f>
        <v/>
      </c>
      <c r="DT82" s="45" t="str">
        <f>IFERROR(VLOOKUP(CONCATENATE('Respuestas de formulario 1.1'!$B82,MID('Respuestas de formulario 1.1'!DT$1,2,1)),#REF!,12,0),"")</f>
        <v/>
      </c>
      <c r="DU82" s="45" t="str">
        <f>IFERROR(VLOOKUP(CONCATENATE('Respuestas de formulario 1.1'!$B82,MID('Respuestas de formulario 1.1'!DU$1,2,1)),#REF!,12,0),"")</f>
        <v/>
      </c>
      <c r="DV82" s="45" t="str">
        <f>IFERROR(VLOOKUP(CONCATENATE('Respuestas de formulario 1.1'!$B82,MID('Respuestas de formulario 1.1'!DV$1,2,1)),#REF!,12,0),"")</f>
        <v/>
      </c>
      <c r="DW82" s="45" t="str">
        <f>IFERROR(VLOOKUP(CONCATENATE('Respuestas de formulario 1.1'!$B82,MID('Respuestas de formulario 1.1'!DW$1,2,1)),#REF!,12,0),"")</f>
        <v/>
      </c>
      <c r="DX82" s="45" t="str">
        <f>IFERROR(VLOOKUP(CONCATENATE('Respuestas de formulario 1.1'!$B82,MID('Respuestas de formulario 1.1'!DX$1,2,1)),#REF!,12,0),"")</f>
        <v/>
      </c>
      <c r="DY82" s="45" t="str">
        <f>IFERROR(VLOOKUP(CONCATENATE('Respuestas de formulario 1.1'!$B82,MID('Respuestas de formulario 1.1'!DY$1,2,1)),#REF!,12,0),"")</f>
        <v/>
      </c>
      <c r="DZ82" s="45" t="str">
        <f>IFERROR(VLOOKUP(CONCATENATE('Respuestas de formulario 1.1'!$B82,MID('Respuestas de formulario 1.1'!DZ$1,2,1)),#REF!,12,0),"")</f>
        <v/>
      </c>
      <c r="EA82" s="45" t="str">
        <f>IFERROR(VLOOKUP(CONCATENATE('Respuestas de formulario 1.1'!$B82,MID('Respuestas de formulario 1.1'!EA$1,2,1)),#REF!,12,0),"")</f>
        <v/>
      </c>
      <c r="EB82" s="45" t="str">
        <f>IFERROR(VLOOKUP(CONCATENATE('Respuestas de formulario 1.1'!$B82,MID('Respuestas de formulario 1.1'!EB$1,2,1)),#REF!,12,0),"")</f>
        <v/>
      </c>
      <c r="EC82" s="45" t="str">
        <f>IFERROR(VLOOKUP(CONCATENATE('Respuestas de formulario 1.1'!$B82,MID('Respuestas de formulario 1.1'!EC$1,2,1)),#REF!,12,0),"")</f>
        <v/>
      </c>
      <c r="ED82" s="45" t="str">
        <f>IFERROR(VLOOKUP(CONCATENATE('Respuestas de formulario 1.1'!$B82,MID('Respuestas de formulario 1.1'!ED$1,2,1)),#REF!,12,0),"")</f>
        <v/>
      </c>
      <c r="EE82" s="45" t="str">
        <f>IFERROR(VLOOKUP(CONCATENATE('Respuestas de formulario 1.1'!$B82,MID('Respuestas de formulario 1.1'!EE$1,2,1)),#REF!,12,0),"")</f>
        <v/>
      </c>
      <c r="EF82" s="45" t="str">
        <f>IFERROR(VLOOKUP(CONCATENATE('Respuestas de formulario 1.1'!$B82,MID('Respuestas de formulario 1.1'!EF$1,2,1)),#REF!,12,0),"")</f>
        <v/>
      </c>
      <c r="EG82" s="45" t="str">
        <f>IFERROR(VLOOKUP(CONCATENATE('Respuestas de formulario 1.1'!$B82,MID('Respuestas de formulario 1.1'!EG$1,2,1)),#REF!,12,0),"")</f>
        <v/>
      </c>
      <c r="EH82" s="45" t="str">
        <f>IFERROR(VLOOKUP(CONCATENATE('Respuestas de formulario 1.1'!$B82,MID('Respuestas de formulario 1.1'!EH$1,2,1)),#REF!,12,0),"")</f>
        <v/>
      </c>
      <c r="EI82" s="45" t="str">
        <f>IFERROR(VLOOKUP(CONCATENATE('Respuestas de formulario 1.1'!$B82,MID('Respuestas de formulario 1.1'!EI$1,2,1)),#REF!,12,0),"")</f>
        <v/>
      </c>
      <c r="EJ82" s="45" t="str">
        <f t="array" ref="EJ82">IF(DO82="","", INDEX(#REF!,MATCH(CONCATENATE('Respuestas de formulario 1.1'!$B82,DO82),#REF!,0),MATCH('Respuestas de formulario 1.1'!EJ$1,#REF!,0)))</f>
        <v/>
      </c>
      <c r="EK82" s="56" t="str">
        <f t="array" ref="EK82">IF(DP82="","", INDEX(#REF!,MATCH(CONCATENATE('Respuestas de formulario 1.1'!$B82,DP82),#REF!,0),MATCH('Respuestas de formulario 1.1'!EK$1,#REF!,0)))</f>
        <v/>
      </c>
      <c r="EL82" s="56" t="str">
        <f t="array" ref="EL82">IF(DQ82="","", INDEX(#REF!,MATCH(CONCATENATE('Respuestas de formulario 1.1'!$B82,DQ82),#REF!,0),MATCH('Respuestas de formulario 1.1'!EL$1,#REF!,0)))</f>
        <v/>
      </c>
      <c r="EM82" s="56" t="str">
        <f t="array" ref="EM82">IF(DR82="","", INDEX(#REF!,MATCH(CONCATENATE('Respuestas de formulario 1.1'!$B82,DR82),#REF!,0),MATCH('Respuestas de formulario 1.1'!EM$1,#REF!,0)))</f>
        <v/>
      </c>
      <c r="EN82" s="56" t="str">
        <f t="array" ref="EN82">IF(DS82="","", INDEX(#REF!,MATCH(CONCATENATE('Respuestas de formulario 1.1'!$B82,DS82),#REF!,0),MATCH('Respuestas de formulario 1.1'!EN$1,#REF!,0)))</f>
        <v/>
      </c>
      <c r="EO82" s="56" t="str">
        <f t="array" ref="EO82">IF(DT82="","", INDEX(#REF!,MATCH(CONCATENATE('Respuestas de formulario 1.1'!$B82,DT82),#REF!,0),MATCH('Respuestas de formulario 1.1'!EO$1,#REF!,0)))</f>
        <v/>
      </c>
      <c r="EP82" s="45" t="str">
        <f t="array" ref="EP82">IF(DU82="","", INDEX(#REF!,MATCH(CONCATENATE('Respuestas de formulario 1.1'!$B82,DU82),#REF!,0),MATCH('Respuestas de formulario 1.1'!EP$1,#REF!,0)))</f>
        <v/>
      </c>
      <c r="EQ82" s="45" t="str">
        <f t="array" ref="EQ82">IF(DP82="","", INDEX(#REF!,MATCH(CONCATENATE('Respuestas de formulario 1.1'!$B82,DP82),#REF!,0),MATCH('Respuestas de formulario 1.1'!EQ$1,#REF!,0)))</f>
        <v/>
      </c>
      <c r="ER82" s="56" t="str">
        <f t="array" ref="ER82">IF(DQ82="","", INDEX(#REF!,MATCH(CONCATENATE('Respuestas de formulario 1.1'!$B82,DQ82),#REF!,0),MATCH('Respuestas de formulario 1.1'!ER$1,#REF!,0)))</f>
        <v/>
      </c>
      <c r="ES82" s="56" t="str">
        <f t="array" ref="ES82">IF(DR82="","", INDEX(#REF!,MATCH(CONCATENATE('Respuestas de formulario 1.1'!$B82,DR82),#REF!,0),MATCH('Respuestas de formulario 1.1'!ES$1,#REF!,0)))</f>
        <v/>
      </c>
      <c r="ET82" s="56" t="str">
        <f t="array" ref="ET82">IF(DS82="","", INDEX(#REF!,MATCH(CONCATENATE('Respuestas de formulario 1.1'!$B82,DS82),#REF!,0),MATCH('Respuestas de formulario 1.1'!ET$1,#REF!,0)))</f>
        <v/>
      </c>
      <c r="EU82" s="56" t="str">
        <f t="array" ref="EU82">IF(DT82="","", INDEX(#REF!,MATCH(CONCATENATE('Respuestas de formulario 1.1'!$B82,DT82),#REF!,0),MATCH('Respuestas de formulario 1.1'!EU$1,#REF!,0)))</f>
        <v/>
      </c>
      <c r="EV82" s="56" t="str">
        <f t="array" ref="EV82">IF(DU82="","", INDEX(#REF!,MATCH(CONCATENATE('Respuestas de formulario 1.1'!$B82,DU82),#REF!,0),MATCH('Respuestas de formulario 1.1'!EV$1,#REF!,0)))</f>
        <v/>
      </c>
      <c r="EW82" s="45" t="str">
        <f t="array" ref="EW82">IF(DV82="","", INDEX(#REF!,MATCH(CONCATENATE('Respuestas de formulario 1.1'!$B82,DV82),#REF!,0),MATCH('Respuestas de formulario 1.1'!EW$1,#REF!,0)))</f>
        <v/>
      </c>
      <c r="EX82" s="45" t="str">
        <f t="array" ref="EX82">IF($DQ82="","", INDEX(#REF!,MATCH(CONCATENATE('Respuestas de formulario 1.1'!$B82,$DQ82),#REF!,0),MATCH('Respuestas de formulario 1.1'!EX$1,#REF!,0)))</f>
        <v/>
      </c>
      <c r="EY82" s="56" t="str">
        <f t="array" ref="EY82">IF($DQ82="","", INDEX(#REF!,MATCH(CONCATENATE('Respuestas de formulario 1.1'!$B82,$DQ82),#REF!,0),MATCH('Respuestas de formulario 1.1'!EY$1,#REF!,0)))</f>
        <v/>
      </c>
      <c r="EZ82" s="56" t="str">
        <f t="array" ref="EZ82">IF($DQ82="","", INDEX(#REF!,MATCH(CONCATENATE('Respuestas de formulario 1.1'!$B82,$DQ82),#REF!,0),MATCH('Respuestas de formulario 1.1'!EZ$1,#REF!,0)))</f>
        <v/>
      </c>
      <c r="FA82" s="56" t="str">
        <f t="array" ref="FA82">IF($DQ82="","", INDEX(#REF!,MATCH(CONCATENATE('Respuestas de formulario 1.1'!$B82,$DQ82),#REF!,0),MATCH('Respuestas de formulario 1.1'!FA$1,#REF!,0)))</f>
        <v/>
      </c>
      <c r="FB82" s="56" t="str">
        <f t="array" ref="FB82">IF($DQ82="","", INDEX(#REF!,MATCH(CONCATENATE('Respuestas de formulario 1.1'!$B82,$DQ82),#REF!,0),MATCH('Respuestas de formulario 1.1'!FB$1,#REF!,0)))</f>
        <v/>
      </c>
      <c r="FC82" s="56" t="str">
        <f t="array" ref="FC82">IF($DQ82="","", INDEX(#REF!,MATCH(CONCATENATE('Respuestas de formulario 1.1'!$B82,$DQ82),#REF!,0),MATCH('Respuestas de formulario 1.1'!FC$1,#REF!,0)))</f>
        <v/>
      </c>
      <c r="FD82" s="45" t="str">
        <f t="array" ref="FD82">IF($DQ82="","", INDEX(#REF!,MATCH(CONCATENATE('Respuestas de formulario 1.1'!$B82,$DQ82),#REF!,0),MATCH('Respuestas de formulario 1.1'!FD$1,#REF!,0)))</f>
        <v/>
      </c>
      <c r="FE82" s="45" t="str">
        <f t="array" ref="FE82">IF($DR82="","", INDEX(#REF!,MATCH(CONCATENATE(#REF!,$DR82),#REF!,0),MATCH(#REF!,#REF!,0)))</f>
        <v/>
      </c>
      <c r="FF82" s="56" t="str">
        <f t="array" ref="FF82">IF($DR82="","", INDEX(#REF!,MATCH(CONCATENATE(#REF!,$DR82),#REF!,0),MATCH(#REF!,#REF!,0)))</f>
        <v/>
      </c>
      <c r="FG82" s="56" t="str">
        <f t="array" ref="FG82">IF($DR82="","", INDEX(#REF!,MATCH(CONCATENATE(#REF!,$DR82),#REF!,0),MATCH(#REF!,#REF!,0)))</f>
        <v/>
      </c>
      <c r="FH82" s="56" t="str">
        <f t="array" ref="FH82">IF($DR82="","", INDEX(#REF!,MATCH(CONCATENATE(#REF!,$DR82),#REF!,0),MATCH(#REF!,#REF!,0)))</f>
        <v/>
      </c>
      <c r="FI82" s="56" t="str">
        <f t="array" ref="FI82">IF($DR82="","", INDEX(#REF!,MATCH(CONCATENATE(#REF!,$DR82),#REF!,0),MATCH(#REF!,#REF!,0)))</f>
        <v/>
      </c>
      <c r="FJ82" s="56" t="str">
        <f t="array" ref="FJ82">IF($DR82="","", INDEX(#REF!,MATCH(CONCATENATE(#REF!,$DR82),#REF!,0),MATCH(#REF!,#REF!,0)))</f>
        <v/>
      </c>
      <c r="FK82" s="45" t="str">
        <f t="array" ref="FK82">IF($DR82="","", INDEX(#REF!,MATCH(CONCATENATE(#REF!,$DR82),#REF!,0),MATCH(#REF!,#REF!,0)))</f>
        <v/>
      </c>
      <c r="FL82" s="45" t="str">
        <f t="array" ref="FL82">IF($DT82="","", INDEX(#REF!,MATCH(CONCATENATE('Respuestas de formulario 1.1'!$B82,$DS82),#REF!,0),MATCH('Respuestas de formulario 1.1'!FL$1,#REF!,0)))</f>
        <v/>
      </c>
      <c r="FM82" s="56" t="str">
        <f t="array" ref="FM82">IF($DT82="","", INDEX(#REF!,MATCH(CONCATENATE('Respuestas de formulario 1.1'!$B82,$DS82),#REF!,0),MATCH('Respuestas de formulario 1.1'!FM$1,#REF!,0)))</f>
        <v/>
      </c>
      <c r="FN82" s="56" t="str">
        <f t="array" ref="FN82">IF($DT82="","", INDEX(#REF!,MATCH(CONCATENATE('Respuestas de formulario 1.1'!$B82,$DS82),#REF!,0),MATCH('Respuestas de formulario 1.1'!FN$1,#REF!,0)))</f>
        <v/>
      </c>
      <c r="FO82" s="56" t="str">
        <f t="array" ref="FO82">IF($DT82="","", INDEX(#REF!,MATCH(CONCATENATE('Respuestas de formulario 1.1'!$B82,$DS82),#REF!,0),MATCH('Respuestas de formulario 1.1'!FO$1,#REF!,0)))</f>
        <v/>
      </c>
      <c r="FP82" s="56" t="str">
        <f t="array" ref="FP82">IF($DT82="","", INDEX(#REF!,MATCH(CONCATENATE('Respuestas de formulario 1.1'!$B82,$DS82),#REF!,0),MATCH('Respuestas de formulario 1.1'!FP$1,#REF!,0)))</f>
        <v/>
      </c>
      <c r="FQ82" s="56" t="str">
        <f t="array" ref="FQ82">IF($DT82="","", INDEX(#REF!,MATCH(CONCATENATE('Respuestas de formulario 1.1'!$B82,$DS82),#REF!,0),MATCH('Respuestas de formulario 1.1'!FQ$1,#REF!,0)))</f>
        <v/>
      </c>
      <c r="FR82" s="45" t="str">
        <f t="array" ref="FR82">IF($DT82="","", INDEX(#REF!,MATCH(CONCATENATE('Respuestas de formulario 1.1'!$B82,$DS82),#REF!,0),MATCH('Respuestas de formulario 1.1'!FR$1,#REF!,0)))</f>
        <v/>
      </c>
      <c r="FS82" s="45" t="str">
        <f t="array" ref="FS82">IF($DU82="","", INDEX(#REF!,MATCH(CONCATENATE('Respuestas de formulario 1.1'!$B82,$DT82),#REF!,0),MATCH('Respuestas de formulario 1.1'!FS$1,#REF!,0)))</f>
        <v/>
      </c>
      <c r="FT82" s="56" t="str">
        <f t="array" ref="FT82">IF($DU82="","", INDEX(#REF!,MATCH(CONCATENATE('Respuestas de formulario 1.1'!$B82,$DT82),#REF!,0),MATCH('Respuestas de formulario 1.1'!FT$1,#REF!,0)))</f>
        <v/>
      </c>
      <c r="FU82" s="56" t="str">
        <f t="array" ref="FU82">IF($DU82="","", INDEX(#REF!,MATCH(CONCATENATE('Respuestas de formulario 1.1'!$B82,$DT82),#REF!,0),MATCH('Respuestas de formulario 1.1'!FU$1,#REF!,0)))</f>
        <v/>
      </c>
      <c r="FV82" s="56" t="str">
        <f t="array" ref="FV82">IF($DU82="","", INDEX(#REF!,MATCH(CONCATENATE('Respuestas de formulario 1.1'!$B82,$DT82),#REF!,0),MATCH('Respuestas de formulario 1.1'!FV$1,#REF!,0)))</f>
        <v/>
      </c>
      <c r="FW82" s="56" t="str">
        <f t="array" ref="FW82">IF($DU82="","", INDEX(#REF!,MATCH(CONCATENATE('Respuestas de formulario 1.1'!$B82,$DT82),#REF!,0),MATCH('Respuestas de formulario 1.1'!FW$1,#REF!,0)))</f>
        <v/>
      </c>
      <c r="FX82" s="56" t="str">
        <f t="array" ref="FX82">IF($DU82="","", INDEX(#REF!,MATCH(CONCATENATE('Respuestas de formulario 1.1'!$B82,$DT82),#REF!,0),MATCH('Respuestas de formulario 1.1'!FX$1,#REF!,0)))</f>
        <v/>
      </c>
      <c r="FY82" s="45" t="str">
        <f t="array" ref="FY82">IF($DU82="","", INDEX(#REF!,MATCH(CONCATENATE('Respuestas de formulario 1.1'!$B82,$DT82),#REF!,0),MATCH('Respuestas de formulario 1.1'!FY$1,#REF!,0)))</f>
        <v/>
      </c>
      <c r="FZ82" s="3" t="s">
        <v>2860</v>
      </c>
      <c r="GA82" s="1" t="s">
        <v>4249</v>
      </c>
      <c r="GB82" s="5" t="s">
        <v>4250</v>
      </c>
      <c r="GC82" s="4" t="str">
        <f>HYPERLINK("https://drive.google.com/file/d/1FBQ6pXTC5gURdO6SsLt29TYl8nwgcNWK/view?usp=drivesdk","CALDERON  VARGAS  VALERIA RUBI  Formato de reinscripción y pago 2022-2")</f>
        <v>CALDERON  VARGAS  VALERIA RUBI  Formato de reinscripción y pago 2022-2</v>
      </c>
      <c r="GD82" s="1" t="s">
        <v>4251</v>
      </c>
      <c r="GE82" s="1"/>
      <c r="GF82" s="1"/>
      <c r="GG82" s="1"/>
      <c r="GH82" s="1"/>
      <c r="GI82" s="1" t="s">
        <v>4252</v>
      </c>
      <c r="GJ82" s="5" t="s">
        <v>4253</v>
      </c>
      <c r="GK82" s="5" t="str">
        <f>HYPERLINK("https://drive.google.com/file/d/1EcH5JThUqMA0Thl5HWxzrlkxi184_Klj/view?usp=drivesdk","CALDERON  VARGAS  VALERIA RUBI  Formato de reinscripción y pago 2022-2")</f>
        <v>CALDERON  VARGAS  VALERIA RUBI  Formato de reinscripción y pago 2022-2</v>
      </c>
      <c r="GL82" s="1" t="s">
        <v>4254</v>
      </c>
    </row>
    <row r="83" spans="1:194" ht="38.25" x14ac:dyDescent="0.2">
      <c r="A83" s="2">
        <v>45139.391986064817</v>
      </c>
      <c r="B83" s="1" t="s">
        <v>2288</v>
      </c>
      <c r="C83" s="1" t="s">
        <v>1948</v>
      </c>
      <c r="D83" s="1" t="s">
        <v>1284</v>
      </c>
      <c r="E83" s="1" t="s">
        <v>4255</v>
      </c>
      <c r="F83" s="1" t="s">
        <v>223</v>
      </c>
      <c r="G83" s="5" t="s">
        <v>4256</v>
      </c>
      <c r="H83" s="41">
        <v>39281</v>
      </c>
      <c r="I83" s="1">
        <v>16</v>
      </c>
      <c r="J83" s="1">
        <v>5639730440</v>
      </c>
      <c r="K83" s="1">
        <v>5637990969</v>
      </c>
      <c r="L83" s="1" t="s">
        <v>2289</v>
      </c>
      <c r="M83" s="1">
        <v>22309060570752</v>
      </c>
      <c r="N83" s="1" t="s">
        <v>562</v>
      </c>
      <c r="O83" s="1" t="s">
        <v>247</v>
      </c>
      <c r="P83" s="1" t="s">
        <v>278</v>
      </c>
      <c r="Q83" s="1" t="s">
        <v>248</v>
      </c>
      <c r="R83" s="1" t="s">
        <v>236</v>
      </c>
      <c r="S83" s="1" t="s">
        <v>228</v>
      </c>
      <c r="T83" s="1" t="s">
        <v>229</v>
      </c>
      <c r="U83" s="1" t="s">
        <v>327</v>
      </c>
      <c r="V83" s="1" t="s">
        <v>228</v>
      </c>
      <c r="W83" s="1" t="s">
        <v>4257</v>
      </c>
      <c r="X83" s="1" t="s">
        <v>327</v>
      </c>
      <c r="Y83" s="1" t="s">
        <v>731</v>
      </c>
      <c r="Z83" s="1" t="s">
        <v>231</v>
      </c>
      <c r="AA83" s="1">
        <v>56335</v>
      </c>
      <c r="AB83" s="1">
        <v>7</v>
      </c>
      <c r="AC83" s="1">
        <v>21</v>
      </c>
      <c r="AD83" s="1" t="s">
        <v>4258</v>
      </c>
      <c r="AE83" s="1" t="s">
        <v>2290</v>
      </c>
      <c r="AF83" s="1" t="s">
        <v>265</v>
      </c>
      <c r="AG83" s="1">
        <v>32</v>
      </c>
      <c r="AH83" s="5" t="s">
        <v>4259</v>
      </c>
      <c r="AI83" s="1">
        <v>5637990969</v>
      </c>
      <c r="AJ83" s="1">
        <v>5637990969</v>
      </c>
      <c r="AK83" s="1" t="s">
        <v>2291</v>
      </c>
      <c r="AL83" s="1" t="s">
        <v>4260</v>
      </c>
      <c r="AM83" s="1" t="s">
        <v>2292</v>
      </c>
      <c r="AN83" s="1" t="s">
        <v>1574</v>
      </c>
      <c r="AO83" s="1" t="s">
        <v>650</v>
      </c>
      <c r="AP83" s="1">
        <v>42</v>
      </c>
      <c r="AQ83" s="1" t="s">
        <v>4261</v>
      </c>
      <c r="AR83" s="42">
        <v>0.33333333333575865</v>
      </c>
      <c r="AS83" s="42">
        <v>0.75</v>
      </c>
      <c r="AT83" s="1">
        <v>5613213157</v>
      </c>
      <c r="AU83" s="1">
        <v>5613213157</v>
      </c>
      <c r="AV83" s="1" t="s">
        <v>4262</v>
      </c>
      <c r="AW83" s="5" t="s">
        <v>4263</v>
      </c>
      <c r="AX83" s="1" t="s">
        <v>1326</v>
      </c>
      <c r="AY83" s="1" t="s">
        <v>2093</v>
      </c>
      <c r="AZ83" s="1" t="s">
        <v>4264</v>
      </c>
      <c r="BA83" s="1" t="s">
        <v>265</v>
      </c>
      <c r="BB83" s="1">
        <v>32</v>
      </c>
      <c r="BC83" s="1" t="s">
        <v>328</v>
      </c>
      <c r="BD83" s="43">
        <v>0</v>
      </c>
      <c r="BE83" s="43">
        <v>0</v>
      </c>
      <c r="BF83" s="1">
        <v>5637990969</v>
      </c>
      <c r="BG83" s="1">
        <v>5637990969</v>
      </c>
      <c r="BH83" s="1" t="s">
        <v>2291</v>
      </c>
      <c r="BI83" s="5" t="s">
        <v>4265</v>
      </c>
      <c r="BJ83" s="1" t="s">
        <v>236</v>
      </c>
      <c r="BL83" s="1">
        <v>1.58</v>
      </c>
      <c r="BM83" s="1">
        <v>52</v>
      </c>
      <c r="BN83" s="1" t="s">
        <v>236</v>
      </c>
      <c r="BO83" s="1" t="s">
        <v>228</v>
      </c>
      <c r="BQ83" s="1" t="s">
        <v>228</v>
      </c>
      <c r="BR83" s="1" t="s">
        <v>237</v>
      </c>
      <c r="BS83" s="1" t="s">
        <v>228</v>
      </c>
      <c r="BT83" s="1" t="s">
        <v>237</v>
      </c>
      <c r="BU83" s="1" t="s">
        <v>228</v>
      </c>
      <c r="BW83" s="1" t="s">
        <v>238</v>
      </c>
      <c r="BX83" s="1">
        <v>360</v>
      </c>
      <c r="BY83" s="1">
        <v>500</v>
      </c>
      <c r="BZ83" s="1" t="s">
        <v>253</v>
      </c>
      <c r="CA83" s="1" t="s">
        <v>343</v>
      </c>
      <c r="CB83" s="1" t="s">
        <v>240</v>
      </c>
      <c r="CC83" s="1" t="s">
        <v>581</v>
      </c>
      <c r="CD83" s="1">
        <v>1500</v>
      </c>
      <c r="CE83" s="1">
        <v>3000</v>
      </c>
      <c r="CF83" s="1" t="s">
        <v>236</v>
      </c>
      <c r="CG83" s="1" t="s">
        <v>242</v>
      </c>
      <c r="CH83" s="1" t="s">
        <v>243</v>
      </c>
      <c r="CI83" s="1" t="s">
        <v>243</v>
      </c>
      <c r="CJ83" s="1" t="s">
        <v>2848</v>
      </c>
      <c r="CL83" s="5" t="s">
        <v>4266</v>
      </c>
      <c r="CM83" s="44" t="s">
        <v>2293</v>
      </c>
      <c r="CN83" s="1" t="s">
        <v>228</v>
      </c>
      <c r="CQ83" s="42">
        <v>0</v>
      </c>
      <c r="CR83" s="42">
        <v>0</v>
      </c>
      <c r="CT83" s="45" t="str">
        <f t="array" ref="CT83">IFERROR(INDEX(#REF!,MATCH('Respuestas de formulario 1.1'!$B83,#REF!,0),MATCH('Respuestas de formulario 1.1'!CT$1,#REF!,0)),"")</f>
        <v/>
      </c>
      <c r="CU83" s="56" t="str">
        <f t="array" ref="CU83">IFERROR(INDEX(#REF!,MATCH('Respuestas de formulario 1.1'!$B83,#REF!,0),MATCH('Respuestas de formulario 1.1'!CU$1,#REF!,0)),"")</f>
        <v/>
      </c>
      <c r="CV83" s="56" t="str">
        <f t="array" ref="CV83">IFERROR(INDEX(#REF!,MATCH('Respuestas de formulario 1.1'!$B83,#REF!,0),MATCH('Respuestas de formulario 1.1'!CV$1,#REF!,0)),"")</f>
        <v/>
      </c>
      <c r="CW83" s="56" t="str">
        <f t="array" ref="CW83">IFERROR(INDEX(#REF!,MATCH('Respuestas de formulario 1.1'!$B83,#REF!,0),MATCH('Respuestas de formulario 1.1'!CW$1,#REF!,0)),"")</f>
        <v/>
      </c>
      <c r="CX83" s="56" t="str">
        <f t="array" ref="CX83">IFERROR(INDEX(#REF!,MATCH('Respuestas de formulario 1.1'!$B83,#REF!,0),MATCH('Respuestas de formulario 1.1'!CX$1,#REF!,0)),"")</f>
        <v/>
      </c>
      <c r="CY83" s="56" t="str">
        <f t="array" ref="CY83">IFERROR(INDEX(#REF!,MATCH('Respuestas de formulario 1.1'!$B83,#REF!,0),MATCH('Respuestas de formulario 1.1'!CY$1,#REF!,0)),"")</f>
        <v/>
      </c>
      <c r="CZ83" s="57" t="str">
        <f t="array" ref="CZ83">IFERROR(INDEX(#REF!,MATCH('Respuestas de formulario 1.1'!$B83,#REF!,0),MATCH('Respuestas de formulario 1.1'!CZ$1,#REF!,0)),"")</f>
        <v/>
      </c>
      <c r="DA83" s="45" t="e">
        <f t="array" ref="DA83">INDEX(#REF!,MATCH('Respuestas de formulario 1.1'!$B83,#REF!,0),MATCH('Respuestas de formulario 1.1'!DA$1,#REF!,0))</f>
        <v>#REF!</v>
      </c>
      <c r="DB83" s="45" t="e">
        <f t="array" ref="DB83">INDEX(#REF!,MATCH('Respuestas de formulario 1.1'!$B83,#REF!,0),MATCH('Respuestas de formulario 1.1'!DB$1,#REF!,0))</f>
        <v>#REF!</v>
      </c>
      <c r="DC83" s="45" t="e">
        <f t="array" ref="DC83">INDEX(#REF!,MATCH('Respuestas de formulario 1.1'!$B83,#REF!,0),MATCH('Respuestas de formulario 1.1'!DC$1,#REF!,0))</f>
        <v>#REF!</v>
      </c>
      <c r="DD83" s="45" t="e">
        <f t="array" ref="DD83">INDEX(#REF!,MATCH('Respuestas de formulario 1.1'!$B83,#REF!,0),MATCH('Respuestas de formulario 1.1'!DD$1,#REF!,0))</f>
        <v>#REF!</v>
      </c>
      <c r="DE83" s="45" t="e">
        <f t="array" ref="DE83">INDEX(#REF!,MATCH('Respuestas de formulario 1.1'!$B83,#REF!,0),MATCH('Respuestas de formulario 1.1'!DE$1,#REF!,0))</f>
        <v>#REF!</v>
      </c>
      <c r="DF83" s="45" t="e">
        <f t="array" ref="DF83">INDEX(#REF!,MATCH('Respuestas de formulario 1.1'!$B83,#REF!,0),MATCH('Respuestas de formulario 1.1'!DF$1,#REF!,0))</f>
        <v>#REF!</v>
      </c>
      <c r="DG83" s="45" t="e">
        <f t="array" ref="DG83">INDEX(#REF!,MATCH('Respuestas de formulario 1.1'!$B83,#REF!,0),MATCH('Respuestas de formulario 1.1'!DG$1,#REF!,0))</f>
        <v>#REF!</v>
      </c>
      <c r="DH83" s="45" t="e">
        <f t="array" ref="DH83">INDEX(#REF!,MATCH('Respuestas de formulario 1.1'!$B83,#REF!,0),MATCH('Respuestas de formulario 1.1'!DH$1,#REF!,0))</f>
        <v>#REF!</v>
      </c>
      <c r="DI83" s="48" t="e">
        <f>VLOOKUP(CONCATENATE($DF83," TUTO ",$DC83),#REF!,3,0)</f>
        <v>#REF!</v>
      </c>
      <c r="DJ83" s="48" t="e">
        <f t="array" ref="DJ83">IF('Respuestas de formulario 1.1'!A83="","",INDEX(#REF!,MATCH('Respuestas de formulario 1.1'!B83,#REF!,0),MATCH('Respuestas de formulario 1.1'!$DH$1,#REF!,0)))</f>
        <v>#REF!</v>
      </c>
      <c r="DK83" s="52" t="str">
        <f>CONCATENATE("http://doc.google.com/uc?id=",MID('Respuestas de formulario 1.1'!G83,34,33))</f>
        <v>http://doc.google.com/uc?id=1BCqZoAHOqcMwJ1Txu50i4_E_QCSGvmhH</v>
      </c>
      <c r="DL83" s="49" t="str">
        <f>CONCATENATE("http://doc.google.com/uc?id=",MID('Respuestas de formulario 1.1'!AH83,34,33))</f>
        <v>http://doc.google.com/uc?id=1ypjBh2LdhDTyzXzq8OkvXF8A2NEl6q1z</v>
      </c>
      <c r="DM83" s="50" t="str">
        <f>CONCATENATE("http://doc.google.com/uc?id=",MID('Respuestas de formulario 1.1'!AW83,34,33))</f>
        <v>http://doc.google.com/uc?id=1TyUExEC5TNPPNFNiq0KCR88cEMR4wKge</v>
      </c>
      <c r="DN83" s="53" t="str">
        <f>CONCATENATE("http://doc.google.com/uc?id=",MID('Respuestas de formulario 1.1'!$BI83,34,33))</f>
        <v>http://doc.google.com/uc?id=1BwyWaiIFVqHfpY6kQwaQUNIql54Ruyb6</v>
      </c>
      <c r="DO83" s="45" t="str">
        <f>IFERROR(VLOOKUP(CONCATENATE('Respuestas de formulario 1.1'!$B83,MID('Respuestas de formulario 1.1'!DO$1,2,1)),#REF!,12,0),"")</f>
        <v/>
      </c>
      <c r="DP83" s="45" t="str">
        <f>IFERROR(VLOOKUP(CONCATENATE('Respuestas de formulario 1.1'!$B83,MID('Respuestas de formulario 1.1'!DP$1,2,1)),#REF!,12,0),"")</f>
        <v/>
      </c>
      <c r="DQ83" s="45" t="str">
        <f>IFERROR(VLOOKUP(CONCATENATE('Respuestas de formulario 1.1'!$B83,MID('Respuestas de formulario 1.1'!DQ$1,2,1)),#REF!,12,0),"")</f>
        <v/>
      </c>
      <c r="DR83" s="45" t="str">
        <f>IFERROR(VLOOKUP(CONCATENATE('Respuestas de formulario 1.1'!$B83,MID('Respuestas de formulario 1.1'!DR$1,2,1)),#REF!,12,0),"")</f>
        <v/>
      </c>
      <c r="DS83" s="45" t="str">
        <f>IFERROR(VLOOKUP(CONCATENATE('Respuestas de formulario 1.1'!$B83,MID('Respuestas de formulario 1.1'!DS$1,2,1)),#REF!,12,0),"")</f>
        <v/>
      </c>
      <c r="DT83" s="45" t="str">
        <f>IFERROR(VLOOKUP(CONCATENATE('Respuestas de formulario 1.1'!$B83,MID('Respuestas de formulario 1.1'!DT$1,2,1)),#REF!,12,0),"")</f>
        <v/>
      </c>
      <c r="DU83" s="45" t="str">
        <f>IFERROR(VLOOKUP(CONCATENATE('Respuestas de formulario 1.1'!$B83,MID('Respuestas de formulario 1.1'!DU$1,2,1)),#REF!,12,0),"")</f>
        <v/>
      </c>
      <c r="DV83" s="45" t="str">
        <f>IFERROR(VLOOKUP(CONCATENATE('Respuestas de formulario 1.1'!$B83,MID('Respuestas de formulario 1.1'!DV$1,2,1)),#REF!,12,0),"")</f>
        <v/>
      </c>
      <c r="DW83" s="45" t="str">
        <f>IFERROR(VLOOKUP(CONCATENATE('Respuestas de formulario 1.1'!$B83,MID('Respuestas de formulario 1.1'!DW$1,2,1)),#REF!,12,0),"")</f>
        <v/>
      </c>
      <c r="DX83" s="45" t="str">
        <f>IFERROR(VLOOKUP(CONCATENATE('Respuestas de formulario 1.1'!$B83,MID('Respuestas de formulario 1.1'!DX$1,2,1)),#REF!,12,0),"")</f>
        <v/>
      </c>
      <c r="DY83" s="45" t="str">
        <f>IFERROR(VLOOKUP(CONCATENATE('Respuestas de formulario 1.1'!$B83,MID('Respuestas de formulario 1.1'!DY$1,2,1)),#REF!,12,0),"")</f>
        <v/>
      </c>
      <c r="DZ83" s="45" t="str">
        <f>IFERROR(VLOOKUP(CONCATENATE('Respuestas de formulario 1.1'!$B83,MID('Respuestas de formulario 1.1'!DZ$1,2,1)),#REF!,12,0),"")</f>
        <v/>
      </c>
      <c r="EA83" s="45" t="str">
        <f>IFERROR(VLOOKUP(CONCATENATE('Respuestas de formulario 1.1'!$B83,MID('Respuestas de formulario 1.1'!EA$1,2,1)),#REF!,12,0),"")</f>
        <v/>
      </c>
      <c r="EB83" s="45" t="str">
        <f>IFERROR(VLOOKUP(CONCATENATE('Respuestas de formulario 1.1'!$B83,MID('Respuestas de formulario 1.1'!EB$1,2,1)),#REF!,12,0),"")</f>
        <v/>
      </c>
      <c r="EC83" s="45" t="str">
        <f>IFERROR(VLOOKUP(CONCATENATE('Respuestas de formulario 1.1'!$B83,MID('Respuestas de formulario 1.1'!EC$1,2,1)),#REF!,12,0),"")</f>
        <v/>
      </c>
      <c r="ED83" s="45" t="str">
        <f>IFERROR(VLOOKUP(CONCATENATE('Respuestas de formulario 1.1'!$B83,MID('Respuestas de formulario 1.1'!ED$1,2,1)),#REF!,12,0),"")</f>
        <v/>
      </c>
      <c r="EE83" s="45" t="str">
        <f>IFERROR(VLOOKUP(CONCATENATE('Respuestas de formulario 1.1'!$B83,MID('Respuestas de formulario 1.1'!EE$1,2,1)),#REF!,12,0),"")</f>
        <v/>
      </c>
      <c r="EF83" s="45" t="str">
        <f>IFERROR(VLOOKUP(CONCATENATE('Respuestas de formulario 1.1'!$B83,MID('Respuestas de formulario 1.1'!EF$1,2,1)),#REF!,12,0),"")</f>
        <v/>
      </c>
      <c r="EG83" s="45" t="str">
        <f>IFERROR(VLOOKUP(CONCATENATE('Respuestas de formulario 1.1'!$B83,MID('Respuestas de formulario 1.1'!EG$1,2,1)),#REF!,12,0),"")</f>
        <v/>
      </c>
      <c r="EH83" s="45" t="str">
        <f>IFERROR(VLOOKUP(CONCATENATE('Respuestas de formulario 1.1'!$B83,MID('Respuestas de formulario 1.1'!EH$1,2,1)),#REF!,12,0),"")</f>
        <v/>
      </c>
      <c r="EI83" s="45" t="str">
        <f>IFERROR(VLOOKUP(CONCATENATE('Respuestas de formulario 1.1'!$B83,MID('Respuestas de formulario 1.1'!EI$1,2,1)),#REF!,12,0),"")</f>
        <v/>
      </c>
      <c r="EJ83" s="45" t="str">
        <f t="array" ref="EJ83">IF(DO83="","", INDEX(#REF!,MATCH(CONCATENATE('Respuestas de formulario 1.1'!$B83,DO83),#REF!,0),MATCH('Respuestas de formulario 1.1'!EJ$1,#REF!,0)))</f>
        <v/>
      </c>
      <c r="EK83" s="56" t="str">
        <f t="array" ref="EK83">IF(DP83="","", INDEX(#REF!,MATCH(CONCATENATE('Respuestas de formulario 1.1'!$B83,DP83),#REF!,0),MATCH('Respuestas de formulario 1.1'!EK$1,#REF!,0)))</f>
        <v/>
      </c>
      <c r="EL83" s="56" t="str">
        <f t="array" ref="EL83">IF(DQ83="","", INDEX(#REF!,MATCH(CONCATENATE('Respuestas de formulario 1.1'!$B83,DQ83),#REF!,0),MATCH('Respuestas de formulario 1.1'!EL$1,#REF!,0)))</f>
        <v/>
      </c>
      <c r="EM83" s="56" t="str">
        <f t="array" ref="EM83">IF(DR83="","", INDEX(#REF!,MATCH(CONCATENATE('Respuestas de formulario 1.1'!$B83,DR83),#REF!,0),MATCH('Respuestas de formulario 1.1'!EM$1,#REF!,0)))</f>
        <v/>
      </c>
      <c r="EN83" s="56" t="str">
        <f t="array" ref="EN83">IF(DS83="","", INDEX(#REF!,MATCH(CONCATENATE('Respuestas de formulario 1.1'!$B83,DS83),#REF!,0),MATCH('Respuestas de formulario 1.1'!EN$1,#REF!,0)))</f>
        <v/>
      </c>
      <c r="EO83" s="56" t="str">
        <f t="array" ref="EO83">IF(DT83="","", INDEX(#REF!,MATCH(CONCATENATE('Respuestas de formulario 1.1'!$B83,DT83),#REF!,0),MATCH('Respuestas de formulario 1.1'!EO$1,#REF!,0)))</f>
        <v/>
      </c>
      <c r="EP83" s="45" t="str">
        <f t="array" ref="EP83">IF(DU83="","", INDEX(#REF!,MATCH(CONCATENATE('Respuestas de formulario 1.1'!$B83,DU83),#REF!,0),MATCH('Respuestas de formulario 1.1'!EP$1,#REF!,0)))</f>
        <v/>
      </c>
      <c r="EQ83" s="45" t="str">
        <f t="array" ref="EQ83">IF(DP83="","", INDEX(#REF!,MATCH(CONCATENATE('Respuestas de formulario 1.1'!$B83,DP83),#REF!,0),MATCH('Respuestas de formulario 1.1'!EQ$1,#REF!,0)))</f>
        <v/>
      </c>
      <c r="ER83" s="56" t="str">
        <f t="array" ref="ER83">IF(DQ83="","", INDEX(#REF!,MATCH(CONCATENATE('Respuestas de formulario 1.1'!$B83,DQ83),#REF!,0),MATCH('Respuestas de formulario 1.1'!ER$1,#REF!,0)))</f>
        <v/>
      </c>
      <c r="ES83" s="56" t="str">
        <f t="array" ref="ES83">IF(DR83="","", INDEX(#REF!,MATCH(CONCATENATE('Respuestas de formulario 1.1'!$B83,DR83),#REF!,0),MATCH('Respuestas de formulario 1.1'!ES$1,#REF!,0)))</f>
        <v/>
      </c>
      <c r="ET83" s="56" t="str">
        <f t="array" ref="ET83">IF(DS83="","", INDEX(#REF!,MATCH(CONCATENATE('Respuestas de formulario 1.1'!$B83,DS83),#REF!,0),MATCH('Respuestas de formulario 1.1'!ET$1,#REF!,0)))</f>
        <v/>
      </c>
      <c r="EU83" s="56" t="str">
        <f t="array" ref="EU83">IF(DT83="","", INDEX(#REF!,MATCH(CONCATENATE('Respuestas de formulario 1.1'!$B83,DT83),#REF!,0),MATCH('Respuestas de formulario 1.1'!EU$1,#REF!,0)))</f>
        <v/>
      </c>
      <c r="EV83" s="56" t="str">
        <f t="array" ref="EV83">IF(DU83="","", INDEX(#REF!,MATCH(CONCATENATE('Respuestas de formulario 1.1'!$B83,DU83),#REF!,0),MATCH('Respuestas de formulario 1.1'!EV$1,#REF!,0)))</f>
        <v/>
      </c>
      <c r="EW83" s="45" t="str">
        <f t="array" ref="EW83">IF(DV83="","", INDEX(#REF!,MATCH(CONCATENATE('Respuestas de formulario 1.1'!$B83,DV83),#REF!,0),MATCH('Respuestas de formulario 1.1'!EW$1,#REF!,0)))</f>
        <v/>
      </c>
      <c r="EX83" s="45" t="str">
        <f t="array" ref="EX83">IF($DQ83="","", INDEX(#REF!,MATCH(CONCATENATE('Respuestas de formulario 1.1'!$B83,$DQ83),#REF!,0),MATCH('Respuestas de formulario 1.1'!EX$1,#REF!,0)))</f>
        <v/>
      </c>
      <c r="EY83" s="56" t="str">
        <f t="array" ref="EY83">IF($DQ83="","", INDEX(#REF!,MATCH(CONCATENATE('Respuestas de formulario 1.1'!$B83,$DQ83),#REF!,0),MATCH('Respuestas de formulario 1.1'!EY$1,#REF!,0)))</f>
        <v/>
      </c>
      <c r="EZ83" s="56" t="str">
        <f t="array" ref="EZ83">IF($DQ83="","", INDEX(#REF!,MATCH(CONCATENATE('Respuestas de formulario 1.1'!$B83,$DQ83),#REF!,0),MATCH('Respuestas de formulario 1.1'!EZ$1,#REF!,0)))</f>
        <v/>
      </c>
      <c r="FA83" s="56" t="str">
        <f t="array" ref="FA83">IF($DQ83="","", INDEX(#REF!,MATCH(CONCATENATE('Respuestas de formulario 1.1'!$B83,$DQ83),#REF!,0),MATCH('Respuestas de formulario 1.1'!FA$1,#REF!,0)))</f>
        <v/>
      </c>
      <c r="FB83" s="56" t="str">
        <f t="array" ref="FB83">IF($DQ83="","", INDEX(#REF!,MATCH(CONCATENATE('Respuestas de formulario 1.1'!$B83,$DQ83),#REF!,0),MATCH('Respuestas de formulario 1.1'!FB$1,#REF!,0)))</f>
        <v/>
      </c>
      <c r="FC83" s="56" t="str">
        <f t="array" ref="FC83">IF($DQ83="","", INDEX(#REF!,MATCH(CONCATENATE('Respuestas de formulario 1.1'!$B83,$DQ83),#REF!,0),MATCH('Respuestas de formulario 1.1'!FC$1,#REF!,0)))</f>
        <v/>
      </c>
      <c r="FD83" s="45" t="str">
        <f t="array" ref="FD83">IF($DQ83="","", INDEX(#REF!,MATCH(CONCATENATE('Respuestas de formulario 1.1'!$B83,$DQ83),#REF!,0),MATCH('Respuestas de formulario 1.1'!FD$1,#REF!,0)))</f>
        <v/>
      </c>
      <c r="FE83" s="45" t="str">
        <f t="array" ref="FE83">IF($DR83="","", INDEX(#REF!,MATCH(CONCATENATE(#REF!,$DR83),#REF!,0),MATCH(#REF!,#REF!,0)))</f>
        <v/>
      </c>
      <c r="FF83" s="56" t="str">
        <f t="array" ref="FF83">IF($DR83="","", INDEX(#REF!,MATCH(CONCATENATE(#REF!,$DR83),#REF!,0),MATCH(#REF!,#REF!,0)))</f>
        <v/>
      </c>
      <c r="FG83" s="56" t="str">
        <f t="array" ref="FG83">IF($DR83="","", INDEX(#REF!,MATCH(CONCATENATE(#REF!,$DR83),#REF!,0),MATCH(#REF!,#REF!,0)))</f>
        <v/>
      </c>
      <c r="FH83" s="56" t="str">
        <f t="array" ref="FH83">IF($DR83="","", INDEX(#REF!,MATCH(CONCATENATE(#REF!,$DR83),#REF!,0),MATCH(#REF!,#REF!,0)))</f>
        <v/>
      </c>
      <c r="FI83" s="56" t="str">
        <f t="array" ref="FI83">IF($DR83="","", INDEX(#REF!,MATCH(CONCATENATE(#REF!,$DR83),#REF!,0),MATCH(#REF!,#REF!,0)))</f>
        <v/>
      </c>
      <c r="FJ83" s="56" t="str">
        <f t="array" ref="FJ83">IF($DR83="","", INDEX(#REF!,MATCH(CONCATENATE(#REF!,$DR83),#REF!,0),MATCH(#REF!,#REF!,0)))</f>
        <v/>
      </c>
      <c r="FK83" s="45" t="str">
        <f t="array" ref="FK83">IF($DR83="","", INDEX(#REF!,MATCH(CONCATENATE(#REF!,$DR83),#REF!,0),MATCH(#REF!,#REF!,0)))</f>
        <v/>
      </c>
      <c r="FL83" s="45" t="str">
        <f t="array" ref="FL83">IF($DT83="","", INDEX(#REF!,MATCH(CONCATENATE('Respuestas de formulario 1.1'!$B83,$DS83),#REF!,0),MATCH('Respuestas de formulario 1.1'!FL$1,#REF!,0)))</f>
        <v/>
      </c>
      <c r="FM83" s="56" t="str">
        <f t="array" ref="FM83">IF($DT83="","", INDEX(#REF!,MATCH(CONCATENATE('Respuestas de formulario 1.1'!$B83,$DS83),#REF!,0),MATCH('Respuestas de formulario 1.1'!FM$1,#REF!,0)))</f>
        <v/>
      </c>
      <c r="FN83" s="56" t="str">
        <f t="array" ref="FN83">IF($DT83="","", INDEX(#REF!,MATCH(CONCATENATE('Respuestas de formulario 1.1'!$B83,$DS83),#REF!,0),MATCH('Respuestas de formulario 1.1'!FN$1,#REF!,0)))</f>
        <v/>
      </c>
      <c r="FO83" s="56" t="str">
        <f t="array" ref="FO83">IF($DT83="","", INDEX(#REF!,MATCH(CONCATENATE('Respuestas de formulario 1.1'!$B83,$DS83),#REF!,0),MATCH('Respuestas de formulario 1.1'!FO$1,#REF!,0)))</f>
        <v/>
      </c>
      <c r="FP83" s="56" t="str">
        <f t="array" ref="FP83">IF($DT83="","", INDEX(#REF!,MATCH(CONCATENATE('Respuestas de formulario 1.1'!$B83,$DS83),#REF!,0),MATCH('Respuestas de formulario 1.1'!FP$1,#REF!,0)))</f>
        <v/>
      </c>
      <c r="FQ83" s="56" t="str">
        <f t="array" ref="FQ83">IF($DT83="","", INDEX(#REF!,MATCH(CONCATENATE('Respuestas de formulario 1.1'!$B83,$DS83),#REF!,0),MATCH('Respuestas de formulario 1.1'!FQ$1,#REF!,0)))</f>
        <v/>
      </c>
      <c r="FR83" s="45" t="str">
        <f t="array" ref="FR83">IF($DT83="","", INDEX(#REF!,MATCH(CONCATENATE('Respuestas de formulario 1.1'!$B83,$DS83),#REF!,0),MATCH('Respuestas de formulario 1.1'!FR$1,#REF!,0)))</f>
        <v/>
      </c>
      <c r="FS83" s="45" t="str">
        <f t="array" ref="FS83">IF($DU83="","", INDEX(#REF!,MATCH(CONCATENATE('Respuestas de formulario 1.1'!$B83,$DT83),#REF!,0),MATCH('Respuestas de formulario 1.1'!FS$1,#REF!,0)))</f>
        <v/>
      </c>
      <c r="FT83" s="56" t="str">
        <f t="array" ref="FT83">IF($DU83="","", INDEX(#REF!,MATCH(CONCATENATE('Respuestas de formulario 1.1'!$B83,$DT83),#REF!,0),MATCH('Respuestas de formulario 1.1'!FT$1,#REF!,0)))</f>
        <v/>
      </c>
      <c r="FU83" s="56" t="str">
        <f t="array" ref="FU83">IF($DU83="","", INDEX(#REF!,MATCH(CONCATENATE('Respuestas de formulario 1.1'!$B83,$DT83),#REF!,0),MATCH('Respuestas de formulario 1.1'!FU$1,#REF!,0)))</f>
        <v/>
      </c>
      <c r="FV83" s="56" t="str">
        <f t="array" ref="FV83">IF($DU83="","", INDEX(#REF!,MATCH(CONCATENATE('Respuestas de formulario 1.1'!$B83,$DT83),#REF!,0),MATCH('Respuestas de formulario 1.1'!FV$1,#REF!,0)))</f>
        <v/>
      </c>
      <c r="FW83" s="56" t="str">
        <f t="array" ref="FW83">IF($DU83="","", INDEX(#REF!,MATCH(CONCATENATE('Respuestas de formulario 1.1'!$B83,$DT83),#REF!,0),MATCH('Respuestas de formulario 1.1'!FW$1,#REF!,0)))</f>
        <v/>
      </c>
      <c r="FX83" s="56" t="str">
        <f t="array" ref="FX83">IF($DU83="","", INDEX(#REF!,MATCH(CONCATENATE('Respuestas de formulario 1.1'!$B83,$DT83),#REF!,0),MATCH('Respuestas de formulario 1.1'!FX$1,#REF!,0)))</f>
        <v/>
      </c>
      <c r="FY83" s="45" t="str">
        <f t="array" ref="FY83">IF($DU83="","", INDEX(#REF!,MATCH(CONCATENATE('Respuestas de formulario 1.1'!$B83,$DT83),#REF!,0),MATCH('Respuestas de formulario 1.1'!FY$1,#REF!,0)))</f>
        <v/>
      </c>
      <c r="FZ83" s="3" t="s">
        <v>2860</v>
      </c>
      <c r="GA83" s="1" t="s">
        <v>4267</v>
      </c>
      <c r="GB83" s="5" t="s">
        <v>4268</v>
      </c>
      <c r="GC83" s="4" t="str">
        <f>HYPERLINK("https://drive.google.com/file/d/1_Ax-x6SysIJkB0Jzd0a9hPVHgrL0x45K/view?usp=drivesdk","URBANO GUZMAN GABRIELA  LORELEY Formato de reinscripción y pago 2022-2")</f>
        <v>URBANO GUZMAN GABRIELA  LORELEY Formato de reinscripción y pago 2022-2</v>
      </c>
      <c r="GD83" s="1" t="s">
        <v>4269</v>
      </c>
      <c r="GE83" s="1"/>
      <c r="GF83" s="1"/>
      <c r="GG83" s="1"/>
      <c r="GH83" s="1"/>
      <c r="GI83" s="1" t="s">
        <v>4270</v>
      </c>
      <c r="GJ83" s="5" t="s">
        <v>4271</v>
      </c>
      <c r="GK83" s="5" t="str">
        <f>HYPERLINK("https://drive.google.com/file/d/1ZzVs7LOo7C_bHAXhl7d74fLpSpLz1m1D/view?usp=drivesdk","URBANO GUZMAN GABRIELA  LORELEY Formato de reinscripción y pago 2022-2")</f>
        <v>URBANO GUZMAN GABRIELA  LORELEY Formato de reinscripción y pago 2022-2</v>
      </c>
      <c r="GL83" s="1" t="s">
        <v>4272</v>
      </c>
    </row>
    <row r="84" spans="1:194" ht="38.25" x14ac:dyDescent="0.2">
      <c r="A84" s="2">
        <v>45139.393767083333</v>
      </c>
      <c r="B84" s="1" t="s">
        <v>940</v>
      </c>
      <c r="C84" s="1" t="s">
        <v>947</v>
      </c>
      <c r="D84" s="1" t="s">
        <v>4273</v>
      </c>
      <c r="E84" s="1" t="s">
        <v>942</v>
      </c>
      <c r="F84" s="1" t="s">
        <v>223</v>
      </c>
      <c r="G84" s="5" t="s">
        <v>4274</v>
      </c>
      <c r="H84" s="41">
        <v>38727</v>
      </c>
      <c r="I84" s="1">
        <v>17</v>
      </c>
      <c r="J84" s="1">
        <v>5548360128</v>
      </c>
      <c r="K84" s="1" t="s">
        <v>4275</v>
      </c>
      <c r="L84" s="1" t="s">
        <v>943</v>
      </c>
      <c r="M84" s="1">
        <v>21315050060502</v>
      </c>
      <c r="N84" s="1" t="s">
        <v>1108</v>
      </c>
      <c r="O84" s="1" t="s">
        <v>225</v>
      </c>
      <c r="P84" s="1" t="s">
        <v>314</v>
      </c>
      <c r="Q84" s="1" t="s">
        <v>248</v>
      </c>
      <c r="R84" s="1" t="s">
        <v>236</v>
      </c>
      <c r="S84" s="1" t="s">
        <v>228</v>
      </c>
      <c r="T84" s="1" t="s">
        <v>229</v>
      </c>
      <c r="U84" s="1" t="s">
        <v>394</v>
      </c>
      <c r="V84" s="1" t="s">
        <v>228</v>
      </c>
      <c r="W84" s="1" t="s">
        <v>4276</v>
      </c>
      <c r="X84" s="1" t="s">
        <v>249</v>
      </c>
      <c r="Y84" s="1" t="s">
        <v>952</v>
      </c>
      <c r="Z84" s="1" t="s">
        <v>240</v>
      </c>
      <c r="AA84" s="44" t="s">
        <v>716</v>
      </c>
      <c r="AB84" s="1" t="s">
        <v>4277</v>
      </c>
      <c r="AC84" s="1" t="s">
        <v>4278</v>
      </c>
      <c r="AD84" s="1" t="s">
        <v>4279</v>
      </c>
      <c r="AE84" s="1" t="s">
        <v>944</v>
      </c>
      <c r="AF84" s="1" t="s">
        <v>445</v>
      </c>
      <c r="AG84" s="1">
        <v>40</v>
      </c>
      <c r="AH84" s="5" t="s">
        <v>4280</v>
      </c>
      <c r="AI84" s="1">
        <v>5543542237</v>
      </c>
      <c r="AJ84" s="1">
        <v>5570952626</v>
      </c>
      <c r="AK84" s="1" t="s">
        <v>946</v>
      </c>
      <c r="AL84" s="1" t="s">
        <v>947</v>
      </c>
      <c r="AM84" s="1" t="s">
        <v>948</v>
      </c>
      <c r="AN84" s="1" t="s">
        <v>949</v>
      </c>
      <c r="AO84" s="1" t="s">
        <v>650</v>
      </c>
      <c r="AP84" s="1">
        <v>38</v>
      </c>
      <c r="AQ84" s="1" t="s">
        <v>950</v>
      </c>
      <c r="AR84" s="42">
        <v>0.33333333333575865</v>
      </c>
      <c r="AS84" s="42">
        <v>0.375</v>
      </c>
      <c r="AT84" s="1">
        <v>5591974014</v>
      </c>
      <c r="AU84" s="1">
        <v>5570952626</v>
      </c>
      <c r="AV84" s="1" t="s">
        <v>4281</v>
      </c>
      <c r="AW84" s="5" t="s">
        <v>4282</v>
      </c>
      <c r="AX84" s="1" t="s">
        <v>941</v>
      </c>
      <c r="AY84" s="1" t="s">
        <v>587</v>
      </c>
      <c r="AZ84" s="1" t="s">
        <v>945</v>
      </c>
      <c r="BA84" s="1" t="s">
        <v>445</v>
      </c>
      <c r="BB84" s="1">
        <v>40</v>
      </c>
      <c r="BC84" s="1" t="s">
        <v>294</v>
      </c>
      <c r="BD84" s="43">
        <v>0.33333333333575865</v>
      </c>
      <c r="BE84" s="43">
        <v>0.33333333333575865</v>
      </c>
      <c r="BF84" s="1">
        <v>5543542237</v>
      </c>
      <c r="BG84" s="1">
        <v>5570952626</v>
      </c>
      <c r="BH84" s="1" t="s">
        <v>946</v>
      </c>
      <c r="BI84" s="5" t="s">
        <v>4283</v>
      </c>
      <c r="BJ84" s="1" t="s">
        <v>236</v>
      </c>
      <c r="BL84" s="1">
        <v>157</v>
      </c>
      <c r="BM84" s="1">
        <v>49</v>
      </c>
      <c r="BN84" s="1" t="s">
        <v>228</v>
      </c>
      <c r="BO84" s="1" t="s">
        <v>228</v>
      </c>
      <c r="BQ84" s="1" t="s">
        <v>228</v>
      </c>
      <c r="BR84" s="1" t="s">
        <v>237</v>
      </c>
      <c r="BS84" s="1" t="s">
        <v>228</v>
      </c>
      <c r="BT84" s="1" t="s">
        <v>237</v>
      </c>
      <c r="BU84" s="1" t="s">
        <v>228</v>
      </c>
      <c r="BW84" s="1" t="s">
        <v>272</v>
      </c>
      <c r="BX84" s="1">
        <v>120</v>
      </c>
      <c r="BY84" s="1">
        <v>180</v>
      </c>
      <c r="BZ84" s="1" t="s">
        <v>4284</v>
      </c>
      <c r="CA84" s="1" t="s">
        <v>343</v>
      </c>
      <c r="CB84" s="1" t="s">
        <v>240</v>
      </c>
      <c r="CC84" s="1" t="s">
        <v>705</v>
      </c>
      <c r="CD84" s="1">
        <v>2000</v>
      </c>
      <c r="CE84" s="1">
        <v>2000</v>
      </c>
      <c r="CF84" s="1" t="s">
        <v>236</v>
      </c>
      <c r="CG84" s="1" t="s">
        <v>242</v>
      </c>
      <c r="CH84" s="1" t="s">
        <v>243</v>
      </c>
      <c r="CI84" s="1" t="s">
        <v>243</v>
      </c>
      <c r="CJ84" s="1" t="s">
        <v>2848</v>
      </c>
      <c r="CL84" s="5" t="s">
        <v>4285</v>
      </c>
      <c r="CM84" s="44" t="s">
        <v>951</v>
      </c>
      <c r="CN84" s="1" t="s">
        <v>228</v>
      </c>
      <c r="CQ84" s="42">
        <v>0.33333333333575865</v>
      </c>
      <c r="CR84" s="42">
        <v>0.33333333333575865</v>
      </c>
      <c r="CT84" s="45" t="str">
        <f t="array" ref="CT84">IFERROR(INDEX(#REF!,MATCH('Respuestas de formulario 1.1'!$B84,#REF!,0),MATCH('Respuestas de formulario 1.1'!CT$1,#REF!,0)),"")</f>
        <v/>
      </c>
      <c r="CU84" s="56" t="str">
        <f t="array" ref="CU84">IFERROR(INDEX(#REF!,MATCH('Respuestas de formulario 1.1'!$B84,#REF!,0),MATCH('Respuestas de formulario 1.1'!CU$1,#REF!,0)),"")</f>
        <v/>
      </c>
      <c r="CV84" s="56" t="str">
        <f t="array" ref="CV84">IFERROR(INDEX(#REF!,MATCH('Respuestas de formulario 1.1'!$B84,#REF!,0),MATCH('Respuestas de formulario 1.1'!CV$1,#REF!,0)),"")</f>
        <v/>
      </c>
      <c r="CW84" s="56" t="str">
        <f t="array" ref="CW84">IFERROR(INDEX(#REF!,MATCH('Respuestas de formulario 1.1'!$B84,#REF!,0),MATCH('Respuestas de formulario 1.1'!CW$1,#REF!,0)),"")</f>
        <v/>
      </c>
      <c r="CX84" s="56" t="str">
        <f t="array" ref="CX84">IFERROR(INDEX(#REF!,MATCH('Respuestas de formulario 1.1'!$B84,#REF!,0),MATCH('Respuestas de formulario 1.1'!CX$1,#REF!,0)),"")</f>
        <v/>
      </c>
      <c r="CY84" s="56" t="str">
        <f t="array" ref="CY84">IFERROR(INDEX(#REF!,MATCH('Respuestas de formulario 1.1'!$B84,#REF!,0),MATCH('Respuestas de formulario 1.1'!CY$1,#REF!,0)),"")</f>
        <v/>
      </c>
      <c r="CZ84" s="57" t="str">
        <f t="array" ref="CZ84">IFERROR(INDEX(#REF!,MATCH('Respuestas de formulario 1.1'!$B84,#REF!,0),MATCH('Respuestas de formulario 1.1'!CZ$1,#REF!,0)),"")</f>
        <v/>
      </c>
      <c r="DA84" s="45" t="e">
        <f t="array" ref="DA84">INDEX(#REF!,MATCH('Respuestas de formulario 1.1'!$B84,#REF!,0),MATCH('Respuestas de formulario 1.1'!DA$1,#REF!,0))</f>
        <v>#REF!</v>
      </c>
      <c r="DB84" s="45" t="e">
        <f t="array" ref="DB84">INDEX(#REF!,MATCH('Respuestas de formulario 1.1'!$B84,#REF!,0),MATCH('Respuestas de formulario 1.1'!DB$1,#REF!,0))</f>
        <v>#REF!</v>
      </c>
      <c r="DC84" s="45" t="e">
        <f t="array" ref="DC84">INDEX(#REF!,MATCH('Respuestas de formulario 1.1'!$B84,#REF!,0),MATCH('Respuestas de formulario 1.1'!DC$1,#REF!,0))</f>
        <v>#REF!</v>
      </c>
      <c r="DD84" s="45" t="e">
        <f t="array" ref="DD84">INDEX(#REF!,MATCH('Respuestas de formulario 1.1'!$B84,#REF!,0),MATCH('Respuestas de formulario 1.1'!DD$1,#REF!,0))</f>
        <v>#REF!</v>
      </c>
      <c r="DE84" s="45" t="e">
        <f t="array" ref="DE84">INDEX(#REF!,MATCH('Respuestas de formulario 1.1'!$B84,#REF!,0),MATCH('Respuestas de formulario 1.1'!DE$1,#REF!,0))</f>
        <v>#REF!</v>
      </c>
      <c r="DF84" s="45" t="e">
        <f t="array" ref="DF84">INDEX(#REF!,MATCH('Respuestas de formulario 1.1'!$B84,#REF!,0),MATCH('Respuestas de formulario 1.1'!DF$1,#REF!,0))</f>
        <v>#REF!</v>
      </c>
      <c r="DG84" s="45" t="e">
        <f t="array" ref="DG84">INDEX(#REF!,MATCH('Respuestas de formulario 1.1'!$B84,#REF!,0),MATCH('Respuestas de formulario 1.1'!DG$1,#REF!,0))</f>
        <v>#REF!</v>
      </c>
      <c r="DH84" s="45" t="e">
        <f t="array" ref="DH84">INDEX(#REF!,MATCH('Respuestas de formulario 1.1'!$B84,#REF!,0),MATCH('Respuestas de formulario 1.1'!DH$1,#REF!,0))</f>
        <v>#REF!</v>
      </c>
      <c r="DI84" s="48" t="e">
        <f>VLOOKUP(CONCATENATE($DF84," TUTO ",$DC84),#REF!,3,0)</f>
        <v>#REF!</v>
      </c>
      <c r="DJ84" s="48" t="e">
        <f t="array" ref="DJ84">IF('Respuestas de formulario 1.1'!A84="","",INDEX(#REF!,MATCH('Respuestas de formulario 1.1'!B84,#REF!,0),MATCH('Respuestas de formulario 1.1'!$DH$1,#REF!,0)))</f>
        <v>#REF!</v>
      </c>
      <c r="DK84" s="52" t="str">
        <f>CONCATENATE("http://doc.google.com/uc?id=",MID('Respuestas de formulario 1.1'!G84,34,33))</f>
        <v>http://doc.google.com/uc?id=1762rav8bbMjuDbMsYV-BL-W7W9lk8CEW</v>
      </c>
      <c r="DL84" s="49" t="str">
        <f>CONCATENATE("http://doc.google.com/uc?id=",MID('Respuestas de formulario 1.1'!AH84,34,33))</f>
        <v>http://doc.google.com/uc?id=1GpTUZlEQ4WxObJmgMeVT2iKpGsf7oOj5</v>
      </c>
      <c r="DM84" s="50" t="str">
        <f>CONCATENATE("http://doc.google.com/uc?id=",MID('Respuestas de formulario 1.1'!AW84,34,33))</f>
        <v>http://doc.google.com/uc?id=1kfgips5vDxcDwKs5ItZIO7gkbJD4b8zN</v>
      </c>
      <c r="DN84" s="53" t="str">
        <f>CONCATENATE("http://doc.google.com/uc?id=",MID('Respuestas de formulario 1.1'!$BI84,34,33))</f>
        <v>http://doc.google.com/uc?id=1xehJw51gN0Eaigsh6uiqT-ZeQqubNA2g</v>
      </c>
      <c r="DO84" s="45" t="str">
        <f>IFERROR(VLOOKUP(CONCATENATE('Respuestas de formulario 1.1'!$B84,MID('Respuestas de formulario 1.1'!DO$1,2,1)),#REF!,12,0),"")</f>
        <v/>
      </c>
      <c r="DP84" s="45" t="str">
        <f>IFERROR(VLOOKUP(CONCATENATE('Respuestas de formulario 1.1'!$B84,MID('Respuestas de formulario 1.1'!DP$1,2,1)),#REF!,12,0),"")</f>
        <v/>
      </c>
      <c r="DQ84" s="45" t="str">
        <f>IFERROR(VLOOKUP(CONCATENATE('Respuestas de formulario 1.1'!$B84,MID('Respuestas de formulario 1.1'!DQ$1,2,1)),#REF!,12,0),"")</f>
        <v/>
      </c>
      <c r="DR84" s="45" t="str">
        <f>IFERROR(VLOOKUP(CONCATENATE('Respuestas de formulario 1.1'!$B84,MID('Respuestas de formulario 1.1'!DR$1,2,1)),#REF!,12,0),"")</f>
        <v/>
      </c>
      <c r="DS84" s="45" t="str">
        <f>IFERROR(VLOOKUP(CONCATENATE('Respuestas de formulario 1.1'!$B84,MID('Respuestas de formulario 1.1'!DS$1,2,1)),#REF!,12,0),"")</f>
        <v/>
      </c>
      <c r="DT84" s="45" t="str">
        <f>IFERROR(VLOOKUP(CONCATENATE('Respuestas de formulario 1.1'!$B84,MID('Respuestas de formulario 1.1'!DT$1,2,1)),#REF!,12,0),"")</f>
        <v/>
      </c>
      <c r="DU84" s="45" t="str">
        <f>IFERROR(VLOOKUP(CONCATENATE('Respuestas de formulario 1.1'!$B84,MID('Respuestas de formulario 1.1'!DU$1,2,1)),#REF!,12,0),"")</f>
        <v/>
      </c>
      <c r="DV84" s="45" t="str">
        <f>IFERROR(VLOOKUP(CONCATENATE('Respuestas de formulario 1.1'!$B84,MID('Respuestas de formulario 1.1'!DV$1,2,1)),#REF!,12,0),"")</f>
        <v/>
      </c>
      <c r="DW84" s="45" t="str">
        <f>IFERROR(VLOOKUP(CONCATENATE('Respuestas de formulario 1.1'!$B84,MID('Respuestas de formulario 1.1'!DW$1,2,1)),#REF!,12,0),"")</f>
        <v/>
      </c>
      <c r="DX84" s="45" t="str">
        <f>IFERROR(VLOOKUP(CONCATENATE('Respuestas de formulario 1.1'!$B84,MID('Respuestas de formulario 1.1'!DX$1,2,1)),#REF!,12,0),"")</f>
        <v/>
      </c>
      <c r="DY84" s="45" t="str">
        <f>IFERROR(VLOOKUP(CONCATENATE('Respuestas de formulario 1.1'!$B84,MID('Respuestas de formulario 1.1'!DY$1,2,1)),#REF!,12,0),"")</f>
        <v/>
      </c>
      <c r="DZ84" s="45" t="str">
        <f>IFERROR(VLOOKUP(CONCATENATE('Respuestas de formulario 1.1'!$B84,MID('Respuestas de formulario 1.1'!DZ$1,2,1)),#REF!,12,0),"")</f>
        <v/>
      </c>
      <c r="EA84" s="45" t="str">
        <f>IFERROR(VLOOKUP(CONCATENATE('Respuestas de formulario 1.1'!$B84,MID('Respuestas de formulario 1.1'!EA$1,2,1)),#REF!,12,0),"")</f>
        <v/>
      </c>
      <c r="EB84" s="45" t="str">
        <f>IFERROR(VLOOKUP(CONCATENATE('Respuestas de formulario 1.1'!$B84,MID('Respuestas de formulario 1.1'!EB$1,2,1)),#REF!,12,0),"")</f>
        <v/>
      </c>
      <c r="EC84" s="45" t="str">
        <f>IFERROR(VLOOKUP(CONCATENATE('Respuestas de formulario 1.1'!$B84,MID('Respuestas de formulario 1.1'!EC$1,2,1)),#REF!,12,0),"")</f>
        <v/>
      </c>
      <c r="ED84" s="45" t="str">
        <f>IFERROR(VLOOKUP(CONCATENATE('Respuestas de formulario 1.1'!$B84,MID('Respuestas de formulario 1.1'!ED$1,2,1)),#REF!,12,0),"")</f>
        <v/>
      </c>
      <c r="EE84" s="45" t="str">
        <f>IFERROR(VLOOKUP(CONCATENATE('Respuestas de formulario 1.1'!$B84,MID('Respuestas de formulario 1.1'!EE$1,2,1)),#REF!,12,0),"")</f>
        <v/>
      </c>
      <c r="EF84" s="45" t="str">
        <f>IFERROR(VLOOKUP(CONCATENATE('Respuestas de formulario 1.1'!$B84,MID('Respuestas de formulario 1.1'!EF$1,2,1)),#REF!,12,0),"")</f>
        <v/>
      </c>
      <c r="EG84" s="45" t="str">
        <f>IFERROR(VLOOKUP(CONCATENATE('Respuestas de formulario 1.1'!$B84,MID('Respuestas de formulario 1.1'!EG$1,2,1)),#REF!,12,0),"")</f>
        <v/>
      </c>
      <c r="EH84" s="45" t="str">
        <f>IFERROR(VLOOKUP(CONCATENATE('Respuestas de formulario 1.1'!$B84,MID('Respuestas de formulario 1.1'!EH$1,2,1)),#REF!,12,0),"")</f>
        <v/>
      </c>
      <c r="EI84" s="45" t="str">
        <f>IFERROR(VLOOKUP(CONCATENATE('Respuestas de formulario 1.1'!$B84,MID('Respuestas de formulario 1.1'!EI$1,2,1)),#REF!,12,0),"")</f>
        <v/>
      </c>
      <c r="EJ84" s="45" t="str">
        <f t="array" ref="EJ84">IF(DO84="","", INDEX(#REF!,MATCH(CONCATENATE('Respuestas de formulario 1.1'!$B84,DO84),#REF!,0),MATCH('Respuestas de formulario 1.1'!EJ$1,#REF!,0)))</f>
        <v/>
      </c>
      <c r="EK84" s="56" t="str">
        <f t="array" ref="EK84">IF(DP84="","", INDEX(#REF!,MATCH(CONCATENATE('Respuestas de formulario 1.1'!$B84,DP84),#REF!,0),MATCH('Respuestas de formulario 1.1'!EK$1,#REF!,0)))</f>
        <v/>
      </c>
      <c r="EL84" s="56" t="str">
        <f t="array" ref="EL84">IF(DQ84="","", INDEX(#REF!,MATCH(CONCATENATE('Respuestas de formulario 1.1'!$B84,DQ84),#REF!,0),MATCH('Respuestas de formulario 1.1'!EL$1,#REF!,0)))</f>
        <v/>
      </c>
      <c r="EM84" s="56" t="str">
        <f t="array" ref="EM84">IF(DR84="","", INDEX(#REF!,MATCH(CONCATENATE('Respuestas de formulario 1.1'!$B84,DR84),#REF!,0),MATCH('Respuestas de formulario 1.1'!EM$1,#REF!,0)))</f>
        <v/>
      </c>
      <c r="EN84" s="56" t="str">
        <f t="array" ref="EN84">IF(DS84="","", INDEX(#REF!,MATCH(CONCATENATE('Respuestas de formulario 1.1'!$B84,DS84),#REF!,0),MATCH('Respuestas de formulario 1.1'!EN$1,#REF!,0)))</f>
        <v/>
      </c>
      <c r="EO84" s="56" t="str">
        <f t="array" ref="EO84">IF(DT84="","", INDEX(#REF!,MATCH(CONCATENATE('Respuestas de formulario 1.1'!$B84,DT84),#REF!,0),MATCH('Respuestas de formulario 1.1'!EO$1,#REF!,0)))</f>
        <v/>
      </c>
      <c r="EP84" s="45" t="str">
        <f t="array" ref="EP84">IF(DU84="","", INDEX(#REF!,MATCH(CONCATENATE('Respuestas de formulario 1.1'!$B84,DU84),#REF!,0),MATCH('Respuestas de formulario 1.1'!EP$1,#REF!,0)))</f>
        <v/>
      </c>
      <c r="EQ84" s="45" t="str">
        <f t="array" ref="EQ84">IF(DP84="","", INDEX(#REF!,MATCH(CONCATENATE('Respuestas de formulario 1.1'!$B84,DP84),#REF!,0),MATCH('Respuestas de formulario 1.1'!EQ$1,#REF!,0)))</f>
        <v/>
      </c>
      <c r="ER84" s="56" t="str">
        <f t="array" ref="ER84">IF(DQ84="","", INDEX(#REF!,MATCH(CONCATENATE('Respuestas de formulario 1.1'!$B84,DQ84),#REF!,0),MATCH('Respuestas de formulario 1.1'!ER$1,#REF!,0)))</f>
        <v/>
      </c>
      <c r="ES84" s="56" t="str">
        <f t="array" ref="ES84">IF(DR84="","", INDEX(#REF!,MATCH(CONCATENATE('Respuestas de formulario 1.1'!$B84,DR84),#REF!,0),MATCH('Respuestas de formulario 1.1'!ES$1,#REF!,0)))</f>
        <v/>
      </c>
      <c r="ET84" s="56" t="str">
        <f t="array" ref="ET84">IF(DS84="","", INDEX(#REF!,MATCH(CONCATENATE('Respuestas de formulario 1.1'!$B84,DS84),#REF!,0),MATCH('Respuestas de formulario 1.1'!ET$1,#REF!,0)))</f>
        <v/>
      </c>
      <c r="EU84" s="56" t="str">
        <f t="array" ref="EU84">IF(DT84="","", INDEX(#REF!,MATCH(CONCATENATE('Respuestas de formulario 1.1'!$B84,DT84),#REF!,0),MATCH('Respuestas de formulario 1.1'!EU$1,#REF!,0)))</f>
        <v/>
      </c>
      <c r="EV84" s="56" t="str">
        <f t="array" ref="EV84">IF(DU84="","", INDEX(#REF!,MATCH(CONCATENATE('Respuestas de formulario 1.1'!$B84,DU84),#REF!,0),MATCH('Respuestas de formulario 1.1'!EV$1,#REF!,0)))</f>
        <v/>
      </c>
      <c r="EW84" s="45" t="str">
        <f t="array" ref="EW84">IF(DV84="","", INDEX(#REF!,MATCH(CONCATENATE('Respuestas de formulario 1.1'!$B84,DV84),#REF!,0),MATCH('Respuestas de formulario 1.1'!EW$1,#REF!,0)))</f>
        <v/>
      </c>
      <c r="EX84" s="45" t="str">
        <f t="array" ref="EX84">IF($DQ84="","", INDEX(#REF!,MATCH(CONCATENATE('Respuestas de formulario 1.1'!$B84,$DQ84),#REF!,0),MATCH('Respuestas de formulario 1.1'!EX$1,#REF!,0)))</f>
        <v/>
      </c>
      <c r="EY84" s="56" t="str">
        <f t="array" ref="EY84">IF($DQ84="","", INDEX(#REF!,MATCH(CONCATENATE('Respuestas de formulario 1.1'!$B84,$DQ84),#REF!,0),MATCH('Respuestas de formulario 1.1'!EY$1,#REF!,0)))</f>
        <v/>
      </c>
      <c r="EZ84" s="56" t="str">
        <f t="array" ref="EZ84">IF($DQ84="","", INDEX(#REF!,MATCH(CONCATENATE('Respuestas de formulario 1.1'!$B84,$DQ84),#REF!,0),MATCH('Respuestas de formulario 1.1'!EZ$1,#REF!,0)))</f>
        <v/>
      </c>
      <c r="FA84" s="56" t="str">
        <f t="array" ref="FA84">IF($DQ84="","", INDEX(#REF!,MATCH(CONCATENATE('Respuestas de formulario 1.1'!$B84,$DQ84),#REF!,0),MATCH('Respuestas de formulario 1.1'!FA$1,#REF!,0)))</f>
        <v/>
      </c>
      <c r="FB84" s="56" t="str">
        <f t="array" ref="FB84">IF($DQ84="","", INDEX(#REF!,MATCH(CONCATENATE('Respuestas de formulario 1.1'!$B84,$DQ84),#REF!,0),MATCH('Respuestas de formulario 1.1'!FB$1,#REF!,0)))</f>
        <v/>
      </c>
      <c r="FC84" s="56" t="str">
        <f t="array" ref="FC84">IF($DQ84="","", INDEX(#REF!,MATCH(CONCATENATE('Respuestas de formulario 1.1'!$B84,$DQ84),#REF!,0),MATCH('Respuestas de formulario 1.1'!FC$1,#REF!,0)))</f>
        <v/>
      </c>
      <c r="FD84" s="45" t="str">
        <f t="array" ref="FD84">IF($DQ84="","", INDEX(#REF!,MATCH(CONCATENATE('Respuestas de formulario 1.1'!$B84,$DQ84),#REF!,0),MATCH('Respuestas de formulario 1.1'!FD$1,#REF!,0)))</f>
        <v/>
      </c>
      <c r="FE84" s="45" t="str">
        <f t="array" ref="FE84">IF($DR84="","", INDEX(#REF!,MATCH(CONCATENATE(#REF!,$DR84),#REF!,0),MATCH(#REF!,#REF!,0)))</f>
        <v/>
      </c>
      <c r="FF84" s="56" t="str">
        <f t="array" ref="FF84">IF($DR84="","", INDEX(#REF!,MATCH(CONCATENATE(#REF!,$DR84),#REF!,0),MATCH(#REF!,#REF!,0)))</f>
        <v/>
      </c>
      <c r="FG84" s="56" t="str">
        <f t="array" ref="FG84">IF($DR84="","", INDEX(#REF!,MATCH(CONCATENATE(#REF!,$DR84),#REF!,0),MATCH(#REF!,#REF!,0)))</f>
        <v/>
      </c>
      <c r="FH84" s="56" t="str">
        <f t="array" ref="FH84">IF($DR84="","", INDEX(#REF!,MATCH(CONCATENATE(#REF!,$DR84),#REF!,0),MATCH(#REF!,#REF!,0)))</f>
        <v/>
      </c>
      <c r="FI84" s="56" t="str">
        <f t="array" ref="FI84">IF($DR84="","", INDEX(#REF!,MATCH(CONCATENATE(#REF!,$DR84),#REF!,0),MATCH(#REF!,#REF!,0)))</f>
        <v/>
      </c>
      <c r="FJ84" s="56" t="str">
        <f t="array" ref="FJ84">IF($DR84="","", INDEX(#REF!,MATCH(CONCATENATE(#REF!,$DR84),#REF!,0),MATCH(#REF!,#REF!,0)))</f>
        <v/>
      </c>
      <c r="FK84" s="45" t="str">
        <f t="array" ref="FK84">IF($DR84="","", INDEX(#REF!,MATCH(CONCATENATE(#REF!,$DR84),#REF!,0),MATCH(#REF!,#REF!,0)))</f>
        <v/>
      </c>
      <c r="FL84" s="45" t="str">
        <f t="array" ref="FL84">IF($DT84="","", INDEX(#REF!,MATCH(CONCATENATE('Respuestas de formulario 1.1'!$B84,$DS84),#REF!,0),MATCH('Respuestas de formulario 1.1'!FL$1,#REF!,0)))</f>
        <v/>
      </c>
      <c r="FM84" s="56" t="str">
        <f t="array" ref="FM84">IF($DT84="","", INDEX(#REF!,MATCH(CONCATENATE('Respuestas de formulario 1.1'!$B84,$DS84),#REF!,0),MATCH('Respuestas de formulario 1.1'!FM$1,#REF!,0)))</f>
        <v/>
      </c>
      <c r="FN84" s="56" t="str">
        <f t="array" ref="FN84">IF($DT84="","", INDEX(#REF!,MATCH(CONCATENATE('Respuestas de formulario 1.1'!$B84,$DS84),#REF!,0),MATCH('Respuestas de formulario 1.1'!FN$1,#REF!,0)))</f>
        <v/>
      </c>
      <c r="FO84" s="56" t="str">
        <f t="array" ref="FO84">IF($DT84="","", INDEX(#REF!,MATCH(CONCATENATE('Respuestas de formulario 1.1'!$B84,$DS84),#REF!,0),MATCH('Respuestas de formulario 1.1'!FO$1,#REF!,0)))</f>
        <v/>
      </c>
      <c r="FP84" s="56" t="str">
        <f t="array" ref="FP84">IF($DT84="","", INDEX(#REF!,MATCH(CONCATENATE('Respuestas de formulario 1.1'!$B84,$DS84),#REF!,0),MATCH('Respuestas de formulario 1.1'!FP$1,#REF!,0)))</f>
        <v/>
      </c>
      <c r="FQ84" s="56" t="str">
        <f t="array" ref="FQ84">IF($DT84="","", INDEX(#REF!,MATCH(CONCATENATE('Respuestas de formulario 1.1'!$B84,$DS84),#REF!,0),MATCH('Respuestas de formulario 1.1'!FQ$1,#REF!,0)))</f>
        <v/>
      </c>
      <c r="FR84" s="45" t="str">
        <f t="array" ref="FR84">IF($DT84="","", INDEX(#REF!,MATCH(CONCATENATE('Respuestas de formulario 1.1'!$B84,$DS84),#REF!,0),MATCH('Respuestas de formulario 1.1'!FR$1,#REF!,0)))</f>
        <v/>
      </c>
      <c r="FS84" s="45" t="str">
        <f t="array" ref="FS84">IF($DU84="","", INDEX(#REF!,MATCH(CONCATENATE('Respuestas de formulario 1.1'!$B84,$DT84),#REF!,0),MATCH('Respuestas de formulario 1.1'!FS$1,#REF!,0)))</f>
        <v/>
      </c>
      <c r="FT84" s="56" t="str">
        <f t="array" ref="FT84">IF($DU84="","", INDEX(#REF!,MATCH(CONCATENATE('Respuestas de formulario 1.1'!$B84,$DT84),#REF!,0),MATCH('Respuestas de formulario 1.1'!FT$1,#REF!,0)))</f>
        <v/>
      </c>
      <c r="FU84" s="56" t="str">
        <f t="array" ref="FU84">IF($DU84="","", INDEX(#REF!,MATCH(CONCATENATE('Respuestas de formulario 1.1'!$B84,$DT84),#REF!,0),MATCH('Respuestas de formulario 1.1'!FU$1,#REF!,0)))</f>
        <v/>
      </c>
      <c r="FV84" s="56" t="str">
        <f t="array" ref="FV84">IF($DU84="","", INDEX(#REF!,MATCH(CONCATENATE('Respuestas de formulario 1.1'!$B84,$DT84),#REF!,0),MATCH('Respuestas de formulario 1.1'!FV$1,#REF!,0)))</f>
        <v/>
      </c>
      <c r="FW84" s="56" t="str">
        <f t="array" ref="FW84">IF($DU84="","", INDEX(#REF!,MATCH(CONCATENATE('Respuestas de formulario 1.1'!$B84,$DT84),#REF!,0),MATCH('Respuestas de formulario 1.1'!FW$1,#REF!,0)))</f>
        <v/>
      </c>
      <c r="FX84" s="56" t="str">
        <f t="array" ref="FX84">IF($DU84="","", INDEX(#REF!,MATCH(CONCATENATE('Respuestas de formulario 1.1'!$B84,$DT84),#REF!,0),MATCH('Respuestas de formulario 1.1'!FX$1,#REF!,0)))</f>
        <v/>
      </c>
      <c r="FY84" s="45" t="str">
        <f t="array" ref="FY84">IF($DU84="","", INDEX(#REF!,MATCH(CONCATENATE('Respuestas de formulario 1.1'!$B84,$DT84),#REF!,0),MATCH('Respuestas de formulario 1.1'!FY$1,#REF!,0)))</f>
        <v/>
      </c>
      <c r="FZ84" s="3" t="s">
        <v>2860</v>
      </c>
      <c r="GA84" s="1" t="s">
        <v>4286</v>
      </c>
      <c r="GB84" s="5" t="s">
        <v>4287</v>
      </c>
      <c r="GC84" s="4" t="str">
        <f>HYPERLINK("https://drive.google.com/file/d/1Kpj8v_bWg_oPbvLrc2QrpCMrEGobRhA7/view?usp=drivesdk","MEMETLA  MALDDONADO  ERANDY CELESTE  Formato de reinscripción y pago 2022-2")</f>
        <v>MEMETLA  MALDDONADO  ERANDY CELESTE  Formato de reinscripción y pago 2022-2</v>
      </c>
      <c r="GD84" s="1" t="s">
        <v>4288</v>
      </c>
      <c r="GE84" s="1"/>
      <c r="GF84" s="1"/>
      <c r="GG84" s="1"/>
      <c r="GH84" s="1"/>
      <c r="GI84" s="1" t="s">
        <v>4289</v>
      </c>
      <c r="GJ84" s="5" t="s">
        <v>4290</v>
      </c>
      <c r="GK84" s="5" t="str">
        <f>HYPERLINK("https://drive.google.com/file/d/1WvOs5MwZ_PhTqL2yEX75kJiCZkHl2Tpn/view?usp=drivesdk","MEMETLA  MALDDONADO  ERANDY CELESTE  Formato de reinscripción y pago 2022-2")</f>
        <v>MEMETLA  MALDDONADO  ERANDY CELESTE  Formato de reinscripción y pago 2022-2</v>
      </c>
      <c r="GL84" s="1" t="s">
        <v>4291</v>
      </c>
    </row>
    <row r="85" spans="1:194" ht="38.25" x14ac:dyDescent="0.2">
      <c r="A85" s="2">
        <v>45139.394333518518</v>
      </c>
      <c r="B85" s="1" t="s">
        <v>45</v>
      </c>
      <c r="C85" s="1" t="s">
        <v>390</v>
      </c>
      <c r="D85" s="1" t="s">
        <v>792</v>
      </c>
      <c r="E85" s="1" t="s">
        <v>760</v>
      </c>
      <c r="F85" s="1" t="s">
        <v>223</v>
      </c>
      <c r="G85" s="5" t="s">
        <v>4292</v>
      </c>
      <c r="H85" s="41">
        <v>38896</v>
      </c>
      <c r="I85" s="1">
        <v>17</v>
      </c>
      <c r="J85" s="1">
        <v>5517743341</v>
      </c>
      <c r="K85" s="1">
        <v>55923352</v>
      </c>
      <c r="L85" s="1" t="s">
        <v>793</v>
      </c>
      <c r="M85" s="1">
        <v>21309060570455</v>
      </c>
      <c r="N85" s="1" t="s">
        <v>1108</v>
      </c>
      <c r="O85" s="1" t="s">
        <v>247</v>
      </c>
      <c r="P85" s="1" t="s">
        <v>278</v>
      </c>
      <c r="Q85" s="1" t="s">
        <v>227</v>
      </c>
      <c r="R85" s="1" t="s">
        <v>236</v>
      </c>
      <c r="S85" s="1" t="s">
        <v>228</v>
      </c>
      <c r="T85" s="1" t="s">
        <v>229</v>
      </c>
      <c r="U85" s="1" t="s">
        <v>249</v>
      </c>
      <c r="V85" s="1" t="s">
        <v>228</v>
      </c>
      <c r="W85" s="1" t="s">
        <v>4293</v>
      </c>
      <c r="X85" s="1" t="s">
        <v>249</v>
      </c>
      <c r="Y85" s="1" t="s">
        <v>800</v>
      </c>
      <c r="Z85" s="1" t="s">
        <v>240</v>
      </c>
      <c r="AA85" s="44" t="s">
        <v>794</v>
      </c>
      <c r="AB85" s="1">
        <v>39</v>
      </c>
      <c r="AC85" s="1">
        <v>1</v>
      </c>
      <c r="AD85" s="1" t="s">
        <v>4294</v>
      </c>
      <c r="AE85" s="1" t="s">
        <v>795</v>
      </c>
      <c r="AF85" s="1" t="s">
        <v>758</v>
      </c>
      <c r="AG85" s="1">
        <v>23</v>
      </c>
      <c r="AH85" s="5" t="s">
        <v>4295</v>
      </c>
      <c r="AI85" s="1">
        <v>5529022338</v>
      </c>
      <c r="AJ85" s="1">
        <v>5556923352</v>
      </c>
      <c r="AK85" s="1" t="s">
        <v>796</v>
      </c>
      <c r="AL85" s="1" t="s">
        <v>792</v>
      </c>
      <c r="AM85" s="1" t="s">
        <v>259</v>
      </c>
      <c r="AN85" s="1" t="s">
        <v>1540</v>
      </c>
      <c r="AO85" s="1" t="s">
        <v>445</v>
      </c>
      <c r="AP85" s="1">
        <v>41</v>
      </c>
      <c r="AQ85" s="1" t="s">
        <v>233</v>
      </c>
      <c r="AR85" s="42">
        <v>0.39583333333575865</v>
      </c>
      <c r="AS85" s="42">
        <v>0.20833333333575865</v>
      </c>
      <c r="AT85" s="1">
        <v>5560094329</v>
      </c>
      <c r="AU85" s="1">
        <v>5560094329</v>
      </c>
      <c r="AV85" s="1" t="s">
        <v>797</v>
      </c>
      <c r="AW85" s="5" t="s">
        <v>4296</v>
      </c>
      <c r="AX85" s="1" t="s">
        <v>390</v>
      </c>
      <c r="AY85" s="1" t="s">
        <v>560</v>
      </c>
      <c r="AZ85" s="1" t="s">
        <v>798</v>
      </c>
      <c r="BA85" s="1" t="s">
        <v>650</v>
      </c>
      <c r="BB85" s="1">
        <v>46</v>
      </c>
      <c r="BC85" s="1" t="s">
        <v>663</v>
      </c>
      <c r="BD85" s="43">
        <v>0.20833333333575865</v>
      </c>
      <c r="BE85" s="43">
        <v>0.125</v>
      </c>
      <c r="BF85" s="1">
        <v>5610541972</v>
      </c>
      <c r="BG85" s="1">
        <v>5610541972</v>
      </c>
      <c r="BH85" s="1" t="s">
        <v>799</v>
      </c>
      <c r="BI85" s="5" t="s">
        <v>4297</v>
      </c>
      <c r="BJ85" s="1" t="s">
        <v>236</v>
      </c>
      <c r="BL85" s="1">
        <v>1.6</v>
      </c>
      <c r="BM85" s="1">
        <v>45</v>
      </c>
      <c r="BN85" s="1" t="s">
        <v>236</v>
      </c>
      <c r="BO85" s="1" t="s">
        <v>228</v>
      </c>
      <c r="BQ85" s="1" t="s">
        <v>228</v>
      </c>
      <c r="BR85" s="1" t="s">
        <v>237</v>
      </c>
      <c r="BS85" s="1" t="s">
        <v>228</v>
      </c>
      <c r="BT85" s="1" t="s">
        <v>237</v>
      </c>
      <c r="BU85" s="1" t="s">
        <v>228</v>
      </c>
      <c r="BW85" s="1" t="s">
        <v>238</v>
      </c>
      <c r="BX85" s="1">
        <v>60</v>
      </c>
      <c r="BY85" s="1">
        <v>8</v>
      </c>
      <c r="BZ85" s="1" t="s">
        <v>253</v>
      </c>
      <c r="CA85" s="1" t="s">
        <v>343</v>
      </c>
      <c r="CB85" s="1" t="s">
        <v>240</v>
      </c>
      <c r="CC85" s="1" t="s">
        <v>300</v>
      </c>
      <c r="CD85" s="1">
        <v>600</v>
      </c>
      <c r="CE85" s="1">
        <v>1000</v>
      </c>
      <c r="CF85" s="1" t="s">
        <v>236</v>
      </c>
      <c r="CG85" s="1" t="s">
        <v>242</v>
      </c>
      <c r="CH85" s="1" t="s">
        <v>243</v>
      </c>
      <c r="CI85" s="1" t="s">
        <v>243</v>
      </c>
      <c r="CJ85" s="1" t="s">
        <v>2848</v>
      </c>
      <c r="CL85" s="5" t="s">
        <v>4298</v>
      </c>
      <c r="CM85" s="1">
        <v>58210696025</v>
      </c>
      <c r="CN85" s="1" t="s">
        <v>228</v>
      </c>
      <c r="CQ85" s="42">
        <v>0.22916666666424135</v>
      </c>
      <c r="CR85" s="42">
        <v>0.10416666666424135</v>
      </c>
      <c r="CT85" s="45" t="str">
        <f t="array" ref="CT85">IFERROR(INDEX(#REF!,MATCH('Respuestas de formulario 1.1'!$B85,#REF!,0),MATCH('Respuestas de formulario 1.1'!CT$1,#REF!,0)),"")</f>
        <v/>
      </c>
      <c r="CU85" s="56" t="str">
        <f t="array" ref="CU85">IFERROR(INDEX(#REF!,MATCH('Respuestas de formulario 1.1'!$B85,#REF!,0),MATCH('Respuestas de formulario 1.1'!CU$1,#REF!,0)),"")</f>
        <v/>
      </c>
      <c r="CV85" s="56" t="str">
        <f t="array" ref="CV85">IFERROR(INDEX(#REF!,MATCH('Respuestas de formulario 1.1'!$B85,#REF!,0),MATCH('Respuestas de formulario 1.1'!CV$1,#REF!,0)),"")</f>
        <v/>
      </c>
      <c r="CW85" s="56" t="str">
        <f t="array" ref="CW85">IFERROR(INDEX(#REF!,MATCH('Respuestas de formulario 1.1'!$B85,#REF!,0),MATCH('Respuestas de formulario 1.1'!CW$1,#REF!,0)),"")</f>
        <v/>
      </c>
      <c r="CX85" s="56" t="str">
        <f t="array" ref="CX85">IFERROR(INDEX(#REF!,MATCH('Respuestas de formulario 1.1'!$B85,#REF!,0),MATCH('Respuestas de formulario 1.1'!CX$1,#REF!,0)),"")</f>
        <v/>
      </c>
      <c r="CY85" s="56" t="str">
        <f t="array" ref="CY85">IFERROR(INDEX(#REF!,MATCH('Respuestas de formulario 1.1'!$B85,#REF!,0),MATCH('Respuestas de formulario 1.1'!CY$1,#REF!,0)),"")</f>
        <v/>
      </c>
      <c r="CZ85" s="57" t="str">
        <f t="array" ref="CZ85">IFERROR(INDEX(#REF!,MATCH('Respuestas de formulario 1.1'!$B85,#REF!,0),MATCH('Respuestas de formulario 1.1'!CZ$1,#REF!,0)),"")</f>
        <v/>
      </c>
      <c r="DA85" s="45" t="e">
        <f t="array" ref="DA85">INDEX(#REF!,MATCH('Respuestas de formulario 1.1'!$B85,#REF!,0),MATCH('Respuestas de formulario 1.1'!DA$1,#REF!,0))</f>
        <v>#REF!</v>
      </c>
      <c r="DB85" s="45" t="e">
        <f t="array" ref="DB85">INDEX(#REF!,MATCH('Respuestas de formulario 1.1'!$B85,#REF!,0),MATCH('Respuestas de formulario 1.1'!DB$1,#REF!,0))</f>
        <v>#REF!</v>
      </c>
      <c r="DC85" s="45" t="e">
        <f t="array" ref="DC85">INDEX(#REF!,MATCH('Respuestas de formulario 1.1'!$B85,#REF!,0),MATCH('Respuestas de formulario 1.1'!DC$1,#REF!,0))</f>
        <v>#REF!</v>
      </c>
      <c r="DD85" s="45" t="e">
        <f t="array" ref="DD85">INDEX(#REF!,MATCH('Respuestas de formulario 1.1'!$B85,#REF!,0),MATCH('Respuestas de formulario 1.1'!DD$1,#REF!,0))</f>
        <v>#REF!</v>
      </c>
      <c r="DE85" s="45" t="e">
        <f t="array" ref="DE85">INDEX(#REF!,MATCH('Respuestas de formulario 1.1'!$B85,#REF!,0),MATCH('Respuestas de formulario 1.1'!DE$1,#REF!,0))</f>
        <v>#REF!</v>
      </c>
      <c r="DF85" s="45" t="e">
        <f t="array" ref="DF85">INDEX(#REF!,MATCH('Respuestas de formulario 1.1'!$B85,#REF!,0),MATCH('Respuestas de formulario 1.1'!DF$1,#REF!,0))</f>
        <v>#REF!</v>
      </c>
      <c r="DG85" s="45" t="e">
        <f t="array" ref="DG85">INDEX(#REF!,MATCH('Respuestas de formulario 1.1'!$B85,#REF!,0),MATCH('Respuestas de formulario 1.1'!DG$1,#REF!,0))</f>
        <v>#REF!</v>
      </c>
      <c r="DH85" s="45" t="e">
        <f t="array" ref="DH85">INDEX(#REF!,MATCH('Respuestas de formulario 1.1'!$B85,#REF!,0),MATCH('Respuestas de formulario 1.1'!DH$1,#REF!,0))</f>
        <v>#REF!</v>
      </c>
      <c r="DI85" s="48" t="e">
        <f>VLOOKUP(CONCATENATE($DF85," TUTO ",$DC85),#REF!,3,0)</f>
        <v>#REF!</v>
      </c>
      <c r="DJ85" s="48" t="e">
        <f t="array" ref="DJ85">IF('Respuestas de formulario 1.1'!A85="","",INDEX(#REF!,MATCH('Respuestas de formulario 1.1'!B85,#REF!,0),MATCH('Respuestas de formulario 1.1'!$DH$1,#REF!,0)))</f>
        <v>#REF!</v>
      </c>
      <c r="DK85" s="52" t="str">
        <f>CONCATENATE("http://doc.google.com/uc?id=",MID('Respuestas de formulario 1.1'!G85,34,33))</f>
        <v>http://doc.google.com/uc?id=18elcoEplB5mQV11Q_H_zpWLSqRLlHPKM</v>
      </c>
      <c r="DL85" s="49" t="str">
        <f>CONCATENATE("http://doc.google.com/uc?id=",MID('Respuestas de formulario 1.1'!AH85,34,33))</f>
        <v>http://doc.google.com/uc?id=1fcUmOV3Gyo6OWvgkcrsZ7Bh3D1nxp1b7</v>
      </c>
      <c r="DM85" s="50" t="str">
        <f>CONCATENATE("http://doc.google.com/uc?id=",MID('Respuestas de formulario 1.1'!AW85,34,33))</f>
        <v>http://doc.google.com/uc?id=1YyN5wtIiVc6lK92ZzeHK167VCSK5FOGQ</v>
      </c>
      <c r="DN85" s="53" t="str">
        <f>CONCATENATE("http://doc.google.com/uc?id=",MID('Respuestas de formulario 1.1'!$BI85,34,33))</f>
        <v>http://doc.google.com/uc?id=1ZG1nM8MDY48W8-YNO1BsrfprIXtisjXm</v>
      </c>
      <c r="DO85" s="45" t="str">
        <f>IFERROR(VLOOKUP(CONCATENATE('Respuestas de formulario 1.1'!$B85,MID('Respuestas de formulario 1.1'!DO$1,2,1)),#REF!,12,0),"")</f>
        <v/>
      </c>
      <c r="DP85" s="45" t="str">
        <f>IFERROR(VLOOKUP(CONCATENATE('Respuestas de formulario 1.1'!$B85,MID('Respuestas de formulario 1.1'!DP$1,2,1)),#REF!,12,0),"")</f>
        <v/>
      </c>
      <c r="DQ85" s="45" t="str">
        <f>IFERROR(VLOOKUP(CONCATENATE('Respuestas de formulario 1.1'!$B85,MID('Respuestas de formulario 1.1'!DQ$1,2,1)),#REF!,12,0),"")</f>
        <v/>
      </c>
      <c r="DR85" s="45" t="str">
        <f>IFERROR(VLOOKUP(CONCATENATE('Respuestas de formulario 1.1'!$B85,MID('Respuestas de formulario 1.1'!DR$1,2,1)),#REF!,12,0),"")</f>
        <v/>
      </c>
      <c r="DS85" s="45" t="str">
        <f>IFERROR(VLOOKUP(CONCATENATE('Respuestas de formulario 1.1'!$B85,MID('Respuestas de formulario 1.1'!DS$1,2,1)),#REF!,12,0),"")</f>
        <v/>
      </c>
      <c r="DT85" s="45" t="str">
        <f>IFERROR(VLOOKUP(CONCATENATE('Respuestas de formulario 1.1'!$B85,MID('Respuestas de formulario 1.1'!DT$1,2,1)),#REF!,12,0),"")</f>
        <v/>
      </c>
      <c r="DU85" s="45" t="str">
        <f>IFERROR(VLOOKUP(CONCATENATE('Respuestas de formulario 1.1'!$B85,MID('Respuestas de formulario 1.1'!DU$1,2,1)),#REF!,12,0),"")</f>
        <v/>
      </c>
      <c r="DV85" s="45" t="str">
        <f>IFERROR(VLOOKUP(CONCATENATE('Respuestas de formulario 1.1'!$B85,MID('Respuestas de formulario 1.1'!DV$1,2,1)),#REF!,12,0),"")</f>
        <v/>
      </c>
      <c r="DW85" s="45" t="str">
        <f>IFERROR(VLOOKUP(CONCATENATE('Respuestas de formulario 1.1'!$B85,MID('Respuestas de formulario 1.1'!DW$1,2,1)),#REF!,12,0),"")</f>
        <v/>
      </c>
      <c r="DX85" s="45" t="str">
        <f>IFERROR(VLOOKUP(CONCATENATE('Respuestas de formulario 1.1'!$B85,MID('Respuestas de formulario 1.1'!DX$1,2,1)),#REF!,12,0),"")</f>
        <v/>
      </c>
      <c r="DY85" s="45" t="str">
        <f>IFERROR(VLOOKUP(CONCATENATE('Respuestas de formulario 1.1'!$B85,MID('Respuestas de formulario 1.1'!DY$1,2,1)),#REF!,12,0),"")</f>
        <v/>
      </c>
      <c r="DZ85" s="45" t="str">
        <f>IFERROR(VLOOKUP(CONCATENATE('Respuestas de formulario 1.1'!$B85,MID('Respuestas de formulario 1.1'!DZ$1,2,1)),#REF!,12,0),"")</f>
        <v/>
      </c>
      <c r="EA85" s="45" t="str">
        <f>IFERROR(VLOOKUP(CONCATENATE('Respuestas de formulario 1.1'!$B85,MID('Respuestas de formulario 1.1'!EA$1,2,1)),#REF!,12,0),"")</f>
        <v/>
      </c>
      <c r="EB85" s="45" t="str">
        <f>IFERROR(VLOOKUP(CONCATENATE('Respuestas de formulario 1.1'!$B85,MID('Respuestas de formulario 1.1'!EB$1,2,1)),#REF!,12,0),"")</f>
        <v/>
      </c>
      <c r="EC85" s="45" t="str">
        <f>IFERROR(VLOOKUP(CONCATENATE('Respuestas de formulario 1.1'!$B85,MID('Respuestas de formulario 1.1'!EC$1,2,1)),#REF!,12,0),"")</f>
        <v/>
      </c>
      <c r="ED85" s="45" t="str">
        <f>IFERROR(VLOOKUP(CONCATENATE('Respuestas de formulario 1.1'!$B85,MID('Respuestas de formulario 1.1'!ED$1,2,1)),#REF!,12,0),"")</f>
        <v/>
      </c>
      <c r="EE85" s="45" t="str">
        <f>IFERROR(VLOOKUP(CONCATENATE('Respuestas de formulario 1.1'!$B85,MID('Respuestas de formulario 1.1'!EE$1,2,1)),#REF!,12,0),"")</f>
        <v/>
      </c>
      <c r="EF85" s="45" t="str">
        <f>IFERROR(VLOOKUP(CONCATENATE('Respuestas de formulario 1.1'!$B85,MID('Respuestas de formulario 1.1'!EF$1,2,1)),#REF!,12,0),"")</f>
        <v/>
      </c>
      <c r="EG85" s="45" t="str">
        <f>IFERROR(VLOOKUP(CONCATENATE('Respuestas de formulario 1.1'!$B85,MID('Respuestas de formulario 1.1'!EG$1,2,1)),#REF!,12,0),"")</f>
        <v/>
      </c>
      <c r="EH85" s="45" t="str">
        <f>IFERROR(VLOOKUP(CONCATENATE('Respuestas de formulario 1.1'!$B85,MID('Respuestas de formulario 1.1'!EH$1,2,1)),#REF!,12,0),"")</f>
        <v/>
      </c>
      <c r="EI85" s="45" t="str">
        <f>IFERROR(VLOOKUP(CONCATENATE('Respuestas de formulario 1.1'!$B85,MID('Respuestas de formulario 1.1'!EI$1,2,1)),#REF!,12,0),"")</f>
        <v/>
      </c>
      <c r="EJ85" s="45" t="str">
        <f t="array" ref="EJ85">IF(DO85="","", INDEX(#REF!,MATCH(CONCATENATE('Respuestas de formulario 1.1'!$B85,DO85),#REF!,0),MATCH('Respuestas de formulario 1.1'!EJ$1,#REF!,0)))</f>
        <v/>
      </c>
      <c r="EK85" s="56" t="str">
        <f t="array" ref="EK85">IF(DP85="","", INDEX(#REF!,MATCH(CONCATENATE('Respuestas de formulario 1.1'!$B85,DP85),#REF!,0),MATCH('Respuestas de formulario 1.1'!EK$1,#REF!,0)))</f>
        <v/>
      </c>
      <c r="EL85" s="56" t="str">
        <f t="array" ref="EL85">IF(DQ85="","", INDEX(#REF!,MATCH(CONCATENATE('Respuestas de formulario 1.1'!$B85,DQ85),#REF!,0),MATCH('Respuestas de formulario 1.1'!EL$1,#REF!,0)))</f>
        <v/>
      </c>
      <c r="EM85" s="56" t="str">
        <f t="array" ref="EM85">IF(DR85="","", INDEX(#REF!,MATCH(CONCATENATE('Respuestas de formulario 1.1'!$B85,DR85),#REF!,0),MATCH('Respuestas de formulario 1.1'!EM$1,#REF!,0)))</f>
        <v/>
      </c>
      <c r="EN85" s="56" t="str">
        <f t="array" ref="EN85">IF(DS85="","", INDEX(#REF!,MATCH(CONCATENATE('Respuestas de formulario 1.1'!$B85,DS85),#REF!,0),MATCH('Respuestas de formulario 1.1'!EN$1,#REF!,0)))</f>
        <v/>
      </c>
      <c r="EO85" s="56" t="str">
        <f t="array" ref="EO85">IF(DT85="","", INDEX(#REF!,MATCH(CONCATENATE('Respuestas de formulario 1.1'!$B85,DT85),#REF!,0),MATCH('Respuestas de formulario 1.1'!EO$1,#REF!,0)))</f>
        <v/>
      </c>
      <c r="EP85" s="45" t="str">
        <f t="array" ref="EP85">IF(DU85="","", INDEX(#REF!,MATCH(CONCATENATE('Respuestas de formulario 1.1'!$B85,DU85),#REF!,0),MATCH('Respuestas de formulario 1.1'!EP$1,#REF!,0)))</f>
        <v/>
      </c>
      <c r="EQ85" s="45" t="str">
        <f t="array" ref="EQ85">IF(DP85="","", INDEX(#REF!,MATCH(CONCATENATE('Respuestas de formulario 1.1'!$B85,DP85),#REF!,0),MATCH('Respuestas de formulario 1.1'!EQ$1,#REF!,0)))</f>
        <v/>
      </c>
      <c r="ER85" s="56" t="str">
        <f t="array" ref="ER85">IF(DQ85="","", INDEX(#REF!,MATCH(CONCATENATE('Respuestas de formulario 1.1'!$B85,DQ85),#REF!,0),MATCH('Respuestas de formulario 1.1'!ER$1,#REF!,0)))</f>
        <v/>
      </c>
      <c r="ES85" s="56" t="str">
        <f t="array" ref="ES85">IF(DR85="","", INDEX(#REF!,MATCH(CONCATENATE('Respuestas de formulario 1.1'!$B85,DR85),#REF!,0),MATCH('Respuestas de formulario 1.1'!ES$1,#REF!,0)))</f>
        <v/>
      </c>
      <c r="ET85" s="56" t="str">
        <f t="array" ref="ET85">IF(DS85="","", INDEX(#REF!,MATCH(CONCATENATE('Respuestas de formulario 1.1'!$B85,DS85),#REF!,0),MATCH('Respuestas de formulario 1.1'!ET$1,#REF!,0)))</f>
        <v/>
      </c>
      <c r="EU85" s="56" t="str">
        <f t="array" ref="EU85">IF(DT85="","", INDEX(#REF!,MATCH(CONCATENATE('Respuestas de formulario 1.1'!$B85,DT85),#REF!,0),MATCH('Respuestas de formulario 1.1'!EU$1,#REF!,0)))</f>
        <v/>
      </c>
      <c r="EV85" s="56" t="str">
        <f t="array" ref="EV85">IF(DU85="","", INDEX(#REF!,MATCH(CONCATENATE('Respuestas de formulario 1.1'!$B85,DU85),#REF!,0),MATCH('Respuestas de formulario 1.1'!EV$1,#REF!,0)))</f>
        <v/>
      </c>
      <c r="EW85" s="45" t="str">
        <f t="array" ref="EW85">IF(DV85="","", INDEX(#REF!,MATCH(CONCATENATE('Respuestas de formulario 1.1'!$B85,DV85),#REF!,0),MATCH('Respuestas de formulario 1.1'!EW$1,#REF!,0)))</f>
        <v/>
      </c>
      <c r="EX85" s="45" t="str">
        <f t="array" ref="EX85">IF($DQ85="","", INDEX(#REF!,MATCH(CONCATENATE('Respuestas de formulario 1.1'!$B85,$DQ85),#REF!,0),MATCH('Respuestas de formulario 1.1'!EX$1,#REF!,0)))</f>
        <v/>
      </c>
      <c r="EY85" s="56" t="str">
        <f t="array" ref="EY85">IF($DQ85="","", INDEX(#REF!,MATCH(CONCATENATE('Respuestas de formulario 1.1'!$B85,$DQ85),#REF!,0),MATCH('Respuestas de formulario 1.1'!EY$1,#REF!,0)))</f>
        <v/>
      </c>
      <c r="EZ85" s="56" t="str">
        <f t="array" ref="EZ85">IF($DQ85="","", INDEX(#REF!,MATCH(CONCATENATE('Respuestas de formulario 1.1'!$B85,$DQ85),#REF!,0),MATCH('Respuestas de formulario 1.1'!EZ$1,#REF!,0)))</f>
        <v/>
      </c>
      <c r="FA85" s="56" t="str">
        <f t="array" ref="FA85">IF($DQ85="","", INDEX(#REF!,MATCH(CONCATENATE('Respuestas de formulario 1.1'!$B85,$DQ85),#REF!,0),MATCH('Respuestas de formulario 1.1'!FA$1,#REF!,0)))</f>
        <v/>
      </c>
      <c r="FB85" s="56" t="str">
        <f t="array" ref="FB85">IF($DQ85="","", INDEX(#REF!,MATCH(CONCATENATE('Respuestas de formulario 1.1'!$B85,$DQ85),#REF!,0),MATCH('Respuestas de formulario 1.1'!FB$1,#REF!,0)))</f>
        <v/>
      </c>
      <c r="FC85" s="56" t="str">
        <f t="array" ref="FC85">IF($DQ85="","", INDEX(#REF!,MATCH(CONCATENATE('Respuestas de formulario 1.1'!$B85,$DQ85),#REF!,0),MATCH('Respuestas de formulario 1.1'!FC$1,#REF!,0)))</f>
        <v/>
      </c>
      <c r="FD85" s="45" t="str">
        <f t="array" ref="FD85">IF($DQ85="","", INDEX(#REF!,MATCH(CONCATENATE('Respuestas de formulario 1.1'!$B85,$DQ85),#REF!,0),MATCH('Respuestas de formulario 1.1'!FD$1,#REF!,0)))</f>
        <v/>
      </c>
      <c r="FE85" s="45" t="str">
        <f t="array" ref="FE85">IF($DR85="","", INDEX(#REF!,MATCH(CONCATENATE(#REF!,$DR85),#REF!,0),MATCH(#REF!,#REF!,0)))</f>
        <v/>
      </c>
      <c r="FF85" s="56" t="str">
        <f t="array" ref="FF85">IF($DR85="","", INDEX(#REF!,MATCH(CONCATENATE(#REF!,$DR85),#REF!,0),MATCH(#REF!,#REF!,0)))</f>
        <v/>
      </c>
      <c r="FG85" s="56" t="str">
        <f t="array" ref="FG85">IF($DR85="","", INDEX(#REF!,MATCH(CONCATENATE(#REF!,$DR85),#REF!,0),MATCH(#REF!,#REF!,0)))</f>
        <v/>
      </c>
      <c r="FH85" s="56" t="str">
        <f t="array" ref="FH85">IF($DR85="","", INDEX(#REF!,MATCH(CONCATENATE(#REF!,$DR85),#REF!,0),MATCH(#REF!,#REF!,0)))</f>
        <v/>
      </c>
      <c r="FI85" s="56" t="str">
        <f t="array" ref="FI85">IF($DR85="","", INDEX(#REF!,MATCH(CONCATENATE(#REF!,$DR85),#REF!,0),MATCH(#REF!,#REF!,0)))</f>
        <v/>
      </c>
      <c r="FJ85" s="56" t="str">
        <f t="array" ref="FJ85">IF($DR85="","", INDEX(#REF!,MATCH(CONCATENATE(#REF!,$DR85),#REF!,0),MATCH(#REF!,#REF!,0)))</f>
        <v/>
      </c>
      <c r="FK85" s="45" t="str">
        <f t="array" ref="FK85">IF($DR85="","", INDEX(#REF!,MATCH(CONCATENATE(#REF!,$DR85),#REF!,0),MATCH(#REF!,#REF!,0)))</f>
        <v/>
      </c>
      <c r="FL85" s="45" t="str">
        <f t="array" ref="FL85">IF($DT85="","", INDEX(#REF!,MATCH(CONCATENATE('Respuestas de formulario 1.1'!$B85,$DS85),#REF!,0),MATCH('Respuestas de formulario 1.1'!FL$1,#REF!,0)))</f>
        <v/>
      </c>
      <c r="FM85" s="56" t="str">
        <f t="array" ref="FM85">IF($DT85="","", INDEX(#REF!,MATCH(CONCATENATE('Respuestas de formulario 1.1'!$B85,$DS85),#REF!,0),MATCH('Respuestas de formulario 1.1'!FM$1,#REF!,0)))</f>
        <v/>
      </c>
      <c r="FN85" s="56" t="str">
        <f t="array" ref="FN85">IF($DT85="","", INDEX(#REF!,MATCH(CONCATENATE('Respuestas de formulario 1.1'!$B85,$DS85),#REF!,0),MATCH('Respuestas de formulario 1.1'!FN$1,#REF!,0)))</f>
        <v/>
      </c>
      <c r="FO85" s="56" t="str">
        <f t="array" ref="FO85">IF($DT85="","", INDEX(#REF!,MATCH(CONCATENATE('Respuestas de formulario 1.1'!$B85,$DS85),#REF!,0),MATCH('Respuestas de formulario 1.1'!FO$1,#REF!,0)))</f>
        <v/>
      </c>
      <c r="FP85" s="56" t="str">
        <f t="array" ref="FP85">IF($DT85="","", INDEX(#REF!,MATCH(CONCATENATE('Respuestas de formulario 1.1'!$B85,$DS85),#REF!,0),MATCH('Respuestas de formulario 1.1'!FP$1,#REF!,0)))</f>
        <v/>
      </c>
      <c r="FQ85" s="56" t="str">
        <f t="array" ref="FQ85">IF($DT85="","", INDEX(#REF!,MATCH(CONCATENATE('Respuestas de formulario 1.1'!$B85,$DS85),#REF!,0),MATCH('Respuestas de formulario 1.1'!FQ$1,#REF!,0)))</f>
        <v/>
      </c>
      <c r="FR85" s="45" t="str">
        <f t="array" ref="FR85">IF($DT85="","", INDEX(#REF!,MATCH(CONCATENATE('Respuestas de formulario 1.1'!$B85,$DS85),#REF!,0),MATCH('Respuestas de formulario 1.1'!FR$1,#REF!,0)))</f>
        <v/>
      </c>
      <c r="FS85" s="45" t="str">
        <f t="array" ref="FS85">IF($DU85="","", INDEX(#REF!,MATCH(CONCATENATE('Respuestas de formulario 1.1'!$B85,$DT85),#REF!,0),MATCH('Respuestas de formulario 1.1'!FS$1,#REF!,0)))</f>
        <v/>
      </c>
      <c r="FT85" s="56" t="str">
        <f t="array" ref="FT85">IF($DU85="","", INDEX(#REF!,MATCH(CONCATENATE('Respuestas de formulario 1.1'!$B85,$DT85),#REF!,0),MATCH('Respuestas de formulario 1.1'!FT$1,#REF!,0)))</f>
        <v/>
      </c>
      <c r="FU85" s="56" t="str">
        <f t="array" ref="FU85">IF($DU85="","", INDEX(#REF!,MATCH(CONCATENATE('Respuestas de formulario 1.1'!$B85,$DT85),#REF!,0),MATCH('Respuestas de formulario 1.1'!FU$1,#REF!,0)))</f>
        <v/>
      </c>
      <c r="FV85" s="56" t="str">
        <f t="array" ref="FV85">IF($DU85="","", INDEX(#REF!,MATCH(CONCATENATE('Respuestas de formulario 1.1'!$B85,$DT85),#REF!,0),MATCH('Respuestas de formulario 1.1'!FV$1,#REF!,0)))</f>
        <v/>
      </c>
      <c r="FW85" s="56" t="str">
        <f t="array" ref="FW85">IF($DU85="","", INDEX(#REF!,MATCH(CONCATENATE('Respuestas de formulario 1.1'!$B85,$DT85),#REF!,0),MATCH('Respuestas de formulario 1.1'!FW$1,#REF!,0)))</f>
        <v/>
      </c>
      <c r="FX85" s="56" t="str">
        <f t="array" ref="FX85">IF($DU85="","", INDEX(#REF!,MATCH(CONCATENATE('Respuestas de formulario 1.1'!$B85,$DT85),#REF!,0),MATCH('Respuestas de formulario 1.1'!FX$1,#REF!,0)))</f>
        <v/>
      </c>
      <c r="FY85" s="45" t="str">
        <f t="array" ref="FY85">IF($DU85="","", INDEX(#REF!,MATCH(CONCATENATE('Respuestas de formulario 1.1'!$B85,$DT85),#REF!,0),MATCH('Respuestas de formulario 1.1'!FY$1,#REF!,0)))</f>
        <v/>
      </c>
      <c r="FZ85" s="3" t="s">
        <v>2860</v>
      </c>
      <c r="GA85" s="1" t="s">
        <v>4299</v>
      </c>
      <c r="GB85" s="5" t="s">
        <v>4300</v>
      </c>
      <c r="GC85" s="4" t="str">
        <f>HYPERLINK("https://drive.google.com/file/d/1DDzibwtrxYnXabOdS_bAHnqwZVgHyk3m/view?usp=drivesdk","GARCIA  SERNA  LIZETH  Formato de reinscripción y pago 2022-2")</f>
        <v>GARCIA  SERNA  LIZETH  Formato de reinscripción y pago 2022-2</v>
      </c>
      <c r="GD85" s="1" t="s">
        <v>4301</v>
      </c>
      <c r="GE85" s="1"/>
      <c r="GF85" s="1"/>
      <c r="GG85" s="1"/>
      <c r="GH85" s="1"/>
      <c r="GI85" s="1" t="s">
        <v>4302</v>
      </c>
      <c r="GJ85" s="5" t="s">
        <v>4303</v>
      </c>
      <c r="GK85" s="5" t="str">
        <f>HYPERLINK("https://drive.google.com/file/d/1EBBOxC7_LaU9WW9SSR2BDqsKllnba-Xd/view?usp=drivesdk","GARCIA  SERNA  LIZETH  Formato de reinscripción y pago 2022-2")</f>
        <v>GARCIA  SERNA  LIZETH  Formato de reinscripción y pago 2022-2</v>
      </c>
      <c r="GL85" s="1" t="s">
        <v>4304</v>
      </c>
    </row>
    <row r="86" spans="1:194" ht="38.25" x14ac:dyDescent="0.2">
      <c r="A86" s="2">
        <v>45139.394763391203</v>
      </c>
      <c r="B86" s="1" t="s">
        <v>55</v>
      </c>
      <c r="C86" s="1" t="s">
        <v>641</v>
      </c>
      <c r="D86" s="1" t="s">
        <v>304</v>
      </c>
      <c r="E86" s="1" t="s">
        <v>642</v>
      </c>
      <c r="F86" s="1" t="s">
        <v>223</v>
      </c>
      <c r="G86" s="5" t="s">
        <v>4305</v>
      </c>
      <c r="H86" s="41">
        <v>39269</v>
      </c>
      <c r="I86" s="1">
        <v>16</v>
      </c>
      <c r="J86" s="1">
        <v>5584539779</v>
      </c>
      <c r="K86" s="1">
        <v>5589298451</v>
      </c>
      <c r="L86" s="1" t="s">
        <v>643</v>
      </c>
      <c r="M86" s="1">
        <v>22309060570536</v>
      </c>
      <c r="N86" s="1" t="s">
        <v>562</v>
      </c>
      <c r="O86" s="1" t="s">
        <v>247</v>
      </c>
      <c r="P86" s="1" t="s">
        <v>278</v>
      </c>
      <c r="Q86" s="1" t="s">
        <v>248</v>
      </c>
      <c r="R86" s="1" t="s">
        <v>236</v>
      </c>
      <c r="S86" s="1" t="s">
        <v>228</v>
      </c>
      <c r="T86" s="1" t="s">
        <v>411</v>
      </c>
      <c r="U86" s="1" t="s">
        <v>264</v>
      </c>
      <c r="V86" s="1" t="s">
        <v>228</v>
      </c>
      <c r="W86" s="1" t="s">
        <v>4306</v>
      </c>
      <c r="X86" s="1" t="s">
        <v>264</v>
      </c>
      <c r="Y86" s="1" t="s">
        <v>4307</v>
      </c>
      <c r="Z86" s="1" t="s">
        <v>231</v>
      </c>
      <c r="AA86" s="1">
        <v>57730</v>
      </c>
      <c r="AB86" s="1">
        <v>143</v>
      </c>
      <c r="AC86" s="1">
        <v>2</v>
      </c>
      <c r="AD86" s="1" t="s">
        <v>4308</v>
      </c>
      <c r="AE86" s="1" t="s">
        <v>644</v>
      </c>
      <c r="AF86" s="1" t="s">
        <v>279</v>
      </c>
      <c r="AG86" s="1">
        <v>56</v>
      </c>
      <c r="AH86" s="5" t="s">
        <v>4309</v>
      </c>
      <c r="AI86" s="1">
        <v>5617208877</v>
      </c>
      <c r="AJ86" s="1">
        <v>5590905090</v>
      </c>
      <c r="AK86" s="1" t="s">
        <v>645</v>
      </c>
      <c r="AL86" s="1" t="s">
        <v>304</v>
      </c>
      <c r="AM86" s="1" t="s">
        <v>646</v>
      </c>
      <c r="AN86" s="1" t="s">
        <v>647</v>
      </c>
      <c r="AO86" s="1" t="s">
        <v>265</v>
      </c>
      <c r="AP86" s="1">
        <v>35</v>
      </c>
      <c r="AQ86" s="1" t="s">
        <v>546</v>
      </c>
      <c r="AR86" s="42">
        <v>0.29166666666424135</v>
      </c>
      <c r="AS86" s="42">
        <v>0.14583333333575865</v>
      </c>
      <c r="AT86" s="1">
        <v>5572708843</v>
      </c>
      <c r="AU86" s="1">
        <v>5589298451</v>
      </c>
      <c r="AV86" s="1" t="s">
        <v>648</v>
      </c>
      <c r="AW86" s="5" t="s">
        <v>4310</v>
      </c>
      <c r="AX86" s="1" t="s">
        <v>641</v>
      </c>
      <c r="AY86" s="1" t="s">
        <v>252</v>
      </c>
      <c r="AZ86" s="1" t="s">
        <v>4311</v>
      </c>
      <c r="BA86" s="1" t="s">
        <v>435</v>
      </c>
      <c r="BB86" s="1">
        <v>43</v>
      </c>
      <c r="BC86" s="1" t="s">
        <v>833</v>
      </c>
      <c r="BD86" s="43">
        <v>0.35416666666424135</v>
      </c>
      <c r="BE86" s="43">
        <v>0.27083333333575865</v>
      </c>
      <c r="BF86" s="1">
        <v>5519311539</v>
      </c>
      <c r="BG86" s="1">
        <v>5589298451</v>
      </c>
      <c r="BH86" s="1" t="s">
        <v>649</v>
      </c>
      <c r="BI86" s="5" t="s">
        <v>4312</v>
      </c>
      <c r="BJ86" s="1" t="s">
        <v>236</v>
      </c>
      <c r="BL86" s="1">
        <v>155</v>
      </c>
      <c r="BM86" s="1">
        <v>40</v>
      </c>
      <c r="BN86" s="1" t="s">
        <v>236</v>
      </c>
      <c r="BO86" s="1" t="s">
        <v>228</v>
      </c>
      <c r="BQ86" s="1" t="s">
        <v>228</v>
      </c>
      <c r="BR86" s="1" t="s">
        <v>237</v>
      </c>
      <c r="BS86" s="1" t="s">
        <v>228</v>
      </c>
      <c r="BT86" s="1" t="s">
        <v>237</v>
      </c>
      <c r="BU86" s="1" t="s">
        <v>228</v>
      </c>
      <c r="BW86" s="1" t="s">
        <v>238</v>
      </c>
      <c r="BX86" s="1">
        <v>90</v>
      </c>
      <c r="BY86" s="1">
        <v>150</v>
      </c>
      <c r="BZ86" s="1" t="s">
        <v>253</v>
      </c>
      <c r="CA86" s="1" t="s">
        <v>786</v>
      </c>
      <c r="CB86" s="1" t="s">
        <v>240</v>
      </c>
      <c r="CC86" s="1" t="s">
        <v>322</v>
      </c>
      <c r="CD86" s="1">
        <v>1500</v>
      </c>
      <c r="CE86" s="1">
        <v>1000</v>
      </c>
      <c r="CF86" s="1" t="s">
        <v>236</v>
      </c>
      <c r="CG86" s="1" t="s">
        <v>323</v>
      </c>
      <c r="CH86" s="1" t="s">
        <v>243</v>
      </c>
      <c r="CI86" s="1" t="s">
        <v>243</v>
      </c>
      <c r="CJ86" s="1" t="s">
        <v>2848</v>
      </c>
      <c r="CL86" s="5" t="s">
        <v>4313</v>
      </c>
      <c r="CM86" s="1">
        <v>13220746377</v>
      </c>
      <c r="CN86" s="1" t="s">
        <v>228</v>
      </c>
      <c r="CQ86" s="42">
        <v>0.29166666666424135</v>
      </c>
      <c r="CR86" s="42">
        <v>0.20833333333575865</v>
      </c>
      <c r="CT86" s="45" t="str">
        <f t="array" ref="CT86">IFERROR(INDEX(#REF!,MATCH('Respuestas de formulario 1.1'!$B86,#REF!,0),MATCH('Respuestas de formulario 1.1'!CT$1,#REF!,0)),"")</f>
        <v/>
      </c>
      <c r="CU86" s="56" t="str">
        <f t="array" ref="CU86">IFERROR(INDEX(#REF!,MATCH('Respuestas de formulario 1.1'!$B86,#REF!,0),MATCH('Respuestas de formulario 1.1'!CU$1,#REF!,0)),"")</f>
        <v/>
      </c>
      <c r="CV86" s="56" t="str">
        <f t="array" ref="CV86">IFERROR(INDEX(#REF!,MATCH('Respuestas de formulario 1.1'!$B86,#REF!,0),MATCH('Respuestas de formulario 1.1'!CV$1,#REF!,0)),"")</f>
        <v/>
      </c>
      <c r="CW86" s="56" t="str">
        <f t="array" ref="CW86">IFERROR(INDEX(#REF!,MATCH('Respuestas de formulario 1.1'!$B86,#REF!,0),MATCH('Respuestas de formulario 1.1'!CW$1,#REF!,0)),"")</f>
        <v/>
      </c>
      <c r="CX86" s="56" t="str">
        <f t="array" ref="CX86">IFERROR(INDEX(#REF!,MATCH('Respuestas de formulario 1.1'!$B86,#REF!,0),MATCH('Respuestas de formulario 1.1'!CX$1,#REF!,0)),"")</f>
        <v/>
      </c>
      <c r="CY86" s="56" t="str">
        <f t="array" ref="CY86">IFERROR(INDEX(#REF!,MATCH('Respuestas de formulario 1.1'!$B86,#REF!,0),MATCH('Respuestas de formulario 1.1'!CY$1,#REF!,0)),"")</f>
        <v/>
      </c>
      <c r="CZ86" s="57" t="str">
        <f t="array" ref="CZ86">IFERROR(INDEX(#REF!,MATCH('Respuestas de formulario 1.1'!$B86,#REF!,0),MATCH('Respuestas de formulario 1.1'!CZ$1,#REF!,0)),"")</f>
        <v/>
      </c>
      <c r="DA86" s="45" t="e">
        <f t="array" ref="DA86">INDEX(#REF!,MATCH('Respuestas de formulario 1.1'!$B86,#REF!,0),MATCH('Respuestas de formulario 1.1'!DA$1,#REF!,0))</f>
        <v>#REF!</v>
      </c>
      <c r="DB86" s="45" t="e">
        <f t="array" ref="DB86">INDEX(#REF!,MATCH('Respuestas de formulario 1.1'!$B86,#REF!,0),MATCH('Respuestas de formulario 1.1'!DB$1,#REF!,0))</f>
        <v>#REF!</v>
      </c>
      <c r="DC86" s="45" t="e">
        <f t="array" ref="DC86">INDEX(#REF!,MATCH('Respuestas de formulario 1.1'!$B86,#REF!,0),MATCH('Respuestas de formulario 1.1'!DC$1,#REF!,0))</f>
        <v>#REF!</v>
      </c>
      <c r="DD86" s="45" t="e">
        <f t="array" ref="DD86">INDEX(#REF!,MATCH('Respuestas de formulario 1.1'!$B86,#REF!,0),MATCH('Respuestas de formulario 1.1'!DD$1,#REF!,0))</f>
        <v>#REF!</v>
      </c>
      <c r="DE86" s="45" t="e">
        <f t="array" ref="DE86">INDEX(#REF!,MATCH('Respuestas de formulario 1.1'!$B86,#REF!,0),MATCH('Respuestas de formulario 1.1'!DE$1,#REF!,0))</f>
        <v>#REF!</v>
      </c>
      <c r="DF86" s="45" t="e">
        <f t="array" ref="DF86">INDEX(#REF!,MATCH('Respuestas de formulario 1.1'!$B86,#REF!,0),MATCH('Respuestas de formulario 1.1'!DF$1,#REF!,0))</f>
        <v>#REF!</v>
      </c>
      <c r="DG86" s="45" t="e">
        <f t="array" ref="DG86">INDEX(#REF!,MATCH('Respuestas de formulario 1.1'!$B86,#REF!,0),MATCH('Respuestas de formulario 1.1'!DG$1,#REF!,0))</f>
        <v>#REF!</v>
      </c>
      <c r="DH86" s="45" t="e">
        <f t="array" ref="DH86">INDEX(#REF!,MATCH('Respuestas de formulario 1.1'!$B86,#REF!,0),MATCH('Respuestas de formulario 1.1'!DH$1,#REF!,0))</f>
        <v>#REF!</v>
      </c>
      <c r="DI86" s="48" t="e">
        <f>VLOOKUP(CONCATENATE($DF86," TUTO ",$DC86),#REF!,3,0)</f>
        <v>#REF!</v>
      </c>
      <c r="DJ86" s="48" t="e">
        <f t="array" ref="DJ86">IF('Respuestas de formulario 1.1'!A86="","",INDEX(#REF!,MATCH('Respuestas de formulario 1.1'!B86,#REF!,0),MATCH('Respuestas de formulario 1.1'!$DH$1,#REF!,0)))</f>
        <v>#REF!</v>
      </c>
      <c r="DK86" s="52" t="str">
        <f>CONCATENATE("http://doc.google.com/uc?id=",MID('Respuestas de formulario 1.1'!G86,34,33))</f>
        <v>http://doc.google.com/uc?id=1eiIEUHm1jZyQqIXvGhIWXROjOZ0uIHBC</v>
      </c>
      <c r="DL86" s="49" t="str">
        <f>CONCATENATE("http://doc.google.com/uc?id=",MID('Respuestas de formulario 1.1'!AH86,34,33))</f>
        <v>http://doc.google.com/uc?id=1cVlQuWI3XfUzpWCl8teLqNJAnQycplSX</v>
      </c>
      <c r="DM86" s="50" t="str">
        <f>CONCATENATE("http://doc.google.com/uc?id=",MID('Respuestas de formulario 1.1'!AW86,34,33))</f>
        <v>http://doc.google.com/uc?id=1i506RFwvkPs0he-YFVgt6tKfd7nU1M66</v>
      </c>
      <c r="DN86" s="53" t="str">
        <f>CONCATENATE("http://doc.google.com/uc?id=",MID('Respuestas de formulario 1.1'!$BI86,34,33))</f>
        <v>http://doc.google.com/uc?id=13bRkol4S_Qe4I5ERU3gTts22sAgbWjsU</v>
      </c>
      <c r="DO86" s="45" t="str">
        <f>IFERROR(VLOOKUP(CONCATENATE('Respuestas de formulario 1.1'!$B86,MID('Respuestas de formulario 1.1'!DO$1,2,1)),#REF!,12,0),"")</f>
        <v/>
      </c>
      <c r="DP86" s="45" t="str">
        <f>IFERROR(VLOOKUP(CONCATENATE('Respuestas de formulario 1.1'!$B86,MID('Respuestas de formulario 1.1'!DP$1,2,1)),#REF!,12,0),"")</f>
        <v/>
      </c>
      <c r="DQ86" s="45" t="str">
        <f>IFERROR(VLOOKUP(CONCATENATE('Respuestas de formulario 1.1'!$B86,MID('Respuestas de formulario 1.1'!DQ$1,2,1)),#REF!,12,0),"")</f>
        <v/>
      </c>
      <c r="DR86" s="45" t="str">
        <f>IFERROR(VLOOKUP(CONCATENATE('Respuestas de formulario 1.1'!$B86,MID('Respuestas de formulario 1.1'!DR$1,2,1)),#REF!,12,0),"")</f>
        <v/>
      </c>
      <c r="DS86" s="45" t="str">
        <f>IFERROR(VLOOKUP(CONCATENATE('Respuestas de formulario 1.1'!$B86,MID('Respuestas de formulario 1.1'!DS$1,2,1)),#REF!,12,0),"")</f>
        <v/>
      </c>
      <c r="DT86" s="45" t="str">
        <f>IFERROR(VLOOKUP(CONCATENATE('Respuestas de formulario 1.1'!$B86,MID('Respuestas de formulario 1.1'!DT$1,2,1)),#REF!,12,0),"")</f>
        <v/>
      </c>
      <c r="DU86" s="45" t="str">
        <f>IFERROR(VLOOKUP(CONCATENATE('Respuestas de formulario 1.1'!$B86,MID('Respuestas de formulario 1.1'!DU$1,2,1)),#REF!,12,0),"")</f>
        <v/>
      </c>
      <c r="DV86" s="45" t="str">
        <f>IFERROR(VLOOKUP(CONCATENATE('Respuestas de formulario 1.1'!$B86,MID('Respuestas de formulario 1.1'!DV$1,2,1)),#REF!,12,0),"")</f>
        <v/>
      </c>
      <c r="DW86" s="45" t="str">
        <f>IFERROR(VLOOKUP(CONCATENATE('Respuestas de formulario 1.1'!$B86,MID('Respuestas de formulario 1.1'!DW$1,2,1)),#REF!,12,0),"")</f>
        <v/>
      </c>
      <c r="DX86" s="45" t="str">
        <f>IFERROR(VLOOKUP(CONCATENATE('Respuestas de formulario 1.1'!$B86,MID('Respuestas de formulario 1.1'!DX$1,2,1)),#REF!,12,0),"")</f>
        <v/>
      </c>
      <c r="DY86" s="45" t="str">
        <f>IFERROR(VLOOKUP(CONCATENATE('Respuestas de formulario 1.1'!$B86,MID('Respuestas de formulario 1.1'!DY$1,2,1)),#REF!,12,0),"")</f>
        <v/>
      </c>
      <c r="DZ86" s="45" t="str">
        <f>IFERROR(VLOOKUP(CONCATENATE('Respuestas de formulario 1.1'!$B86,MID('Respuestas de formulario 1.1'!DZ$1,2,1)),#REF!,12,0),"")</f>
        <v/>
      </c>
      <c r="EA86" s="45" t="str">
        <f>IFERROR(VLOOKUP(CONCATENATE('Respuestas de formulario 1.1'!$B86,MID('Respuestas de formulario 1.1'!EA$1,2,1)),#REF!,12,0),"")</f>
        <v/>
      </c>
      <c r="EB86" s="45" t="str">
        <f>IFERROR(VLOOKUP(CONCATENATE('Respuestas de formulario 1.1'!$B86,MID('Respuestas de formulario 1.1'!EB$1,2,1)),#REF!,12,0),"")</f>
        <v/>
      </c>
      <c r="EC86" s="45" t="str">
        <f>IFERROR(VLOOKUP(CONCATENATE('Respuestas de formulario 1.1'!$B86,MID('Respuestas de formulario 1.1'!EC$1,2,1)),#REF!,12,0),"")</f>
        <v/>
      </c>
      <c r="ED86" s="45" t="str">
        <f>IFERROR(VLOOKUP(CONCATENATE('Respuestas de formulario 1.1'!$B86,MID('Respuestas de formulario 1.1'!ED$1,2,1)),#REF!,12,0),"")</f>
        <v/>
      </c>
      <c r="EE86" s="45" t="str">
        <f>IFERROR(VLOOKUP(CONCATENATE('Respuestas de formulario 1.1'!$B86,MID('Respuestas de formulario 1.1'!EE$1,2,1)),#REF!,12,0),"")</f>
        <v/>
      </c>
      <c r="EF86" s="45" t="str">
        <f>IFERROR(VLOOKUP(CONCATENATE('Respuestas de formulario 1.1'!$B86,MID('Respuestas de formulario 1.1'!EF$1,2,1)),#REF!,12,0),"")</f>
        <v/>
      </c>
      <c r="EG86" s="45" t="str">
        <f>IFERROR(VLOOKUP(CONCATENATE('Respuestas de formulario 1.1'!$B86,MID('Respuestas de formulario 1.1'!EG$1,2,1)),#REF!,12,0),"")</f>
        <v/>
      </c>
      <c r="EH86" s="45" t="str">
        <f>IFERROR(VLOOKUP(CONCATENATE('Respuestas de formulario 1.1'!$B86,MID('Respuestas de formulario 1.1'!EH$1,2,1)),#REF!,12,0),"")</f>
        <v/>
      </c>
      <c r="EI86" s="45" t="str">
        <f>IFERROR(VLOOKUP(CONCATENATE('Respuestas de formulario 1.1'!$B86,MID('Respuestas de formulario 1.1'!EI$1,2,1)),#REF!,12,0),"")</f>
        <v/>
      </c>
      <c r="EJ86" s="45" t="str">
        <f t="array" ref="EJ86">IF(DO86="","", INDEX(#REF!,MATCH(CONCATENATE('Respuestas de formulario 1.1'!$B86,DO86),#REF!,0),MATCH('Respuestas de formulario 1.1'!EJ$1,#REF!,0)))</f>
        <v/>
      </c>
      <c r="EK86" s="56" t="str">
        <f t="array" ref="EK86">IF(DP86="","", INDEX(#REF!,MATCH(CONCATENATE('Respuestas de formulario 1.1'!$B86,DP86),#REF!,0),MATCH('Respuestas de formulario 1.1'!EK$1,#REF!,0)))</f>
        <v/>
      </c>
      <c r="EL86" s="56" t="str">
        <f t="array" ref="EL86">IF(DQ86="","", INDEX(#REF!,MATCH(CONCATENATE('Respuestas de formulario 1.1'!$B86,DQ86),#REF!,0),MATCH('Respuestas de formulario 1.1'!EL$1,#REF!,0)))</f>
        <v/>
      </c>
      <c r="EM86" s="56" t="str">
        <f t="array" ref="EM86">IF(DR86="","", INDEX(#REF!,MATCH(CONCATENATE('Respuestas de formulario 1.1'!$B86,DR86),#REF!,0),MATCH('Respuestas de formulario 1.1'!EM$1,#REF!,0)))</f>
        <v/>
      </c>
      <c r="EN86" s="56" t="str">
        <f t="array" ref="EN86">IF(DS86="","", INDEX(#REF!,MATCH(CONCATENATE('Respuestas de formulario 1.1'!$B86,DS86),#REF!,0),MATCH('Respuestas de formulario 1.1'!EN$1,#REF!,0)))</f>
        <v/>
      </c>
      <c r="EO86" s="56" t="str">
        <f t="array" ref="EO86">IF(DT86="","", INDEX(#REF!,MATCH(CONCATENATE('Respuestas de formulario 1.1'!$B86,DT86),#REF!,0),MATCH('Respuestas de formulario 1.1'!EO$1,#REF!,0)))</f>
        <v/>
      </c>
      <c r="EP86" s="45" t="str">
        <f t="array" ref="EP86">IF(DU86="","", INDEX(#REF!,MATCH(CONCATENATE('Respuestas de formulario 1.1'!$B86,DU86),#REF!,0),MATCH('Respuestas de formulario 1.1'!EP$1,#REF!,0)))</f>
        <v/>
      </c>
      <c r="EQ86" s="45" t="str">
        <f t="array" ref="EQ86">IF(DP86="","", INDEX(#REF!,MATCH(CONCATENATE('Respuestas de formulario 1.1'!$B86,DP86),#REF!,0),MATCH('Respuestas de formulario 1.1'!EQ$1,#REF!,0)))</f>
        <v/>
      </c>
      <c r="ER86" s="56" t="str">
        <f t="array" ref="ER86">IF(DQ86="","", INDEX(#REF!,MATCH(CONCATENATE('Respuestas de formulario 1.1'!$B86,DQ86),#REF!,0),MATCH('Respuestas de formulario 1.1'!ER$1,#REF!,0)))</f>
        <v/>
      </c>
      <c r="ES86" s="56" t="str">
        <f t="array" ref="ES86">IF(DR86="","", INDEX(#REF!,MATCH(CONCATENATE('Respuestas de formulario 1.1'!$B86,DR86),#REF!,0),MATCH('Respuestas de formulario 1.1'!ES$1,#REF!,0)))</f>
        <v/>
      </c>
      <c r="ET86" s="56" t="str">
        <f t="array" ref="ET86">IF(DS86="","", INDEX(#REF!,MATCH(CONCATENATE('Respuestas de formulario 1.1'!$B86,DS86),#REF!,0),MATCH('Respuestas de formulario 1.1'!ET$1,#REF!,0)))</f>
        <v/>
      </c>
      <c r="EU86" s="56" t="str">
        <f t="array" ref="EU86">IF(DT86="","", INDEX(#REF!,MATCH(CONCATENATE('Respuestas de formulario 1.1'!$B86,DT86),#REF!,0),MATCH('Respuestas de formulario 1.1'!EU$1,#REF!,0)))</f>
        <v/>
      </c>
      <c r="EV86" s="56" t="str">
        <f t="array" ref="EV86">IF(DU86="","", INDEX(#REF!,MATCH(CONCATENATE('Respuestas de formulario 1.1'!$B86,DU86),#REF!,0),MATCH('Respuestas de formulario 1.1'!EV$1,#REF!,0)))</f>
        <v/>
      </c>
      <c r="EW86" s="45" t="str">
        <f t="array" ref="EW86">IF(DV86="","", INDEX(#REF!,MATCH(CONCATENATE('Respuestas de formulario 1.1'!$B86,DV86),#REF!,0),MATCH('Respuestas de formulario 1.1'!EW$1,#REF!,0)))</f>
        <v/>
      </c>
      <c r="EX86" s="45" t="str">
        <f t="array" ref="EX86">IF($DQ86="","", INDEX(#REF!,MATCH(CONCATENATE('Respuestas de formulario 1.1'!$B86,$DQ86),#REF!,0),MATCH('Respuestas de formulario 1.1'!EX$1,#REF!,0)))</f>
        <v/>
      </c>
      <c r="EY86" s="56" t="str">
        <f t="array" ref="EY86">IF($DQ86="","", INDEX(#REF!,MATCH(CONCATENATE('Respuestas de formulario 1.1'!$B86,$DQ86),#REF!,0),MATCH('Respuestas de formulario 1.1'!EY$1,#REF!,0)))</f>
        <v/>
      </c>
      <c r="EZ86" s="56" t="str">
        <f t="array" ref="EZ86">IF($DQ86="","", INDEX(#REF!,MATCH(CONCATENATE('Respuestas de formulario 1.1'!$B86,$DQ86),#REF!,0),MATCH('Respuestas de formulario 1.1'!EZ$1,#REF!,0)))</f>
        <v/>
      </c>
      <c r="FA86" s="56" t="str">
        <f t="array" ref="FA86">IF($DQ86="","", INDEX(#REF!,MATCH(CONCATENATE('Respuestas de formulario 1.1'!$B86,$DQ86),#REF!,0),MATCH('Respuestas de formulario 1.1'!FA$1,#REF!,0)))</f>
        <v/>
      </c>
      <c r="FB86" s="56" t="str">
        <f t="array" ref="FB86">IF($DQ86="","", INDEX(#REF!,MATCH(CONCATENATE('Respuestas de formulario 1.1'!$B86,$DQ86),#REF!,0),MATCH('Respuestas de formulario 1.1'!FB$1,#REF!,0)))</f>
        <v/>
      </c>
      <c r="FC86" s="56" t="str">
        <f t="array" ref="FC86">IF($DQ86="","", INDEX(#REF!,MATCH(CONCATENATE('Respuestas de formulario 1.1'!$B86,$DQ86),#REF!,0),MATCH('Respuestas de formulario 1.1'!FC$1,#REF!,0)))</f>
        <v/>
      </c>
      <c r="FD86" s="45" t="str">
        <f t="array" ref="FD86">IF($DQ86="","", INDEX(#REF!,MATCH(CONCATENATE('Respuestas de formulario 1.1'!$B86,$DQ86),#REF!,0),MATCH('Respuestas de formulario 1.1'!FD$1,#REF!,0)))</f>
        <v/>
      </c>
      <c r="FE86" s="45" t="str">
        <f t="array" ref="FE86">IF($DR86="","", INDEX(#REF!,MATCH(CONCATENATE(#REF!,$DR86),#REF!,0),MATCH(#REF!,#REF!,0)))</f>
        <v/>
      </c>
      <c r="FF86" s="56" t="str">
        <f t="array" ref="FF86">IF($DR86="","", INDEX(#REF!,MATCH(CONCATENATE(#REF!,$DR86),#REF!,0),MATCH(#REF!,#REF!,0)))</f>
        <v/>
      </c>
      <c r="FG86" s="56" t="str">
        <f t="array" ref="FG86">IF($DR86="","", INDEX(#REF!,MATCH(CONCATENATE(#REF!,$DR86),#REF!,0),MATCH(#REF!,#REF!,0)))</f>
        <v/>
      </c>
      <c r="FH86" s="56" t="str">
        <f t="array" ref="FH86">IF($DR86="","", INDEX(#REF!,MATCH(CONCATENATE(#REF!,$DR86),#REF!,0),MATCH(#REF!,#REF!,0)))</f>
        <v/>
      </c>
      <c r="FI86" s="56" t="str">
        <f t="array" ref="FI86">IF($DR86="","", INDEX(#REF!,MATCH(CONCATENATE(#REF!,$DR86),#REF!,0),MATCH(#REF!,#REF!,0)))</f>
        <v/>
      </c>
      <c r="FJ86" s="56" t="str">
        <f t="array" ref="FJ86">IF($DR86="","", INDEX(#REF!,MATCH(CONCATENATE(#REF!,$DR86),#REF!,0),MATCH(#REF!,#REF!,0)))</f>
        <v/>
      </c>
      <c r="FK86" s="45" t="str">
        <f t="array" ref="FK86">IF($DR86="","", INDEX(#REF!,MATCH(CONCATENATE(#REF!,$DR86),#REF!,0),MATCH(#REF!,#REF!,0)))</f>
        <v/>
      </c>
      <c r="FL86" s="45" t="str">
        <f t="array" ref="FL86">IF($DT86="","", INDEX(#REF!,MATCH(CONCATENATE('Respuestas de formulario 1.1'!$B86,$DS86),#REF!,0),MATCH('Respuestas de formulario 1.1'!FL$1,#REF!,0)))</f>
        <v/>
      </c>
      <c r="FM86" s="56" t="str">
        <f t="array" ref="FM86">IF($DT86="","", INDEX(#REF!,MATCH(CONCATENATE('Respuestas de formulario 1.1'!$B86,$DS86),#REF!,0),MATCH('Respuestas de formulario 1.1'!FM$1,#REF!,0)))</f>
        <v/>
      </c>
      <c r="FN86" s="56" t="str">
        <f t="array" ref="FN86">IF($DT86="","", INDEX(#REF!,MATCH(CONCATENATE('Respuestas de formulario 1.1'!$B86,$DS86),#REF!,0),MATCH('Respuestas de formulario 1.1'!FN$1,#REF!,0)))</f>
        <v/>
      </c>
      <c r="FO86" s="56" t="str">
        <f t="array" ref="FO86">IF($DT86="","", INDEX(#REF!,MATCH(CONCATENATE('Respuestas de formulario 1.1'!$B86,$DS86),#REF!,0),MATCH('Respuestas de formulario 1.1'!FO$1,#REF!,0)))</f>
        <v/>
      </c>
      <c r="FP86" s="56" t="str">
        <f t="array" ref="FP86">IF($DT86="","", INDEX(#REF!,MATCH(CONCATENATE('Respuestas de formulario 1.1'!$B86,$DS86),#REF!,0),MATCH('Respuestas de formulario 1.1'!FP$1,#REF!,0)))</f>
        <v/>
      </c>
      <c r="FQ86" s="56" t="str">
        <f t="array" ref="FQ86">IF($DT86="","", INDEX(#REF!,MATCH(CONCATENATE('Respuestas de formulario 1.1'!$B86,$DS86),#REF!,0),MATCH('Respuestas de formulario 1.1'!FQ$1,#REF!,0)))</f>
        <v/>
      </c>
      <c r="FR86" s="45" t="str">
        <f t="array" ref="FR86">IF($DT86="","", INDEX(#REF!,MATCH(CONCATENATE('Respuestas de formulario 1.1'!$B86,$DS86),#REF!,0),MATCH('Respuestas de formulario 1.1'!FR$1,#REF!,0)))</f>
        <v/>
      </c>
      <c r="FS86" s="45" t="str">
        <f t="array" ref="FS86">IF($DU86="","", INDEX(#REF!,MATCH(CONCATENATE('Respuestas de formulario 1.1'!$B86,$DT86),#REF!,0),MATCH('Respuestas de formulario 1.1'!FS$1,#REF!,0)))</f>
        <v/>
      </c>
      <c r="FT86" s="56" t="str">
        <f t="array" ref="FT86">IF($DU86="","", INDEX(#REF!,MATCH(CONCATENATE('Respuestas de formulario 1.1'!$B86,$DT86),#REF!,0),MATCH('Respuestas de formulario 1.1'!FT$1,#REF!,0)))</f>
        <v/>
      </c>
      <c r="FU86" s="56" t="str">
        <f t="array" ref="FU86">IF($DU86="","", INDEX(#REF!,MATCH(CONCATENATE('Respuestas de formulario 1.1'!$B86,$DT86),#REF!,0),MATCH('Respuestas de formulario 1.1'!FU$1,#REF!,0)))</f>
        <v/>
      </c>
      <c r="FV86" s="56" t="str">
        <f t="array" ref="FV86">IF($DU86="","", INDEX(#REF!,MATCH(CONCATENATE('Respuestas de formulario 1.1'!$B86,$DT86),#REF!,0),MATCH('Respuestas de formulario 1.1'!FV$1,#REF!,0)))</f>
        <v/>
      </c>
      <c r="FW86" s="56" t="str">
        <f t="array" ref="FW86">IF($DU86="","", INDEX(#REF!,MATCH(CONCATENATE('Respuestas de formulario 1.1'!$B86,$DT86),#REF!,0),MATCH('Respuestas de formulario 1.1'!FW$1,#REF!,0)))</f>
        <v/>
      </c>
      <c r="FX86" s="56" t="str">
        <f t="array" ref="FX86">IF($DU86="","", INDEX(#REF!,MATCH(CONCATENATE('Respuestas de formulario 1.1'!$B86,$DT86),#REF!,0),MATCH('Respuestas de formulario 1.1'!FX$1,#REF!,0)))</f>
        <v/>
      </c>
      <c r="FY86" s="45" t="str">
        <f t="array" ref="FY86">IF($DU86="","", INDEX(#REF!,MATCH(CONCATENATE('Respuestas de formulario 1.1'!$B86,$DT86),#REF!,0),MATCH('Respuestas de formulario 1.1'!FY$1,#REF!,0)))</f>
        <v/>
      </c>
      <c r="FZ86" s="3" t="s">
        <v>2860</v>
      </c>
      <c r="GA86" s="1" t="s">
        <v>4314</v>
      </c>
      <c r="GB86" s="5" t="s">
        <v>4315</v>
      </c>
      <c r="GC86" s="4" t="str">
        <f>HYPERLINK("https://drive.google.com/file/d/1efB1wMJpnagUdtl0_nVTVTdfwTm-nxSK/view?usp=drivesdk","MORA GARCIA VALERIA ITZEL  Formato de reinscripción y pago 2022-2")</f>
        <v>MORA GARCIA VALERIA ITZEL  Formato de reinscripción y pago 2022-2</v>
      </c>
      <c r="GD86" s="1" t="s">
        <v>4316</v>
      </c>
      <c r="GE86" s="1"/>
      <c r="GF86" s="1"/>
      <c r="GG86" s="1"/>
      <c r="GH86" s="1"/>
      <c r="GI86" s="1" t="s">
        <v>4317</v>
      </c>
      <c r="GJ86" s="5" t="s">
        <v>4318</v>
      </c>
      <c r="GK86" s="5" t="str">
        <f>HYPERLINK("https://drive.google.com/file/d/1nfNggPIKi41wm0p4D2xkRYsfo2lSZkar/view?usp=drivesdk","MORA GARCIA VALERIA ITZEL  Formato de reinscripción y pago 2022-2")</f>
        <v>MORA GARCIA VALERIA ITZEL  Formato de reinscripción y pago 2022-2</v>
      </c>
      <c r="GL86" s="1" t="s">
        <v>4319</v>
      </c>
    </row>
    <row r="87" spans="1:194" ht="38.25" x14ac:dyDescent="0.2">
      <c r="A87" s="2">
        <v>45139.395384351854</v>
      </c>
      <c r="B87" s="1" t="s">
        <v>2651</v>
      </c>
      <c r="C87" s="1" t="s">
        <v>880</v>
      </c>
      <c r="D87" s="1" t="s">
        <v>474</v>
      </c>
      <c r="E87" s="1" t="s">
        <v>4320</v>
      </c>
      <c r="F87" s="1" t="s">
        <v>262</v>
      </c>
      <c r="G87" s="5" t="s">
        <v>4321</v>
      </c>
      <c r="H87" s="41">
        <v>39186</v>
      </c>
      <c r="I87" s="1">
        <v>16</v>
      </c>
      <c r="J87" s="1">
        <v>5563997114</v>
      </c>
      <c r="K87" s="1">
        <v>5524833890</v>
      </c>
      <c r="L87" s="1" t="s">
        <v>2652</v>
      </c>
      <c r="M87" s="1">
        <v>22309060570238</v>
      </c>
      <c r="N87" s="1" t="s">
        <v>562</v>
      </c>
      <c r="O87" s="1" t="s">
        <v>225</v>
      </c>
      <c r="P87" s="1" t="s">
        <v>226</v>
      </c>
      <c r="Q87" s="1" t="s">
        <v>315</v>
      </c>
      <c r="R87" s="1" t="s">
        <v>236</v>
      </c>
      <c r="S87" s="1" t="s">
        <v>228</v>
      </c>
      <c r="T87" s="1" t="s">
        <v>411</v>
      </c>
      <c r="U87" s="1" t="s">
        <v>249</v>
      </c>
      <c r="V87" s="1" t="s">
        <v>228</v>
      </c>
      <c r="W87" s="1" t="s">
        <v>4322</v>
      </c>
      <c r="X87" s="1" t="s">
        <v>249</v>
      </c>
      <c r="Y87" s="1" t="s">
        <v>2405</v>
      </c>
      <c r="Z87" s="1" t="s">
        <v>240</v>
      </c>
      <c r="AA87" s="44" t="s">
        <v>716</v>
      </c>
      <c r="AB87" s="1" t="s">
        <v>4323</v>
      </c>
      <c r="AC87" s="1" t="s">
        <v>1003</v>
      </c>
      <c r="AD87" s="1" t="s">
        <v>4324</v>
      </c>
      <c r="AE87" s="1" t="s">
        <v>2653</v>
      </c>
      <c r="AF87" s="1" t="s">
        <v>2320</v>
      </c>
      <c r="AG87" s="1">
        <v>35</v>
      </c>
      <c r="AH87" s="5" t="s">
        <v>4325</v>
      </c>
      <c r="AI87" s="1">
        <v>5544591433</v>
      </c>
      <c r="AJ87" s="1">
        <v>5524833890</v>
      </c>
      <c r="AK87" s="1" t="s">
        <v>2654</v>
      </c>
      <c r="AL87" s="1" t="s">
        <v>302</v>
      </c>
      <c r="AM87" s="1" t="s">
        <v>474</v>
      </c>
      <c r="AN87" s="1" t="s">
        <v>4326</v>
      </c>
      <c r="AO87" s="1" t="s">
        <v>4327</v>
      </c>
      <c r="AP87" s="1">
        <v>37</v>
      </c>
      <c r="AQ87" s="1" t="s">
        <v>4328</v>
      </c>
      <c r="AR87" s="42">
        <v>6.25E-2</v>
      </c>
      <c r="AS87" s="42">
        <v>0.45833333333575865</v>
      </c>
      <c r="AT87" s="1">
        <v>5543546207</v>
      </c>
      <c r="AU87" s="1">
        <v>5524833890</v>
      </c>
      <c r="AV87" s="1" t="s">
        <v>2655</v>
      </c>
      <c r="AW87" s="5" t="s">
        <v>4329</v>
      </c>
      <c r="AX87" s="1" t="s">
        <v>880</v>
      </c>
      <c r="AY87" s="1" t="s">
        <v>474</v>
      </c>
      <c r="AZ87" s="1" t="s">
        <v>788</v>
      </c>
      <c r="BA87" s="1" t="s">
        <v>2320</v>
      </c>
      <c r="BB87" s="1">
        <v>35</v>
      </c>
      <c r="BC87" s="1" t="s">
        <v>4330</v>
      </c>
      <c r="BD87" s="43">
        <v>0.125</v>
      </c>
      <c r="BE87" s="43">
        <v>0.5</v>
      </c>
      <c r="BF87" s="1">
        <v>5544591433</v>
      </c>
      <c r="BG87" s="1">
        <v>5524833890</v>
      </c>
      <c r="BH87" s="1" t="s">
        <v>2654</v>
      </c>
      <c r="BI87" s="5" t="s">
        <v>4331</v>
      </c>
      <c r="BJ87" s="1" t="s">
        <v>236</v>
      </c>
      <c r="BK87" s="1" t="s">
        <v>1550</v>
      </c>
      <c r="BL87" s="1">
        <v>1.66</v>
      </c>
      <c r="BM87" s="1">
        <v>80</v>
      </c>
      <c r="BN87" s="1" t="s">
        <v>236</v>
      </c>
      <c r="BO87" s="1" t="s">
        <v>228</v>
      </c>
      <c r="BP87" s="1" t="s">
        <v>297</v>
      </c>
      <c r="BQ87" s="1" t="s">
        <v>228</v>
      </c>
      <c r="BR87" s="1" t="s">
        <v>237</v>
      </c>
      <c r="BS87" s="1" t="s">
        <v>228</v>
      </c>
      <c r="BT87" s="1" t="s">
        <v>237</v>
      </c>
      <c r="BU87" s="1" t="s">
        <v>228</v>
      </c>
      <c r="BW87" s="1" t="s">
        <v>272</v>
      </c>
      <c r="BX87" s="1">
        <v>60</v>
      </c>
      <c r="BY87" s="1">
        <v>180</v>
      </c>
      <c r="BZ87" s="1" t="s">
        <v>478</v>
      </c>
      <c r="CA87" s="1" t="s">
        <v>890</v>
      </c>
      <c r="CB87" s="1" t="s">
        <v>240</v>
      </c>
      <c r="CC87" s="1" t="s">
        <v>1081</v>
      </c>
      <c r="CD87" s="1">
        <v>200</v>
      </c>
      <c r="CE87" s="1">
        <v>700</v>
      </c>
      <c r="CF87" s="1" t="s">
        <v>236</v>
      </c>
      <c r="CG87" s="1" t="s">
        <v>242</v>
      </c>
      <c r="CH87" s="1" t="s">
        <v>243</v>
      </c>
      <c r="CI87" s="1" t="s">
        <v>243</v>
      </c>
      <c r="CJ87" s="1" t="s">
        <v>2848</v>
      </c>
      <c r="CL87" s="5" t="s">
        <v>4332</v>
      </c>
      <c r="CM87" s="1">
        <v>20018206555</v>
      </c>
      <c r="CN87" s="1" t="s">
        <v>228</v>
      </c>
      <c r="CQ87" s="42">
        <v>0.125</v>
      </c>
      <c r="CR87" s="42">
        <v>0.45833333333575865</v>
      </c>
      <c r="CT87" s="45" t="str">
        <f t="array" ref="CT87">IFERROR(INDEX(#REF!,MATCH('Respuestas de formulario 1.1'!$B87,#REF!,0),MATCH('Respuestas de formulario 1.1'!CT$1,#REF!,0)),"")</f>
        <v/>
      </c>
      <c r="CU87" s="56" t="str">
        <f t="array" ref="CU87">IFERROR(INDEX(#REF!,MATCH('Respuestas de formulario 1.1'!$B87,#REF!,0),MATCH('Respuestas de formulario 1.1'!CU$1,#REF!,0)),"")</f>
        <v/>
      </c>
      <c r="CV87" s="56" t="str">
        <f t="array" ref="CV87">IFERROR(INDEX(#REF!,MATCH('Respuestas de formulario 1.1'!$B87,#REF!,0),MATCH('Respuestas de formulario 1.1'!CV$1,#REF!,0)),"")</f>
        <v/>
      </c>
      <c r="CW87" s="56" t="str">
        <f t="array" ref="CW87">IFERROR(INDEX(#REF!,MATCH('Respuestas de formulario 1.1'!$B87,#REF!,0),MATCH('Respuestas de formulario 1.1'!CW$1,#REF!,0)),"")</f>
        <v/>
      </c>
      <c r="CX87" s="56" t="str">
        <f t="array" ref="CX87">IFERROR(INDEX(#REF!,MATCH('Respuestas de formulario 1.1'!$B87,#REF!,0),MATCH('Respuestas de formulario 1.1'!CX$1,#REF!,0)),"")</f>
        <v/>
      </c>
      <c r="CY87" s="56" t="str">
        <f t="array" ref="CY87">IFERROR(INDEX(#REF!,MATCH('Respuestas de formulario 1.1'!$B87,#REF!,0),MATCH('Respuestas de formulario 1.1'!CY$1,#REF!,0)),"")</f>
        <v/>
      </c>
      <c r="CZ87" s="57" t="str">
        <f t="array" ref="CZ87">IFERROR(INDEX(#REF!,MATCH('Respuestas de formulario 1.1'!$B87,#REF!,0),MATCH('Respuestas de formulario 1.1'!CZ$1,#REF!,0)),"")</f>
        <v/>
      </c>
      <c r="DA87" s="45" t="e">
        <f t="array" ref="DA87">INDEX(#REF!,MATCH('Respuestas de formulario 1.1'!$B87,#REF!,0),MATCH('Respuestas de formulario 1.1'!DA$1,#REF!,0))</f>
        <v>#REF!</v>
      </c>
      <c r="DB87" s="45" t="e">
        <f t="array" ref="DB87">INDEX(#REF!,MATCH('Respuestas de formulario 1.1'!$B87,#REF!,0),MATCH('Respuestas de formulario 1.1'!DB$1,#REF!,0))</f>
        <v>#REF!</v>
      </c>
      <c r="DC87" s="45" t="e">
        <f t="array" ref="DC87">INDEX(#REF!,MATCH('Respuestas de formulario 1.1'!$B87,#REF!,0),MATCH('Respuestas de formulario 1.1'!DC$1,#REF!,0))</f>
        <v>#REF!</v>
      </c>
      <c r="DD87" s="45" t="e">
        <f t="array" ref="DD87">INDEX(#REF!,MATCH('Respuestas de formulario 1.1'!$B87,#REF!,0),MATCH('Respuestas de formulario 1.1'!DD$1,#REF!,0))</f>
        <v>#REF!</v>
      </c>
      <c r="DE87" s="45" t="e">
        <f t="array" ref="DE87">INDEX(#REF!,MATCH('Respuestas de formulario 1.1'!$B87,#REF!,0),MATCH('Respuestas de formulario 1.1'!DE$1,#REF!,0))</f>
        <v>#REF!</v>
      </c>
      <c r="DF87" s="45" t="e">
        <f t="array" ref="DF87">INDEX(#REF!,MATCH('Respuestas de formulario 1.1'!$B87,#REF!,0),MATCH('Respuestas de formulario 1.1'!DF$1,#REF!,0))</f>
        <v>#REF!</v>
      </c>
      <c r="DG87" s="45" t="e">
        <f t="array" ref="DG87">INDEX(#REF!,MATCH('Respuestas de formulario 1.1'!$B87,#REF!,0),MATCH('Respuestas de formulario 1.1'!DG$1,#REF!,0))</f>
        <v>#REF!</v>
      </c>
      <c r="DH87" s="45" t="e">
        <f t="array" ref="DH87">INDEX(#REF!,MATCH('Respuestas de formulario 1.1'!$B87,#REF!,0),MATCH('Respuestas de formulario 1.1'!DH$1,#REF!,0))</f>
        <v>#REF!</v>
      </c>
      <c r="DI87" s="48" t="e">
        <f>VLOOKUP(CONCATENATE($DF87," TUTO ",$DC87),#REF!,3,0)</f>
        <v>#REF!</v>
      </c>
      <c r="DJ87" s="48" t="e">
        <f t="array" ref="DJ87">IF('Respuestas de formulario 1.1'!A87="","",INDEX(#REF!,MATCH('Respuestas de formulario 1.1'!B87,#REF!,0),MATCH('Respuestas de formulario 1.1'!$DH$1,#REF!,0)))</f>
        <v>#REF!</v>
      </c>
      <c r="DK87" s="52" t="str">
        <f>CONCATENATE("http://doc.google.com/uc?id=",MID('Respuestas de formulario 1.1'!G87,34,33))</f>
        <v>http://doc.google.com/uc?id=1HZMtaOO2pMZ6BXkZbFajePlvIbBrBj1I</v>
      </c>
      <c r="DL87" s="49" t="str">
        <f>CONCATENATE("http://doc.google.com/uc?id=",MID('Respuestas de formulario 1.1'!AH87,34,33))</f>
        <v>http://doc.google.com/uc?id=1ZIxTvojzMEYsMIKmYb87XzM4d1Y0eFT4</v>
      </c>
      <c r="DM87" s="50" t="str">
        <f>CONCATENATE("http://doc.google.com/uc?id=",MID('Respuestas de formulario 1.1'!AW87,34,33))</f>
        <v>http://doc.google.com/uc?id=19UgSuhdpI3KSGq3XzDp4_oQswfJc_ug8</v>
      </c>
      <c r="DN87" s="53" t="str">
        <f>CONCATENATE("http://doc.google.com/uc?id=",MID('Respuestas de formulario 1.1'!$BI87,34,33))</f>
        <v>http://doc.google.com/uc?id=1zIIp4u3pl5k7u9VLBzAQNX7TYeFyfGIO</v>
      </c>
      <c r="DO87" s="45" t="str">
        <f>IFERROR(VLOOKUP(CONCATENATE('Respuestas de formulario 1.1'!$B87,MID('Respuestas de formulario 1.1'!DO$1,2,1)),#REF!,12,0),"")</f>
        <v/>
      </c>
      <c r="DP87" s="45" t="str">
        <f>IFERROR(VLOOKUP(CONCATENATE('Respuestas de formulario 1.1'!$B87,MID('Respuestas de formulario 1.1'!DP$1,2,1)),#REF!,12,0),"")</f>
        <v/>
      </c>
      <c r="DQ87" s="45" t="str">
        <f>IFERROR(VLOOKUP(CONCATENATE('Respuestas de formulario 1.1'!$B87,MID('Respuestas de formulario 1.1'!DQ$1,2,1)),#REF!,12,0),"")</f>
        <v/>
      </c>
      <c r="DR87" s="45" t="str">
        <f>IFERROR(VLOOKUP(CONCATENATE('Respuestas de formulario 1.1'!$B87,MID('Respuestas de formulario 1.1'!DR$1,2,1)),#REF!,12,0),"")</f>
        <v/>
      </c>
      <c r="DS87" s="45" t="str">
        <f>IFERROR(VLOOKUP(CONCATENATE('Respuestas de formulario 1.1'!$B87,MID('Respuestas de formulario 1.1'!DS$1,2,1)),#REF!,12,0),"")</f>
        <v/>
      </c>
      <c r="DT87" s="45" t="str">
        <f>IFERROR(VLOOKUP(CONCATENATE('Respuestas de formulario 1.1'!$B87,MID('Respuestas de formulario 1.1'!DT$1,2,1)),#REF!,12,0),"")</f>
        <v/>
      </c>
      <c r="DU87" s="45" t="str">
        <f>IFERROR(VLOOKUP(CONCATENATE('Respuestas de formulario 1.1'!$B87,MID('Respuestas de formulario 1.1'!DU$1,2,1)),#REF!,12,0),"")</f>
        <v/>
      </c>
      <c r="DV87" s="45" t="str">
        <f>IFERROR(VLOOKUP(CONCATENATE('Respuestas de formulario 1.1'!$B87,MID('Respuestas de formulario 1.1'!DV$1,2,1)),#REF!,12,0),"")</f>
        <v/>
      </c>
      <c r="DW87" s="45" t="str">
        <f>IFERROR(VLOOKUP(CONCATENATE('Respuestas de formulario 1.1'!$B87,MID('Respuestas de formulario 1.1'!DW$1,2,1)),#REF!,12,0),"")</f>
        <v/>
      </c>
      <c r="DX87" s="45" t="str">
        <f>IFERROR(VLOOKUP(CONCATENATE('Respuestas de formulario 1.1'!$B87,MID('Respuestas de formulario 1.1'!DX$1,2,1)),#REF!,12,0),"")</f>
        <v/>
      </c>
      <c r="DY87" s="45" t="str">
        <f>IFERROR(VLOOKUP(CONCATENATE('Respuestas de formulario 1.1'!$B87,MID('Respuestas de formulario 1.1'!DY$1,2,1)),#REF!,12,0),"")</f>
        <v/>
      </c>
      <c r="DZ87" s="45" t="str">
        <f>IFERROR(VLOOKUP(CONCATENATE('Respuestas de formulario 1.1'!$B87,MID('Respuestas de formulario 1.1'!DZ$1,2,1)),#REF!,12,0),"")</f>
        <v/>
      </c>
      <c r="EA87" s="45" t="str">
        <f>IFERROR(VLOOKUP(CONCATENATE('Respuestas de formulario 1.1'!$B87,MID('Respuestas de formulario 1.1'!EA$1,2,1)),#REF!,12,0),"")</f>
        <v/>
      </c>
      <c r="EB87" s="45" t="str">
        <f>IFERROR(VLOOKUP(CONCATENATE('Respuestas de formulario 1.1'!$B87,MID('Respuestas de formulario 1.1'!EB$1,2,1)),#REF!,12,0),"")</f>
        <v/>
      </c>
      <c r="EC87" s="45" t="str">
        <f>IFERROR(VLOOKUP(CONCATENATE('Respuestas de formulario 1.1'!$B87,MID('Respuestas de formulario 1.1'!EC$1,2,1)),#REF!,12,0),"")</f>
        <v/>
      </c>
      <c r="ED87" s="45" t="str">
        <f>IFERROR(VLOOKUP(CONCATENATE('Respuestas de formulario 1.1'!$B87,MID('Respuestas de formulario 1.1'!ED$1,2,1)),#REF!,12,0),"")</f>
        <v/>
      </c>
      <c r="EE87" s="45" t="str">
        <f>IFERROR(VLOOKUP(CONCATENATE('Respuestas de formulario 1.1'!$B87,MID('Respuestas de formulario 1.1'!EE$1,2,1)),#REF!,12,0),"")</f>
        <v/>
      </c>
      <c r="EF87" s="45" t="str">
        <f>IFERROR(VLOOKUP(CONCATENATE('Respuestas de formulario 1.1'!$B87,MID('Respuestas de formulario 1.1'!EF$1,2,1)),#REF!,12,0),"")</f>
        <v/>
      </c>
      <c r="EG87" s="45" t="str">
        <f>IFERROR(VLOOKUP(CONCATENATE('Respuestas de formulario 1.1'!$B87,MID('Respuestas de formulario 1.1'!EG$1,2,1)),#REF!,12,0),"")</f>
        <v/>
      </c>
      <c r="EH87" s="45" t="str">
        <f>IFERROR(VLOOKUP(CONCATENATE('Respuestas de formulario 1.1'!$B87,MID('Respuestas de formulario 1.1'!EH$1,2,1)),#REF!,12,0),"")</f>
        <v/>
      </c>
      <c r="EI87" s="45" t="str">
        <f>IFERROR(VLOOKUP(CONCATENATE('Respuestas de formulario 1.1'!$B87,MID('Respuestas de formulario 1.1'!EI$1,2,1)),#REF!,12,0),"")</f>
        <v/>
      </c>
      <c r="EJ87" s="45" t="str">
        <f t="array" ref="EJ87">IF(DO87="","", INDEX(#REF!,MATCH(CONCATENATE('Respuestas de formulario 1.1'!$B87,DO87),#REF!,0),MATCH('Respuestas de formulario 1.1'!EJ$1,#REF!,0)))</f>
        <v/>
      </c>
      <c r="EK87" s="56" t="str">
        <f t="array" ref="EK87">IF(DP87="","", INDEX(#REF!,MATCH(CONCATENATE('Respuestas de formulario 1.1'!$B87,DP87),#REF!,0),MATCH('Respuestas de formulario 1.1'!EK$1,#REF!,0)))</f>
        <v/>
      </c>
      <c r="EL87" s="56" t="str">
        <f t="array" ref="EL87">IF(DQ87="","", INDEX(#REF!,MATCH(CONCATENATE('Respuestas de formulario 1.1'!$B87,DQ87),#REF!,0),MATCH('Respuestas de formulario 1.1'!EL$1,#REF!,0)))</f>
        <v/>
      </c>
      <c r="EM87" s="56" t="str">
        <f t="array" ref="EM87">IF(DR87="","", INDEX(#REF!,MATCH(CONCATENATE('Respuestas de formulario 1.1'!$B87,DR87),#REF!,0),MATCH('Respuestas de formulario 1.1'!EM$1,#REF!,0)))</f>
        <v/>
      </c>
      <c r="EN87" s="56" t="str">
        <f t="array" ref="EN87">IF(DS87="","", INDEX(#REF!,MATCH(CONCATENATE('Respuestas de formulario 1.1'!$B87,DS87),#REF!,0),MATCH('Respuestas de formulario 1.1'!EN$1,#REF!,0)))</f>
        <v/>
      </c>
      <c r="EO87" s="56" t="str">
        <f t="array" ref="EO87">IF(DT87="","", INDEX(#REF!,MATCH(CONCATENATE('Respuestas de formulario 1.1'!$B87,DT87),#REF!,0),MATCH('Respuestas de formulario 1.1'!EO$1,#REF!,0)))</f>
        <v/>
      </c>
      <c r="EP87" s="45" t="str">
        <f t="array" ref="EP87">IF(DU87="","", INDEX(#REF!,MATCH(CONCATENATE('Respuestas de formulario 1.1'!$B87,DU87),#REF!,0),MATCH('Respuestas de formulario 1.1'!EP$1,#REF!,0)))</f>
        <v/>
      </c>
      <c r="EQ87" s="45" t="str">
        <f t="array" ref="EQ87">IF(DP87="","", INDEX(#REF!,MATCH(CONCATENATE('Respuestas de formulario 1.1'!$B87,DP87),#REF!,0),MATCH('Respuestas de formulario 1.1'!EQ$1,#REF!,0)))</f>
        <v/>
      </c>
      <c r="ER87" s="56" t="str">
        <f t="array" ref="ER87">IF(DQ87="","", INDEX(#REF!,MATCH(CONCATENATE('Respuestas de formulario 1.1'!$B87,DQ87),#REF!,0),MATCH('Respuestas de formulario 1.1'!ER$1,#REF!,0)))</f>
        <v/>
      </c>
      <c r="ES87" s="56" t="str">
        <f t="array" ref="ES87">IF(DR87="","", INDEX(#REF!,MATCH(CONCATENATE('Respuestas de formulario 1.1'!$B87,DR87),#REF!,0),MATCH('Respuestas de formulario 1.1'!ES$1,#REF!,0)))</f>
        <v/>
      </c>
      <c r="ET87" s="56" t="str">
        <f t="array" ref="ET87">IF(DS87="","", INDEX(#REF!,MATCH(CONCATENATE('Respuestas de formulario 1.1'!$B87,DS87),#REF!,0),MATCH('Respuestas de formulario 1.1'!ET$1,#REF!,0)))</f>
        <v/>
      </c>
      <c r="EU87" s="56" t="str">
        <f t="array" ref="EU87">IF(DT87="","", INDEX(#REF!,MATCH(CONCATENATE('Respuestas de formulario 1.1'!$B87,DT87),#REF!,0),MATCH('Respuestas de formulario 1.1'!EU$1,#REF!,0)))</f>
        <v/>
      </c>
      <c r="EV87" s="56" t="str">
        <f t="array" ref="EV87">IF(DU87="","", INDEX(#REF!,MATCH(CONCATENATE('Respuestas de formulario 1.1'!$B87,DU87),#REF!,0),MATCH('Respuestas de formulario 1.1'!EV$1,#REF!,0)))</f>
        <v/>
      </c>
      <c r="EW87" s="45" t="str">
        <f t="array" ref="EW87">IF(DV87="","", INDEX(#REF!,MATCH(CONCATENATE('Respuestas de formulario 1.1'!$B87,DV87),#REF!,0),MATCH('Respuestas de formulario 1.1'!EW$1,#REF!,0)))</f>
        <v/>
      </c>
      <c r="EX87" s="45" t="str">
        <f t="array" ref="EX87">IF($DQ87="","", INDEX(#REF!,MATCH(CONCATENATE('Respuestas de formulario 1.1'!$B87,$DQ87),#REF!,0),MATCH('Respuestas de formulario 1.1'!EX$1,#REF!,0)))</f>
        <v/>
      </c>
      <c r="EY87" s="56" t="str">
        <f t="array" ref="EY87">IF($DQ87="","", INDEX(#REF!,MATCH(CONCATENATE('Respuestas de formulario 1.1'!$B87,$DQ87),#REF!,0),MATCH('Respuestas de formulario 1.1'!EY$1,#REF!,0)))</f>
        <v/>
      </c>
      <c r="EZ87" s="56" t="str">
        <f t="array" ref="EZ87">IF($DQ87="","", INDEX(#REF!,MATCH(CONCATENATE('Respuestas de formulario 1.1'!$B87,$DQ87),#REF!,0),MATCH('Respuestas de formulario 1.1'!EZ$1,#REF!,0)))</f>
        <v/>
      </c>
      <c r="FA87" s="56" t="str">
        <f t="array" ref="FA87">IF($DQ87="","", INDEX(#REF!,MATCH(CONCATENATE('Respuestas de formulario 1.1'!$B87,$DQ87),#REF!,0),MATCH('Respuestas de formulario 1.1'!FA$1,#REF!,0)))</f>
        <v/>
      </c>
      <c r="FB87" s="56" t="str">
        <f t="array" ref="FB87">IF($DQ87="","", INDEX(#REF!,MATCH(CONCATENATE('Respuestas de formulario 1.1'!$B87,$DQ87),#REF!,0),MATCH('Respuestas de formulario 1.1'!FB$1,#REF!,0)))</f>
        <v/>
      </c>
      <c r="FC87" s="56" t="str">
        <f t="array" ref="FC87">IF($DQ87="","", INDEX(#REF!,MATCH(CONCATENATE('Respuestas de formulario 1.1'!$B87,$DQ87),#REF!,0),MATCH('Respuestas de formulario 1.1'!FC$1,#REF!,0)))</f>
        <v/>
      </c>
      <c r="FD87" s="45" t="str">
        <f t="array" ref="FD87">IF($DQ87="","", INDEX(#REF!,MATCH(CONCATENATE('Respuestas de formulario 1.1'!$B87,$DQ87),#REF!,0),MATCH('Respuestas de formulario 1.1'!FD$1,#REF!,0)))</f>
        <v/>
      </c>
      <c r="FE87" s="45" t="str">
        <f t="array" ref="FE87">IF($DR87="","", INDEX(#REF!,MATCH(CONCATENATE(#REF!,$DR87),#REF!,0),MATCH(#REF!,#REF!,0)))</f>
        <v/>
      </c>
      <c r="FF87" s="56" t="str">
        <f t="array" ref="FF87">IF($DR87="","", INDEX(#REF!,MATCH(CONCATENATE(#REF!,$DR87),#REF!,0),MATCH(#REF!,#REF!,0)))</f>
        <v/>
      </c>
      <c r="FG87" s="56" t="str">
        <f t="array" ref="FG87">IF($DR87="","", INDEX(#REF!,MATCH(CONCATENATE(#REF!,$DR87),#REF!,0),MATCH(#REF!,#REF!,0)))</f>
        <v/>
      </c>
      <c r="FH87" s="56" t="str">
        <f t="array" ref="FH87">IF($DR87="","", INDEX(#REF!,MATCH(CONCATENATE(#REF!,$DR87),#REF!,0),MATCH(#REF!,#REF!,0)))</f>
        <v/>
      </c>
      <c r="FI87" s="56" t="str">
        <f t="array" ref="FI87">IF($DR87="","", INDEX(#REF!,MATCH(CONCATENATE(#REF!,$DR87),#REF!,0),MATCH(#REF!,#REF!,0)))</f>
        <v/>
      </c>
      <c r="FJ87" s="56" t="str">
        <f t="array" ref="FJ87">IF($DR87="","", INDEX(#REF!,MATCH(CONCATENATE(#REF!,$DR87),#REF!,0),MATCH(#REF!,#REF!,0)))</f>
        <v/>
      </c>
      <c r="FK87" s="45" t="str">
        <f t="array" ref="FK87">IF($DR87="","", INDEX(#REF!,MATCH(CONCATENATE(#REF!,$DR87),#REF!,0),MATCH(#REF!,#REF!,0)))</f>
        <v/>
      </c>
      <c r="FL87" s="45" t="str">
        <f t="array" ref="FL87">IF($DT87="","", INDEX(#REF!,MATCH(CONCATENATE('Respuestas de formulario 1.1'!$B87,$DS87),#REF!,0),MATCH('Respuestas de formulario 1.1'!FL$1,#REF!,0)))</f>
        <v/>
      </c>
      <c r="FM87" s="56" t="str">
        <f t="array" ref="FM87">IF($DT87="","", INDEX(#REF!,MATCH(CONCATENATE('Respuestas de formulario 1.1'!$B87,$DS87),#REF!,0),MATCH('Respuestas de formulario 1.1'!FM$1,#REF!,0)))</f>
        <v/>
      </c>
      <c r="FN87" s="56" t="str">
        <f t="array" ref="FN87">IF($DT87="","", INDEX(#REF!,MATCH(CONCATENATE('Respuestas de formulario 1.1'!$B87,$DS87),#REF!,0),MATCH('Respuestas de formulario 1.1'!FN$1,#REF!,0)))</f>
        <v/>
      </c>
      <c r="FO87" s="56" t="str">
        <f t="array" ref="FO87">IF($DT87="","", INDEX(#REF!,MATCH(CONCATENATE('Respuestas de formulario 1.1'!$B87,$DS87),#REF!,0),MATCH('Respuestas de formulario 1.1'!FO$1,#REF!,0)))</f>
        <v/>
      </c>
      <c r="FP87" s="56" t="str">
        <f t="array" ref="FP87">IF($DT87="","", INDEX(#REF!,MATCH(CONCATENATE('Respuestas de formulario 1.1'!$B87,$DS87),#REF!,0),MATCH('Respuestas de formulario 1.1'!FP$1,#REF!,0)))</f>
        <v/>
      </c>
      <c r="FQ87" s="56" t="str">
        <f t="array" ref="FQ87">IF($DT87="","", INDEX(#REF!,MATCH(CONCATENATE('Respuestas de formulario 1.1'!$B87,$DS87),#REF!,0),MATCH('Respuestas de formulario 1.1'!FQ$1,#REF!,0)))</f>
        <v/>
      </c>
      <c r="FR87" s="45" t="str">
        <f t="array" ref="FR87">IF($DT87="","", INDEX(#REF!,MATCH(CONCATENATE('Respuestas de formulario 1.1'!$B87,$DS87),#REF!,0),MATCH('Respuestas de formulario 1.1'!FR$1,#REF!,0)))</f>
        <v/>
      </c>
      <c r="FS87" s="45" t="str">
        <f t="array" ref="FS87">IF($DU87="","", INDEX(#REF!,MATCH(CONCATENATE('Respuestas de formulario 1.1'!$B87,$DT87),#REF!,0),MATCH('Respuestas de formulario 1.1'!FS$1,#REF!,0)))</f>
        <v/>
      </c>
      <c r="FT87" s="56" t="str">
        <f t="array" ref="FT87">IF($DU87="","", INDEX(#REF!,MATCH(CONCATENATE('Respuestas de formulario 1.1'!$B87,$DT87),#REF!,0),MATCH('Respuestas de formulario 1.1'!FT$1,#REF!,0)))</f>
        <v/>
      </c>
      <c r="FU87" s="56" t="str">
        <f t="array" ref="FU87">IF($DU87="","", INDEX(#REF!,MATCH(CONCATENATE('Respuestas de formulario 1.1'!$B87,$DT87),#REF!,0),MATCH('Respuestas de formulario 1.1'!FU$1,#REF!,0)))</f>
        <v/>
      </c>
      <c r="FV87" s="56" t="str">
        <f t="array" ref="FV87">IF($DU87="","", INDEX(#REF!,MATCH(CONCATENATE('Respuestas de formulario 1.1'!$B87,$DT87),#REF!,0),MATCH('Respuestas de formulario 1.1'!FV$1,#REF!,0)))</f>
        <v/>
      </c>
      <c r="FW87" s="56" t="str">
        <f t="array" ref="FW87">IF($DU87="","", INDEX(#REF!,MATCH(CONCATENATE('Respuestas de formulario 1.1'!$B87,$DT87),#REF!,0),MATCH('Respuestas de formulario 1.1'!FW$1,#REF!,0)))</f>
        <v/>
      </c>
      <c r="FX87" s="56" t="str">
        <f t="array" ref="FX87">IF($DU87="","", INDEX(#REF!,MATCH(CONCATENATE('Respuestas de formulario 1.1'!$B87,$DT87),#REF!,0),MATCH('Respuestas de formulario 1.1'!FX$1,#REF!,0)))</f>
        <v/>
      </c>
      <c r="FY87" s="45" t="str">
        <f t="array" ref="FY87">IF($DU87="","", INDEX(#REF!,MATCH(CONCATENATE('Respuestas de formulario 1.1'!$B87,$DT87),#REF!,0),MATCH('Respuestas de formulario 1.1'!FY$1,#REF!,0)))</f>
        <v/>
      </c>
      <c r="FZ87" s="3" t="s">
        <v>2860</v>
      </c>
      <c r="GA87" s="1" t="s">
        <v>4333</v>
      </c>
      <c r="GB87" s="5" t="s">
        <v>4334</v>
      </c>
      <c r="GC87" s="4" t="str">
        <f>HYPERLINK("https://drive.google.com/file/d/14I_HDSfOq6leNEHmm8fa5iCVrMaGU2Yh/view?usp=drivesdk","CASTILLO  CRUZ SEBASTIAN MAURICIO  Formato de reinscripción y pago 2022-2")</f>
        <v>CASTILLO  CRUZ SEBASTIAN MAURICIO  Formato de reinscripción y pago 2022-2</v>
      </c>
      <c r="GD87" s="1" t="s">
        <v>4335</v>
      </c>
      <c r="GE87" s="1"/>
      <c r="GF87" s="1"/>
      <c r="GG87" s="1"/>
      <c r="GH87" s="1"/>
      <c r="GI87" s="1" t="s">
        <v>4336</v>
      </c>
      <c r="GJ87" s="5" t="s">
        <v>4337</v>
      </c>
      <c r="GK87" s="5" t="str">
        <f>HYPERLINK("https://drive.google.com/file/d/17lzAp-cEaA2de4c5rKJh2C_4tQ0tb5SB/view?usp=drivesdk","CASTILLO  CRUZ SEBASTIAN MAURICIO  Formato de reinscripción y pago 2022-2")</f>
        <v>CASTILLO  CRUZ SEBASTIAN MAURICIO  Formato de reinscripción y pago 2022-2</v>
      </c>
      <c r="GL87" s="1" t="s">
        <v>4338</v>
      </c>
    </row>
    <row r="88" spans="1:194" ht="38.25" x14ac:dyDescent="0.2">
      <c r="A88" s="2">
        <v>45139.869716469912</v>
      </c>
      <c r="B88" s="1" t="s">
        <v>12</v>
      </c>
      <c r="C88" s="1" t="s">
        <v>295</v>
      </c>
      <c r="D88" s="1" t="s">
        <v>1339</v>
      </c>
      <c r="E88" s="1" t="s">
        <v>4339</v>
      </c>
      <c r="F88" s="1" t="s">
        <v>223</v>
      </c>
      <c r="G88" s="5" t="s">
        <v>4340</v>
      </c>
      <c r="H88" s="41">
        <v>38803</v>
      </c>
      <c r="I88" s="1">
        <v>17</v>
      </c>
      <c r="J88" s="1">
        <v>5636234290</v>
      </c>
      <c r="K88" s="1">
        <v>5512723622</v>
      </c>
      <c r="L88" s="1" t="s">
        <v>1340</v>
      </c>
      <c r="M88" s="1">
        <v>21309060570048</v>
      </c>
      <c r="N88" s="1" t="s">
        <v>1108</v>
      </c>
      <c r="O88" s="1" t="s">
        <v>247</v>
      </c>
      <c r="P88" s="1" t="s">
        <v>278</v>
      </c>
      <c r="Q88" s="1" t="s">
        <v>248</v>
      </c>
      <c r="R88" s="1" t="s">
        <v>236</v>
      </c>
      <c r="S88" s="1" t="s">
        <v>228</v>
      </c>
      <c r="T88" s="1" t="s">
        <v>411</v>
      </c>
      <c r="U88" s="1" t="s">
        <v>481</v>
      </c>
      <c r="V88" s="1" t="s">
        <v>228</v>
      </c>
      <c r="W88" s="1" t="s">
        <v>4341</v>
      </c>
      <c r="X88" s="1" t="s">
        <v>481</v>
      </c>
      <c r="Y88" s="1" t="s">
        <v>1533</v>
      </c>
      <c r="Z88" s="1" t="s">
        <v>240</v>
      </c>
      <c r="AA88" s="1">
        <v>13319</v>
      </c>
      <c r="AB88" s="1" t="s">
        <v>2322</v>
      </c>
      <c r="AC88" s="1" t="s">
        <v>783</v>
      </c>
      <c r="AD88" s="1" t="s">
        <v>4342</v>
      </c>
      <c r="AE88" s="1" t="s">
        <v>4343</v>
      </c>
      <c r="AF88" s="1" t="s">
        <v>265</v>
      </c>
      <c r="AG88" s="1">
        <v>37</v>
      </c>
      <c r="AH88" s="5" t="s">
        <v>4344</v>
      </c>
      <c r="AI88" s="1">
        <v>5531258461</v>
      </c>
      <c r="AJ88" s="1">
        <v>5512723622</v>
      </c>
      <c r="AK88" s="1"/>
      <c r="AL88" s="1" t="s">
        <v>1339</v>
      </c>
      <c r="AM88" s="1" t="s">
        <v>1342</v>
      </c>
      <c r="AN88" s="1" t="s">
        <v>4345</v>
      </c>
      <c r="AO88" s="1" t="s">
        <v>265</v>
      </c>
      <c r="AP88" s="1">
        <v>37</v>
      </c>
      <c r="AQ88" s="1" t="s">
        <v>362</v>
      </c>
      <c r="AR88" s="42">
        <v>0.33333333333575865</v>
      </c>
      <c r="AS88" s="42">
        <v>0.14583333333575865</v>
      </c>
      <c r="AT88" s="1">
        <v>5531258461</v>
      </c>
      <c r="AU88" s="1">
        <v>5512723622</v>
      </c>
      <c r="AV88" s="1" t="s">
        <v>1341</v>
      </c>
      <c r="AW88" s="5" t="s">
        <v>4346</v>
      </c>
      <c r="AX88" s="1" t="s">
        <v>1339</v>
      </c>
      <c r="AY88" s="1" t="s">
        <v>4347</v>
      </c>
      <c r="AZ88" s="1" t="s">
        <v>4348</v>
      </c>
      <c r="BA88" s="1" t="s">
        <v>524</v>
      </c>
      <c r="BB88" s="1">
        <v>68</v>
      </c>
      <c r="BC88" s="1" t="s">
        <v>306</v>
      </c>
      <c r="BD88" s="43">
        <v>0.33333333333575865</v>
      </c>
      <c r="BE88" s="43">
        <v>0.14583333333575865</v>
      </c>
      <c r="BF88" s="1">
        <v>5631033864</v>
      </c>
      <c r="BG88" s="1">
        <v>5512723622</v>
      </c>
      <c r="BH88" s="1"/>
      <c r="BI88" s="5" t="s">
        <v>4349</v>
      </c>
      <c r="BJ88" s="1" t="s">
        <v>236</v>
      </c>
      <c r="BL88" s="1">
        <v>158</v>
      </c>
      <c r="BM88" s="1">
        <v>55</v>
      </c>
      <c r="BN88" s="1" t="s">
        <v>236</v>
      </c>
      <c r="BO88" s="1" t="s">
        <v>228</v>
      </c>
      <c r="BQ88" s="1" t="s">
        <v>228</v>
      </c>
      <c r="BR88" s="1" t="s">
        <v>237</v>
      </c>
      <c r="BS88" s="1" t="s">
        <v>228</v>
      </c>
      <c r="BT88" s="1" t="s">
        <v>237</v>
      </c>
      <c r="BU88" s="1" t="s">
        <v>228</v>
      </c>
      <c r="BW88" s="1" t="s">
        <v>272</v>
      </c>
      <c r="BX88" s="1">
        <v>90</v>
      </c>
      <c r="BY88" s="1">
        <v>250</v>
      </c>
      <c r="BZ88" s="1" t="s">
        <v>253</v>
      </c>
      <c r="CA88" s="1" t="s">
        <v>1350</v>
      </c>
      <c r="CB88" s="1" t="s">
        <v>240</v>
      </c>
      <c r="CC88" s="1" t="s">
        <v>300</v>
      </c>
      <c r="CD88" s="1">
        <v>700</v>
      </c>
      <c r="CE88" s="1">
        <v>1000</v>
      </c>
      <c r="CF88" s="1" t="s">
        <v>236</v>
      </c>
      <c r="CG88" s="1" t="s">
        <v>242</v>
      </c>
      <c r="CH88" s="1" t="s">
        <v>243</v>
      </c>
      <c r="CI88" s="1" t="s">
        <v>243</v>
      </c>
      <c r="CJ88" s="1" t="s">
        <v>2848</v>
      </c>
      <c r="CL88" s="5" t="s">
        <v>4350</v>
      </c>
      <c r="CM88" s="1">
        <v>80138666286</v>
      </c>
      <c r="CN88" s="1" t="s">
        <v>228</v>
      </c>
      <c r="CQ88" s="42">
        <v>0.33333333333575865</v>
      </c>
      <c r="CR88" s="42">
        <v>0.125</v>
      </c>
      <c r="CT88" s="45" t="str">
        <f t="array" ref="CT88">IFERROR(INDEX(#REF!,MATCH('Respuestas de formulario 1.1'!$B88,#REF!,0),MATCH('Respuestas de formulario 1.1'!CT$1,#REF!,0)),"")</f>
        <v/>
      </c>
      <c r="CU88" s="56" t="str">
        <f t="array" ref="CU88">IFERROR(INDEX(#REF!,MATCH('Respuestas de formulario 1.1'!$B88,#REF!,0),MATCH('Respuestas de formulario 1.1'!CU$1,#REF!,0)),"")</f>
        <v/>
      </c>
      <c r="CV88" s="56" t="str">
        <f t="array" ref="CV88">IFERROR(INDEX(#REF!,MATCH('Respuestas de formulario 1.1'!$B88,#REF!,0),MATCH('Respuestas de formulario 1.1'!CV$1,#REF!,0)),"")</f>
        <v/>
      </c>
      <c r="CW88" s="56" t="str">
        <f t="array" ref="CW88">IFERROR(INDEX(#REF!,MATCH('Respuestas de formulario 1.1'!$B88,#REF!,0),MATCH('Respuestas de formulario 1.1'!CW$1,#REF!,0)),"")</f>
        <v/>
      </c>
      <c r="CX88" s="56" t="str">
        <f t="array" ref="CX88">IFERROR(INDEX(#REF!,MATCH('Respuestas de formulario 1.1'!$B88,#REF!,0),MATCH('Respuestas de formulario 1.1'!CX$1,#REF!,0)),"")</f>
        <v/>
      </c>
      <c r="CY88" s="56" t="str">
        <f t="array" ref="CY88">IFERROR(INDEX(#REF!,MATCH('Respuestas de formulario 1.1'!$B88,#REF!,0),MATCH('Respuestas de formulario 1.1'!CY$1,#REF!,0)),"")</f>
        <v/>
      </c>
      <c r="CZ88" s="57" t="str">
        <f t="array" ref="CZ88">IFERROR(INDEX(#REF!,MATCH('Respuestas de formulario 1.1'!$B88,#REF!,0),MATCH('Respuestas de formulario 1.1'!CZ$1,#REF!,0)),"")</f>
        <v/>
      </c>
      <c r="DA88" s="45" t="e">
        <f t="array" ref="DA88">INDEX(#REF!,MATCH('Respuestas de formulario 1.1'!$B88,#REF!,0),MATCH('Respuestas de formulario 1.1'!DA$1,#REF!,0))</f>
        <v>#REF!</v>
      </c>
      <c r="DB88" s="45" t="e">
        <f t="array" ref="DB88">INDEX(#REF!,MATCH('Respuestas de formulario 1.1'!$B88,#REF!,0),MATCH('Respuestas de formulario 1.1'!DB$1,#REF!,0))</f>
        <v>#REF!</v>
      </c>
      <c r="DC88" s="45" t="e">
        <f t="array" ref="DC88">INDEX(#REF!,MATCH('Respuestas de formulario 1.1'!$B88,#REF!,0),MATCH('Respuestas de formulario 1.1'!DC$1,#REF!,0))</f>
        <v>#REF!</v>
      </c>
      <c r="DD88" s="45" t="e">
        <f t="array" ref="DD88">INDEX(#REF!,MATCH('Respuestas de formulario 1.1'!$B88,#REF!,0),MATCH('Respuestas de formulario 1.1'!DD$1,#REF!,0))</f>
        <v>#REF!</v>
      </c>
      <c r="DE88" s="45" t="e">
        <f t="array" ref="DE88">INDEX(#REF!,MATCH('Respuestas de formulario 1.1'!$B88,#REF!,0),MATCH('Respuestas de formulario 1.1'!DE$1,#REF!,0))</f>
        <v>#REF!</v>
      </c>
      <c r="DF88" s="45" t="e">
        <f t="array" ref="DF88">INDEX(#REF!,MATCH('Respuestas de formulario 1.1'!$B88,#REF!,0),MATCH('Respuestas de formulario 1.1'!DF$1,#REF!,0))</f>
        <v>#REF!</v>
      </c>
      <c r="DG88" s="45" t="e">
        <f t="array" ref="DG88">INDEX(#REF!,MATCH('Respuestas de formulario 1.1'!$B88,#REF!,0),MATCH('Respuestas de formulario 1.1'!DG$1,#REF!,0))</f>
        <v>#REF!</v>
      </c>
      <c r="DH88" s="45" t="e">
        <f t="array" ref="DH88">INDEX(#REF!,MATCH('Respuestas de formulario 1.1'!$B88,#REF!,0),MATCH('Respuestas de formulario 1.1'!DH$1,#REF!,0))</f>
        <v>#REF!</v>
      </c>
      <c r="DI88" s="48" t="e">
        <f>VLOOKUP(CONCATENATE($DF88," TUTO ",$DC88),#REF!,3,0)</f>
        <v>#REF!</v>
      </c>
      <c r="DJ88" s="48" t="e">
        <f t="array" ref="DJ88">IF('Respuestas de formulario 1.1'!A88="","",INDEX(#REF!,MATCH('Respuestas de formulario 1.1'!B88,#REF!,0),MATCH('Respuestas de formulario 1.1'!$DH$1,#REF!,0)))</f>
        <v>#REF!</v>
      </c>
      <c r="DK88" s="52" t="str">
        <f>CONCATENATE("http://doc.google.com/uc?id=",MID('Respuestas de formulario 1.1'!G88,34,33))</f>
        <v>http://doc.google.com/uc?id=1G9c5A-pdM0UHfbTcdLpjPgBAEYirjxJc</v>
      </c>
      <c r="DL88" s="49" t="str">
        <f>CONCATENATE("http://doc.google.com/uc?id=",MID('Respuestas de formulario 1.1'!AH88,34,33))</f>
        <v>http://doc.google.com/uc?id=16q9Jh8vwa3PXesltK9NH8cexnf3w9Sc3</v>
      </c>
      <c r="DM88" s="50" t="str">
        <f>CONCATENATE("http://doc.google.com/uc?id=",MID('Respuestas de formulario 1.1'!AW88,34,33))</f>
        <v>http://doc.google.com/uc?id=1cGsdI7v-Em_1gmODJSYraDoIeW1osDZG</v>
      </c>
      <c r="DN88" s="53" t="str">
        <f>CONCATENATE("http://doc.google.com/uc?id=",MID('Respuestas de formulario 1.1'!$BI88,34,33))</f>
        <v>http://doc.google.com/uc?id=1Kv7XOYc0apcKw9hmqmEVIb0FDFQAdFJw</v>
      </c>
      <c r="DO88" s="45" t="str">
        <f>IFERROR(VLOOKUP(CONCATENATE('Respuestas de formulario 1.1'!$B88,MID('Respuestas de formulario 1.1'!DO$1,2,1)),#REF!,12,0),"")</f>
        <v/>
      </c>
      <c r="DP88" s="45" t="str">
        <f>IFERROR(VLOOKUP(CONCATENATE('Respuestas de formulario 1.1'!$B88,MID('Respuestas de formulario 1.1'!DP$1,2,1)),#REF!,12,0),"")</f>
        <v/>
      </c>
      <c r="DQ88" s="45" t="str">
        <f>IFERROR(VLOOKUP(CONCATENATE('Respuestas de formulario 1.1'!$B88,MID('Respuestas de formulario 1.1'!DQ$1,2,1)),#REF!,12,0),"")</f>
        <v/>
      </c>
      <c r="DR88" s="45" t="str">
        <f>IFERROR(VLOOKUP(CONCATENATE('Respuestas de formulario 1.1'!$B88,MID('Respuestas de formulario 1.1'!DR$1,2,1)),#REF!,12,0),"")</f>
        <v/>
      </c>
      <c r="DS88" s="45" t="str">
        <f>IFERROR(VLOOKUP(CONCATENATE('Respuestas de formulario 1.1'!$B88,MID('Respuestas de formulario 1.1'!DS$1,2,1)),#REF!,12,0),"")</f>
        <v/>
      </c>
      <c r="DT88" s="45" t="str">
        <f>IFERROR(VLOOKUP(CONCATENATE('Respuestas de formulario 1.1'!$B88,MID('Respuestas de formulario 1.1'!DT$1,2,1)),#REF!,12,0),"")</f>
        <v/>
      </c>
      <c r="DU88" s="45" t="str">
        <f>IFERROR(VLOOKUP(CONCATENATE('Respuestas de formulario 1.1'!$B88,MID('Respuestas de formulario 1.1'!DU$1,2,1)),#REF!,12,0),"")</f>
        <v/>
      </c>
      <c r="DV88" s="45" t="str">
        <f>IFERROR(VLOOKUP(CONCATENATE('Respuestas de formulario 1.1'!$B88,MID('Respuestas de formulario 1.1'!DV$1,2,1)),#REF!,12,0),"")</f>
        <v/>
      </c>
      <c r="DW88" s="45" t="str">
        <f>IFERROR(VLOOKUP(CONCATENATE('Respuestas de formulario 1.1'!$B88,MID('Respuestas de formulario 1.1'!DW$1,2,1)),#REF!,12,0),"")</f>
        <v/>
      </c>
      <c r="DX88" s="45" t="str">
        <f>IFERROR(VLOOKUP(CONCATENATE('Respuestas de formulario 1.1'!$B88,MID('Respuestas de formulario 1.1'!DX$1,2,1)),#REF!,12,0),"")</f>
        <v/>
      </c>
      <c r="DY88" s="45" t="str">
        <f>IFERROR(VLOOKUP(CONCATENATE('Respuestas de formulario 1.1'!$B88,MID('Respuestas de formulario 1.1'!DY$1,2,1)),#REF!,12,0),"")</f>
        <v/>
      </c>
      <c r="DZ88" s="45" t="str">
        <f>IFERROR(VLOOKUP(CONCATENATE('Respuestas de formulario 1.1'!$B88,MID('Respuestas de formulario 1.1'!DZ$1,2,1)),#REF!,12,0),"")</f>
        <v/>
      </c>
      <c r="EA88" s="45" t="str">
        <f>IFERROR(VLOOKUP(CONCATENATE('Respuestas de formulario 1.1'!$B88,MID('Respuestas de formulario 1.1'!EA$1,2,1)),#REF!,12,0),"")</f>
        <v/>
      </c>
      <c r="EB88" s="45" t="str">
        <f>IFERROR(VLOOKUP(CONCATENATE('Respuestas de formulario 1.1'!$B88,MID('Respuestas de formulario 1.1'!EB$1,2,1)),#REF!,12,0),"")</f>
        <v/>
      </c>
      <c r="EC88" s="45" t="str">
        <f>IFERROR(VLOOKUP(CONCATENATE('Respuestas de formulario 1.1'!$B88,MID('Respuestas de formulario 1.1'!EC$1,2,1)),#REF!,12,0),"")</f>
        <v/>
      </c>
      <c r="ED88" s="45" t="str">
        <f>IFERROR(VLOOKUP(CONCATENATE('Respuestas de formulario 1.1'!$B88,MID('Respuestas de formulario 1.1'!ED$1,2,1)),#REF!,12,0),"")</f>
        <v/>
      </c>
      <c r="EE88" s="45" t="str">
        <f>IFERROR(VLOOKUP(CONCATENATE('Respuestas de formulario 1.1'!$B88,MID('Respuestas de formulario 1.1'!EE$1,2,1)),#REF!,12,0),"")</f>
        <v/>
      </c>
      <c r="EF88" s="45" t="str">
        <f>IFERROR(VLOOKUP(CONCATENATE('Respuestas de formulario 1.1'!$B88,MID('Respuestas de formulario 1.1'!EF$1,2,1)),#REF!,12,0),"")</f>
        <v/>
      </c>
      <c r="EG88" s="45" t="str">
        <f>IFERROR(VLOOKUP(CONCATENATE('Respuestas de formulario 1.1'!$B88,MID('Respuestas de formulario 1.1'!EG$1,2,1)),#REF!,12,0),"")</f>
        <v/>
      </c>
      <c r="EH88" s="45" t="str">
        <f>IFERROR(VLOOKUP(CONCATENATE('Respuestas de formulario 1.1'!$B88,MID('Respuestas de formulario 1.1'!EH$1,2,1)),#REF!,12,0),"")</f>
        <v/>
      </c>
      <c r="EI88" s="45" t="str">
        <f>IFERROR(VLOOKUP(CONCATENATE('Respuestas de formulario 1.1'!$B88,MID('Respuestas de formulario 1.1'!EI$1,2,1)),#REF!,12,0),"")</f>
        <v/>
      </c>
      <c r="EJ88" s="45" t="str">
        <f t="array" ref="EJ88">IF(DO88="","", INDEX(#REF!,MATCH(CONCATENATE('Respuestas de formulario 1.1'!$B88,DO88),#REF!,0),MATCH('Respuestas de formulario 1.1'!EJ$1,#REF!,0)))</f>
        <v/>
      </c>
      <c r="EK88" s="56" t="str">
        <f t="array" ref="EK88">IF(DP88="","", INDEX(#REF!,MATCH(CONCATENATE('Respuestas de formulario 1.1'!$B88,DP88),#REF!,0),MATCH('Respuestas de formulario 1.1'!EK$1,#REF!,0)))</f>
        <v/>
      </c>
      <c r="EL88" s="56" t="str">
        <f t="array" ref="EL88">IF(DQ88="","", INDEX(#REF!,MATCH(CONCATENATE('Respuestas de formulario 1.1'!$B88,DQ88),#REF!,0),MATCH('Respuestas de formulario 1.1'!EL$1,#REF!,0)))</f>
        <v/>
      </c>
      <c r="EM88" s="56" t="str">
        <f t="array" ref="EM88">IF(DR88="","", INDEX(#REF!,MATCH(CONCATENATE('Respuestas de formulario 1.1'!$B88,DR88),#REF!,0),MATCH('Respuestas de formulario 1.1'!EM$1,#REF!,0)))</f>
        <v/>
      </c>
      <c r="EN88" s="56" t="str">
        <f t="array" ref="EN88">IF(DS88="","", INDEX(#REF!,MATCH(CONCATENATE('Respuestas de formulario 1.1'!$B88,DS88),#REF!,0),MATCH('Respuestas de formulario 1.1'!EN$1,#REF!,0)))</f>
        <v/>
      </c>
      <c r="EO88" s="56" t="str">
        <f t="array" ref="EO88">IF(DT88="","", INDEX(#REF!,MATCH(CONCATENATE('Respuestas de formulario 1.1'!$B88,DT88),#REF!,0),MATCH('Respuestas de formulario 1.1'!EO$1,#REF!,0)))</f>
        <v/>
      </c>
      <c r="EP88" s="45" t="str">
        <f t="array" ref="EP88">IF(DU88="","", INDEX(#REF!,MATCH(CONCATENATE('Respuestas de formulario 1.1'!$B88,DU88),#REF!,0),MATCH('Respuestas de formulario 1.1'!EP$1,#REF!,0)))</f>
        <v/>
      </c>
      <c r="EQ88" s="45" t="str">
        <f t="array" ref="EQ88">IF(DP88="","", INDEX(#REF!,MATCH(CONCATENATE('Respuestas de formulario 1.1'!$B88,DP88),#REF!,0),MATCH('Respuestas de formulario 1.1'!EQ$1,#REF!,0)))</f>
        <v/>
      </c>
      <c r="ER88" s="56" t="str">
        <f t="array" ref="ER88">IF(DQ88="","", INDEX(#REF!,MATCH(CONCATENATE('Respuestas de formulario 1.1'!$B88,DQ88),#REF!,0),MATCH('Respuestas de formulario 1.1'!ER$1,#REF!,0)))</f>
        <v/>
      </c>
      <c r="ES88" s="56" t="str">
        <f t="array" ref="ES88">IF(DR88="","", INDEX(#REF!,MATCH(CONCATENATE('Respuestas de formulario 1.1'!$B88,DR88),#REF!,0),MATCH('Respuestas de formulario 1.1'!ES$1,#REF!,0)))</f>
        <v/>
      </c>
      <c r="ET88" s="56" t="str">
        <f t="array" ref="ET88">IF(DS88="","", INDEX(#REF!,MATCH(CONCATENATE('Respuestas de formulario 1.1'!$B88,DS88),#REF!,0),MATCH('Respuestas de formulario 1.1'!ET$1,#REF!,0)))</f>
        <v/>
      </c>
      <c r="EU88" s="56" t="str">
        <f t="array" ref="EU88">IF(DT88="","", INDEX(#REF!,MATCH(CONCATENATE('Respuestas de formulario 1.1'!$B88,DT88),#REF!,0),MATCH('Respuestas de formulario 1.1'!EU$1,#REF!,0)))</f>
        <v/>
      </c>
      <c r="EV88" s="56" t="str">
        <f t="array" ref="EV88">IF(DU88="","", INDEX(#REF!,MATCH(CONCATENATE('Respuestas de formulario 1.1'!$B88,DU88),#REF!,0),MATCH('Respuestas de formulario 1.1'!EV$1,#REF!,0)))</f>
        <v/>
      </c>
      <c r="EW88" s="45" t="str">
        <f t="array" ref="EW88">IF(DV88="","", INDEX(#REF!,MATCH(CONCATENATE('Respuestas de formulario 1.1'!$B88,DV88),#REF!,0),MATCH('Respuestas de formulario 1.1'!EW$1,#REF!,0)))</f>
        <v/>
      </c>
      <c r="EX88" s="45" t="str">
        <f t="array" ref="EX88">IF($DQ88="","", INDEX(#REF!,MATCH(CONCATENATE('Respuestas de formulario 1.1'!$B88,$DQ88),#REF!,0),MATCH('Respuestas de formulario 1.1'!EX$1,#REF!,0)))</f>
        <v/>
      </c>
      <c r="EY88" s="56" t="str">
        <f t="array" ref="EY88">IF($DQ88="","", INDEX(#REF!,MATCH(CONCATENATE('Respuestas de formulario 1.1'!$B88,$DQ88),#REF!,0),MATCH('Respuestas de formulario 1.1'!EY$1,#REF!,0)))</f>
        <v/>
      </c>
      <c r="EZ88" s="56" t="str">
        <f t="array" ref="EZ88">IF($DQ88="","", INDEX(#REF!,MATCH(CONCATENATE('Respuestas de formulario 1.1'!$B88,$DQ88),#REF!,0),MATCH('Respuestas de formulario 1.1'!EZ$1,#REF!,0)))</f>
        <v/>
      </c>
      <c r="FA88" s="56" t="str">
        <f t="array" ref="FA88">IF($DQ88="","", INDEX(#REF!,MATCH(CONCATENATE('Respuestas de formulario 1.1'!$B88,$DQ88),#REF!,0),MATCH('Respuestas de formulario 1.1'!FA$1,#REF!,0)))</f>
        <v/>
      </c>
      <c r="FB88" s="56" t="str">
        <f t="array" ref="FB88">IF($DQ88="","", INDEX(#REF!,MATCH(CONCATENATE('Respuestas de formulario 1.1'!$B88,$DQ88),#REF!,0),MATCH('Respuestas de formulario 1.1'!FB$1,#REF!,0)))</f>
        <v/>
      </c>
      <c r="FC88" s="56" t="str">
        <f t="array" ref="FC88">IF($DQ88="","", INDEX(#REF!,MATCH(CONCATENATE('Respuestas de formulario 1.1'!$B88,$DQ88),#REF!,0),MATCH('Respuestas de formulario 1.1'!FC$1,#REF!,0)))</f>
        <v/>
      </c>
      <c r="FD88" s="45" t="str">
        <f t="array" ref="FD88">IF($DQ88="","", INDEX(#REF!,MATCH(CONCATENATE('Respuestas de formulario 1.1'!$B88,$DQ88),#REF!,0),MATCH('Respuestas de formulario 1.1'!FD$1,#REF!,0)))</f>
        <v/>
      </c>
      <c r="FE88" s="45" t="str">
        <f t="array" ref="FE88">IF($DR88="","", INDEX(#REF!,MATCH(CONCATENATE(#REF!,$DR88),#REF!,0),MATCH(#REF!,#REF!,0)))</f>
        <v/>
      </c>
      <c r="FF88" s="56" t="str">
        <f t="array" ref="FF88">IF($DR88="","", INDEX(#REF!,MATCH(CONCATENATE(#REF!,$DR88),#REF!,0),MATCH(#REF!,#REF!,0)))</f>
        <v/>
      </c>
      <c r="FG88" s="56" t="str">
        <f t="array" ref="FG88">IF($DR88="","", INDEX(#REF!,MATCH(CONCATENATE(#REF!,$DR88),#REF!,0),MATCH(#REF!,#REF!,0)))</f>
        <v/>
      </c>
      <c r="FH88" s="56" t="str">
        <f t="array" ref="FH88">IF($DR88="","", INDEX(#REF!,MATCH(CONCATENATE(#REF!,$DR88),#REF!,0),MATCH(#REF!,#REF!,0)))</f>
        <v/>
      </c>
      <c r="FI88" s="56" t="str">
        <f t="array" ref="FI88">IF($DR88="","", INDEX(#REF!,MATCH(CONCATENATE(#REF!,$DR88),#REF!,0),MATCH(#REF!,#REF!,0)))</f>
        <v/>
      </c>
      <c r="FJ88" s="56" t="str">
        <f t="array" ref="FJ88">IF($DR88="","", INDEX(#REF!,MATCH(CONCATENATE(#REF!,$DR88),#REF!,0),MATCH(#REF!,#REF!,0)))</f>
        <v/>
      </c>
      <c r="FK88" s="45" t="str">
        <f t="array" ref="FK88">IF($DR88="","", INDEX(#REF!,MATCH(CONCATENATE(#REF!,$DR88),#REF!,0),MATCH(#REF!,#REF!,0)))</f>
        <v/>
      </c>
      <c r="FL88" s="45" t="str">
        <f t="array" ref="FL88">IF($DT88="","", INDEX(#REF!,MATCH(CONCATENATE('Respuestas de formulario 1.1'!$B88,$DS88),#REF!,0),MATCH('Respuestas de formulario 1.1'!FL$1,#REF!,0)))</f>
        <v/>
      </c>
      <c r="FM88" s="56" t="str">
        <f t="array" ref="FM88">IF($DT88="","", INDEX(#REF!,MATCH(CONCATENATE('Respuestas de formulario 1.1'!$B88,$DS88),#REF!,0),MATCH('Respuestas de formulario 1.1'!FM$1,#REF!,0)))</f>
        <v/>
      </c>
      <c r="FN88" s="56" t="str">
        <f t="array" ref="FN88">IF($DT88="","", INDEX(#REF!,MATCH(CONCATENATE('Respuestas de formulario 1.1'!$B88,$DS88),#REF!,0),MATCH('Respuestas de formulario 1.1'!FN$1,#REF!,0)))</f>
        <v/>
      </c>
      <c r="FO88" s="56" t="str">
        <f t="array" ref="FO88">IF($DT88="","", INDEX(#REF!,MATCH(CONCATENATE('Respuestas de formulario 1.1'!$B88,$DS88),#REF!,0),MATCH('Respuestas de formulario 1.1'!FO$1,#REF!,0)))</f>
        <v/>
      </c>
      <c r="FP88" s="56" t="str">
        <f t="array" ref="FP88">IF($DT88="","", INDEX(#REF!,MATCH(CONCATENATE('Respuestas de formulario 1.1'!$B88,$DS88),#REF!,0),MATCH('Respuestas de formulario 1.1'!FP$1,#REF!,0)))</f>
        <v/>
      </c>
      <c r="FQ88" s="56" t="str">
        <f t="array" ref="FQ88">IF($DT88="","", INDEX(#REF!,MATCH(CONCATENATE('Respuestas de formulario 1.1'!$B88,$DS88),#REF!,0),MATCH('Respuestas de formulario 1.1'!FQ$1,#REF!,0)))</f>
        <v/>
      </c>
      <c r="FR88" s="45" t="str">
        <f t="array" ref="FR88">IF($DT88="","", INDEX(#REF!,MATCH(CONCATENATE('Respuestas de formulario 1.1'!$B88,$DS88),#REF!,0),MATCH('Respuestas de formulario 1.1'!FR$1,#REF!,0)))</f>
        <v/>
      </c>
      <c r="FS88" s="45" t="str">
        <f t="array" ref="FS88">IF($DU88="","", INDEX(#REF!,MATCH(CONCATENATE('Respuestas de formulario 1.1'!$B88,$DT88),#REF!,0),MATCH('Respuestas de formulario 1.1'!FS$1,#REF!,0)))</f>
        <v/>
      </c>
      <c r="FT88" s="56" t="str">
        <f t="array" ref="FT88">IF($DU88="","", INDEX(#REF!,MATCH(CONCATENATE('Respuestas de formulario 1.1'!$B88,$DT88),#REF!,0),MATCH('Respuestas de formulario 1.1'!FT$1,#REF!,0)))</f>
        <v/>
      </c>
      <c r="FU88" s="56" t="str">
        <f t="array" ref="FU88">IF($DU88="","", INDEX(#REF!,MATCH(CONCATENATE('Respuestas de formulario 1.1'!$B88,$DT88),#REF!,0),MATCH('Respuestas de formulario 1.1'!FU$1,#REF!,0)))</f>
        <v/>
      </c>
      <c r="FV88" s="56" t="str">
        <f t="array" ref="FV88">IF($DU88="","", INDEX(#REF!,MATCH(CONCATENATE('Respuestas de formulario 1.1'!$B88,$DT88),#REF!,0),MATCH('Respuestas de formulario 1.1'!FV$1,#REF!,0)))</f>
        <v/>
      </c>
      <c r="FW88" s="56" t="str">
        <f t="array" ref="FW88">IF($DU88="","", INDEX(#REF!,MATCH(CONCATENATE('Respuestas de formulario 1.1'!$B88,$DT88),#REF!,0),MATCH('Respuestas de formulario 1.1'!FW$1,#REF!,0)))</f>
        <v/>
      </c>
      <c r="FX88" s="56" t="str">
        <f t="array" ref="FX88">IF($DU88="","", INDEX(#REF!,MATCH(CONCATENATE('Respuestas de formulario 1.1'!$B88,$DT88),#REF!,0),MATCH('Respuestas de formulario 1.1'!FX$1,#REF!,0)))</f>
        <v/>
      </c>
      <c r="FY88" s="45" t="str">
        <f t="array" ref="FY88">IF($DU88="","", INDEX(#REF!,MATCH(CONCATENATE('Respuestas de formulario 1.1'!$B88,$DT88),#REF!,0),MATCH('Respuestas de formulario 1.1'!FY$1,#REF!,0)))</f>
        <v/>
      </c>
      <c r="FZ88" s="3" t="s">
        <v>2860</v>
      </c>
      <c r="GA88" s="1" t="s">
        <v>4351</v>
      </c>
      <c r="GB88" s="5" t="s">
        <v>4352</v>
      </c>
      <c r="GC88" s="4" t="str">
        <f>HYPERLINK("https://drive.google.com/file/d/1Z0nNvagzdoxsTqS-70GLKsZJjU7Wawjv/view?usp=drivesdk","TORRES  CID BRIANA CAROL Formato de reinscripción y pago 2022-2")</f>
        <v>TORRES  CID BRIANA CAROL Formato de reinscripción y pago 2022-2</v>
      </c>
      <c r="GD88" s="1" t="s">
        <v>4353</v>
      </c>
      <c r="GE88" s="1"/>
      <c r="GF88" s="1"/>
      <c r="GG88" s="1"/>
      <c r="GH88" s="1"/>
      <c r="GI88" s="1" t="s">
        <v>4354</v>
      </c>
      <c r="GJ88" s="5" t="s">
        <v>4355</v>
      </c>
      <c r="GK88" s="5" t="str">
        <f>HYPERLINK("https://drive.google.com/file/d/1OOQobrmJviVQjgKlrrhyGlDVH_O6UU8l/view?usp=drivesdk","TORRES  CID BRIANA CAROL Formato de reinscripción y pago 2022-2")</f>
        <v>TORRES  CID BRIANA CAROL Formato de reinscripción y pago 2022-2</v>
      </c>
      <c r="GL88" s="1" t="s">
        <v>4356</v>
      </c>
    </row>
    <row r="89" spans="1:194" ht="38.25" x14ac:dyDescent="0.2">
      <c r="A89" s="2">
        <v>45139.396742708333</v>
      </c>
      <c r="B89" s="1" t="s">
        <v>71</v>
      </c>
      <c r="C89" s="1" t="s">
        <v>245</v>
      </c>
      <c r="D89" s="1" t="s">
        <v>340</v>
      </c>
      <c r="E89" s="1" t="s">
        <v>1327</v>
      </c>
      <c r="F89" s="1" t="s">
        <v>262</v>
      </c>
      <c r="G89" s="5" t="s">
        <v>4357</v>
      </c>
      <c r="H89" s="41">
        <v>39191</v>
      </c>
      <c r="I89" s="1">
        <v>16</v>
      </c>
      <c r="J89" s="1">
        <v>5561730249</v>
      </c>
      <c r="K89" s="1" t="s">
        <v>4358</v>
      </c>
      <c r="L89" s="1" t="s">
        <v>4359</v>
      </c>
      <c r="M89" s="1">
        <v>22309060570919</v>
      </c>
      <c r="N89" s="1" t="s">
        <v>562</v>
      </c>
      <c r="O89" s="1" t="s">
        <v>225</v>
      </c>
      <c r="P89" s="1" t="s">
        <v>278</v>
      </c>
      <c r="Q89" s="1" t="s">
        <v>315</v>
      </c>
      <c r="R89" s="1" t="s">
        <v>236</v>
      </c>
      <c r="S89" s="1" t="s">
        <v>228</v>
      </c>
      <c r="T89" s="1" t="s">
        <v>411</v>
      </c>
      <c r="U89" s="1" t="s">
        <v>249</v>
      </c>
      <c r="V89" s="1" t="s">
        <v>228</v>
      </c>
      <c r="W89" s="1" t="s">
        <v>4360</v>
      </c>
      <c r="X89" s="1" t="s">
        <v>249</v>
      </c>
      <c r="Y89" s="1" t="s">
        <v>416</v>
      </c>
      <c r="Z89" s="1" t="s">
        <v>240</v>
      </c>
      <c r="AA89" s="44" t="s">
        <v>1328</v>
      </c>
      <c r="AB89" s="1" t="s">
        <v>1008</v>
      </c>
      <c r="AC89" s="1" t="s">
        <v>4361</v>
      </c>
      <c r="AD89" s="1" t="s">
        <v>4362</v>
      </c>
      <c r="AE89" s="1" t="s">
        <v>4363</v>
      </c>
      <c r="AF89" s="1" t="s">
        <v>265</v>
      </c>
      <c r="AG89" s="1">
        <v>37</v>
      </c>
      <c r="AH89" s="5" t="s">
        <v>4364</v>
      </c>
      <c r="AI89" s="1">
        <v>5561730249</v>
      </c>
      <c r="AJ89" s="1">
        <v>5570891270</v>
      </c>
      <c r="AK89" s="1" t="s">
        <v>1329</v>
      </c>
      <c r="AL89" s="1" t="s">
        <v>245</v>
      </c>
      <c r="AM89" s="1" t="s">
        <v>340</v>
      </c>
      <c r="AN89" s="1" t="s">
        <v>4365</v>
      </c>
      <c r="AO89" s="1" t="s">
        <v>435</v>
      </c>
      <c r="AP89" s="1">
        <v>41</v>
      </c>
      <c r="AQ89" s="1" t="s">
        <v>546</v>
      </c>
      <c r="AR89" s="42">
        <v>0.33333333333575865</v>
      </c>
      <c r="AS89" s="42">
        <v>0.25</v>
      </c>
      <c r="AT89" s="1">
        <v>5627350005</v>
      </c>
      <c r="AU89" s="1">
        <v>5570891270</v>
      </c>
      <c r="AV89" s="1" t="s">
        <v>1330</v>
      </c>
      <c r="AW89" s="5" t="s">
        <v>4366</v>
      </c>
      <c r="AX89" s="1" t="s">
        <v>308</v>
      </c>
      <c r="AY89" s="1" t="s">
        <v>340</v>
      </c>
      <c r="AZ89" s="1" t="s">
        <v>4367</v>
      </c>
      <c r="BA89" s="1" t="s">
        <v>403</v>
      </c>
      <c r="BB89" s="1">
        <v>18</v>
      </c>
      <c r="BC89" s="1" t="s">
        <v>235</v>
      </c>
      <c r="BD89" s="43">
        <v>0.33333333333575865</v>
      </c>
      <c r="BE89" s="43">
        <v>0.33333333333575865</v>
      </c>
      <c r="BF89" s="1">
        <v>5554789036</v>
      </c>
      <c r="BG89" s="1">
        <v>5554789036</v>
      </c>
      <c r="BH89" s="1" t="s">
        <v>4368</v>
      </c>
      <c r="BI89" s="5" t="s">
        <v>4369</v>
      </c>
      <c r="BJ89" s="1" t="s">
        <v>236</v>
      </c>
      <c r="BL89" s="1">
        <v>170</v>
      </c>
      <c r="BM89" s="1">
        <v>57</v>
      </c>
      <c r="BN89" s="1" t="s">
        <v>228</v>
      </c>
      <c r="BO89" s="1" t="s">
        <v>228</v>
      </c>
      <c r="BQ89" s="1" t="s">
        <v>228</v>
      </c>
      <c r="BR89" s="1" t="s">
        <v>237</v>
      </c>
      <c r="BS89" s="1" t="s">
        <v>236</v>
      </c>
      <c r="BT89" s="1" t="s">
        <v>237</v>
      </c>
      <c r="BU89" s="1" t="s">
        <v>228</v>
      </c>
      <c r="BW89" s="1" t="s">
        <v>272</v>
      </c>
      <c r="BX89" s="1">
        <v>75</v>
      </c>
      <c r="BY89" s="1">
        <v>200</v>
      </c>
      <c r="BZ89" s="1" t="s">
        <v>253</v>
      </c>
      <c r="CA89" s="1" t="s">
        <v>400</v>
      </c>
      <c r="CB89" s="1" t="s">
        <v>240</v>
      </c>
      <c r="CC89" s="1" t="s">
        <v>322</v>
      </c>
      <c r="CD89" s="1">
        <v>2500</v>
      </c>
      <c r="CE89" s="1">
        <v>1500</v>
      </c>
      <c r="CF89" s="1" t="s">
        <v>236</v>
      </c>
      <c r="CG89" s="1" t="s">
        <v>242</v>
      </c>
      <c r="CH89" s="1" t="s">
        <v>243</v>
      </c>
      <c r="CI89" s="1" t="s">
        <v>243</v>
      </c>
      <c r="CJ89" s="1" t="s">
        <v>2848</v>
      </c>
      <c r="CL89" s="5" t="s">
        <v>4370</v>
      </c>
      <c r="CM89" s="44" t="s">
        <v>1331</v>
      </c>
      <c r="CN89" s="1" t="s">
        <v>228</v>
      </c>
      <c r="CQ89" s="42">
        <v>0.33333333333575865</v>
      </c>
      <c r="CR89" s="42">
        <v>0.25</v>
      </c>
      <c r="CT89" s="45" t="str">
        <f t="array" ref="CT89">IFERROR(INDEX(#REF!,MATCH('Respuestas de formulario 1.1'!$B89,#REF!,0),MATCH('Respuestas de formulario 1.1'!CT$1,#REF!,0)),"")</f>
        <v/>
      </c>
      <c r="CU89" s="56" t="str">
        <f t="array" ref="CU89">IFERROR(INDEX(#REF!,MATCH('Respuestas de formulario 1.1'!$B89,#REF!,0),MATCH('Respuestas de formulario 1.1'!CU$1,#REF!,0)),"")</f>
        <v/>
      </c>
      <c r="CV89" s="56" t="str">
        <f t="array" ref="CV89">IFERROR(INDEX(#REF!,MATCH('Respuestas de formulario 1.1'!$B89,#REF!,0),MATCH('Respuestas de formulario 1.1'!CV$1,#REF!,0)),"")</f>
        <v/>
      </c>
      <c r="CW89" s="56" t="str">
        <f t="array" ref="CW89">IFERROR(INDEX(#REF!,MATCH('Respuestas de formulario 1.1'!$B89,#REF!,0),MATCH('Respuestas de formulario 1.1'!CW$1,#REF!,0)),"")</f>
        <v/>
      </c>
      <c r="CX89" s="56" t="str">
        <f t="array" ref="CX89">IFERROR(INDEX(#REF!,MATCH('Respuestas de formulario 1.1'!$B89,#REF!,0),MATCH('Respuestas de formulario 1.1'!CX$1,#REF!,0)),"")</f>
        <v/>
      </c>
      <c r="CY89" s="56" t="str">
        <f t="array" ref="CY89">IFERROR(INDEX(#REF!,MATCH('Respuestas de formulario 1.1'!$B89,#REF!,0),MATCH('Respuestas de formulario 1.1'!CY$1,#REF!,0)),"")</f>
        <v/>
      </c>
      <c r="CZ89" s="57" t="str">
        <f t="array" ref="CZ89">IFERROR(INDEX(#REF!,MATCH('Respuestas de formulario 1.1'!$B89,#REF!,0),MATCH('Respuestas de formulario 1.1'!CZ$1,#REF!,0)),"")</f>
        <v/>
      </c>
      <c r="DA89" s="45" t="e">
        <f t="array" ref="DA89">INDEX(#REF!,MATCH('Respuestas de formulario 1.1'!$B89,#REF!,0),MATCH('Respuestas de formulario 1.1'!DA$1,#REF!,0))</f>
        <v>#REF!</v>
      </c>
      <c r="DB89" s="45" t="e">
        <f t="array" ref="DB89">INDEX(#REF!,MATCH('Respuestas de formulario 1.1'!$B89,#REF!,0),MATCH('Respuestas de formulario 1.1'!DB$1,#REF!,0))</f>
        <v>#REF!</v>
      </c>
      <c r="DC89" s="45" t="e">
        <f t="array" ref="DC89">INDEX(#REF!,MATCH('Respuestas de formulario 1.1'!$B89,#REF!,0),MATCH('Respuestas de formulario 1.1'!DC$1,#REF!,0))</f>
        <v>#REF!</v>
      </c>
      <c r="DD89" s="45" t="e">
        <f t="array" ref="DD89">INDEX(#REF!,MATCH('Respuestas de formulario 1.1'!$B89,#REF!,0),MATCH('Respuestas de formulario 1.1'!DD$1,#REF!,0))</f>
        <v>#REF!</v>
      </c>
      <c r="DE89" s="45" t="e">
        <f t="array" ref="DE89">INDEX(#REF!,MATCH('Respuestas de formulario 1.1'!$B89,#REF!,0),MATCH('Respuestas de formulario 1.1'!DE$1,#REF!,0))</f>
        <v>#REF!</v>
      </c>
      <c r="DF89" s="45" t="e">
        <f t="array" ref="DF89">INDEX(#REF!,MATCH('Respuestas de formulario 1.1'!$B89,#REF!,0),MATCH('Respuestas de formulario 1.1'!DF$1,#REF!,0))</f>
        <v>#REF!</v>
      </c>
      <c r="DG89" s="45" t="e">
        <f t="array" ref="DG89">INDEX(#REF!,MATCH('Respuestas de formulario 1.1'!$B89,#REF!,0),MATCH('Respuestas de formulario 1.1'!DG$1,#REF!,0))</f>
        <v>#REF!</v>
      </c>
      <c r="DH89" s="45" t="e">
        <f t="array" ref="DH89">INDEX(#REF!,MATCH('Respuestas de formulario 1.1'!$B89,#REF!,0),MATCH('Respuestas de formulario 1.1'!DH$1,#REF!,0))</f>
        <v>#REF!</v>
      </c>
      <c r="DI89" s="48" t="e">
        <f>VLOOKUP(CONCATENATE($DF89," TUTO ",$DC89),#REF!,3,0)</f>
        <v>#REF!</v>
      </c>
      <c r="DJ89" s="48" t="e">
        <f t="array" ref="DJ89">IF('Respuestas de formulario 1.1'!A89="","",INDEX(#REF!,MATCH('Respuestas de formulario 1.1'!B89,#REF!,0),MATCH('Respuestas de formulario 1.1'!$DH$1,#REF!,0)))</f>
        <v>#REF!</v>
      </c>
      <c r="DK89" s="52" t="str">
        <f>CONCATENATE("http://doc.google.com/uc?id=",MID('Respuestas de formulario 1.1'!G89,34,33))</f>
        <v>http://doc.google.com/uc?id=1b5CnrwNbNZ5gWUwqVcZB7pP6-x7qppBB</v>
      </c>
      <c r="DL89" s="49" t="str">
        <f>CONCATENATE("http://doc.google.com/uc?id=",MID('Respuestas de formulario 1.1'!AH89,34,33))</f>
        <v>http://doc.google.com/uc?id=11y7Nw4BhJwUl5t06AXMi6zxsMFM3d2Fm</v>
      </c>
      <c r="DM89" s="50" t="str">
        <f>CONCATENATE("http://doc.google.com/uc?id=",MID('Respuestas de formulario 1.1'!AW89,34,33))</f>
        <v>http://doc.google.com/uc?id=1bzzCOCaNvkTvkFmrCNpJ5Bf34k2A3EjN</v>
      </c>
      <c r="DN89" s="53" t="str">
        <f>CONCATENATE("http://doc.google.com/uc?id=",MID('Respuestas de formulario 1.1'!$BI89,34,33))</f>
        <v>http://doc.google.com/uc?id=1T6xydEQgsgYO0J67dqd5iZJoVoAU8fAQ</v>
      </c>
      <c r="DO89" s="45" t="str">
        <f>IFERROR(VLOOKUP(CONCATENATE('Respuestas de formulario 1.1'!$B89,MID('Respuestas de formulario 1.1'!DO$1,2,1)),#REF!,12,0),"")</f>
        <v/>
      </c>
      <c r="DP89" s="45" t="str">
        <f>IFERROR(VLOOKUP(CONCATENATE('Respuestas de formulario 1.1'!$B89,MID('Respuestas de formulario 1.1'!DP$1,2,1)),#REF!,12,0),"")</f>
        <v/>
      </c>
      <c r="DQ89" s="45" t="str">
        <f>IFERROR(VLOOKUP(CONCATENATE('Respuestas de formulario 1.1'!$B89,MID('Respuestas de formulario 1.1'!DQ$1,2,1)),#REF!,12,0),"")</f>
        <v/>
      </c>
      <c r="DR89" s="45" t="str">
        <f>IFERROR(VLOOKUP(CONCATENATE('Respuestas de formulario 1.1'!$B89,MID('Respuestas de formulario 1.1'!DR$1,2,1)),#REF!,12,0),"")</f>
        <v/>
      </c>
      <c r="DS89" s="45" t="str">
        <f>IFERROR(VLOOKUP(CONCATENATE('Respuestas de formulario 1.1'!$B89,MID('Respuestas de formulario 1.1'!DS$1,2,1)),#REF!,12,0),"")</f>
        <v/>
      </c>
      <c r="DT89" s="45" t="str">
        <f>IFERROR(VLOOKUP(CONCATENATE('Respuestas de formulario 1.1'!$B89,MID('Respuestas de formulario 1.1'!DT$1,2,1)),#REF!,12,0),"")</f>
        <v/>
      </c>
      <c r="DU89" s="45" t="str">
        <f>IFERROR(VLOOKUP(CONCATENATE('Respuestas de formulario 1.1'!$B89,MID('Respuestas de formulario 1.1'!DU$1,2,1)),#REF!,12,0),"")</f>
        <v/>
      </c>
      <c r="DV89" s="45" t="str">
        <f>IFERROR(VLOOKUP(CONCATENATE('Respuestas de formulario 1.1'!$B89,MID('Respuestas de formulario 1.1'!DV$1,2,1)),#REF!,12,0),"")</f>
        <v/>
      </c>
      <c r="DW89" s="45" t="str">
        <f>IFERROR(VLOOKUP(CONCATENATE('Respuestas de formulario 1.1'!$B89,MID('Respuestas de formulario 1.1'!DW$1,2,1)),#REF!,12,0),"")</f>
        <v/>
      </c>
      <c r="DX89" s="45" t="str">
        <f>IFERROR(VLOOKUP(CONCATENATE('Respuestas de formulario 1.1'!$B89,MID('Respuestas de formulario 1.1'!DX$1,2,1)),#REF!,12,0),"")</f>
        <v/>
      </c>
      <c r="DY89" s="45" t="str">
        <f>IFERROR(VLOOKUP(CONCATENATE('Respuestas de formulario 1.1'!$B89,MID('Respuestas de formulario 1.1'!DY$1,2,1)),#REF!,12,0),"")</f>
        <v/>
      </c>
      <c r="DZ89" s="45" t="str">
        <f>IFERROR(VLOOKUP(CONCATENATE('Respuestas de formulario 1.1'!$B89,MID('Respuestas de formulario 1.1'!DZ$1,2,1)),#REF!,12,0),"")</f>
        <v/>
      </c>
      <c r="EA89" s="45" t="str">
        <f>IFERROR(VLOOKUP(CONCATENATE('Respuestas de formulario 1.1'!$B89,MID('Respuestas de formulario 1.1'!EA$1,2,1)),#REF!,12,0),"")</f>
        <v/>
      </c>
      <c r="EB89" s="45" t="str">
        <f>IFERROR(VLOOKUP(CONCATENATE('Respuestas de formulario 1.1'!$B89,MID('Respuestas de formulario 1.1'!EB$1,2,1)),#REF!,12,0),"")</f>
        <v/>
      </c>
      <c r="EC89" s="45" t="str">
        <f>IFERROR(VLOOKUP(CONCATENATE('Respuestas de formulario 1.1'!$B89,MID('Respuestas de formulario 1.1'!EC$1,2,1)),#REF!,12,0),"")</f>
        <v/>
      </c>
      <c r="ED89" s="45" t="str">
        <f>IFERROR(VLOOKUP(CONCATENATE('Respuestas de formulario 1.1'!$B89,MID('Respuestas de formulario 1.1'!ED$1,2,1)),#REF!,12,0),"")</f>
        <v/>
      </c>
      <c r="EE89" s="45" t="str">
        <f>IFERROR(VLOOKUP(CONCATENATE('Respuestas de formulario 1.1'!$B89,MID('Respuestas de formulario 1.1'!EE$1,2,1)),#REF!,12,0),"")</f>
        <v/>
      </c>
      <c r="EF89" s="45" t="str">
        <f>IFERROR(VLOOKUP(CONCATENATE('Respuestas de formulario 1.1'!$B89,MID('Respuestas de formulario 1.1'!EF$1,2,1)),#REF!,12,0),"")</f>
        <v/>
      </c>
      <c r="EG89" s="45" t="str">
        <f>IFERROR(VLOOKUP(CONCATENATE('Respuestas de formulario 1.1'!$B89,MID('Respuestas de formulario 1.1'!EG$1,2,1)),#REF!,12,0),"")</f>
        <v/>
      </c>
      <c r="EH89" s="45" t="str">
        <f>IFERROR(VLOOKUP(CONCATENATE('Respuestas de formulario 1.1'!$B89,MID('Respuestas de formulario 1.1'!EH$1,2,1)),#REF!,12,0),"")</f>
        <v/>
      </c>
      <c r="EI89" s="45" t="str">
        <f>IFERROR(VLOOKUP(CONCATENATE('Respuestas de formulario 1.1'!$B89,MID('Respuestas de formulario 1.1'!EI$1,2,1)),#REF!,12,0),"")</f>
        <v/>
      </c>
      <c r="EJ89" s="45" t="str">
        <f t="array" ref="EJ89">IF(DO89="","", INDEX(#REF!,MATCH(CONCATENATE('Respuestas de formulario 1.1'!$B89,DO89),#REF!,0),MATCH('Respuestas de formulario 1.1'!EJ$1,#REF!,0)))</f>
        <v/>
      </c>
      <c r="EK89" s="56" t="str">
        <f t="array" ref="EK89">IF(DP89="","", INDEX(#REF!,MATCH(CONCATENATE('Respuestas de formulario 1.1'!$B89,DP89),#REF!,0),MATCH('Respuestas de formulario 1.1'!EK$1,#REF!,0)))</f>
        <v/>
      </c>
      <c r="EL89" s="56" t="str">
        <f t="array" ref="EL89">IF(DQ89="","", INDEX(#REF!,MATCH(CONCATENATE('Respuestas de formulario 1.1'!$B89,DQ89),#REF!,0),MATCH('Respuestas de formulario 1.1'!EL$1,#REF!,0)))</f>
        <v/>
      </c>
      <c r="EM89" s="56" t="str">
        <f t="array" ref="EM89">IF(DR89="","", INDEX(#REF!,MATCH(CONCATENATE('Respuestas de formulario 1.1'!$B89,DR89),#REF!,0),MATCH('Respuestas de formulario 1.1'!EM$1,#REF!,0)))</f>
        <v/>
      </c>
      <c r="EN89" s="56" t="str">
        <f t="array" ref="EN89">IF(DS89="","", INDEX(#REF!,MATCH(CONCATENATE('Respuestas de formulario 1.1'!$B89,DS89),#REF!,0),MATCH('Respuestas de formulario 1.1'!EN$1,#REF!,0)))</f>
        <v/>
      </c>
      <c r="EO89" s="56" t="str">
        <f t="array" ref="EO89">IF(DT89="","", INDEX(#REF!,MATCH(CONCATENATE('Respuestas de formulario 1.1'!$B89,DT89),#REF!,0),MATCH('Respuestas de formulario 1.1'!EO$1,#REF!,0)))</f>
        <v/>
      </c>
      <c r="EP89" s="45" t="str">
        <f t="array" ref="EP89">IF(DU89="","", INDEX(#REF!,MATCH(CONCATENATE('Respuestas de formulario 1.1'!$B89,DU89),#REF!,0),MATCH('Respuestas de formulario 1.1'!EP$1,#REF!,0)))</f>
        <v/>
      </c>
      <c r="EQ89" s="45" t="str">
        <f t="array" ref="EQ89">IF(DP89="","", INDEX(#REF!,MATCH(CONCATENATE('Respuestas de formulario 1.1'!$B89,DP89),#REF!,0),MATCH('Respuestas de formulario 1.1'!EQ$1,#REF!,0)))</f>
        <v/>
      </c>
      <c r="ER89" s="56" t="str">
        <f t="array" ref="ER89">IF(DQ89="","", INDEX(#REF!,MATCH(CONCATENATE('Respuestas de formulario 1.1'!$B89,DQ89),#REF!,0),MATCH('Respuestas de formulario 1.1'!ER$1,#REF!,0)))</f>
        <v/>
      </c>
      <c r="ES89" s="56" t="str">
        <f t="array" ref="ES89">IF(DR89="","", INDEX(#REF!,MATCH(CONCATENATE('Respuestas de formulario 1.1'!$B89,DR89),#REF!,0),MATCH('Respuestas de formulario 1.1'!ES$1,#REF!,0)))</f>
        <v/>
      </c>
      <c r="ET89" s="56" t="str">
        <f t="array" ref="ET89">IF(DS89="","", INDEX(#REF!,MATCH(CONCATENATE('Respuestas de formulario 1.1'!$B89,DS89),#REF!,0),MATCH('Respuestas de formulario 1.1'!ET$1,#REF!,0)))</f>
        <v/>
      </c>
      <c r="EU89" s="56" t="str">
        <f t="array" ref="EU89">IF(DT89="","", INDEX(#REF!,MATCH(CONCATENATE('Respuestas de formulario 1.1'!$B89,DT89),#REF!,0),MATCH('Respuestas de formulario 1.1'!EU$1,#REF!,0)))</f>
        <v/>
      </c>
      <c r="EV89" s="56" t="str">
        <f t="array" ref="EV89">IF(DU89="","", INDEX(#REF!,MATCH(CONCATENATE('Respuestas de formulario 1.1'!$B89,DU89),#REF!,0),MATCH('Respuestas de formulario 1.1'!EV$1,#REF!,0)))</f>
        <v/>
      </c>
      <c r="EW89" s="45" t="str">
        <f t="array" ref="EW89">IF(DV89="","", INDEX(#REF!,MATCH(CONCATENATE('Respuestas de formulario 1.1'!$B89,DV89),#REF!,0),MATCH('Respuestas de formulario 1.1'!EW$1,#REF!,0)))</f>
        <v/>
      </c>
      <c r="EX89" s="45" t="str">
        <f t="array" ref="EX89">IF($DQ89="","", INDEX(#REF!,MATCH(CONCATENATE('Respuestas de formulario 1.1'!$B89,$DQ89),#REF!,0),MATCH('Respuestas de formulario 1.1'!EX$1,#REF!,0)))</f>
        <v/>
      </c>
      <c r="EY89" s="56" t="str">
        <f t="array" ref="EY89">IF($DQ89="","", INDEX(#REF!,MATCH(CONCATENATE('Respuestas de formulario 1.1'!$B89,$DQ89),#REF!,0),MATCH('Respuestas de formulario 1.1'!EY$1,#REF!,0)))</f>
        <v/>
      </c>
      <c r="EZ89" s="56" t="str">
        <f t="array" ref="EZ89">IF($DQ89="","", INDEX(#REF!,MATCH(CONCATENATE('Respuestas de formulario 1.1'!$B89,$DQ89),#REF!,0),MATCH('Respuestas de formulario 1.1'!EZ$1,#REF!,0)))</f>
        <v/>
      </c>
      <c r="FA89" s="56" t="str">
        <f t="array" ref="FA89">IF($DQ89="","", INDEX(#REF!,MATCH(CONCATENATE('Respuestas de formulario 1.1'!$B89,$DQ89),#REF!,0),MATCH('Respuestas de formulario 1.1'!FA$1,#REF!,0)))</f>
        <v/>
      </c>
      <c r="FB89" s="56" t="str">
        <f t="array" ref="FB89">IF($DQ89="","", INDEX(#REF!,MATCH(CONCATENATE('Respuestas de formulario 1.1'!$B89,$DQ89),#REF!,0),MATCH('Respuestas de formulario 1.1'!FB$1,#REF!,0)))</f>
        <v/>
      </c>
      <c r="FC89" s="56" t="str">
        <f t="array" ref="FC89">IF($DQ89="","", INDEX(#REF!,MATCH(CONCATENATE('Respuestas de formulario 1.1'!$B89,$DQ89),#REF!,0),MATCH('Respuestas de formulario 1.1'!FC$1,#REF!,0)))</f>
        <v/>
      </c>
      <c r="FD89" s="45" t="str">
        <f t="array" ref="FD89">IF($DQ89="","", INDEX(#REF!,MATCH(CONCATENATE('Respuestas de formulario 1.1'!$B89,$DQ89),#REF!,0),MATCH('Respuestas de formulario 1.1'!FD$1,#REF!,0)))</f>
        <v/>
      </c>
      <c r="FE89" s="45" t="str">
        <f t="array" ref="FE89">IF($DR89="","", INDEX(#REF!,MATCH(CONCATENATE(#REF!,$DR89),#REF!,0),MATCH(#REF!,#REF!,0)))</f>
        <v/>
      </c>
      <c r="FF89" s="56" t="str">
        <f t="array" ref="FF89">IF($DR89="","", INDEX(#REF!,MATCH(CONCATENATE(#REF!,$DR89),#REF!,0),MATCH(#REF!,#REF!,0)))</f>
        <v/>
      </c>
      <c r="FG89" s="56" t="str">
        <f t="array" ref="FG89">IF($DR89="","", INDEX(#REF!,MATCH(CONCATENATE(#REF!,$DR89),#REF!,0),MATCH(#REF!,#REF!,0)))</f>
        <v/>
      </c>
      <c r="FH89" s="56" t="str">
        <f t="array" ref="FH89">IF($DR89="","", INDEX(#REF!,MATCH(CONCATENATE(#REF!,$DR89),#REF!,0),MATCH(#REF!,#REF!,0)))</f>
        <v/>
      </c>
      <c r="FI89" s="56" t="str">
        <f t="array" ref="FI89">IF($DR89="","", INDEX(#REF!,MATCH(CONCATENATE(#REF!,$DR89),#REF!,0),MATCH(#REF!,#REF!,0)))</f>
        <v/>
      </c>
      <c r="FJ89" s="56" t="str">
        <f t="array" ref="FJ89">IF($DR89="","", INDEX(#REF!,MATCH(CONCATENATE(#REF!,$DR89),#REF!,0),MATCH(#REF!,#REF!,0)))</f>
        <v/>
      </c>
      <c r="FK89" s="45" t="str">
        <f t="array" ref="FK89">IF($DR89="","", INDEX(#REF!,MATCH(CONCATENATE(#REF!,$DR89),#REF!,0),MATCH(#REF!,#REF!,0)))</f>
        <v/>
      </c>
      <c r="FL89" s="45" t="str">
        <f t="array" ref="FL89">IF($DT89="","", INDEX(#REF!,MATCH(CONCATENATE('Respuestas de formulario 1.1'!$B89,$DS89),#REF!,0),MATCH('Respuestas de formulario 1.1'!FL$1,#REF!,0)))</f>
        <v/>
      </c>
      <c r="FM89" s="56" t="str">
        <f t="array" ref="FM89">IF($DT89="","", INDEX(#REF!,MATCH(CONCATENATE('Respuestas de formulario 1.1'!$B89,$DS89),#REF!,0),MATCH('Respuestas de formulario 1.1'!FM$1,#REF!,0)))</f>
        <v/>
      </c>
      <c r="FN89" s="56" t="str">
        <f t="array" ref="FN89">IF($DT89="","", INDEX(#REF!,MATCH(CONCATENATE('Respuestas de formulario 1.1'!$B89,$DS89),#REF!,0),MATCH('Respuestas de formulario 1.1'!FN$1,#REF!,0)))</f>
        <v/>
      </c>
      <c r="FO89" s="56" t="str">
        <f t="array" ref="FO89">IF($DT89="","", INDEX(#REF!,MATCH(CONCATENATE('Respuestas de formulario 1.1'!$B89,$DS89),#REF!,0),MATCH('Respuestas de formulario 1.1'!FO$1,#REF!,0)))</f>
        <v/>
      </c>
      <c r="FP89" s="56" t="str">
        <f t="array" ref="FP89">IF($DT89="","", INDEX(#REF!,MATCH(CONCATENATE('Respuestas de formulario 1.1'!$B89,$DS89),#REF!,0),MATCH('Respuestas de formulario 1.1'!FP$1,#REF!,0)))</f>
        <v/>
      </c>
      <c r="FQ89" s="56" t="str">
        <f t="array" ref="FQ89">IF($DT89="","", INDEX(#REF!,MATCH(CONCATENATE('Respuestas de formulario 1.1'!$B89,$DS89),#REF!,0),MATCH('Respuestas de formulario 1.1'!FQ$1,#REF!,0)))</f>
        <v/>
      </c>
      <c r="FR89" s="45" t="str">
        <f t="array" ref="FR89">IF($DT89="","", INDEX(#REF!,MATCH(CONCATENATE('Respuestas de formulario 1.1'!$B89,$DS89),#REF!,0),MATCH('Respuestas de formulario 1.1'!FR$1,#REF!,0)))</f>
        <v/>
      </c>
      <c r="FS89" s="45" t="str">
        <f t="array" ref="FS89">IF($DU89="","", INDEX(#REF!,MATCH(CONCATENATE('Respuestas de formulario 1.1'!$B89,$DT89),#REF!,0),MATCH('Respuestas de formulario 1.1'!FS$1,#REF!,0)))</f>
        <v/>
      </c>
      <c r="FT89" s="56" t="str">
        <f t="array" ref="FT89">IF($DU89="","", INDEX(#REF!,MATCH(CONCATENATE('Respuestas de formulario 1.1'!$B89,$DT89),#REF!,0),MATCH('Respuestas de formulario 1.1'!FT$1,#REF!,0)))</f>
        <v/>
      </c>
      <c r="FU89" s="56" t="str">
        <f t="array" ref="FU89">IF($DU89="","", INDEX(#REF!,MATCH(CONCATENATE('Respuestas de formulario 1.1'!$B89,$DT89),#REF!,0),MATCH('Respuestas de formulario 1.1'!FU$1,#REF!,0)))</f>
        <v/>
      </c>
      <c r="FV89" s="56" t="str">
        <f t="array" ref="FV89">IF($DU89="","", INDEX(#REF!,MATCH(CONCATENATE('Respuestas de formulario 1.1'!$B89,$DT89),#REF!,0),MATCH('Respuestas de formulario 1.1'!FV$1,#REF!,0)))</f>
        <v/>
      </c>
      <c r="FW89" s="56" t="str">
        <f t="array" ref="FW89">IF($DU89="","", INDEX(#REF!,MATCH(CONCATENATE('Respuestas de formulario 1.1'!$B89,$DT89),#REF!,0),MATCH('Respuestas de formulario 1.1'!FW$1,#REF!,0)))</f>
        <v/>
      </c>
      <c r="FX89" s="56" t="str">
        <f t="array" ref="FX89">IF($DU89="","", INDEX(#REF!,MATCH(CONCATENATE('Respuestas de formulario 1.1'!$B89,$DT89),#REF!,0),MATCH('Respuestas de formulario 1.1'!FX$1,#REF!,0)))</f>
        <v/>
      </c>
      <c r="FY89" s="45" t="str">
        <f t="array" ref="FY89">IF($DU89="","", INDEX(#REF!,MATCH(CONCATENATE('Respuestas de formulario 1.1'!$B89,$DT89),#REF!,0),MATCH('Respuestas de formulario 1.1'!FY$1,#REF!,0)))</f>
        <v/>
      </c>
      <c r="FZ89" s="3" t="s">
        <v>2860</v>
      </c>
      <c r="GA89" s="1" t="s">
        <v>4371</v>
      </c>
      <c r="GB89" s="5" t="s">
        <v>4372</v>
      </c>
      <c r="GC89" s="4" t="str">
        <f>HYPERLINK("https://drive.google.com/file/d/1ACMtMIt9WH7gJL1YTY_R1TqPv_M8o82O/view?usp=drivesdk","LOPEZ TORRES CRISTIAN ANTONY Formato de reinscripción y pago 2022-2")</f>
        <v>LOPEZ TORRES CRISTIAN ANTONY Formato de reinscripción y pago 2022-2</v>
      </c>
      <c r="GD89" s="1" t="s">
        <v>4373</v>
      </c>
      <c r="GE89" s="1"/>
      <c r="GF89" s="1"/>
      <c r="GG89" s="1"/>
      <c r="GH89" s="1"/>
      <c r="GI89" s="1" t="s">
        <v>4374</v>
      </c>
      <c r="GJ89" s="5" t="s">
        <v>4375</v>
      </c>
      <c r="GK89" s="5" t="str">
        <f>HYPERLINK("https://drive.google.com/file/d/1kDpUbUkzfXCmufgGqa-Bpa21_z_wZnEb/view?usp=drivesdk","LOPEZ TORRES CRISTIAN ANTONY Formato de reinscripción y pago 2022-2")</f>
        <v>LOPEZ TORRES CRISTIAN ANTONY Formato de reinscripción y pago 2022-2</v>
      </c>
      <c r="GL89" s="1" t="s">
        <v>4376</v>
      </c>
    </row>
    <row r="90" spans="1:194" ht="38.25" x14ac:dyDescent="0.2">
      <c r="A90" s="2">
        <v>45139.399791446762</v>
      </c>
      <c r="B90" s="1" t="s">
        <v>39</v>
      </c>
      <c r="C90" s="1" t="s">
        <v>1541</v>
      </c>
      <c r="D90" s="1" t="s">
        <v>805</v>
      </c>
      <c r="E90" s="1" t="s">
        <v>1542</v>
      </c>
      <c r="F90" s="1" t="s">
        <v>223</v>
      </c>
      <c r="G90" s="5" t="s">
        <v>4377</v>
      </c>
      <c r="H90" s="41">
        <v>38997</v>
      </c>
      <c r="I90" s="1">
        <v>16</v>
      </c>
      <c r="J90" s="1">
        <v>5522974594</v>
      </c>
      <c r="K90" s="1">
        <v>5557432110</v>
      </c>
      <c r="L90" s="1" t="s">
        <v>1543</v>
      </c>
      <c r="M90" s="1">
        <v>21309060570803</v>
      </c>
      <c r="N90" s="1" t="s">
        <v>1108</v>
      </c>
      <c r="O90" s="1" t="s">
        <v>225</v>
      </c>
      <c r="P90" s="1" t="s">
        <v>226</v>
      </c>
      <c r="Q90" s="1" t="s">
        <v>227</v>
      </c>
      <c r="R90" s="1" t="s">
        <v>236</v>
      </c>
      <c r="S90" s="1" t="s">
        <v>228</v>
      </c>
      <c r="T90" s="1" t="s">
        <v>411</v>
      </c>
      <c r="U90" s="1" t="s">
        <v>264</v>
      </c>
      <c r="V90" s="1" t="s">
        <v>228</v>
      </c>
      <c r="W90" s="1" t="s">
        <v>4378</v>
      </c>
      <c r="X90" s="1" t="s">
        <v>264</v>
      </c>
      <c r="Y90" s="1" t="s">
        <v>1442</v>
      </c>
      <c r="Z90" s="1" t="s">
        <v>240</v>
      </c>
      <c r="AA90" s="1">
        <v>57000</v>
      </c>
      <c r="AB90" s="1">
        <v>375</v>
      </c>
      <c r="AC90" s="1">
        <v>0</v>
      </c>
      <c r="AD90" s="1" t="s">
        <v>4379</v>
      </c>
      <c r="AE90" s="1" t="s">
        <v>4380</v>
      </c>
      <c r="AF90" s="1" t="s">
        <v>445</v>
      </c>
      <c r="AG90" s="1">
        <v>38</v>
      </c>
      <c r="AH90" s="5" t="s">
        <v>4381</v>
      </c>
      <c r="AI90" s="1">
        <v>5586154755</v>
      </c>
      <c r="AJ90" s="1">
        <v>5557432110</v>
      </c>
      <c r="AK90" s="1" t="s">
        <v>1544</v>
      </c>
      <c r="AL90" s="1" t="s">
        <v>1541</v>
      </c>
      <c r="AM90" s="1" t="s">
        <v>805</v>
      </c>
      <c r="AN90" s="1" t="s">
        <v>4382</v>
      </c>
      <c r="AO90" s="1" t="s">
        <v>758</v>
      </c>
      <c r="AP90" s="1">
        <v>19</v>
      </c>
      <c r="AQ90" s="1" t="s">
        <v>1044</v>
      </c>
      <c r="AR90" s="42">
        <v>0.29166666666424135</v>
      </c>
      <c r="AS90" s="42">
        <v>8.3333333335758653E-2</v>
      </c>
      <c r="AT90" s="1">
        <v>5527260743</v>
      </c>
      <c r="AU90" s="1">
        <v>5557432110</v>
      </c>
      <c r="AV90" s="1" t="s">
        <v>4383</v>
      </c>
      <c r="AW90" s="5" t="s">
        <v>4384</v>
      </c>
      <c r="AX90" s="1" t="s">
        <v>1541</v>
      </c>
      <c r="AY90" s="1" t="s">
        <v>759</v>
      </c>
      <c r="AZ90" s="1" t="s">
        <v>1828</v>
      </c>
      <c r="BA90" s="1" t="s">
        <v>435</v>
      </c>
      <c r="BB90" s="1">
        <v>39</v>
      </c>
      <c r="BC90" s="1" t="s">
        <v>2256</v>
      </c>
      <c r="BD90" s="43">
        <v>0.33333333333575865</v>
      </c>
      <c r="BE90" s="43">
        <v>0.16666666666424135</v>
      </c>
      <c r="BF90" s="1">
        <v>5540601725</v>
      </c>
      <c r="BG90" s="1">
        <v>5557432110</v>
      </c>
      <c r="BH90" s="1" t="s">
        <v>1545</v>
      </c>
      <c r="BI90" s="5" t="s">
        <v>4385</v>
      </c>
      <c r="BJ90" s="1" t="s">
        <v>236</v>
      </c>
      <c r="BL90" s="1">
        <v>1.62</v>
      </c>
      <c r="BM90" s="1">
        <v>68</v>
      </c>
      <c r="BN90" s="1" t="s">
        <v>236</v>
      </c>
      <c r="BO90" s="1" t="s">
        <v>228</v>
      </c>
      <c r="BP90" s="1" t="s">
        <v>297</v>
      </c>
      <c r="BQ90" s="1" t="s">
        <v>228</v>
      </c>
      <c r="BR90" s="1" t="s">
        <v>237</v>
      </c>
      <c r="BS90" s="1" t="s">
        <v>228</v>
      </c>
      <c r="BT90" s="1" t="s">
        <v>237</v>
      </c>
      <c r="BU90" s="1" t="s">
        <v>228</v>
      </c>
      <c r="BV90" s="4" t="s">
        <v>4386</v>
      </c>
      <c r="BW90" s="1" t="s">
        <v>238</v>
      </c>
      <c r="BX90" s="1">
        <v>30</v>
      </c>
      <c r="BY90" s="1">
        <v>150</v>
      </c>
      <c r="BZ90" s="1" t="s">
        <v>298</v>
      </c>
      <c r="CA90" s="1" t="s">
        <v>343</v>
      </c>
      <c r="CB90" s="1" t="s">
        <v>240</v>
      </c>
      <c r="CC90" s="1" t="s">
        <v>274</v>
      </c>
      <c r="CD90" s="1">
        <v>1500</v>
      </c>
      <c r="CE90" s="1">
        <v>2500</v>
      </c>
      <c r="CF90" s="1" t="s">
        <v>236</v>
      </c>
      <c r="CG90" s="1" t="s">
        <v>242</v>
      </c>
      <c r="CH90" s="1" t="s">
        <v>243</v>
      </c>
      <c r="CI90" s="1" t="s">
        <v>243</v>
      </c>
      <c r="CJ90" s="1" t="s">
        <v>2848</v>
      </c>
      <c r="CL90" s="5" t="s">
        <v>4387</v>
      </c>
      <c r="CM90" s="1">
        <v>80198406961</v>
      </c>
      <c r="CN90" s="1" t="s">
        <v>228</v>
      </c>
      <c r="CQ90" s="42">
        <v>0.375</v>
      </c>
      <c r="CR90" s="42">
        <v>0.79166666666424135</v>
      </c>
      <c r="CT90" s="45" t="str">
        <f t="array" ref="CT90">IFERROR(INDEX(#REF!,MATCH('Respuestas de formulario 1.1'!$B90,#REF!,0),MATCH('Respuestas de formulario 1.1'!CT$1,#REF!,0)),"")</f>
        <v/>
      </c>
      <c r="CU90" s="56" t="str">
        <f t="array" ref="CU90">IFERROR(INDEX(#REF!,MATCH('Respuestas de formulario 1.1'!$B90,#REF!,0),MATCH('Respuestas de formulario 1.1'!CU$1,#REF!,0)),"")</f>
        <v/>
      </c>
      <c r="CV90" s="56" t="str">
        <f t="array" ref="CV90">IFERROR(INDEX(#REF!,MATCH('Respuestas de formulario 1.1'!$B90,#REF!,0),MATCH('Respuestas de formulario 1.1'!CV$1,#REF!,0)),"")</f>
        <v/>
      </c>
      <c r="CW90" s="56" t="str">
        <f t="array" ref="CW90">IFERROR(INDEX(#REF!,MATCH('Respuestas de formulario 1.1'!$B90,#REF!,0),MATCH('Respuestas de formulario 1.1'!CW$1,#REF!,0)),"")</f>
        <v/>
      </c>
      <c r="CX90" s="56" t="str">
        <f t="array" ref="CX90">IFERROR(INDEX(#REF!,MATCH('Respuestas de formulario 1.1'!$B90,#REF!,0),MATCH('Respuestas de formulario 1.1'!CX$1,#REF!,0)),"")</f>
        <v/>
      </c>
      <c r="CY90" s="56" t="str">
        <f t="array" ref="CY90">IFERROR(INDEX(#REF!,MATCH('Respuestas de formulario 1.1'!$B90,#REF!,0),MATCH('Respuestas de formulario 1.1'!CY$1,#REF!,0)),"")</f>
        <v/>
      </c>
      <c r="CZ90" s="57" t="str">
        <f t="array" ref="CZ90">IFERROR(INDEX(#REF!,MATCH('Respuestas de formulario 1.1'!$B90,#REF!,0),MATCH('Respuestas de formulario 1.1'!CZ$1,#REF!,0)),"")</f>
        <v/>
      </c>
      <c r="DA90" s="45" t="e">
        <f t="array" ref="DA90">INDEX(#REF!,MATCH('Respuestas de formulario 1.1'!$B90,#REF!,0),MATCH('Respuestas de formulario 1.1'!DA$1,#REF!,0))</f>
        <v>#REF!</v>
      </c>
      <c r="DB90" s="45" t="e">
        <f t="array" ref="DB90">INDEX(#REF!,MATCH('Respuestas de formulario 1.1'!$B90,#REF!,0),MATCH('Respuestas de formulario 1.1'!DB$1,#REF!,0))</f>
        <v>#REF!</v>
      </c>
      <c r="DC90" s="45" t="e">
        <f t="array" ref="DC90">INDEX(#REF!,MATCH('Respuestas de formulario 1.1'!$B90,#REF!,0),MATCH('Respuestas de formulario 1.1'!DC$1,#REF!,0))</f>
        <v>#REF!</v>
      </c>
      <c r="DD90" s="45" t="e">
        <f t="array" ref="DD90">INDEX(#REF!,MATCH('Respuestas de formulario 1.1'!$B90,#REF!,0),MATCH('Respuestas de formulario 1.1'!DD$1,#REF!,0))</f>
        <v>#REF!</v>
      </c>
      <c r="DE90" s="45" t="e">
        <f t="array" ref="DE90">INDEX(#REF!,MATCH('Respuestas de formulario 1.1'!$B90,#REF!,0),MATCH('Respuestas de formulario 1.1'!DE$1,#REF!,0))</f>
        <v>#REF!</v>
      </c>
      <c r="DF90" s="45" t="e">
        <f t="array" ref="DF90">INDEX(#REF!,MATCH('Respuestas de formulario 1.1'!$B90,#REF!,0),MATCH('Respuestas de formulario 1.1'!DF$1,#REF!,0))</f>
        <v>#REF!</v>
      </c>
      <c r="DG90" s="45" t="e">
        <f t="array" ref="DG90">INDEX(#REF!,MATCH('Respuestas de formulario 1.1'!$B90,#REF!,0),MATCH('Respuestas de formulario 1.1'!DG$1,#REF!,0))</f>
        <v>#REF!</v>
      </c>
      <c r="DH90" s="45" t="e">
        <f t="array" ref="DH90">INDEX(#REF!,MATCH('Respuestas de formulario 1.1'!$B90,#REF!,0),MATCH('Respuestas de formulario 1.1'!DH$1,#REF!,0))</f>
        <v>#REF!</v>
      </c>
      <c r="DI90" s="48" t="e">
        <f>VLOOKUP(CONCATENATE($DF90," TUTO ",$DC90),#REF!,3,0)</f>
        <v>#REF!</v>
      </c>
      <c r="DJ90" s="48" t="e">
        <f t="array" ref="DJ90">IF('Respuestas de formulario 1.1'!A90="","",INDEX(#REF!,MATCH('Respuestas de formulario 1.1'!B90,#REF!,0),MATCH('Respuestas de formulario 1.1'!$DH$1,#REF!,0)))</f>
        <v>#REF!</v>
      </c>
      <c r="DK90" s="52" t="str">
        <f>CONCATENATE("http://doc.google.com/uc?id=",MID('Respuestas de formulario 1.1'!G90,34,33))</f>
        <v>http://doc.google.com/uc?id=1VtzZiHyuJQSjEztFHAaaEETe2MiYQt_s</v>
      </c>
      <c r="DL90" s="49" t="str">
        <f>CONCATENATE("http://doc.google.com/uc?id=",MID('Respuestas de formulario 1.1'!AH90,34,33))</f>
        <v>http://doc.google.com/uc?id=1gxs3H2VA4rF9BbhqzOlRkky0BdXo-g4H</v>
      </c>
      <c r="DM90" s="50" t="str">
        <f>CONCATENATE("http://doc.google.com/uc?id=",MID('Respuestas de formulario 1.1'!AW90,34,33))</f>
        <v>http://doc.google.com/uc?id=18KugviJo3OYcB4t70Z6zxEGn6_sTmMkU</v>
      </c>
      <c r="DN90" s="53" t="str">
        <f>CONCATENATE("http://doc.google.com/uc?id=",MID('Respuestas de formulario 1.1'!$BI90,34,33))</f>
        <v>http://doc.google.com/uc?id=1LqD3xh5u5egsfAMg_zyIQ_h5Wg4TUZAq</v>
      </c>
      <c r="DO90" s="45" t="str">
        <f>IFERROR(VLOOKUP(CONCATENATE('Respuestas de formulario 1.1'!$B90,MID('Respuestas de formulario 1.1'!DO$1,2,1)),#REF!,12,0),"")</f>
        <v/>
      </c>
      <c r="DP90" s="45" t="str">
        <f>IFERROR(VLOOKUP(CONCATENATE('Respuestas de formulario 1.1'!$B90,MID('Respuestas de formulario 1.1'!DP$1,2,1)),#REF!,12,0),"")</f>
        <v/>
      </c>
      <c r="DQ90" s="45" t="str">
        <f>IFERROR(VLOOKUP(CONCATENATE('Respuestas de formulario 1.1'!$B90,MID('Respuestas de formulario 1.1'!DQ$1,2,1)),#REF!,12,0),"")</f>
        <v/>
      </c>
      <c r="DR90" s="45" t="str">
        <f>IFERROR(VLOOKUP(CONCATENATE('Respuestas de formulario 1.1'!$B90,MID('Respuestas de formulario 1.1'!DR$1,2,1)),#REF!,12,0),"")</f>
        <v/>
      </c>
      <c r="DS90" s="45" t="str">
        <f>IFERROR(VLOOKUP(CONCATENATE('Respuestas de formulario 1.1'!$B90,MID('Respuestas de formulario 1.1'!DS$1,2,1)),#REF!,12,0),"")</f>
        <v/>
      </c>
      <c r="DT90" s="45" t="str">
        <f>IFERROR(VLOOKUP(CONCATENATE('Respuestas de formulario 1.1'!$B90,MID('Respuestas de formulario 1.1'!DT$1,2,1)),#REF!,12,0),"")</f>
        <v/>
      </c>
      <c r="DU90" s="45" t="str">
        <f>IFERROR(VLOOKUP(CONCATENATE('Respuestas de formulario 1.1'!$B90,MID('Respuestas de formulario 1.1'!DU$1,2,1)),#REF!,12,0),"")</f>
        <v/>
      </c>
      <c r="DV90" s="45" t="str">
        <f>IFERROR(VLOOKUP(CONCATENATE('Respuestas de formulario 1.1'!$B90,MID('Respuestas de formulario 1.1'!DV$1,2,1)),#REF!,12,0),"")</f>
        <v/>
      </c>
      <c r="DW90" s="45" t="str">
        <f>IFERROR(VLOOKUP(CONCATENATE('Respuestas de formulario 1.1'!$B90,MID('Respuestas de formulario 1.1'!DW$1,2,1)),#REF!,12,0),"")</f>
        <v/>
      </c>
      <c r="DX90" s="45" t="str">
        <f>IFERROR(VLOOKUP(CONCATENATE('Respuestas de formulario 1.1'!$B90,MID('Respuestas de formulario 1.1'!DX$1,2,1)),#REF!,12,0),"")</f>
        <v/>
      </c>
      <c r="DY90" s="45" t="str">
        <f>IFERROR(VLOOKUP(CONCATENATE('Respuestas de formulario 1.1'!$B90,MID('Respuestas de formulario 1.1'!DY$1,2,1)),#REF!,12,0),"")</f>
        <v/>
      </c>
      <c r="DZ90" s="45" t="str">
        <f>IFERROR(VLOOKUP(CONCATENATE('Respuestas de formulario 1.1'!$B90,MID('Respuestas de formulario 1.1'!DZ$1,2,1)),#REF!,12,0),"")</f>
        <v/>
      </c>
      <c r="EA90" s="45" t="str">
        <f>IFERROR(VLOOKUP(CONCATENATE('Respuestas de formulario 1.1'!$B90,MID('Respuestas de formulario 1.1'!EA$1,2,1)),#REF!,12,0),"")</f>
        <v/>
      </c>
      <c r="EB90" s="45" t="str">
        <f>IFERROR(VLOOKUP(CONCATENATE('Respuestas de formulario 1.1'!$B90,MID('Respuestas de formulario 1.1'!EB$1,2,1)),#REF!,12,0),"")</f>
        <v/>
      </c>
      <c r="EC90" s="45" t="str">
        <f>IFERROR(VLOOKUP(CONCATENATE('Respuestas de formulario 1.1'!$B90,MID('Respuestas de formulario 1.1'!EC$1,2,1)),#REF!,12,0),"")</f>
        <v/>
      </c>
      <c r="ED90" s="45" t="str">
        <f>IFERROR(VLOOKUP(CONCATENATE('Respuestas de formulario 1.1'!$B90,MID('Respuestas de formulario 1.1'!ED$1,2,1)),#REF!,12,0),"")</f>
        <v/>
      </c>
      <c r="EE90" s="45" t="str">
        <f>IFERROR(VLOOKUP(CONCATENATE('Respuestas de formulario 1.1'!$B90,MID('Respuestas de formulario 1.1'!EE$1,2,1)),#REF!,12,0),"")</f>
        <v/>
      </c>
      <c r="EF90" s="45" t="str">
        <f>IFERROR(VLOOKUP(CONCATENATE('Respuestas de formulario 1.1'!$B90,MID('Respuestas de formulario 1.1'!EF$1,2,1)),#REF!,12,0),"")</f>
        <v/>
      </c>
      <c r="EG90" s="45" t="str">
        <f>IFERROR(VLOOKUP(CONCATENATE('Respuestas de formulario 1.1'!$B90,MID('Respuestas de formulario 1.1'!EG$1,2,1)),#REF!,12,0),"")</f>
        <v/>
      </c>
      <c r="EH90" s="45" t="str">
        <f>IFERROR(VLOOKUP(CONCATENATE('Respuestas de formulario 1.1'!$B90,MID('Respuestas de formulario 1.1'!EH$1,2,1)),#REF!,12,0),"")</f>
        <v/>
      </c>
      <c r="EI90" s="45" t="str">
        <f>IFERROR(VLOOKUP(CONCATENATE('Respuestas de formulario 1.1'!$B90,MID('Respuestas de formulario 1.1'!EI$1,2,1)),#REF!,12,0),"")</f>
        <v/>
      </c>
      <c r="EJ90" s="45" t="str">
        <f t="array" ref="EJ90">IF(DO90="","", INDEX(#REF!,MATCH(CONCATENATE('Respuestas de formulario 1.1'!$B90,DO90),#REF!,0),MATCH('Respuestas de formulario 1.1'!EJ$1,#REF!,0)))</f>
        <v/>
      </c>
      <c r="EK90" s="56" t="str">
        <f t="array" ref="EK90">IF(DP90="","", INDEX(#REF!,MATCH(CONCATENATE('Respuestas de formulario 1.1'!$B90,DP90),#REF!,0),MATCH('Respuestas de formulario 1.1'!EK$1,#REF!,0)))</f>
        <v/>
      </c>
      <c r="EL90" s="56" t="str">
        <f t="array" ref="EL90">IF(DQ90="","", INDEX(#REF!,MATCH(CONCATENATE('Respuestas de formulario 1.1'!$B90,DQ90),#REF!,0),MATCH('Respuestas de formulario 1.1'!EL$1,#REF!,0)))</f>
        <v/>
      </c>
      <c r="EM90" s="56" t="str">
        <f t="array" ref="EM90">IF(DR90="","", INDEX(#REF!,MATCH(CONCATENATE('Respuestas de formulario 1.1'!$B90,DR90),#REF!,0),MATCH('Respuestas de formulario 1.1'!EM$1,#REF!,0)))</f>
        <v/>
      </c>
      <c r="EN90" s="56" t="str">
        <f t="array" ref="EN90">IF(DS90="","", INDEX(#REF!,MATCH(CONCATENATE('Respuestas de formulario 1.1'!$B90,DS90),#REF!,0),MATCH('Respuestas de formulario 1.1'!EN$1,#REF!,0)))</f>
        <v/>
      </c>
      <c r="EO90" s="56" t="str">
        <f t="array" ref="EO90">IF(DT90="","", INDEX(#REF!,MATCH(CONCATENATE('Respuestas de formulario 1.1'!$B90,DT90),#REF!,0),MATCH('Respuestas de formulario 1.1'!EO$1,#REF!,0)))</f>
        <v/>
      </c>
      <c r="EP90" s="45" t="str">
        <f t="array" ref="EP90">IF(DU90="","", INDEX(#REF!,MATCH(CONCATENATE('Respuestas de formulario 1.1'!$B90,DU90),#REF!,0),MATCH('Respuestas de formulario 1.1'!EP$1,#REF!,0)))</f>
        <v/>
      </c>
      <c r="EQ90" s="45" t="str">
        <f t="array" ref="EQ90">IF(DP90="","", INDEX(#REF!,MATCH(CONCATENATE('Respuestas de formulario 1.1'!$B90,DP90),#REF!,0),MATCH('Respuestas de formulario 1.1'!EQ$1,#REF!,0)))</f>
        <v/>
      </c>
      <c r="ER90" s="56" t="str">
        <f t="array" ref="ER90">IF(DQ90="","", INDEX(#REF!,MATCH(CONCATENATE('Respuestas de formulario 1.1'!$B90,DQ90),#REF!,0),MATCH('Respuestas de formulario 1.1'!ER$1,#REF!,0)))</f>
        <v/>
      </c>
      <c r="ES90" s="56" t="str">
        <f t="array" ref="ES90">IF(DR90="","", INDEX(#REF!,MATCH(CONCATENATE('Respuestas de formulario 1.1'!$B90,DR90),#REF!,0),MATCH('Respuestas de formulario 1.1'!ES$1,#REF!,0)))</f>
        <v/>
      </c>
      <c r="ET90" s="56" t="str">
        <f t="array" ref="ET90">IF(DS90="","", INDEX(#REF!,MATCH(CONCATENATE('Respuestas de formulario 1.1'!$B90,DS90),#REF!,0),MATCH('Respuestas de formulario 1.1'!ET$1,#REF!,0)))</f>
        <v/>
      </c>
      <c r="EU90" s="56" t="str">
        <f t="array" ref="EU90">IF(DT90="","", INDEX(#REF!,MATCH(CONCATENATE('Respuestas de formulario 1.1'!$B90,DT90),#REF!,0),MATCH('Respuestas de formulario 1.1'!EU$1,#REF!,0)))</f>
        <v/>
      </c>
      <c r="EV90" s="56" t="str">
        <f t="array" ref="EV90">IF(DU90="","", INDEX(#REF!,MATCH(CONCATENATE('Respuestas de formulario 1.1'!$B90,DU90),#REF!,0),MATCH('Respuestas de formulario 1.1'!EV$1,#REF!,0)))</f>
        <v/>
      </c>
      <c r="EW90" s="45" t="str">
        <f t="array" ref="EW90">IF(DV90="","", INDEX(#REF!,MATCH(CONCATENATE('Respuestas de formulario 1.1'!$B90,DV90),#REF!,0),MATCH('Respuestas de formulario 1.1'!EW$1,#REF!,0)))</f>
        <v/>
      </c>
      <c r="EX90" s="45" t="str">
        <f t="array" ref="EX90">IF($DQ90="","", INDEX(#REF!,MATCH(CONCATENATE('Respuestas de formulario 1.1'!$B90,$DQ90),#REF!,0),MATCH('Respuestas de formulario 1.1'!EX$1,#REF!,0)))</f>
        <v/>
      </c>
      <c r="EY90" s="56" t="str">
        <f t="array" ref="EY90">IF($DQ90="","", INDEX(#REF!,MATCH(CONCATENATE('Respuestas de formulario 1.1'!$B90,$DQ90),#REF!,0),MATCH('Respuestas de formulario 1.1'!EY$1,#REF!,0)))</f>
        <v/>
      </c>
      <c r="EZ90" s="56" t="str">
        <f t="array" ref="EZ90">IF($DQ90="","", INDEX(#REF!,MATCH(CONCATENATE('Respuestas de formulario 1.1'!$B90,$DQ90),#REF!,0),MATCH('Respuestas de formulario 1.1'!EZ$1,#REF!,0)))</f>
        <v/>
      </c>
      <c r="FA90" s="56" t="str">
        <f t="array" ref="FA90">IF($DQ90="","", INDEX(#REF!,MATCH(CONCATENATE('Respuestas de formulario 1.1'!$B90,$DQ90),#REF!,0),MATCH('Respuestas de formulario 1.1'!FA$1,#REF!,0)))</f>
        <v/>
      </c>
      <c r="FB90" s="56" t="str">
        <f t="array" ref="FB90">IF($DQ90="","", INDEX(#REF!,MATCH(CONCATENATE('Respuestas de formulario 1.1'!$B90,$DQ90),#REF!,0),MATCH('Respuestas de formulario 1.1'!FB$1,#REF!,0)))</f>
        <v/>
      </c>
      <c r="FC90" s="56" t="str">
        <f t="array" ref="FC90">IF($DQ90="","", INDEX(#REF!,MATCH(CONCATENATE('Respuestas de formulario 1.1'!$B90,$DQ90),#REF!,0),MATCH('Respuestas de formulario 1.1'!FC$1,#REF!,0)))</f>
        <v/>
      </c>
      <c r="FD90" s="45" t="str">
        <f t="array" ref="FD90">IF($DQ90="","", INDEX(#REF!,MATCH(CONCATENATE('Respuestas de formulario 1.1'!$B90,$DQ90),#REF!,0),MATCH('Respuestas de formulario 1.1'!FD$1,#REF!,0)))</f>
        <v/>
      </c>
      <c r="FE90" s="45" t="str">
        <f t="array" ref="FE90">IF($DR90="","", INDEX(#REF!,MATCH(CONCATENATE(#REF!,$DR90),#REF!,0),MATCH(#REF!,#REF!,0)))</f>
        <v/>
      </c>
      <c r="FF90" s="56" t="str">
        <f t="array" ref="FF90">IF($DR90="","", INDEX(#REF!,MATCH(CONCATENATE(#REF!,$DR90),#REF!,0),MATCH(#REF!,#REF!,0)))</f>
        <v/>
      </c>
      <c r="FG90" s="56" t="str">
        <f t="array" ref="FG90">IF($DR90="","", INDEX(#REF!,MATCH(CONCATENATE(#REF!,$DR90),#REF!,0),MATCH(#REF!,#REF!,0)))</f>
        <v/>
      </c>
      <c r="FH90" s="56" t="str">
        <f t="array" ref="FH90">IF($DR90="","", INDEX(#REF!,MATCH(CONCATENATE(#REF!,$DR90),#REF!,0),MATCH(#REF!,#REF!,0)))</f>
        <v/>
      </c>
      <c r="FI90" s="56" t="str">
        <f t="array" ref="FI90">IF($DR90="","", INDEX(#REF!,MATCH(CONCATENATE(#REF!,$DR90),#REF!,0),MATCH(#REF!,#REF!,0)))</f>
        <v/>
      </c>
      <c r="FJ90" s="56" t="str">
        <f t="array" ref="FJ90">IF($DR90="","", INDEX(#REF!,MATCH(CONCATENATE(#REF!,$DR90),#REF!,0),MATCH(#REF!,#REF!,0)))</f>
        <v/>
      </c>
      <c r="FK90" s="45" t="str">
        <f t="array" ref="FK90">IF($DR90="","", INDEX(#REF!,MATCH(CONCATENATE(#REF!,$DR90),#REF!,0),MATCH(#REF!,#REF!,0)))</f>
        <v/>
      </c>
      <c r="FL90" s="45" t="str">
        <f t="array" ref="FL90">IF($DT90="","", INDEX(#REF!,MATCH(CONCATENATE('Respuestas de formulario 1.1'!$B90,$DS90),#REF!,0),MATCH('Respuestas de formulario 1.1'!FL$1,#REF!,0)))</f>
        <v/>
      </c>
      <c r="FM90" s="56" t="str">
        <f t="array" ref="FM90">IF($DT90="","", INDEX(#REF!,MATCH(CONCATENATE('Respuestas de formulario 1.1'!$B90,$DS90),#REF!,0),MATCH('Respuestas de formulario 1.1'!FM$1,#REF!,0)))</f>
        <v/>
      </c>
      <c r="FN90" s="56" t="str">
        <f t="array" ref="FN90">IF($DT90="","", INDEX(#REF!,MATCH(CONCATENATE('Respuestas de formulario 1.1'!$B90,$DS90),#REF!,0),MATCH('Respuestas de formulario 1.1'!FN$1,#REF!,0)))</f>
        <v/>
      </c>
      <c r="FO90" s="56" t="str">
        <f t="array" ref="FO90">IF($DT90="","", INDEX(#REF!,MATCH(CONCATENATE('Respuestas de formulario 1.1'!$B90,$DS90),#REF!,0),MATCH('Respuestas de formulario 1.1'!FO$1,#REF!,0)))</f>
        <v/>
      </c>
      <c r="FP90" s="56" t="str">
        <f t="array" ref="FP90">IF($DT90="","", INDEX(#REF!,MATCH(CONCATENATE('Respuestas de formulario 1.1'!$B90,$DS90),#REF!,0),MATCH('Respuestas de formulario 1.1'!FP$1,#REF!,0)))</f>
        <v/>
      </c>
      <c r="FQ90" s="56" t="str">
        <f t="array" ref="FQ90">IF($DT90="","", INDEX(#REF!,MATCH(CONCATENATE('Respuestas de formulario 1.1'!$B90,$DS90),#REF!,0),MATCH('Respuestas de formulario 1.1'!FQ$1,#REF!,0)))</f>
        <v/>
      </c>
      <c r="FR90" s="45" t="str">
        <f t="array" ref="FR90">IF($DT90="","", INDEX(#REF!,MATCH(CONCATENATE('Respuestas de formulario 1.1'!$B90,$DS90),#REF!,0),MATCH('Respuestas de formulario 1.1'!FR$1,#REF!,0)))</f>
        <v/>
      </c>
      <c r="FS90" s="45" t="str">
        <f t="array" ref="FS90">IF($DU90="","", INDEX(#REF!,MATCH(CONCATENATE('Respuestas de formulario 1.1'!$B90,$DT90),#REF!,0),MATCH('Respuestas de formulario 1.1'!FS$1,#REF!,0)))</f>
        <v/>
      </c>
      <c r="FT90" s="56" t="str">
        <f t="array" ref="FT90">IF($DU90="","", INDEX(#REF!,MATCH(CONCATENATE('Respuestas de formulario 1.1'!$B90,$DT90),#REF!,0),MATCH('Respuestas de formulario 1.1'!FT$1,#REF!,0)))</f>
        <v/>
      </c>
      <c r="FU90" s="56" t="str">
        <f t="array" ref="FU90">IF($DU90="","", INDEX(#REF!,MATCH(CONCATENATE('Respuestas de formulario 1.1'!$B90,$DT90),#REF!,0),MATCH('Respuestas de formulario 1.1'!FU$1,#REF!,0)))</f>
        <v/>
      </c>
      <c r="FV90" s="56" t="str">
        <f t="array" ref="FV90">IF($DU90="","", INDEX(#REF!,MATCH(CONCATENATE('Respuestas de formulario 1.1'!$B90,$DT90),#REF!,0),MATCH('Respuestas de formulario 1.1'!FV$1,#REF!,0)))</f>
        <v/>
      </c>
      <c r="FW90" s="56" t="str">
        <f t="array" ref="FW90">IF($DU90="","", INDEX(#REF!,MATCH(CONCATENATE('Respuestas de formulario 1.1'!$B90,$DT90),#REF!,0),MATCH('Respuestas de formulario 1.1'!FW$1,#REF!,0)))</f>
        <v/>
      </c>
      <c r="FX90" s="56" t="str">
        <f t="array" ref="FX90">IF($DU90="","", INDEX(#REF!,MATCH(CONCATENATE('Respuestas de formulario 1.1'!$B90,$DT90),#REF!,0),MATCH('Respuestas de formulario 1.1'!FX$1,#REF!,0)))</f>
        <v/>
      </c>
      <c r="FY90" s="45" t="str">
        <f t="array" ref="FY90">IF($DU90="","", INDEX(#REF!,MATCH(CONCATENATE('Respuestas de formulario 1.1'!$B90,$DT90),#REF!,0),MATCH('Respuestas de formulario 1.1'!FY$1,#REF!,0)))</f>
        <v/>
      </c>
      <c r="FZ90" s="3" t="s">
        <v>2860</v>
      </c>
      <c r="GA90" s="1" t="s">
        <v>4388</v>
      </c>
      <c r="GB90" s="5" t="s">
        <v>4389</v>
      </c>
      <c r="GC90" s="4" t="str">
        <f>HYPERLINK("https://drive.google.com/file/d/14P3aaX7yKB2hU7dCFcUEVuKWJwDMdtDD/view?usp=drivesdk","GIL  ENRIQUEZ  NAOMY YAZMIN  Formato de reinscripción y pago 2022-2")</f>
        <v>GIL  ENRIQUEZ  NAOMY YAZMIN  Formato de reinscripción y pago 2022-2</v>
      </c>
      <c r="GD90" s="1" t="s">
        <v>4390</v>
      </c>
      <c r="GE90" s="1"/>
      <c r="GF90" s="1"/>
      <c r="GG90" s="1"/>
      <c r="GH90" s="1"/>
      <c r="GI90" s="1" t="s">
        <v>4391</v>
      </c>
      <c r="GJ90" s="5" t="s">
        <v>4392</v>
      </c>
      <c r="GK90" s="5" t="str">
        <f>HYPERLINK("https://drive.google.com/file/d/1Vp9k-5ttNq-WVR1PcJ8pKwEtcm-OR8ZX/view?usp=drivesdk","GIL  ENRIQUEZ  NAOMY YAZMIN  Formato de reinscripción y pago 2022-2")</f>
        <v>GIL  ENRIQUEZ  NAOMY YAZMIN  Formato de reinscripción y pago 2022-2</v>
      </c>
      <c r="GL90" s="1" t="s">
        <v>4393</v>
      </c>
    </row>
    <row r="91" spans="1:194" ht="38.25" x14ac:dyDescent="0.2">
      <c r="A91" s="2">
        <v>45139.400258275462</v>
      </c>
      <c r="B91" s="1" t="s">
        <v>51</v>
      </c>
      <c r="C91" s="1" t="s">
        <v>425</v>
      </c>
      <c r="D91" s="1" t="s">
        <v>426</v>
      </c>
      <c r="E91" s="1" t="s">
        <v>427</v>
      </c>
      <c r="F91" s="1" t="s">
        <v>223</v>
      </c>
      <c r="G91" s="5" t="s">
        <v>4394</v>
      </c>
      <c r="H91" s="41">
        <v>38734</v>
      </c>
      <c r="I91" s="1">
        <v>17</v>
      </c>
      <c r="J91" s="1">
        <v>5519351695</v>
      </c>
      <c r="K91" s="1">
        <v>5515231919</v>
      </c>
      <c r="L91" s="1" t="s">
        <v>4395</v>
      </c>
      <c r="M91" s="1">
        <v>21309060570089</v>
      </c>
      <c r="N91" s="1" t="s">
        <v>1108</v>
      </c>
      <c r="O91" s="1" t="s">
        <v>225</v>
      </c>
      <c r="P91" s="1" t="s">
        <v>278</v>
      </c>
      <c r="Q91" s="1" t="s">
        <v>315</v>
      </c>
      <c r="R91" s="1" t="s">
        <v>236</v>
      </c>
      <c r="S91" s="1" t="s">
        <v>228</v>
      </c>
      <c r="T91" s="1" t="s">
        <v>229</v>
      </c>
      <c r="U91" s="1" t="s">
        <v>249</v>
      </c>
      <c r="V91" s="1" t="s">
        <v>228</v>
      </c>
      <c r="W91" s="1" t="s">
        <v>4396</v>
      </c>
      <c r="X91" s="1" t="s">
        <v>249</v>
      </c>
      <c r="Y91" s="1" t="s">
        <v>1593</v>
      </c>
      <c r="Z91" s="1" t="s">
        <v>240</v>
      </c>
      <c r="AA91" s="44" t="s">
        <v>428</v>
      </c>
      <c r="AB91" s="1">
        <v>35</v>
      </c>
      <c r="AC91" s="1">
        <v>0</v>
      </c>
      <c r="AD91" s="1" t="s">
        <v>1922</v>
      </c>
      <c r="AE91" s="1" t="s">
        <v>4397</v>
      </c>
      <c r="AF91" s="1" t="s">
        <v>445</v>
      </c>
      <c r="AG91" s="1">
        <v>46</v>
      </c>
      <c r="AH91" s="5" t="s">
        <v>4398</v>
      </c>
      <c r="AI91" s="1">
        <v>5515231919</v>
      </c>
      <c r="AJ91" s="1">
        <v>5515231919</v>
      </c>
      <c r="AK91" s="1" t="s">
        <v>4399</v>
      </c>
      <c r="AL91" s="1" t="s">
        <v>2023</v>
      </c>
      <c r="AM91" s="1" t="s">
        <v>426</v>
      </c>
      <c r="AN91" s="1" t="s">
        <v>4400</v>
      </c>
      <c r="AO91" s="1" t="s">
        <v>488</v>
      </c>
      <c r="AP91" s="1">
        <v>19</v>
      </c>
      <c r="AQ91" s="1" t="s">
        <v>1044</v>
      </c>
      <c r="AR91" s="42">
        <v>0</v>
      </c>
      <c r="AS91" s="42">
        <v>0</v>
      </c>
      <c r="AT91" s="1">
        <v>5549402552</v>
      </c>
      <c r="AU91" s="1">
        <v>5549402552</v>
      </c>
      <c r="AV91" s="1" t="s">
        <v>4399</v>
      </c>
      <c r="AW91" s="5" t="s">
        <v>4401</v>
      </c>
      <c r="AX91" s="1" t="s">
        <v>425</v>
      </c>
      <c r="AY91" s="1" t="s">
        <v>426</v>
      </c>
      <c r="AZ91" s="1" t="s">
        <v>378</v>
      </c>
      <c r="BA91" s="1" t="s">
        <v>758</v>
      </c>
      <c r="BB91" s="1">
        <v>20</v>
      </c>
      <c r="BC91" s="1" t="s">
        <v>1044</v>
      </c>
      <c r="BD91" s="43">
        <v>0</v>
      </c>
      <c r="BE91" s="43">
        <v>0</v>
      </c>
      <c r="BF91" s="1">
        <v>5523265926</v>
      </c>
      <c r="BG91" s="1">
        <v>5523265926</v>
      </c>
      <c r="BH91" s="1" t="s">
        <v>429</v>
      </c>
      <c r="BI91" s="5" t="s">
        <v>4402</v>
      </c>
      <c r="BJ91" s="1" t="s">
        <v>236</v>
      </c>
      <c r="BL91" s="1">
        <v>158</v>
      </c>
      <c r="BM91" s="1">
        <v>56</v>
      </c>
      <c r="BN91" s="1" t="s">
        <v>228</v>
      </c>
      <c r="BO91" s="1" t="s">
        <v>228</v>
      </c>
      <c r="BQ91" s="1" t="s">
        <v>236</v>
      </c>
      <c r="BR91" s="1" t="s">
        <v>348</v>
      </c>
      <c r="BS91" s="1" t="s">
        <v>228</v>
      </c>
      <c r="BT91" s="1" t="s">
        <v>237</v>
      </c>
      <c r="BU91" s="1" t="s">
        <v>228</v>
      </c>
      <c r="BW91" s="1" t="s">
        <v>238</v>
      </c>
      <c r="BX91" s="1">
        <v>30</v>
      </c>
      <c r="BY91" s="1">
        <v>70</v>
      </c>
      <c r="BZ91" s="1" t="s">
        <v>1128</v>
      </c>
      <c r="CA91" s="1" t="s">
        <v>384</v>
      </c>
      <c r="CB91" s="1" t="s">
        <v>240</v>
      </c>
      <c r="CC91" s="1" t="s">
        <v>274</v>
      </c>
      <c r="CD91" s="1">
        <v>5000</v>
      </c>
      <c r="CE91" s="1">
        <v>1500</v>
      </c>
      <c r="CF91" s="1" t="s">
        <v>228</v>
      </c>
      <c r="CG91" s="1" t="s">
        <v>383</v>
      </c>
      <c r="CH91" s="1" t="s">
        <v>243</v>
      </c>
      <c r="CI91" s="1" t="s">
        <v>243</v>
      </c>
      <c r="CJ91" s="1" t="s">
        <v>2848</v>
      </c>
      <c r="CL91" s="5" t="s">
        <v>4403</v>
      </c>
      <c r="CM91" s="44" t="s">
        <v>430</v>
      </c>
      <c r="CN91" s="1" t="s">
        <v>228</v>
      </c>
      <c r="CQ91" s="42">
        <v>0</v>
      </c>
      <c r="CR91" s="42">
        <v>0</v>
      </c>
      <c r="CT91" s="45" t="str">
        <f t="array" ref="CT91">IFERROR(INDEX(#REF!,MATCH('Respuestas de formulario 1.1'!$B91,#REF!,0),MATCH('Respuestas de formulario 1.1'!CT$1,#REF!,0)),"")</f>
        <v/>
      </c>
      <c r="CU91" s="56" t="str">
        <f t="array" ref="CU91">IFERROR(INDEX(#REF!,MATCH('Respuestas de formulario 1.1'!$B91,#REF!,0),MATCH('Respuestas de formulario 1.1'!CU$1,#REF!,0)),"")</f>
        <v/>
      </c>
      <c r="CV91" s="56" t="str">
        <f t="array" ref="CV91">IFERROR(INDEX(#REF!,MATCH('Respuestas de formulario 1.1'!$B91,#REF!,0),MATCH('Respuestas de formulario 1.1'!CV$1,#REF!,0)),"")</f>
        <v/>
      </c>
      <c r="CW91" s="56" t="str">
        <f t="array" ref="CW91">IFERROR(INDEX(#REF!,MATCH('Respuestas de formulario 1.1'!$B91,#REF!,0),MATCH('Respuestas de formulario 1.1'!CW$1,#REF!,0)),"")</f>
        <v/>
      </c>
      <c r="CX91" s="56" t="str">
        <f t="array" ref="CX91">IFERROR(INDEX(#REF!,MATCH('Respuestas de formulario 1.1'!$B91,#REF!,0),MATCH('Respuestas de formulario 1.1'!CX$1,#REF!,0)),"")</f>
        <v/>
      </c>
      <c r="CY91" s="56" t="str">
        <f t="array" ref="CY91">IFERROR(INDEX(#REF!,MATCH('Respuestas de formulario 1.1'!$B91,#REF!,0),MATCH('Respuestas de formulario 1.1'!CY$1,#REF!,0)),"")</f>
        <v/>
      </c>
      <c r="CZ91" s="57" t="str">
        <f t="array" ref="CZ91">IFERROR(INDEX(#REF!,MATCH('Respuestas de formulario 1.1'!$B91,#REF!,0),MATCH('Respuestas de formulario 1.1'!CZ$1,#REF!,0)),"")</f>
        <v/>
      </c>
      <c r="DA91" s="45" t="e">
        <f t="array" ref="DA91">INDEX(#REF!,MATCH('Respuestas de formulario 1.1'!$B91,#REF!,0),MATCH('Respuestas de formulario 1.1'!DA$1,#REF!,0))</f>
        <v>#REF!</v>
      </c>
      <c r="DB91" s="45" t="e">
        <f t="array" ref="DB91">INDEX(#REF!,MATCH('Respuestas de formulario 1.1'!$B91,#REF!,0),MATCH('Respuestas de formulario 1.1'!DB$1,#REF!,0))</f>
        <v>#REF!</v>
      </c>
      <c r="DC91" s="45" t="e">
        <f t="array" ref="DC91">INDEX(#REF!,MATCH('Respuestas de formulario 1.1'!$B91,#REF!,0),MATCH('Respuestas de formulario 1.1'!DC$1,#REF!,0))</f>
        <v>#REF!</v>
      </c>
      <c r="DD91" s="45" t="e">
        <f t="array" ref="DD91">INDEX(#REF!,MATCH('Respuestas de formulario 1.1'!$B91,#REF!,0),MATCH('Respuestas de formulario 1.1'!DD$1,#REF!,0))</f>
        <v>#REF!</v>
      </c>
      <c r="DE91" s="45" t="e">
        <f t="array" ref="DE91">INDEX(#REF!,MATCH('Respuestas de formulario 1.1'!$B91,#REF!,0),MATCH('Respuestas de formulario 1.1'!DE$1,#REF!,0))</f>
        <v>#REF!</v>
      </c>
      <c r="DF91" s="45" t="e">
        <f t="array" ref="DF91">INDEX(#REF!,MATCH('Respuestas de formulario 1.1'!$B91,#REF!,0),MATCH('Respuestas de formulario 1.1'!DF$1,#REF!,0))</f>
        <v>#REF!</v>
      </c>
      <c r="DG91" s="45" t="e">
        <f t="array" ref="DG91">INDEX(#REF!,MATCH('Respuestas de formulario 1.1'!$B91,#REF!,0),MATCH('Respuestas de formulario 1.1'!DG$1,#REF!,0))</f>
        <v>#REF!</v>
      </c>
      <c r="DH91" s="45" t="e">
        <f t="array" ref="DH91">INDEX(#REF!,MATCH('Respuestas de formulario 1.1'!$B91,#REF!,0),MATCH('Respuestas de formulario 1.1'!DH$1,#REF!,0))</f>
        <v>#REF!</v>
      </c>
      <c r="DI91" s="48" t="e">
        <f>VLOOKUP(CONCATENATE($DF91," TUTO ",$DC91),#REF!,3,0)</f>
        <v>#REF!</v>
      </c>
      <c r="DJ91" s="48" t="e">
        <f t="array" ref="DJ91">IF('Respuestas de formulario 1.1'!A91="","",INDEX(#REF!,MATCH('Respuestas de formulario 1.1'!B91,#REF!,0),MATCH('Respuestas de formulario 1.1'!$DH$1,#REF!,0)))</f>
        <v>#REF!</v>
      </c>
      <c r="DK91" s="52" t="str">
        <f>CONCATENATE("http://doc.google.com/uc?id=",MID('Respuestas de formulario 1.1'!G91,34,33))</f>
        <v>http://doc.google.com/uc?id=1uQb7O8H2mjCCi6JAprMerEPy1JAPgrMd</v>
      </c>
      <c r="DL91" s="49" t="str">
        <f>CONCATENATE("http://doc.google.com/uc?id=",MID('Respuestas de formulario 1.1'!AH91,34,33))</f>
        <v>http://doc.google.com/uc?id=1bIo0kmoM3yosIfRv7qQy6cGhXPFO8e4w</v>
      </c>
      <c r="DM91" s="50" t="str">
        <f>CONCATENATE("http://doc.google.com/uc?id=",MID('Respuestas de formulario 1.1'!AW91,34,33))</f>
        <v>http://doc.google.com/uc?id=1qf6ZFJfZXF88f-xNgqz7EGKDTlpROI7f</v>
      </c>
      <c r="DN91" s="53" t="str">
        <f>CONCATENATE("http://doc.google.com/uc?id=",MID('Respuestas de formulario 1.1'!$BI91,34,33))</f>
        <v>http://doc.google.com/uc?id=1da0yvCd3MHSDbW7wexFRdtX9JOerU-uK</v>
      </c>
      <c r="DO91" s="45" t="str">
        <f>IFERROR(VLOOKUP(CONCATENATE('Respuestas de formulario 1.1'!$B91,MID('Respuestas de formulario 1.1'!DO$1,2,1)),#REF!,12,0),"")</f>
        <v/>
      </c>
      <c r="DP91" s="45" t="str">
        <f>IFERROR(VLOOKUP(CONCATENATE('Respuestas de formulario 1.1'!$B91,MID('Respuestas de formulario 1.1'!DP$1,2,1)),#REF!,12,0),"")</f>
        <v/>
      </c>
      <c r="DQ91" s="45" t="str">
        <f>IFERROR(VLOOKUP(CONCATENATE('Respuestas de formulario 1.1'!$B91,MID('Respuestas de formulario 1.1'!DQ$1,2,1)),#REF!,12,0),"")</f>
        <v/>
      </c>
      <c r="DR91" s="45" t="str">
        <f>IFERROR(VLOOKUP(CONCATENATE('Respuestas de formulario 1.1'!$B91,MID('Respuestas de formulario 1.1'!DR$1,2,1)),#REF!,12,0),"")</f>
        <v/>
      </c>
      <c r="DS91" s="45" t="str">
        <f>IFERROR(VLOOKUP(CONCATENATE('Respuestas de formulario 1.1'!$B91,MID('Respuestas de formulario 1.1'!DS$1,2,1)),#REF!,12,0),"")</f>
        <v/>
      </c>
      <c r="DT91" s="45" t="str">
        <f>IFERROR(VLOOKUP(CONCATENATE('Respuestas de formulario 1.1'!$B91,MID('Respuestas de formulario 1.1'!DT$1,2,1)),#REF!,12,0),"")</f>
        <v/>
      </c>
      <c r="DU91" s="45" t="str">
        <f>IFERROR(VLOOKUP(CONCATENATE('Respuestas de formulario 1.1'!$B91,MID('Respuestas de formulario 1.1'!DU$1,2,1)),#REF!,12,0),"")</f>
        <v/>
      </c>
      <c r="DV91" s="45" t="str">
        <f>IFERROR(VLOOKUP(CONCATENATE('Respuestas de formulario 1.1'!$B91,MID('Respuestas de formulario 1.1'!DV$1,2,1)),#REF!,12,0),"")</f>
        <v/>
      </c>
      <c r="DW91" s="45" t="str">
        <f>IFERROR(VLOOKUP(CONCATENATE('Respuestas de formulario 1.1'!$B91,MID('Respuestas de formulario 1.1'!DW$1,2,1)),#REF!,12,0),"")</f>
        <v/>
      </c>
      <c r="DX91" s="45" t="str">
        <f>IFERROR(VLOOKUP(CONCATENATE('Respuestas de formulario 1.1'!$B91,MID('Respuestas de formulario 1.1'!DX$1,2,1)),#REF!,12,0),"")</f>
        <v/>
      </c>
      <c r="DY91" s="45" t="str">
        <f>IFERROR(VLOOKUP(CONCATENATE('Respuestas de formulario 1.1'!$B91,MID('Respuestas de formulario 1.1'!DY$1,2,1)),#REF!,12,0),"")</f>
        <v/>
      </c>
      <c r="DZ91" s="45" t="str">
        <f>IFERROR(VLOOKUP(CONCATENATE('Respuestas de formulario 1.1'!$B91,MID('Respuestas de formulario 1.1'!DZ$1,2,1)),#REF!,12,0),"")</f>
        <v/>
      </c>
      <c r="EA91" s="45" t="str">
        <f>IFERROR(VLOOKUP(CONCATENATE('Respuestas de formulario 1.1'!$B91,MID('Respuestas de formulario 1.1'!EA$1,2,1)),#REF!,12,0),"")</f>
        <v/>
      </c>
      <c r="EB91" s="45" t="str">
        <f>IFERROR(VLOOKUP(CONCATENATE('Respuestas de formulario 1.1'!$B91,MID('Respuestas de formulario 1.1'!EB$1,2,1)),#REF!,12,0),"")</f>
        <v/>
      </c>
      <c r="EC91" s="45" t="str">
        <f>IFERROR(VLOOKUP(CONCATENATE('Respuestas de formulario 1.1'!$B91,MID('Respuestas de formulario 1.1'!EC$1,2,1)),#REF!,12,0),"")</f>
        <v/>
      </c>
      <c r="ED91" s="45" t="str">
        <f>IFERROR(VLOOKUP(CONCATENATE('Respuestas de formulario 1.1'!$B91,MID('Respuestas de formulario 1.1'!ED$1,2,1)),#REF!,12,0),"")</f>
        <v/>
      </c>
      <c r="EE91" s="45" t="str">
        <f>IFERROR(VLOOKUP(CONCATENATE('Respuestas de formulario 1.1'!$B91,MID('Respuestas de formulario 1.1'!EE$1,2,1)),#REF!,12,0),"")</f>
        <v/>
      </c>
      <c r="EF91" s="45" t="str">
        <f>IFERROR(VLOOKUP(CONCATENATE('Respuestas de formulario 1.1'!$B91,MID('Respuestas de formulario 1.1'!EF$1,2,1)),#REF!,12,0),"")</f>
        <v/>
      </c>
      <c r="EG91" s="45" t="str">
        <f>IFERROR(VLOOKUP(CONCATENATE('Respuestas de formulario 1.1'!$B91,MID('Respuestas de formulario 1.1'!EG$1,2,1)),#REF!,12,0),"")</f>
        <v/>
      </c>
      <c r="EH91" s="45" t="str">
        <f>IFERROR(VLOOKUP(CONCATENATE('Respuestas de formulario 1.1'!$B91,MID('Respuestas de formulario 1.1'!EH$1,2,1)),#REF!,12,0),"")</f>
        <v/>
      </c>
      <c r="EI91" s="45" t="str">
        <f>IFERROR(VLOOKUP(CONCATENATE('Respuestas de formulario 1.1'!$B91,MID('Respuestas de formulario 1.1'!EI$1,2,1)),#REF!,12,0),"")</f>
        <v/>
      </c>
      <c r="EJ91" s="45" t="str">
        <f t="array" ref="EJ91">IF(DO91="","", INDEX(#REF!,MATCH(CONCATENATE('Respuestas de formulario 1.1'!$B91,DO91),#REF!,0),MATCH('Respuestas de formulario 1.1'!EJ$1,#REF!,0)))</f>
        <v/>
      </c>
      <c r="EK91" s="56" t="str">
        <f t="array" ref="EK91">IF(DP91="","", INDEX(#REF!,MATCH(CONCATENATE('Respuestas de formulario 1.1'!$B91,DP91),#REF!,0),MATCH('Respuestas de formulario 1.1'!EK$1,#REF!,0)))</f>
        <v/>
      </c>
      <c r="EL91" s="56" t="str">
        <f t="array" ref="EL91">IF(DQ91="","", INDEX(#REF!,MATCH(CONCATENATE('Respuestas de formulario 1.1'!$B91,DQ91),#REF!,0),MATCH('Respuestas de formulario 1.1'!EL$1,#REF!,0)))</f>
        <v/>
      </c>
      <c r="EM91" s="56" t="str">
        <f t="array" ref="EM91">IF(DR91="","", INDEX(#REF!,MATCH(CONCATENATE('Respuestas de formulario 1.1'!$B91,DR91),#REF!,0),MATCH('Respuestas de formulario 1.1'!EM$1,#REF!,0)))</f>
        <v/>
      </c>
      <c r="EN91" s="56" t="str">
        <f t="array" ref="EN91">IF(DS91="","", INDEX(#REF!,MATCH(CONCATENATE('Respuestas de formulario 1.1'!$B91,DS91),#REF!,0),MATCH('Respuestas de formulario 1.1'!EN$1,#REF!,0)))</f>
        <v/>
      </c>
      <c r="EO91" s="56" t="str">
        <f t="array" ref="EO91">IF(DT91="","", INDEX(#REF!,MATCH(CONCATENATE('Respuestas de formulario 1.1'!$B91,DT91),#REF!,0),MATCH('Respuestas de formulario 1.1'!EO$1,#REF!,0)))</f>
        <v/>
      </c>
      <c r="EP91" s="45" t="str">
        <f t="array" ref="EP91">IF(DU91="","", INDEX(#REF!,MATCH(CONCATENATE('Respuestas de formulario 1.1'!$B91,DU91),#REF!,0),MATCH('Respuestas de formulario 1.1'!EP$1,#REF!,0)))</f>
        <v/>
      </c>
      <c r="EQ91" s="45" t="str">
        <f t="array" ref="EQ91">IF(DP91="","", INDEX(#REF!,MATCH(CONCATENATE('Respuestas de formulario 1.1'!$B91,DP91),#REF!,0),MATCH('Respuestas de formulario 1.1'!EQ$1,#REF!,0)))</f>
        <v/>
      </c>
      <c r="ER91" s="56" t="str">
        <f t="array" ref="ER91">IF(DQ91="","", INDEX(#REF!,MATCH(CONCATENATE('Respuestas de formulario 1.1'!$B91,DQ91),#REF!,0),MATCH('Respuestas de formulario 1.1'!ER$1,#REF!,0)))</f>
        <v/>
      </c>
      <c r="ES91" s="56" t="str">
        <f t="array" ref="ES91">IF(DR91="","", INDEX(#REF!,MATCH(CONCATENATE('Respuestas de formulario 1.1'!$B91,DR91),#REF!,0),MATCH('Respuestas de formulario 1.1'!ES$1,#REF!,0)))</f>
        <v/>
      </c>
      <c r="ET91" s="56" t="str">
        <f t="array" ref="ET91">IF(DS91="","", INDEX(#REF!,MATCH(CONCATENATE('Respuestas de formulario 1.1'!$B91,DS91),#REF!,0),MATCH('Respuestas de formulario 1.1'!ET$1,#REF!,0)))</f>
        <v/>
      </c>
      <c r="EU91" s="56" t="str">
        <f t="array" ref="EU91">IF(DT91="","", INDEX(#REF!,MATCH(CONCATENATE('Respuestas de formulario 1.1'!$B91,DT91),#REF!,0),MATCH('Respuestas de formulario 1.1'!EU$1,#REF!,0)))</f>
        <v/>
      </c>
      <c r="EV91" s="56" t="str">
        <f t="array" ref="EV91">IF(DU91="","", INDEX(#REF!,MATCH(CONCATENATE('Respuestas de formulario 1.1'!$B91,DU91),#REF!,0),MATCH('Respuestas de formulario 1.1'!EV$1,#REF!,0)))</f>
        <v/>
      </c>
      <c r="EW91" s="45" t="str">
        <f t="array" ref="EW91">IF(DV91="","", INDEX(#REF!,MATCH(CONCATENATE('Respuestas de formulario 1.1'!$B91,DV91),#REF!,0),MATCH('Respuestas de formulario 1.1'!EW$1,#REF!,0)))</f>
        <v/>
      </c>
      <c r="EX91" s="45" t="str">
        <f t="array" ref="EX91">IF($DQ91="","", INDEX(#REF!,MATCH(CONCATENATE('Respuestas de formulario 1.1'!$B91,$DQ91),#REF!,0),MATCH('Respuestas de formulario 1.1'!EX$1,#REF!,0)))</f>
        <v/>
      </c>
      <c r="EY91" s="56" t="str">
        <f t="array" ref="EY91">IF($DQ91="","", INDEX(#REF!,MATCH(CONCATENATE('Respuestas de formulario 1.1'!$B91,$DQ91),#REF!,0),MATCH('Respuestas de formulario 1.1'!EY$1,#REF!,0)))</f>
        <v/>
      </c>
      <c r="EZ91" s="56" t="str">
        <f t="array" ref="EZ91">IF($DQ91="","", INDEX(#REF!,MATCH(CONCATENATE('Respuestas de formulario 1.1'!$B91,$DQ91),#REF!,0),MATCH('Respuestas de formulario 1.1'!EZ$1,#REF!,0)))</f>
        <v/>
      </c>
      <c r="FA91" s="56" t="str">
        <f t="array" ref="FA91">IF($DQ91="","", INDEX(#REF!,MATCH(CONCATENATE('Respuestas de formulario 1.1'!$B91,$DQ91),#REF!,0),MATCH('Respuestas de formulario 1.1'!FA$1,#REF!,0)))</f>
        <v/>
      </c>
      <c r="FB91" s="56" t="str">
        <f t="array" ref="FB91">IF($DQ91="","", INDEX(#REF!,MATCH(CONCATENATE('Respuestas de formulario 1.1'!$B91,$DQ91),#REF!,0),MATCH('Respuestas de formulario 1.1'!FB$1,#REF!,0)))</f>
        <v/>
      </c>
      <c r="FC91" s="56" t="str">
        <f t="array" ref="FC91">IF($DQ91="","", INDEX(#REF!,MATCH(CONCATENATE('Respuestas de formulario 1.1'!$B91,$DQ91),#REF!,0),MATCH('Respuestas de formulario 1.1'!FC$1,#REF!,0)))</f>
        <v/>
      </c>
      <c r="FD91" s="45" t="str">
        <f t="array" ref="FD91">IF($DQ91="","", INDEX(#REF!,MATCH(CONCATENATE('Respuestas de formulario 1.1'!$B91,$DQ91),#REF!,0),MATCH('Respuestas de formulario 1.1'!FD$1,#REF!,0)))</f>
        <v/>
      </c>
      <c r="FE91" s="45" t="str">
        <f t="array" ref="FE91">IF($DR91="","", INDEX(#REF!,MATCH(CONCATENATE(#REF!,$DR91),#REF!,0),MATCH(#REF!,#REF!,0)))</f>
        <v/>
      </c>
      <c r="FF91" s="56" t="str">
        <f t="array" ref="FF91">IF($DR91="","", INDEX(#REF!,MATCH(CONCATENATE(#REF!,$DR91),#REF!,0),MATCH(#REF!,#REF!,0)))</f>
        <v/>
      </c>
      <c r="FG91" s="56" t="str">
        <f t="array" ref="FG91">IF($DR91="","", INDEX(#REF!,MATCH(CONCATENATE(#REF!,$DR91),#REF!,0),MATCH(#REF!,#REF!,0)))</f>
        <v/>
      </c>
      <c r="FH91" s="56" t="str">
        <f t="array" ref="FH91">IF($DR91="","", INDEX(#REF!,MATCH(CONCATENATE(#REF!,$DR91),#REF!,0),MATCH(#REF!,#REF!,0)))</f>
        <v/>
      </c>
      <c r="FI91" s="56" t="str">
        <f t="array" ref="FI91">IF($DR91="","", INDEX(#REF!,MATCH(CONCATENATE(#REF!,$DR91),#REF!,0),MATCH(#REF!,#REF!,0)))</f>
        <v/>
      </c>
      <c r="FJ91" s="56" t="str">
        <f t="array" ref="FJ91">IF($DR91="","", INDEX(#REF!,MATCH(CONCATENATE(#REF!,$DR91),#REF!,0),MATCH(#REF!,#REF!,0)))</f>
        <v/>
      </c>
      <c r="FK91" s="45" t="str">
        <f t="array" ref="FK91">IF($DR91="","", INDEX(#REF!,MATCH(CONCATENATE(#REF!,$DR91),#REF!,0),MATCH(#REF!,#REF!,0)))</f>
        <v/>
      </c>
      <c r="FL91" s="45" t="str">
        <f t="array" ref="FL91">IF($DT91="","", INDEX(#REF!,MATCH(CONCATENATE('Respuestas de formulario 1.1'!$B91,$DS91),#REF!,0),MATCH('Respuestas de formulario 1.1'!FL$1,#REF!,0)))</f>
        <v/>
      </c>
      <c r="FM91" s="56" t="str">
        <f t="array" ref="FM91">IF($DT91="","", INDEX(#REF!,MATCH(CONCATENATE('Respuestas de formulario 1.1'!$B91,$DS91),#REF!,0),MATCH('Respuestas de formulario 1.1'!FM$1,#REF!,0)))</f>
        <v/>
      </c>
      <c r="FN91" s="56" t="str">
        <f t="array" ref="FN91">IF($DT91="","", INDEX(#REF!,MATCH(CONCATENATE('Respuestas de formulario 1.1'!$B91,$DS91),#REF!,0),MATCH('Respuestas de formulario 1.1'!FN$1,#REF!,0)))</f>
        <v/>
      </c>
      <c r="FO91" s="56" t="str">
        <f t="array" ref="FO91">IF($DT91="","", INDEX(#REF!,MATCH(CONCATENATE('Respuestas de formulario 1.1'!$B91,$DS91),#REF!,0),MATCH('Respuestas de formulario 1.1'!FO$1,#REF!,0)))</f>
        <v/>
      </c>
      <c r="FP91" s="56" t="str">
        <f t="array" ref="FP91">IF($DT91="","", INDEX(#REF!,MATCH(CONCATENATE('Respuestas de formulario 1.1'!$B91,$DS91),#REF!,0),MATCH('Respuestas de formulario 1.1'!FP$1,#REF!,0)))</f>
        <v/>
      </c>
      <c r="FQ91" s="56" t="str">
        <f t="array" ref="FQ91">IF($DT91="","", INDEX(#REF!,MATCH(CONCATENATE('Respuestas de formulario 1.1'!$B91,$DS91),#REF!,0),MATCH('Respuestas de formulario 1.1'!FQ$1,#REF!,0)))</f>
        <v/>
      </c>
      <c r="FR91" s="45" t="str">
        <f t="array" ref="FR91">IF($DT91="","", INDEX(#REF!,MATCH(CONCATENATE('Respuestas de formulario 1.1'!$B91,$DS91),#REF!,0),MATCH('Respuestas de formulario 1.1'!FR$1,#REF!,0)))</f>
        <v/>
      </c>
      <c r="FS91" s="45" t="str">
        <f t="array" ref="FS91">IF($DU91="","", INDEX(#REF!,MATCH(CONCATENATE('Respuestas de formulario 1.1'!$B91,$DT91),#REF!,0),MATCH('Respuestas de formulario 1.1'!FS$1,#REF!,0)))</f>
        <v/>
      </c>
      <c r="FT91" s="56" t="str">
        <f t="array" ref="FT91">IF($DU91="","", INDEX(#REF!,MATCH(CONCATENATE('Respuestas de formulario 1.1'!$B91,$DT91),#REF!,0),MATCH('Respuestas de formulario 1.1'!FT$1,#REF!,0)))</f>
        <v/>
      </c>
      <c r="FU91" s="56" t="str">
        <f t="array" ref="FU91">IF($DU91="","", INDEX(#REF!,MATCH(CONCATENATE('Respuestas de formulario 1.1'!$B91,$DT91),#REF!,0),MATCH('Respuestas de formulario 1.1'!FU$1,#REF!,0)))</f>
        <v/>
      </c>
      <c r="FV91" s="56" t="str">
        <f t="array" ref="FV91">IF($DU91="","", INDEX(#REF!,MATCH(CONCATENATE('Respuestas de formulario 1.1'!$B91,$DT91),#REF!,0),MATCH('Respuestas de formulario 1.1'!FV$1,#REF!,0)))</f>
        <v/>
      </c>
      <c r="FW91" s="56" t="str">
        <f t="array" ref="FW91">IF($DU91="","", INDEX(#REF!,MATCH(CONCATENATE('Respuestas de formulario 1.1'!$B91,$DT91),#REF!,0),MATCH('Respuestas de formulario 1.1'!FW$1,#REF!,0)))</f>
        <v/>
      </c>
      <c r="FX91" s="56" t="str">
        <f t="array" ref="FX91">IF($DU91="","", INDEX(#REF!,MATCH(CONCATENATE('Respuestas de formulario 1.1'!$B91,$DT91),#REF!,0),MATCH('Respuestas de formulario 1.1'!FX$1,#REF!,0)))</f>
        <v/>
      </c>
      <c r="FY91" s="45" t="str">
        <f t="array" ref="FY91">IF($DU91="","", INDEX(#REF!,MATCH(CONCATENATE('Respuestas de formulario 1.1'!$B91,$DT91),#REF!,0),MATCH('Respuestas de formulario 1.1'!FY$1,#REF!,0)))</f>
        <v/>
      </c>
      <c r="FZ91" s="3" t="s">
        <v>2860</v>
      </c>
      <c r="GA91" s="1" t="s">
        <v>4404</v>
      </c>
      <c r="GB91" s="5" t="s">
        <v>4405</v>
      </c>
      <c r="GC91" s="4" t="str">
        <f>HYPERLINK("https://drive.google.com/file/d/1c4WS5Tc1hcN3vFSAmgIC9WNmU4nY-JCR/view?usp=drivesdk","ANDRES AGAMA  MARIA FERNANDA  Formato de reinscripción y pago 2022-2")</f>
        <v>ANDRES AGAMA  MARIA FERNANDA  Formato de reinscripción y pago 2022-2</v>
      </c>
      <c r="GD91" s="1" t="s">
        <v>4406</v>
      </c>
      <c r="GE91" s="1"/>
      <c r="GF91" s="1"/>
      <c r="GG91" s="1"/>
      <c r="GH91" s="1"/>
      <c r="GI91" s="1" t="s">
        <v>4407</v>
      </c>
      <c r="GJ91" s="5" t="s">
        <v>4408</v>
      </c>
      <c r="GK91" s="5" t="str">
        <f>HYPERLINK("https://drive.google.com/file/d/1WWBy6ldJxkK8-dwVBXAKNRcQAT3yZbbr/view?usp=drivesdk","ANDRES AGAMA  MARIA FERNANDA  Formato de reinscripción y pago 2022-2")</f>
        <v>ANDRES AGAMA  MARIA FERNANDA  Formato de reinscripción y pago 2022-2</v>
      </c>
      <c r="GL91" s="1" t="s">
        <v>4409</v>
      </c>
    </row>
    <row r="92" spans="1:194" ht="38.25" x14ac:dyDescent="0.2">
      <c r="A92" s="2">
        <v>45139.401363854166</v>
      </c>
      <c r="B92" s="1" t="s">
        <v>408</v>
      </c>
      <c r="C92" s="1" t="s">
        <v>409</v>
      </c>
      <c r="D92" s="1" t="s">
        <v>245</v>
      </c>
      <c r="E92" s="1" t="s">
        <v>4410</v>
      </c>
      <c r="F92" s="1" t="s">
        <v>223</v>
      </c>
      <c r="G92" s="5" t="s">
        <v>4411</v>
      </c>
      <c r="H92" s="41">
        <v>39276</v>
      </c>
      <c r="I92" s="1">
        <v>16</v>
      </c>
      <c r="J92" s="1">
        <v>5547876719</v>
      </c>
      <c r="K92" s="1">
        <v>5522350226</v>
      </c>
      <c r="L92" s="1" t="s">
        <v>410</v>
      </c>
      <c r="M92" s="1">
        <v>22309060570515</v>
      </c>
      <c r="N92" s="1" t="s">
        <v>562</v>
      </c>
      <c r="O92" s="1" t="s">
        <v>247</v>
      </c>
      <c r="P92" s="1" t="s">
        <v>278</v>
      </c>
      <c r="Q92" s="1" t="s">
        <v>248</v>
      </c>
      <c r="R92" s="1" t="s">
        <v>236</v>
      </c>
      <c r="S92" s="1" t="s">
        <v>228</v>
      </c>
      <c r="T92" s="1" t="s">
        <v>411</v>
      </c>
      <c r="U92" s="1" t="s">
        <v>393</v>
      </c>
      <c r="V92" s="1" t="s">
        <v>228</v>
      </c>
      <c r="W92" s="1" t="s">
        <v>4412</v>
      </c>
      <c r="X92" s="1" t="s">
        <v>393</v>
      </c>
      <c r="Y92" s="1" t="s">
        <v>1055</v>
      </c>
      <c r="Z92" s="1" t="s">
        <v>240</v>
      </c>
      <c r="AA92" s="44" t="s">
        <v>412</v>
      </c>
      <c r="AB92" s="1">
        <v>259</v>
      </c>
      <c r="AC92" s="1" t="s">
        <v>413</v>
      </c>
      <c r="AD92" s="1" t="s">
        <v>4413</v>
      </c>
      <c r="AE92" s="1" t="s">
        <v>4414</v>
      </c>
      <c r="AF92" s="1" t="s">
        <v>265</v>
      </c>
      <c r="AG92" s="1">
        <v>52</v>
      </c>
      <c r="AH92" s="5" t="s">
        <v>4415</v>
      </c>
      <c r="AI92" s="1">
        <v>5534790058</v>
      </c>
      <c r="AJ92" s="1">
        <v>5534790058</v>
      </c>
      <c r="AK92" s="1" t="s">
        <v>415</v>
      </c>
      <c r="AL92" s="1" t="s">
        <v>4416</v>
      </c>
      <c r="AM92" s="1" t="s">
        <v>245</v>
      </c>
      <c r="AN92" s="1" t="s">
        <v>2251</v>
      </c>
      <c r="AO92" s="1" t="s">
        <v>265</v>
      </c>
      <c r="AP92" s="1">
        <v>52</v>
      </c>
      <c r="AQ92" s="1" t="s">
        <v>362</v>
      </c>
      <c r="AR92" s="42">
        <v>0.33333333333575865</v>
      </c>
      <c r="AS92" s="42">
        <v>0.33333333333575865</v>
      </c>
      <c r="AT92" s="1">
        <v>5534790058</v>
      </c>
      <c r="AU92" s="1">
        <v>5534790058</v>
      </c>
      <c r="AV92" s="1" t="s">
        <v>415</v>
      </c>
      <c r="AW92" s="5" t="s">
        <v>4417</v>
      </c>
      <c r="AX92" s="1" t="s">
        <v>245</v>
      </c>
      <c r="AY92" s="1" t="s">
        <v>787</v>
      </c>
      <c r="AZ92" s="1" t="s">
        <v>669</v>
      </c>
      <c r="BA92" s="1" t="s">
        <v>875</v>
      </c>
      <c r="BB92" s="1">
        <v>81</v>
      </c>
      <c r="BC92" s="1" t="s">
        <v>233</v>
      </c>
      <c r="BD92" s="43">
        <v>0.33333333333575865</v>
      </c>
      <c r="BE92" s="43">
        <v>0.375</v>
      </c>
      <c r="BF92" s="1">
        <v>5564494723</v>
      </c>
      <c r="BG92" s="1">
        <v>5564494723</v>
      </c>
      <c r="BH92" s="1" t="s">
        <v>414</v>
      </c>
      <c r="BI92" s="5" t="s">
        <v>4418</v>
      </c>
      <c r="BJ92" s="1" t="s">
        <v>236</v>
      </c>
      <c r="BL92" s="1">
        <v>153</v>
      </c>
      <c r="BM92" s="1">
        <v>40</v>
      </c>
      <c r="BN92" s="1" t="s">
        <v>228</v>
      </c>
      <c r="BO92" s="1" t="s">
        <v>228</v>
      </c>
      <c r="BQ92" s="1" t="s">
        <v>228</v>
      </c>
      <c r="BR92" s="1" t="s">
        <v>237</v>
      </c>
      <c r="BS92" s="1" t="s">
        <v>228</v>
      </c>
      <c r="BT92" s="1" t="s">
        <v>237</v>
      </c>
      <c r="BU92" s="1" t="s">
        <v>228</v>
      </c>
      <c r="BW92" s="1" t="s">
        <v>238</v>
      </c>
      <c r="BX92" s="1">
        <v>60</v>
      </c>
      <c r="BY92" s="1">
        <v>200</v>
      </c>
      <c r="BZ92" s="1" t="s">
        <v>253</v>
      </c>
      <c r="CA92" s="1" t="s">
        <v>384</v>
      </c>
      <c r="CB92" s="1" t="s">
        <v>240</v>
      </c>
      <c r="CC92" s="1" t="s">
        <v>300</v>
      </c>
      <c r="CD92" s="1">
        <v>500</v>
      </c>
      <c r="CE92" s="1">
        <v>1500</v>
      </c>
      <c r="CF92" s="1" t="s">
        <v>236</v>
      </c>
      <c r="CG92" s="1" t="s">
        <v>242</v>
      </c>
      <c r="CH92" s="1" t="s">
        <v>243</v>
      </c>
      <c r="CI92" s="1" t="s">
        <v>243</v>
      </c>
      <c r="CJ92" s="1" t="s">
        <v>2848</v>
      </c>
      <c r="CL92" s="5" t="s">
        <v>4419</v>
      </c>
      <c r="CM92" s="44" t="s">
        <v>417</v>
      </c>
      <c r="CN92" s="1" t="s">
        <v>228</v>
      </c>
      <c r="CQ92" s="42">
        <v>0.33333333333575865</v>
      </c>
      <c r="CR92" s="42">
        <v>0.33333333333575865</v>
      </c>
      <c r="CT92" s="45" t="str">
        <f t="array" ref="CT92">IFERROR(INDEX(#REF!,MATCH('Respuestas de formulario 1.1'!$B92,#REF!,0),MATCH('Respuestas de formulario 1.1'!CT$1,#REF!,0)),"")</f>
        <v/>
      </c>
      <c r="CU92" s="56" t="str">
        <f t="array" ref="CU92">IFERROR(INDEX(#REF!,MATCH('Respuestas de formulario 1.1'!$B92,#REF!,0),MATCH('Respuestas de formulario 1.1'!CU$1,#REF!,0)),"")</f>
        <v/>
      </c>
      <c r="CV92" s="56" t="str">
        <f t="array" ref="CV92">IFERROR(INDEX(#REF!,MATCH('Respuestas de formulario 1.1'!$B92,#REF!,0),MATCH('Respuestas de formulario 1.1'!CV$1,#REF!,0)),"")</f>
        <v/>
      </c>
      <c r="CW92" s="56" t="str">
        <f t="array" ref="CW92">IFERROR(INDEX(#REF!,MATCH('Respuestas de formulario 1.1'!$B92,#REF!,0),MATCH('Respuestas de formulario 1.1'!CW$1,#REF!,0)),"")</f>
        <v/>
      </c>
      <c r="CX92" s="56" t="str">
        <f t="array" ref="CX92">IFERROR(INDEX(#REF!,MATCH('Respuestas de formulario 1.1'!$B92,#REF!,0),MATCH('Respuestas de formulario 1.1'!CX$1,#REF!,0)),"")</f>
        <v/>
      </c>
      <c r="CY92" s="56" t="str">
        <f t="array" ref="CY92">IFERROR(INDEX(#REF!,MATCH('Respuestas de formulario 1.1'!$B92,#REF!,0),MATCH('Respuestas de formulario 1.1'!CY$1,#REF!,0)),"")</f>
        <v/>
      </c>
      <c r="CZ92" s="57" t="str">
        <f t="array" ref="CZ92">IFERROR(INDEX(#REF!,MATCH('Respuestas de formulario 1.1'!$B92,#REF!,0),MATCH('Respuestas de formulario 1.1'!CZ$1,#REF!,0)),"")</f>
        <v/>
      </c>
      <c r="DA92" s="45" t="e">
        <f t="array" ref="DA92">INDEX(#REF!,MATCH('Respuestas de formulario 1.1'!$B92,#REF!,0),MATCH('Respuestas de formulario 1.1'!DA$1,#REF!,0))</f>
        <v>#REF!</v>
      </c>
      <c r="DB92" s="45" t="e">
        <f t="array" ref="DB92">INDEX(#REF!,MATCH('Respuestas de formulario 1.1'!$B92,#REF!,0),MATCH('Respuestas de formulario 1.1'!DB$1,#REF!,0))</f>
        <v>#REF!</v>
      </c>
      <c r="DC92" s="45" t="e">
        <f t="array" ref="DC92">INDEX(#REF!,MATCH('Respuestas de formulario 1.1'!$B92,#REF!,0),MATCH('Respuestas de formulario 1.1'!DC$1,#REF!,0))</f>
        <v>#REF!</v>
      </c>
      <c r="DD92" s="45" t="e">
        <f t="array" ref="DD92">INDEX(#REF!,MATCH('Respuestas de formulario 1.1'!$B92,#REF!,0),MATCH('Respuestas de formulario 1.1'!DD$1,#REF!,0))</f>
        <v>#REF!</v>
      </c>
      <c r="DE92" s="45" t="e">
        <f t="array" ref="DE92">INDEX(#REF!,MATCH('Respuestas de formulario 1.1'!$B92,#REF!,0),MATCH('Respuestas de formulario 1.1'!DE$1,#REF!,0))</f>
        <v>#REF!</v>
      </c>
      <c r="DF92" s="45" t="e">
        <f t="array" ref="DF92">INDEX(#REF!,MATCH('Respuestas de formulario 1.1'!$B92,#REF!,0),MATCH('Respuestas de formulario 1.1'!DF$1,#REF!,0))</f>
        <v>#REF!</v>
      </c>
      <c r="DG92" s="45" t="e">
        <f t="array" ref="DG92">INDEX(#REF!,MATCH('Respuestas de formulario 1.1'!$B92,#REF!,0),MATCH('Respuestas de formulario 1.1'!DG$1,#REF!,0))</f>
        <v>#REF!</v>
      </c>
      <c r="DH92" s="45" t="e">
        <f t="array" ref="DH92">INDEX(#REF!,MATCH('Respuestas de formulario 1.1'!$B92,#REF!,0),MATCH('Respuestas de formulario 1.1'!DH$1,#REF!,0))</f>
        <v>#REF!</v>
      </c>
      <c r="DI92" s="48" t="e">
        <f>VLOOKUP(CONCATENATE($DF92," TUTO ",$DC92),#REF!,3,0)</f>
        <v>#REF!</v>
      </c>
      <c r="DJ92" s="48" t="e">
        <f t="array" ref="DJ92">IF('Respuestas de formulario 1.1'!A92="","",INDEX(#REF!,MATCH('Respuestas de formulario 1.1'!B92,#REF!,0),MATCH('Respuestas de formulario 1.1'!$DH$1,#REF!,0)))</f>
        <v>#REF!</v>
      </c>
      <c r="DK92" s="52" t="str">
        <f>CONCATENATE("http://doc.google.com/uc?id=",MID('Respuestas de formulario 1.1'!G92,34,33))</f>
        <v>http://doc.google.com/uc?id=1YCHK5LDw3muE2lL6fHOnKnwn3EobBnzB</v>
      </c>
      <c r="DL92" s="49" t="str">
        <f>CONCATENATE("http://doc.google.com/uc?id=",MID('Respuestas de formulario 1.1'!AH92,34,33))</f>
        <v>http://doc.google.com/uc?id=12s1w-xIb3qHbH7Im9EY4PW_k1aI-cqiN</v>
      </c>
      <c r="DM92" s="50" t="str">
        <f>CONCATENATE("http://doc.google.com/uc?id=",MID('Respuestas de formulario 1.1'!AW92,34,33))</f>
        <v>http://doc.google.com/uc?id=1H2NsGHF--4ISOhUqofeQZUCor8WrSO8T</v>
      </c>
      <c r="DN92" s="53" t="str">
        <f>CONCATENATE("http://doc.google.com/uc?id=",MID('Respuestas de formulario 1.1'!$BI92,34,33))</f>
        <v>http://doc.google.com/uc?id=1pgosKLvSlK8i8X2sF4M1MVi4jN_tOXH1</v>
      </c>
      <c r="DO92" s="45" t="str">
        <f>IFERROR(VLOOKUP(CONCATENATE('Respuestas de formulario 1.1'!$B92,MID('Respuestas de formulario 1.1'!DO$1,2,1)),#REF!,12,0),"")</f>
        <v/>
      </c>
      <c r="DP92" s="45" t="str">
        <f>IFERROR(VLOOKUP(CONCATENATE('Respuestas de formulario 1.1'!$B92,MID('Respuestas de formulario 1.1'!DP$1,2,1)),#REF!,12,0),"")</f>
        <v/>
      </c>
      <c r="DQ92" s="45" t="str">
        <f>IFERROR(VLOOKUP(CONCATENATE('Respuestas de formulario 1.1'!$B92,MID('Respuestas de formulario 1.1'!DQ$1,2,1)),#REF!,12,0),"")</f>
        <v/>
      </c>
      <c r="DR92" s="45" t="str">
        <f>IFERROR(VLOOKUP(CONCATENATE('Respuestas de formulario 1.1'!$B92,MID('Respuestas de formulario 1.1'!DR$1,2,1)),#REF!,12,0),"")</f>
        <v/>
      </c>
      <c r="DS92" s="45" t="str">
        <f>IFERROR(VLOOKUP(CONCATENATE('Respuestas de formulario 1.1'!$B92,MID('Respuestas de formulario 1.1'!DS$1,2,1)),#REF!,12,0),"")</f>
        <v/>
      </c>
      <c r="DT92" s="45" t="str">
        <f>IFERROR(VLOOKUP(CONCATENATE('Respuestas de formulario 1.1'!$B92,MID('Respuestas de formulario 1.1'!DT$1,2,1)),#REF!,12,0),"")</f>
        <v/>
      </c>
      <c r="DU92" s="45" t="str">
        <f>IFERROR(VLOOKUP(CONCATENATE('Respuestas de formulario 1.1'!$B92,MID('Respuestas de formulario 1.1'!DU$1,2,1)),#REF!,12,0),"")</f>
        <v/>
      </c>
      <c r="DV92" s="45" t="str">
        <f>IFERROR(VLOOKUP(CONCATENATE('Respuestas de formulario 1.1'!$B92,MID('Respuestas de formulario 1.1'!DV$1,2,1)),#REF!,12,0),"")</f>
        <v/>
      </c>
      <c r="DW92" s="45" t="str">
        <f>IFERROR(VLOOKUP(CONCATENATE('Respuestas de formulario 1.1'!$B92,MID('Respuestas de formulario 1.1'!DW$1,2,1)),#REF!,12,0),"")</f>
        <v/>
      </c>
      <c r="DX92" s="45" t="str">
        <f>IFERROR(VLOOKUP(CONCATENATE('Respuestas de formulario 1.1'!$B92,MID('Respuestas de formulario 1.1'!DX$1,2,1)),#REF!,12,0),"")</f>
        <v/>
      </c>
      <c r="DY92" s="45" t="str">
        <f>IFERROR(VLOOKUP(CONCATENATE('Respuestas de formulario 1.1'!$B92,MID('Respuestas de formulario 1.1'!DY$1,2,1)),#REF!,12,0),"")</f>
        <v/>
      </c>
      <c r="DZ92" s="45" t="str">
        <f>IFERROR(VLOOKUP(CONCATENATE('Respuestas de formulario 1.1'!$B92,MID('Respuestas de formulario 1.1'!DZ$1,2,1)),#REF!,12,0),"")</f>
        <v/>
      </c>
      <c r="EA92" s="45" t="str">
        <f>IFERROR(VLOOKUP(CONCATENATE('Respuestas de formulario 1.1'!$B92,MID('Respuestas de formulario 1.1'!EA$1,2,1)),#REF!,12,0),"")</f>
        <v/>
      </c>
      <c r="EB92" s="45" t="str">
        <f>IFERROR(VLOOKUP(CONCATENATE('Respuestas de formulario 1.1'!$B92,MID('Respuestas de formulario 1.1'!EB$1,2,1)),#REF!,12,0),"")</f>
        <v/>
      </c>
      <c r="EC92" s="45" t="str">
        <f>IFERROR(VLOOKUP(CONCATENATE('Respuestas de formulario 1.1'!$B92,MID('Respuestas de formulario 1.1'!EC$1,2,1)),#REF!,12,0),"")</f>
        <v/>
      </c>
      <c r="ED92" s="45" t="str">
        <f>IFERROR(VLOOKUP(CONCATENATE('Respuestas de formulario 1.1'!$B92,MID('Respuestas de formulario 1.1'!ED$1,2,1)),#REF!,12,0),"")</f>
        <v/>
      </c>
      <c r="EE92" s="45" t="str">
        <f>IFERROR(VLOOKUP(CONCATENATE('Respuestas de formulario 1.1'!$B92,MID('Respuestas de formulario 1.1'!EE$1,2,1)),#REF!,12,0),"")</f>
        <v/>
      </c>
      <c r="EF92" s="45" t="str">
        <f>IFERROR(VLOOKUP(CONCATENATE('Respuestas de formulario 1.1'!$B92,MID('Respuestas de formulario 1.1'!EF$1,2,1)),#REF!,12,0),"")</f>
        <v/>
      </c>
      <c r="EG92" s="45" t="str">
        <f>IFERROR(VLOOKUP(CONCATENATE('Respuestas de formulario 1.1'!$B92,MID('Respuestas de formulario 1.1'!EG$1,2,1)),#REF!,12,0),"")</f>
        <v/>
      </c>
      <c r="EH92" s="45" t="str">
        <f>IFERROR(VLOOKUP(CONCATENATE('Respuestas de formulario 1.1'!$B92,MID('Respuestas de formulario 1.1'!EH$1,2,1)),#REF!,12,0),"")</f>
        <v/>
      </c>
      <c r="EI92" s="45" t="str">
        <f>IFERROR(VLOOKUP(CONCATENATE('Respuestas de formulario 1.1'!$B92,MID('Respuestas de formulario 1.1'!EI$1,2,1)),#REF!,12,0),"")</f>
        <v/>
      </c>
      <c r="EJ92" s="45" t="str">
        <f t="array" ref="EJ92">IF(DO92="","", INDEX(#REF!,MATCH(CONCATENATE('Respuestas de formulario 1.1'!$B92,DO92),#REF!,0),MATCH('Respuestas de formulario 1.1'!EJ$1,#REF!,0)))</f>
        <v/>
      </c>
      <c r="EK92" s="56" t="str">
        <f t="array" ref="EK92">IF(DP92="","", INDEX(#REF!,MATCH(CONCATENATE('Respuestas de formulario 1.1'!$B92,DP92),#REF!,0),MATCH('Respuestas de formulario 1.1'!EK$1,#REF!,0)))</f>
        <v/>
      </c>
      <c r="EL92" s="56" t="str">
        <f t="array" ref="EL92">IF(DQ92="","", INDEX(#REF!,MATCH(CONCATENATE('Respuestas de formulario 1.1'!$B92,DQ92),#REF!,0),MATCH('Respuestas de formulario 1.1'!EL$1,#REF!,0)))</f>
        <v/>
      </c>
      <c r="EM92" s="56" t="str">
        <f t="array" ref="EM92">IF(DR92="","", INDEX(#REF!,MATCH(CONCATENATE('Respuestas de formulario 1.1'!$B92,DR92),#REF!,0),MATCH('Respuestas de formulario 1.1'!EM$1,#REF!,0)))</f>
        <v/>
      </c>
      <c r="EN92" s="56" t="str">
        <f t="array" ref="EN92">IF(DS92="","", INDEX(#REF!,MATCH(CONCATENATE('Respuestas de formulario 1.1'!$B92,DS92),#REF!,0),MATCH('Respuestas de formulario 1.1'!EN$1,#REF!,0)))</f>
        <v/>
      </c>
      <c r="EO92" s="56" t="str">
        <f t="array" ref="EO92">IF(DT92="","", INDEX(#REF!,MATCH(CONCATENATE('Respuestas de formulario 1.1'!$B92,DT92),#REF!,0),MATCH('Respuestas de formulario 1.1'!EO$1,#REF!,0)))</f>
        <v/>
      </c>
      <c r="EP92" s="45" t="str">
        <f t="array" ref="EP92">IF(DU92="","", INDEX(#REF!,MATCH(CONCATENATE('Respuestas de formulario 1.1'!$B92,DU92),#REF!,0),MATCH('Respuestas de formulario 1.1'!EP$1,#REF!,0)))</f>
        <v/>
      </c>
      <c r="EQ92" s="45" t="str">
        <f t="array" ref="EQ92">IF(DP92="","", INDEX(#REF!,MATCH(CONCATENATE('Respuestas de formulario 1.1'!$B92,DP92),#REF!,0),MATCH('Respuestas de formulario 1.1'!EQ$1,#REF!,0)))</f>
        <v/>
      </c>
      <c r="ER92" s="56" t="str">
        <f t="array" ref="ER92">IF(DQ92="","", INDEX(#REF!,MATCH(CONCATENATE('Respuestas de formulario 1.1'!$B92,DQ92),#REF!,0),MATCH('Respuestas de formulario 1.1'!ER$1,#REF!,0)))</f>
        <v/>
      </c>
      <c r="ES92" s="56" t="str">
        <f t="array" ref="ES92">IF(DR92="","", INDEX(#REF!,MATCH(CONCATENATE('Respuestas de formulario 1.1'!$B92,DR92),#REF!,0),MATCH('Respuestas de formulario 1.1'!ES$1,#REF!,0)))</f>
        <v/>
      </c>
      <c r="ET92" s="56" t="str">
        <f t="array" ref="ET92">IF(DS92="","", INDEX(#REF!,MATCH(CONCATENATE('Respuestas de formulario 1.1'!$B92,DS92),#REF!,0),MATCH('Respuestas de formulario 1.1'!ET$1,#REF!,0)))</f>
        <v/>
      </c>
      <c r="EU92" s="56" t="str">
        <f t="array" ref="EU92">IF(DT92="","", INDEX(#REF!,MATCH(CONCATENATE('Respuestas de formulario 1.1'!$B92,DT92),#REF!,0),MATCH('Respuestas de formulario 1.1'!EU$1,#REF!,0)))</f>
        <v/>
      </c>
      <c r="EV92" s="56" t="str">
        <f t="array" ref="EV92">IF(DU92="","", INDEX(#REF!,MATCH(CONCATENATE('Respuestas de formulario 1.1'!$B92,DU92),#REF!,0),MATCH('Respuestas de formulario 1.1'!EV$1,#REF!,0)))</f>
        <v/>
      </c>
      <c r="EW92" s="45" t="str">
        <f t="array" ref="EW92">IF(DV92="","", INDEX(#REF!,MATCH(CONCATENATE('Respuestas de formulario 1.1'!$B92,DV92),#REF!,0),MATCH('Respuestas de formulario 1.1'!EW$1,#REF!,0)))</f>
        <v/>
      </c>
      <c r="EX92" s="45" t="str">
        <f t="array" ref="EX92">IF($DQ92="","", INDEX(#REF!,MATCH(CONCATENATE('Respuestas de formulario 1.1'!$B92,$DQ92),#REF!,0),MATCH('Respuestas de formulario 1.1'!EX$1,#REF!,0)))</f>
        <v/>
      </c>
      <c r="EY92" s="56" t="str">
        <f t="array" ref="EY92">IF($DQ92="","", INDEX(#REF!,MATCH(CONCATENATE('Respuestas de formulario 1.1'!$B92,$DQ92),#REF!,0),MATCH('Respuestas de formulario 1.1'!EY$1,#REF!,0)))</f>
        <v/>
      </c>
      <c r="EZ92" s="56" t="str">
        <f t="array" ref="EZ92">IF($DQ92="","", INDEX(#REF!,MATCH(CONCATENATE('Respuestas de formulario 1.1'!$B92,$DQ92),#REF!,0),MATCH('Respuestas de formulario 1.1'!EZ$1,#REF!,0)))</f>
        <v/>
      </c>
      <c r="FA92" s="56" t="str">
        <f t="array" ref="FA92">IF($DQ92="","", INDEX(#REF!,MATCH(CONCATENATE('Respuestas de formulario 1.1'!$B92,$DQ92),#REF!,0),MATCH('Respuestas de formulario 1.1'!FA$1,#REF!,0)))</f>
        <v/>
      </c>
      <c r="FB92" s="56" t="str">
        <f t="array" ref="FB92">IF($DQ92="","", INDEX(#REF!,MATCH(CONCATENATE('Respuestas de formulario 1.1'!$B92,$DQ92),#REF!,0),MATCH('Respuestas de formulario 1.1'!FB$1,#REF!,0)))</f>
        <v/>
      </c>
      <c r="FC92" s="56" t="str">
        <f t="array" ref="FC92">IF($DQ92="","", INDEX(#REF!,MATCH(CONCATENATE('Respuestas de formulario 1.1'!$B92,$DQ92),#REF!,0),MATCH('Respuestas de formulario 1.1'!FC$1,#REF!,0)))</f>
        <v/>
      </c>
      <c r="FD92" s="45" t="str">
        <f t="array" ref="FD92">IF($DQ92="","", INDEX(#REF!,MATCH(CONCATENATE('Respuestas de formulario 1.1'!$B92,$DQ92),#REF!,0),MATCH('Respuestas de formulario 1.1'!FD$1,#REF!,0)))</f>
        <v/>
      </c>
      <c r="FE92" s="45" t="str">
        <f t="array" ref="FE92">IF($DR92="","", INDEX(#REF!,MATCH(CONCATENATE(#REF!,$DR92),#REF!,0),MATCH(#REF!,#REF!,0)))</f>
        <v/>
      </c>
      <c r="FF92" s="56" t="str">
        <f t="array" ref="FF92">IF($DR92="","", INDEX(#REF!,MATCH(CONCATENATE(#REF!,$DR92),#REF!,0),MATCH(#REF!,#REF!,0)))</f>
        <v/>
      </c>
      <c r="FG92" s="56" t="str">
        <f t="array" ref="FG92">IF($DR92="","", INDEX(#REF!,MATCH(CONCATENATE(#REF!,$DR92),#REF!,0),MATCH(#REF!,#REF!,0)))</f>
        <v/>
      </c>
      <c r="FH92" s="56" t="str">
        <f t="array" ref="FH92">IF($DR92="","", INDEX(#REF!,MATCH(CONCATENATE(#REF!,$DR92),#REF!,0),MATCH(#REF!,#REF!,0)))</f>
        <v/>
      </c>
      <c r="FI92" s="56" t="str">
        <f t="array" ref="FI92">IF($DR92="","", INDEX(#REF!,MATCH(CONCATENATE(#REF!,$DR92),#REF!,0),MATCH(#REF!,#REF!,0)))</f>
        <v/>
      </c>
      <c r="FJ92" s="56" t="str">
        <f t="array" ref="FJ92">IF($DR92="","", INDEX(#REF!,MATCH(CONCATENATE(#REF!,$DR92),#REF!,0),MATCH(#REF!,#REF!,0)))</f>
        <v/>
      </c>
      <c r="FK92" s="45" t="str">
        <f t="array" ref="FK92">IF($DR92="","", INDEX(#REF!,MATCH(CONCATENATE(#REF!,$DR92),#REF!,0),MATCH(#REF!,#REF!,0)))</f>
        <v/>
      </c>
      <c r="FL92" s="45" t="str">
        <f t="array" ref="FL92">IF($DT92="","", INDEX(#REF!,MATCH(CONCATENATE('Respuestas de formulario 1.1'!$B92,$DS92),#REF!,0),MATCH('Respuestas de formulario 1.1'!FL$1,#REF!,0)))</f>
        <v/>
      </c>
      <c r="FM92" s="56" t="str">
        <f t="array" ref="FM92">IF($DT92="","", INDEX(#REF!,MATCH(CONCATENATE('Respuestas de formulario 1.1'!$B92,$DS92),#REF!,0),MATCH('Respuestas de formulario 1.1'!FM$1,#REF!,0)))</f>
        <v/>
      </c>
      <c r="FN92" s="56" t="str">
        <f t="array" ref="FN92">IF($DT92="","", INDEX(#REF!,MATCH(CONCATENATE('Respuestas de formulario 1.1'!$B92,$DS92),#REF!,0),MATCH('Respuestas de formulario 1.1'!FN$1,#REF!,0)))</f>
        <v/>
      </c>
      <c r="FO92" s="56" t="str">
        <f t="array" ref="FO92">IF($DT92="","", INDEX(#REF!,MATCH(CONCATENATE('Respuestas de formulario 1.1'!$B92,$DS92),#REF!,0),MATCH('Respuestas de formulario 1.1'!FO$1,#REF!,0)))</f>
        <v/>
      </c>
      <c r="FP92" s="56" t="str">
        <f t="array" ref="FP92">IF($DT92="","", INDEX(#REF!,MATCH(CONCATENATE('Respuestas de formulario 1.1'!$B92,$DS92),#REF!,0),MATCH('Respuestas de formulario 1.1'!FP$1,#REF!,0)))</f>
        <v/>
      </c>
      <c r="FQ92" s="56" t="str">
        <f t="array" ref="FQ92">IF($DT92="","", INDEX(#REF!,MATCH(CONCATENATE('Respuestas de formulario 1.1'!$B92,$DS92),#REF!,0),MATCH('Respuestas de formulario 1.1'!FQ$1,#REF!,0)))</f>
        <v/>
      </c>
      <c r="FR92" s="45" t="str">
        <f t="array" ref="FR92">IF($DT92="","", INDEX(#REF!,MATCH(CONCATENATE('Respuestas de formulario 1.1'!$B92,$DS92),#REF!,0),MATCH('Respuestas de formulario 1.1'!FR$1,#REF!,0)))</f>
        <v/>
      </c>
      <c r="FS92" s="45" t="str">
        <f t="array" ref="FS92">IF($DU92="","", INDEX(#REF!,MATCH(CONCATENATE('Respuestas de formulario 1.1'!$B92,$DT92),#REF!,0),MATCH('Respuestas de formulario 1.1'!FS$1,#REF!,0)))</f>
        <v/>
      </c>
      <c r="FT92" s="56" t="str">
        <f t="array" ref="FT92">IF($DU92="","", INDEX(#REF!,MATCH(CONCATENATE('Respuestas de formulario 1.1'!$B92,$DT92),#REF!,0),MATCH('Respuestas de formulario 1.1'!FT$1,#REF!,0)))</f>
        <v/>
      </c>
      <c r="FU92" s="56" t="str">
        <f t="array" ref="FU92">IF($DU92="","", INDEX(#REF!,MATCH(CONCATENATE('Respuestas de formulario 1.1'!$B92,$DT92),#REF!,0),MATCH('Respuestas de formulario 1.1'!FU$1,#REF!,0)))</f>
        <v/>
      </c>
      <c r="FV92" s="56" t="str">
        <f t="array" ref="FV92">IF($DU92="","", INDEX(#REF!,MATCH(CONCATENATE('Respuestas de formulario 1.1'!$B92,$DT92),#REF!,0),MATCH('Respuestas de formulario 1.1'!FV$1,#REF!,0)))</f>
        <v/>
      </c>
      <c r="FW92" s="56" t="str">
        <f t="array" ref="FW92">IF($DU92="","", INDEX(#REF!,MATCH(CONCATENATE('Respuestas de formulario 1.1'!$B92,$DT92),#REF!,0),MATCH('Respuestas de formulario 1.1'!FW$1,#REF!,0)))</f>
        <v/>
      </c>
      <c r="FX92" s="56" t="str">
        <f t="array" ref="FX92">IF($DU92="","", INDEX(#REF!,MATCH(CONCATENATE('Respuestas de formulario 1.1'!$B92,$DT92),#REF!,0),MATCH('Respuestas de formulario 1.1'!FX$1,#REF!,0)))</f>
        <v/>
      </c>
      <c r="FY92" s="45" t="str">
        <f t="array" ref="FY92">IF($DU92="","", INDEX(#REF!,MATCH(CONCATENATE('Respuestas de formulario 1.1'!$B92,$DT92),#REF!,0),MATCH('Respuestas de formulario 1.1'!FY$1,#REF!,0)))</f>
        <v/>
      </c>
      <c r="FZ92" s="3" t="s">
        <v>2860</v>
      </c>
      <c r="GA92" s="1" t="s">
        <v>4420</v>
      </c>
      <c r="GB92" s="5" t="s">
        <v>4421</v>
      </c>
      <c r="GC92" s="4" t="str">
        <f>HYPERLINK("https://drive.google.com/file/d/1rsmWDmOfQWqgakc9kbpWbV2th4m3KVrL/view?usp=drivesdk","GUTIERREZ  LOPEZ SARA MICHEL  Formato de reinscripción y pago 2022-2")</f>
        <v>GUTIERREZ  LOPEZ SARA MICHEL  Formato de reinscripción y pago 2022-2</v>
      </c>
      <c r="GD92" s="1" t="s">
        <v>4422</v>
      </c>
      <c r="GE92" s="1"/>
      <c r="GF92" s="1"/>
      <c r="GG92" s="1"/>
      <c r="GH92" s="1"/>
      <c r="GI92" s="1" t="s">
        <v>4423</v>
      </c>
      <c r="GJ92" s="5" t="s">
        <v>4424</v>
      </c>
      <c r="GK92" s="5" t="str">
        <f>HYPERLINK("https://drive.google.com/file/d/121rBD_mYuCZj1LpzkVmxEGffYJaP8bb6/view?usp=drivesdk","GUTIERREZ  LOPEZ SARA MICHEL  Formato de reinscripción y pago 2022-2")</f>
        <v>GUTIERREZ  LOPEZ SARA MICHEL  Formato de reinscripción y pago 2022-2</v>
      </c>
      <c r="GL92" s="1" t="s">
        <v>4425</v>
      </c>
    </row>
    <row r="93" spans="1:194" ht="38.25" x14ac:dyDescent="0.2">
      <c r="A93" s="2">
        <v>45139.40273725694</v>
      </c>
      <c r="B93" s="1" t="s">
        <v>1734</v>
      </c>
      <c r="C93" s="1" t="s">
        <v>529</v>
      </c>
      <c r="D93" s="1" t="s">
        <v>455</v>
      </c>
      <c r="E93" s="1" t="s">
        <v>1735</v>
      </c>
      <c r="F93" s="1" t="s">
        <v>262</v>
      </c>
      <c r="G93" s="5" t="s">
        <v>4426</v>
      </c>
      <c r="H93" s="41">
        <v>38971</v>
      </c>
      <c r="I93" s="1">
        <v>16</v>
      </c>
      <c r="J93" s="1">
        <v>5527549742</v>
      </c>
      <c r="K93" s="1">
        <v>5558574667</v>
      </c>
      <c r="L93" s="1" t="s">
        <v>1736</v>
      </c>
      <c r="M93" s="1">
        <v>21309060570103</v>
      </c>
      <c r="N93" s="1" t="s">
        <v>1108</v>
      </c>
      <c r="O93" s="1" t="s">
        <v>247</v>
      </c>
      <c r="P93" s="1" t="s">
        <v>278</v>
      </c>
      <c r="Q93" s="1" t="s">
        <v>227</v>
      </c>
      <c r="R93" s="1" t="s">
        <v>236</v>
      </c>
      <c r="S93" s="1" t="s">
        <v>228</v>
      </c>
      <c r="T93" s="1" t="s">
        <v>229</v>
      </c>
      <c r="U93" s="1" t="s">
        <v>394</v>
      </c>
      <c r="V93" s="1" t="s">
        <v>228</v>
      </c>
      <c r="W93" s="1" t="s">
        <v>2537</v>
      </c>
      <c r="X93" s="1" t="s">
        <v>394</v>
      </c>
      <c r="Y93" s="1" t="s">
        <v>767</v>
      </c>
      <c r="Z93" s="1" t="s">
        <v>231</v>
      </c>
      <c r="AA93" s="1">
        <v>56490</v>
      </c>
      <c r="AB93" s="1">
        <v>4</v>
      </c>
      <c r="AC93" s="1">
        <v>40</v>
      </c>
      <c r="AD93" s="1" t="s">
        <v>4427</v>
      </c>
      <c r="AE93" s="1" t="s">
        <v>4428</v>
      </c>
      <c r="AF93" s="1" t="s">
        <v>359</v>
      </c>
      <c r="AG93" s="1">
        <v>56</v>
      </c>
      <c r="AH93" s="5" t="s">
        <v>4429</v>
      </c>
      <c r="AI93" s="1">
        <v>5578958082</v>
      </c>
      <c r="AJ93" s="1">
        <v>5558574667</v>
      </c>
      <c r="AK93" s="1"/>
      <c r="AL93" s="1" t="s">
        <v>503</v>
      </c>
      <c r="AM93" s="1" t="s">
        <v>440</v>
      </c>
      <c r="AN93" s="1" t="s">
        <v>1737</v>
      </c>
      <c r="AO93" s="1" t="s">
        <v>650</v>
      </c>
      <c r="AP93" s="1">
        <v>36</v>
      </c>
      <c r="AQ93" s="1" t="s">
        <v>2237</v>
      </c>
      <c r="AR93" s="42">
        <v>0.33333333333575865</v>
      </c>
      <c r="AS93" s="42">
        <v>0.70833333333575865</v>
      </c>
      <c r="AT93" s="1">
        <v>5561698711</v>
      </c>
      <c r="AU93" s="1">
        <v>5558574667</v>
      </c>
      <c r="AV93" s="1"/>
      <c r="AW93" s="5" t="s">
        <v>4430</v>
      </c>
      <c r="AX93" s="1" t="s">
        <v>1088</v>
      </c>
      <c r="AY93" s="1" t="s">
        <v>234</v>
      </c>
      <c r="AZ93" s="1" t="s">
        <v>1638</v>
      </c>
      <c r="BA93" s="1" t="s">
        <v>445</v>
      </c>
      <c r="BB93" s="1">
        <v>36</v>
      </c>
      <c r="BC93" s="1" t="s">
        <v>4431</v>
      </c>
      <c r="BD93" s="43">
        <v>0.58333333333575865</v>
      </c>
      <c r="BE93" s="43">
        <v>0.875</v>
      </c>
      <c r="BF93" s="1">
        <v>5547929238</v>
      </c>
      <c r="BG93" s="1">
        <v>5558574667</v>
      </c>
      <c r="BH93" s="1" t="s">
        <v>4432</v>
      </c>
      <c r="BI93" s="5" t="s">
        <v>4433</v>
      </c>
      <c r="BJ93" s="1" t="s">
        <v>236</v>
      </c>
      <c r="BL93" s="1">
        <v>1.7</v>
      </c>
      <c r="BM93" s="1">
        <v>82</v>
      </c>
      <c r="BN93" s="1" t="s">
        <v>236</v>
      </c>
      <c r="BO93" s="1" t="s">
        <v>228</v>
      </c>
      <c r="BQ93" s="1" t="s">
        <v>228</v>
      </c>
      <c r="BR93" s="1" t="s">
        <v>237</v>
      </c>
      <c r="BS93" s="1" t="s">
        <v>236</v>
      </c>
      <c r="BT93" s="1" t="s">
        <v>462</v>
      </c>
      <c r="BU93" s="1" t="s">
        <v>228</v>
      </c>
      <c r="BW93" s="1" t="s">
        <v>272</v>
      </c>
      <c r="BX93" s="1">
        <v>120</v>
      </c>
      <c r="BY93" s="1">
        <v>205</v>
      </c>
      <c r="BZ93" s="1" t="s">
        <v>1451</v>
      </c>
      <c r="CA93" s="1" t="s">
        <v>4434</v>
      </c>
      <c r="CB93" s="1" t="s">
        <v>240</v>
      </c>
      <c r="CC93" s="1" t="s">
        <v>631</v>
      </c>
      <c r="CD93" s="1">
        <v>2500</v>
      </c>
      <c r="CE93" s="1">
        <v>3500</v>
      </c>
      <c r="CF93" s="1" t="s">
        <v>236</v>
      </c>
      <c r="CG93" s="1" t="s">
        <v>242</v>
      </c>
      <c r="CH93" s="1" t="s">
        <v>243</v>
      </c>
      <c r="CI93" s="1" t="s">
        <v>243</v>
      </c>
      <c r="CJ93" s="1" t="s">
        <v>2848</v>
      </c>
      <c r="CL93" s="5" t="s">
        <v>4435</v>
      </c>
      <c r="CM93" s="1">
        <v>12210685959</v>
      </c>
      <c r="CN93" s="1" t="s">
        <v>228</v>
      </c>
      <c r="CQ93" s="42">
        <v>0</v>
      </c>
      <c r="CR93" s="42">
        <v>0</v>
      </c>
      <c r="CT93" s="45" t="str">
        <f t="array" ref="CT93">IFERROR(INDEX(#REF!,MATCH('Respuestas de formulario 1.1'!$B93,#REF!,0),MATCH('Respuestas de formulario 1.1'!CT$1,#REF!,0)),"")</f>
        <v/>
      </c>
      <c r="CU93" s="56" t="str">
        <f t="array" ref="CU93">IFERROR(INDEX(#REF!,MATCH('Respuestas de formulario 1.1'!$B93,#REF!,0),MATCH('Respuestas de formulario 1.1'!CU$1,#REF!,0)),"")</f>
        <v/>
      </c>
      <c r="CV93" s="56" t="str">
        <f t="array" ref="CV93">IFERROR(INDEX(#REF!,MATCH('Respuestas de formulario 1.1'!$B93,#REF!,0),MATCH('Respuestas de formulario 1.1'!CV$1,#REF!,0)),"")</f>
        <v/>
      </c>
      <c r="CW93" s="56" t="str">
        <f t="array" ref="CW93">IFERROR(INDEX(#REF!,MATCH('Respuestas de formulario 1.1'!$B93,#REF!,0),MATCH('Respuestas de formulario 1.1'!CW$1,#REF!,0)),"")</f>
        <v/>
      </c>
      <c r="CX93" s="56" t="str">
        <f t="array" ref="CX93">IFERROR(INDEX(#REF!,MATCH('Respuestas de formulario 1.1'!$B93,#REF!,0),MATCH('Respuestas de formulario 1.1'!CX$1,#REF!,0)),"")</f>
        <v/>
      </c>
      <c r="CY93" s="56" t="str">
        <f t="array" ref="CY93">IFERROR(INDEX(#REF!,MATCH('Respuestas de formulario 1.1'!$B93,#REF!,0),MATCH('Respuestas de formulario 1.1'!CY$1,#REF!,0)),"")</f>
        <v/>
      </c>
      <c r="CZ93" s="57" t="str">
        <f t="array" ref="CZ93">IFERROR(INDEX(#REF!,MATCH('Respuestas de formulario 1.1'!$B93,#REF!,0),MATCH('Respuestas de formulario 1.1'!CZ$1,#REF!,0)),"")</f>
        <v/>
      </c>
      <c r="DA93" s="45" t="e">
        <f t="array" ref="DA93">INDEX(#REF!,MATCH('Respuestas de formulario 1.1'!$B93,#REF!,0),MATCH('Respuestas de formulario 1.1'!DA$1,#REF!,0))</f>
        <v>#REF!</v>
      </c>
      <c r="DB93" s="45" t="e">
        <f t="array" ref="DB93">INDEX(#REF!,MATCH('Respuestas de formulario 1.1'!$B93,#REF!,0),MATCH('Respuestas de formulario 1.1'!DB$1,#REF!,0))</f>
        <v>#REF!</v>
      </c>
      <c r="DC93" s="45" t="e">
        <f t="array" ref="DC93">INDEX(#REF!,MATCH('Respuestas de formulario 1.1'!$B93,#REF!,0),MATCH('Respuestas de formulario 1.1'!DC$1,#REF!,0))</f>
        <v>#REF!</v>
      </c>
      <c r="DD93" s="45" t="e">
        <f t="array" ref="DD93">INDEX(#REF!,MATCH('Respuestas de formulario 1.1'!$B93,#REF!,0),MATCH('Respuestas de formulario 1.1'!DD$1,#REF!,0))</f>
        <v>#REF!</v>
      </c>
      <c r="DE93" s="45" t="e">
        <f t="array" ref="DE93">INDEX(#REF!,MATCH('Respuestas de formulario 1.1'!$B93,#REF!,0),MATCH('Respuestas de formulario 1.1'!DE$1,#REF!,0))</f>
        <v>#REF!</v>
      </c>
      <c r="DF93" s="45" t="e">
        <f t="array" ref="DF93">INDEX(#REF!,MATCH('Respuestas de formulario 1.1'!$B93,#REF!,0),MATCH('Respuestas de formulario 1.1'!DF$1,#REF!,0))</f>
        <v>#REF!</v>
      </c>
      <c r="DG93" s="45" t="e">
        <f t="array" ref="DG93">INDEX(#REF!,MATCH('Respuestas de formulario 1.1'!$B93,#REF!,0),MATCH('Respuestas de formulario 1.1'!DG$1,#REF!,0))</f>
        <v>#REF!</v>
      </c>
      <c r="DH93" s="45" t="e">
        <f t="array" ref="DH93">INDEX(#REF!,MATCH('Respuestas de formulario 1.1'!$B93,#REF!,0),MATCH('Respuestas de formulario 1.1'!DH$1,#REF!,0))</f>
        <v>#REF!</v>
      </c>
      <c r="DI93" s="48" t="e">
        <f>VLOOKUP(CONCATENATE($DF93," TUTO ",$DC93),#REF!,3,0)</f>
        <v>#REF!</v>
      </c>
      <c r="DJ93" s="48" t="e">
        <f t="array" ref="DJ93">IF('Respuestas de formulario 1.1'!A93="","",INDEX(#REF!,MATCH('Respuestas de formulario 1.1'!B93,#REF!,0),MATCH('Respuestas de formulario 1.1'!$DH$1,#REF!,0)))</f>
        <v>#REF!</v>
      </c>
      <c r="DK93" s="52" t="str">
        <f>CONCATENATE("http://doc.google.com/uc?id=",MID('Respuestas de formulario 1.1'!G93,34,33))</f>
        <v>http://doc.google.com/uc?id=1xXJ1Q4PXwj6fCReEXgm4Lo7-NdwgkzDO</v>
      </c>
      <c r="DL93" s="49" t="str">
        <f>CONCATENATE("http://doc.google.com/uc?id=",MID('Respuestas de formulario 1.1'!AH93,34,33))</f>
        <v>http://doc.google.com/uc?id=10g3SnMxakJpHQmiec2d2m2xgFg07a6UF</v>
      </c>
      <c r="DM93" s="50" t="str">
        <f>CONCATENATE("http://doc.google.com/uc?id=",MID('Respuestas de formulario 1.1'!AW93,34,33))</f>
        <v>http://doc.google.com/uc?id=1vBSnL03QiRYeI1rg7RABoimcV1Bv0JvH</v>
      </c>
      <c r="DN93" s="53" t="str">
        <f>CONCATENATE("http://doc.google.com/uc?id=",MID('Respuestas de formulario 1.1'!$BI93,34,33))</f>
        <v>http://doc.google.com/uc?id=1312j_wMRXSX3kdbGLWRiFiv6uuUzCmdH</v>
      </c>
      <c r="DO93" s="45" t="str">
        <f>IFERROR(VLOOKUP(CONCATENATE('Respuestas de formulario 1.1'!$B93,MID('Respuestas de formulario 1.1'!DO$1,2,1)),#REF!,12,0),"")</f>
        <v/>
      </c>
      <c r="DP93" s="45" t="str">
        <f>IFERROR(VLOOKUP(CONCATENATE('Respuestas de formulario 1.1'!$B93,MID('Respuestas de formulario 1.1'!DP$1,2,1)),#REF!,12,0),"")</f>
        <v/>
      </c>
      <c r="DQ93" s="45" t="str">
        <f>IFERROR(VLOOKUP(CONCATENATE('Respuestas de formulario 1.1'!$B93,MID('Respuestas de formulario 1.1'!DQ$1,2,1)),#REF!,12,0),"")</f>
        <v/>
      </c>
      <c r="DR93" s="45" t="str">
        <f>IFERROR(VLOOKUP(CONCATENATE('Respuestas de formulario 1.1'!$B93,MID('Respuestas de formulario 1.1'!DR$1,2,1)),#REF!,12,0),"")</f>
        <v/>
      </c>
      <c r="DS93" s="45" t="str">
        <f>IFERROR(VLOOKUP(CONCATENATE('Respuestas de formulario 1.1'!$B93,MID('Respuestas de formulario 1.1'!DS$1,2,1)),#REF!,12,0),"")</f>
        <v/>
      </c>
      <c r="DT93" s="45" t="str">
        <f>IFERROR(VLOOKUP(CONCATENATE('Respuestas de formulario 1.1'!$B93,MID('Respuestas de formulario 1.1'!DT$1,2,1)),#REF!,12,0),"")</f>
        <v/>
      </c>
      <c r="DU93" s="45" t="str">
        <f>IFERROR(VLOOKUP(CONCATENATE('Respuestas de formulario 1.1'!$B93,MID('Respuestas de formulario 1.1'!DU$1,2,1)),#REF!,12,0),"")</f>
        <v/>
      </c>
      <c r="DV93" s="45" t="str">
        <f>IFERROR(VLOOKUP(CONCATENATE('Respuestas de formulario 1.1'!$B93,MID('Respuestas de formulario 1.1'!DV$1,2,1)),#REF!,12,0),"")</f>
        <v/>
      </c>
      <c r="DW93" s="45" t="str">
        <f>IFERROR(VLOOKUP(CONCATENATE('Respuestas de formulario 1.1'!$B93,MID('Respuestas de formulario 1.1'!DW$1,2,1)),#REF!,12,0),"")</f>
        <v/>
      </c>
      <c r="DX93" s="45" t="str">
        <f>IFERROR(VLOOKUP(CONCATENATE('Respuestas de formulario 1.1'!$B93,MID('Respuestas de formulario 1.1'!DX$1,2,1)),#REF!,12,0),"")</f>
        <v/>
      </c>
      <c r="DY93" s="45" t="str">
        <f>IFERROR(VLOOKUP(CONCATENATE('Respuestas de formulario 1.1'!$B93,MID('Respuestas de formulario 1.1'!DY$1,2,1)),#REF!,12,0),"")</f>
        <v/>
      </c>
      <c r="DZ93" s="45" t="str">
        <f>IFERROR(VLOOKUP(CONCATENATE('Respuestas de formulario 1.1'!$B93,MID('Respuestas de formulario 1.1'!DZ$1,2,1)),#REF!,12,0),"")</f>
        <v/>
      </c>
      <c r="EA93" s="45" t="str">
        <f>IFERROR(VLOOKUP(CONCATENATE('Respuestas de formulario 1.1'!$B93,MID('Respuestas de formulario 1.1'!EA$1,2,1)),#REF!,12,0),"")</f>
        <v/>
      </c>
      <c r="EB93" s="45" t="str">
        <f>IFERROR(VLOOKUP(CONCATENATE('Respuestas de formulario 1.1'!$B93,MID('Respuestas de formulario 1.1'!EB$1,2,1)),#REF!,12,0),"")</f>
        <v/>
      </c>
      <c r="EC93" s="45" t="str">
        <f>IFERROR(VLOOKUP(CONCATENATE('Respuestas de formulario 1.1'!$B93,MID('Respuestas de formulario 1.1'!EC$1,2,1)),#REF!,12,0),"")</f>
        <v/>
      </c>
      <c r="ED93" s="45" t="str">
        <f>IFERROR(VLOOKUP(CONCATENATE('Respuestas de formulario 1.1'!$B93,MID('Respuestas de formulario 1.1'!ED$1,2,1)),#REF!,12,0),"")</f>
        <v/>
      </c>
      <c r="EE93" s="45" t="str">
        <f>IFERROR(VLOOKUP(CONCATENATE('Respuestas de formulario 1.1'!$B93,MID('Respuestas de formulario 1.1'!EE$1,2,1)),#REF!,12,0),"")</f>
        <v/>
      </c>
      <c r="EF93" s="45" t="str">
        <f>IFERROR(VLOOKUP(CONCATENATE('Respuestas de formulario 1.1'!$B93,MID('Respuestas de formulario 1.1'!EF$1,2,1)),#REF!,12,0),"")</f>
        <v/>
      </c>
      <c r="EG93" s="45" t="str">
        <f>IFERROR(VLOOKUP(CONCATENATE('Respuestas de formulario 1.1'!$B93,MID('Respuestas de formulario 1.1'!EG$1,2,1)),#REF!,12,0),"")</f>
        <v/>
      </c>
      <c r="EH93" s="45" t="str">
        <f>IFERROR(VLOOKUP(CONCATENATE('Respuestas de formulario 1.1'!$B93,MID('Respuestas de formulario 1.1'!EH$1,2,1)),#REF!,12,0),"")</f>
        <v/>
      </c>
      <c r="EI93" s="45" t="str">
        <f>IFERROR(VLOOKUP(CONCATENATE('Respuestas de formulario 1.1'!$B93,MID('Respuestas de formulario 1.1'!EI$1,2,1)),#REF!,12,0),"")</f>
        <v/>
      </c>
      <c r="EJ93" s="45" t="str">
        <f t="array" ref="EJ93">IF(DO93="","", INDEX(#REF!,MATCH(CONCATENATE('Respuestas de formulario 1.1'!$B93,DO93),#REF!,0),MATCH('Respuestas de formulario 1.1'!EJ$1,#REF!,0)))</f>
        <v/>
      </c>
      <c r="EK93" s="56" t="str">
        <f t="array" ref="EK93">IF(DP93="","", INDEX(#REF!,MATCH(CONCATENATE('Respuestas de formulario 1.1'!$B93,DP93),#REF!,0),MATCH('Respuestas de formulario 1.1'!EK$1,#REF!,0)))</f>
        <v/>
      </c>
      <c r="EL93" s="56" t="str">
        <f t="array" ref="EL93">IF(DQ93="","", INDEX(#REF!,MATCH(CONCATENATE('Respuestas de formulario 1.1'!$B93,DQ93),#REF!,0),MATCH('Respuestas de formulario 1.1'!EL$1,#REF!,0)))</f>
        <v/>
      </c>
      <c r="EM93" s="56" t="str">
        <f t="array" ref="EM93">IF(DR93="","", INDEX(#REF!,MATCH(CONCATENATE('Respuestas de formulario 1.1'!$B93,DR93),#REF!,0),MATCH('Respuestas de formulario 1.1'!EM$1,#REF!,0)))</f>
        <v/>
      </c>
      <c r="EN93" s="56" t="str">
        <f t="array" ref="EN93">IF(DS93="","", INDEX(#REF!,MATCH(CONCATENATE('Respuestas de formulario 1.1'!$B93,DS93),#REF!,0),MATCH('Respuestas de formulario 1.1'!EN$1,#REF!,0)))</f>
        <v/>
      </c>
      <c r="EO93" s="56" t="str">
        <f t="array" ref="EO93">IF(DT93="","", INDEX(#REF!,MATCH(CONCATENATE('Respuestas de formulario 1.1'!$B93,DT93),#REF!,0),MATCH('Respuestas de formulario 1.1'!EO$1,#REF!,0)))</f>
        <v/>
      </c>
      <c r="EP93" s="45" t="str">
        <f t="array" ref="EP93">IF(DU93="","", INDEX(#REF!,MATCH(CONCATENATE('Respuestas de formulario 1.1'!$B93,DU93),#REF!,0),MATCH('Respuestas de formulario 1.1'!EP$1,#REF!,0)))</f>
        <v/>
      </c>
      <c r="EQ93" s="45" t="str">
        <f t="array" ref="EQ93">IF(DP93="","", INDEX(#REF!,MATCH(CONCATENATE('Respuestas de formulario 1.1'!$B93,DP93),#REF!,0),MATCH('Respuestas de formulario 1.1'!EQ$1,#REF!,0)))</f>
        <v/>
      </c>
      <c r="ER93" s="56" t="str">
        <f t="array" ref="ER93">IF(DQ93="","", INDEX(#REF!,MATCH(CONCATENATE('Respuestas de formulario 1.1'!$B93,DQ93),#REF!,0),MATCH('Respuestas de formulario 1.1'!ER$1,#REF!,0)))</f>
        <v/>
      </c>
      <c r="ES93" s="56" t="str">
        <f t="array" ref="ES93">IF(DR93="","", INDEX(#REF!,MATCH(CONCATENATE('Respuestas de formulario 1.1'!$B93,DR93),#REF!,0),MATCH('Respuestas de formulario 1.1'!ES$1,#REF!,0)))</f>
        <v/>
      </c>
      <c r="ET93" s="56" t="str">
        <f t="array" ref="ET93">IF(DS93="","", INDEX(#REF!,MATCH(CONCATENATE('Respuestas de formulario 1.1'!$B93,DS93),#REF!,0),MATCH('Respuestas de formulario 1.1'!ET$1,#REF!,0)))</f>
        <v/>
      </c>
      <c r="EU93" s="56" t="str">
        <f t="array" ref="EU93">IF(DT93="","", INDEX(#REF!,MATCH(CONCATENATE('Respuestas de formulario 1.1'!$B93,DT93),#REF!,0),MATCH('Respuestas de formulario 1.1'!EU$1,#REF!,0)))</f>
        <v/>
      </c>
      <c r="EV93" s="56" t="str">
        <f t="array" ref="EV93">IF(DU93="","", INDEX(#REF!,MATCH(CONCATENATE('Respuestas de formulario 1.1'!$B93,DU93),#REF!,0),MATCH('Respuestas de formulario 1.1'!EV$1,#REF!,0)))</f>
        <v/>
      </c>
      <c r="EW93" s="45" t="str">
        <f t="array" ref="EW93">IF(DV93="","", INDEX(#REF!,MATCH(CONCATENATE('Respuestas de formulario 1.1'!$B93,DV93),#REF!,0),MATCH('Respuestas de formulario 1.1'!EW$1,#REF!,0)))</f>
        <v/>
      </c>
      <c r="EX93" s="45" t="str">
        <f t="array" ref="EX93">IF($DQ93="","", INDEX(#REF!,MATCH(CONCATENATE('Respuestas de formulario 1.1'!$B93,$DQ93),#REF!,0),MATCH('Respuestas de formulario 1.1'!EX$1,#REF!,0)))</f>
        <v/>
      </c>
      <c r="EY93" s="56" t="str">
        <f t="array" ref="EY93">IF($DQ93="","", INDEX(#REF!,MATCH(CONCATENATE('Respuestas de formulario 1.1'!$B93,$DQ93),#REF!,0),MATCH('Respuestas de formulario 1.1'!EY$1,#REF!,0)))</f>
        <v/>
      </c>
      <c r="EZ93" s="56" t="str">
        <f t="array" ref="EZ93">IF($DQ93="","", INDEX(#REF!,MATCH(CONCATENATE('Respuestas de formulario 1.1'!$B93,$DQ93),#REF!,0),MATCH('Respuestas de formulario 1.1'!EZ$1,#REF!,0)))</f>
        <v/>
      </c>
      <c r="FA93" s="56" t="str">
        <f t="array" ref="FA93">IF($DQ93="","", INDEX(#REF!,MATCH(CONCATENATE('Respuestas de formulario 1.1'!$B93,$DQ93),#REF!,0),MATCH('Respuestas de formulario 1.1'!FA$1,#REF!,0)))</f>
        <v/>
      </c>
      <c r="FB93" s="56" t="str">
        <f t="array" ref="FB93">IF($DQ93="","", INDEX(#REF!,MATCH(CONCATENATE('Respuestas de formulario 1.1'!$B93,$DQ93),#REF!,0),MATCH('Respuestas de formulario 1.1'!FB$1,#REF!,0)))</f>
        <v/>
      </c>
      <c r="FC93" s="56" t="str">
        <f t="array" ref="FC93">IF($DQ93="","", INDEX(#REF!,MATCH(CONCATENATE('Respuestas de formulario 1.1'!$B93,$DQ93),#REF!,0),MATCH('Respuestas de formulario 1.1'!FC$1,#REF!,0)))</f>
        <v/>
      </c>
      <c r="FD93" s="45" t="str">
        <f t="array" ref="FD93">IF($DQ93="","", INDEX(#REF!,MATCH(CONCATENATE('Respuestas de formulario 1.1'!$B93,$DQ93),#REF!,0),MATCH('Respuestas de formulario 1.1'!FD$1,#REF!,0)))</f>
        <v/>
      </c>
      <c r="FE93" s="45" t="str">
        <f t="array" ref="FE93">IF($DR93="","", INDEX(#REF!,MATCH(CONCATENATE(#REF!,$DR93),#REF!,0),MATCH(#REF!,#REF!,0)))</f>
        <v/>
      </c>
      <c r="FF93" s="56" t="str">
        <f t="array" ref="FF93">IF($DR93="","", INDEX(#REF!,MATCH(CONCATENATE(#REF!,$DR93),#REF!,0),MATCH(#REF!,#REF!,0)))</f>
        <v/>
      </c>
      <c r="FG93" s="56" t="str">
        <f t="array" ref="FG93">IF($DR93="","", INDEX(#REF!,MATCH(CONCATENATE(#REF!,$DR93),#REF!,0),MATCH(#REF!,#REF!,0)))</f>
        <v/>
      </c>
      <c r="FH93" s="56" t="str">
        <f t="array" ref="FH93">IF($DR93="","", INDEX(#REF!,MATCH(CONCATENATE(#REF!,$DR93),#REF!,0),MATCH(#REF!,#REF!,0)))</f>
        <v/>
      </c>
      <c r="FI93" s="56" t="str">
        <f t="array" ref="FI93">IF($DR93="","", INDEX(#REF!,MATCH(CONCATENATE(#REF!,$DR93),#REF!,0),MATCH(#REF!,#REF!,0)))</f>
        <v/>
      </c>
      <c r="FJ93" s="56" t="str">
        <f t="array" ref="FJ93">IF($DR93="","", INDEX(#REF!,MATCH(CONCATENATE(#REF!,$DR93),#REF!,0),MATCH(#REF!,#REF!,0)))</f>
        <v/>
      </c>
      <c r="FK93" s="45" t="str">
        <f t="array" ref="FK93">IF($DR93="","", INDEX(#REF!,MATCH(CONCATENATE(#REF!,$DR93),#REF!,0),MATCH(#REF!,#REF!,0)))</f>
        <v/>
      </c>
      <c r="FL93" s="45" t="str">
        <f t="array" ref="FL93">IF($DT93="","", INDEX(#REF!,MATCH(CONCATENATE('Respuestas de formulario 1.1'!$B93,$DS93),#REF!,0),MATCH('Respuestas de formulario 1.1'!FL$1,#REF!,0)))</f>
        <v/>
      </c>
      <c r="FM93" s="56" t="str">
        <f t="array" ref="FM93">IF($DT93="","", INDEX(#REF!,MATCH(CONCATENATE('Respuestas de formulario 1.1'!$B93,$DS93),#REF!,0),MATCH('Respuestas de formulario 1.1'!FM$1,#REF!,0)))</f>
        <v/>
      </c>
      <c r="FN93" s="56" t="str">
        <f t="array" ref="FN93">IF($DT93="","", INDEX(#REF!,MATCH(CONCATENATE('Respuestas de formulario 1.1'!$B93,$DS93),#REF!,0),MATCH('Respuestas de formulario 1.1'!FN$1,#REF!,0)))</f>
        <v/>
      </c>
      <c r="FO93" s="56" t="str">
        <f t="array" ref="FO93">IF($DT93="","", INDEX(#REF!,MATCH(CONCATENATE('Respuestas de formulario 1.1'!$B93,$DS93),#REF!,0),MATCH('Respuestas de formulario 1.1'!FO$1,#REF!,0)))</f>
        <v/>
      </c>
      <c r="FP93" s="56" t="str">
        <f t="array" ref="FP93">IF($DT93="","", INDEX(#REF!,MATCH(CONCATENATE('Respuestas de formulario 1.1'!$B93,$DS93),#REF!,0),MATCH('Respuestas de formulario 1.1'!FP$1,#REF!,0)))</f>
        <v/>
      </c>
      <c r="FQ93" s="56" t="str">
        <f t="array" ref="FQ93">IF($DT93="","", INDEX(#REF!,MATCH(CONCATENATE('Respuestas de formulario 1.1'!$B93,$DS93),#REF!,0),MATCH('Respuestas de formulario 1.1'!FQ$1,#REF!,0)))</f>
        <v/>
      </c>
      <c r="FR93" s="45" t="str">
        <f t="array" ref="FR93">IF($DT93="","", INDEX(#REF!,MATCH(CONCATENATE('Respuestas de formulario 1.1'!$B93,$DS93),#REF!,0),MATCH('Respuestas de formulario 1.1'!FR$1,#REF!,0)))</f>
        <v/>
      </c>
      <c r="FS93" s="45" t="str">
        <f t="array" ref="FS93">IF($DU93="","", INDEX(#REF!,MATCH(CONCATENATE('Respuestas de formulario 1.1'!$B93,$DT93),#REF!,0),MATCH('Respuestas de formulario 1.1'!FS$1,#REF!,0)))</f>
        <v/>
      </c>
      <c r="FT93" s="56" t="str">
        <f t="array" ref="FT93">IF($DU93="","", INDEX(#REF!,MATCH(CONCATENATE('Respuestas de formulario 1.1'!$B93,$DT93),#REF!,0),MATCH('Respuestas de formulario 1.1'!FT$1,#REF!,0)))</f>
        <v/>
      </c>
      <c r="FU93" s="56" t="str">
        <f t="array" ref="FU93">IF($DU93="","", INDEX(#REF!,MATCH(CONCATENATE('Respuestas de formulario 1.1'!$B93,$DT93),#REF!,0),MATCH('Respuestas de formulario 1.1'!FU$1,#REF!,0)))</f>
        <v/>
      </c>
      <c r="FV93" s="56" t="str">
        <f t="array" ref="FV93">IF($DU93="","", INDEX(#REF!,MATCH(CONCATENATE('Respuestas de formulario 1.1'!$B93,$DT93),#REF!,0),MATCH('Respuestas de formulario 1.1'!FV$1,#REF!,0)))</f>
        <v/>
      </c>
      <c r="FW93" s="56" t="str">
        <f t="array" ref="FW93">IF($DU93="","", INDEX(#REF!,MATCH(CONCATENATE('Respuestas de formulario 1.1'!$B93,$DT93),#REF!,0),MATCH('Respuestas de formulario 1.1'!FW$1,#REF!,0)))</f>
        <v/>
      </c>
      <c r="FX93" s="56" t="str">
        <f t="array" ref="FX93">IF($DU93="","", INDEX(#REF!,MATCH(CONCATENATE('Respuestas de formulario 1.1'!$B93,$DT93),#REF!,0),MATCH('Respuestas de formulario 1.1'!FX$1,#REF!,0)))</f>
        <v/>
      </c>
      <c r="FY93" s="45" t="str">
        <f t="array" ref="FY93">IF($DU93="","", INDEX(#REF!,MATCH(CONCATENATE('Respuestas de formulario 1.1'!$B93,$DT93),#REF!,0),MATCH('Respuestas de formulario 1.1'!FY$1,#REF!,0)))</f>
        <v/>
      </c>
      <c r="FZ93" s="3" t="s">
        <v>2860</v>
      </c>
      <c r="GA93" s="1" t="s">
        <v>4436</v>
      </c>
      <c r="GB93" s="5" t="s">
        <v>4437</v>
      </c>
      <c r="GC93" s="4" t="str">
        <f>HYPERLINK("https://drive.google.com/file/d/1PYqu2AbDNYFjEu9DCWHb8cHVDTu3zdLO/view?usp=drivesdk","MORALES  BERNAL EDUARDO DAMIAN  Formato de reinscripción y pago 2022-2")</f>
        <v>MORALES  BERNAL EDUARDO DAMIAN  Formato de reinscripción y pago 2022-2</v>
      </c>
      <c r="GD93" s="1" t="s">
        <v>4438</v>
      </c>
      <c r="GE93" s="1"/>
      <c r="GF93" s="1"/>
      <c r="GG93" s="1"/>
      <c r="GH93" s="1"/>
      <c r="GI93" s="1" t="s">
        <v>4439</v>
      </c>
      <c r="GJ93" s="5" t="s">
        <v>4440</v>
      </c>
      <c r="GK93" s="5" t="str">
        <f>HYPERLINK("https://drive.google.com/file/d/1BuA0GSB57zbluZq4WhpXJ6-6AfRQ5tn3/view?usp=drivesdk","MORALES  BERNAL EDUARDO DAMIAN  Formato de reinscripción y pago 2022-2")</f>
        <v>MORALES  BERNAL EDUARDO DAMIAN  Formato de reinscripción y pago 2022-2</v>
      </c>
      <c r="GL93" s="1" t="s">
        <v>4441</v>
      </c>
    </row>
    <row r="94" spans="1:194" ht="38.25" x14ac:dyDescent="0.2">
      <c r="A94" s="2">
        <v>45139.405152962965</v>
      </c>
      <c r="B94" s="1" t="s">
        <v>332</v>
      </c>
      <c r="C94" s="1" t="s">
        <v>302</v>
      </c>
      <c r="D94" s="1" t="s">
        <v>333</v>
      </c>
      <c r="E94" s="1" t="s">
        <v>334</v>
      </c>
      <c r="F94" s="1" t="s">
        <v>262</v>
      </c>
      <c r="G94" s="5" t="s">
        <v>4442</v>
      </c>
      <c r="H94" s="41">
        <v>38362</v>
      </c>
      <c r="I94" s="1">
        <v>18</v>
      </c>
      <c r="J94" s="1">
        <v>5547095485</v>
      </c>
      <c r="K94" s="1">
        <v>5557426826</v>
      </c>
      <c r="L94" s="1" t="s">
        <v>335</v>
      </c>
      <c r="M94" s="1">
        <v>21309060570262</v>
      </c>
      <c r="N94" s="1" t="s">
        <v>1108</v>
      </c>
      <c r="O94" s="1" t="s">
        <v>225</v>
      </c>
      <c r="P94" s="1" t="s">
        <v>278</v>
      </c>
      <c r="Q94" s="1" t="s">
        <v>227</v>
      </c>
      <c r="R94" s="1" t="s">
        <v>236</v>
      </c>
      <c r="S94" s="1" t="s">
        <v>228</v>
      </c>
      <c r="T94" s="1" t="s">
        <v>229</v>
      </c>
      <c r="U94" s="1" t="s">
        <v>264</v>
      </c>
      <c r="V94" s="1" t="s">
        <v>228</v>
      </c>
      <c r="W94" s="1" t="s">
        <v>4443</v>
      </c>
      <c r="X94" s="1" t="s">
        <v>264</v>
      </c>
      <c r="Y94" s="1" t="s">
        <v>344</v>
      </c>
      <c r="Z94" s="1" t="s">
        <v>231</v>
      </c>
      <c r="AA94" s="1">
        <v>57820</v>
      </c>
      <c r="AB94" s="1">
        <v>159</v>
      </c>
      <c r="AC94" s="1">
        <v>3</v>
      </c>
      <c r="AD94" s="1" t="s">
        <v>4444</v>
      </c>
      <c r="AE94" s="1" t="s">
        <v>4445</v>
      </c>
      <c r="AF94" s="1"/>
      <c r="AG94" s="1">
        <v>18</v>
      </c>
      <c r="AH94" s="5" t="s">
        <v>4446</v>
      </c>
      <c r="AI94" s="1">
        <v>5547095485</v>
      </c>
      <c r="AJ94" s="1">
        <v>5557426826</v>
      </c>
      <c r="AK94" s="1" t="s">
        <v>4447</v>
      </c>
      <c r="AL94" s="1" t="s">
        <v>302</v>
      </c>
      <c r="AM94" s="1" t="s">
        <v>340</v>
      </c>
      <c r="AN94" s="1" t="s">
        <v>341</v>
      </c>
      <c r="AO94" s="1" t="s">
        <v>420</v>
      </c>
      <c r="AP94" s="1">
        <v>42</v>
      </c>
      <c r="AQ94" s="1" t="s">
        <v>338</v>
      </c>
      <c r="AR94" s="42">
        <v>8.3333333335758653E-2</v>
      </c>
      <c r="AS94" s="42">
        <v>0.375</v>
      </c>
      <c r="AT94" s="1">
        <v>5540604447</v>
      </c>
      <c r="AU94" s="1">
        <v>5557426326</v>
      </c>
      <c r="AV94" s="1" t="s">
        <v>342</v>
      </c>
      <c r="AW94" s="5" t="s">
        <v>4448</v>
      </c>
      <c r="AX94" s="1" t="s">
        <v>286</v>
      </c>
      <c r="AY94" s="1" t="s">
        <v>337</v>
      </c>
      <c r="AZ94" s="1" t="s">
        <v>4449</v>
      </c>
      <c r="BA94" s="1" t="s">
        <v>461</v>
      </c>
      <c r="BB94" s="1">
        <v>45</v>
      </c>
      <c r="BC94" s="1" t="s">
        <v>338</v>
      </c>
      <c r="BD94" s="43">
        <v>0.29166666666424135</v>
      </c>
      <c r="BE94" s="43">
        <v>6.25E-2</v>
      </c>
      <c r="BF94" s="1">
        <v>5540578633</v>
      </c>
      <c r="BG94" s="1">
        <v>5557426826</v>
      </c>
      <c r="BH94" s="1" t="s">
        <v>339</v>
      </c>
      <c r="BI94" s="5" t="s">
        <v>4450</v>
      </c>
      <c r="BJ94" s="1" t="s">
        <v>236</v>
      </c>
      <c r="BL94" s="1">
        <v>1.57</v>
      </c>
      <c r="BM94" s="1">
        <v>83</v>
      </c>
      <c r="BN94" s="1" t="s">
        <v>236</v>
      </c>
      <c r="BO94" s="1" t="s">
        <v>228</v>
      </c>
      <c r="BQ94" s="1" t="s">
        <v>228</v>
      </c>
      <c r="BR94" s="1" t="s">
        <v>237</v>
      </c>
      <c r="BS94" s="1" t="s">
        <v>228</v>
      </c>
      <c r="BT94" s="1" t="s">
        <v>237</v>
      </c>
      <c r="BU94" s="1" t="s">
        <v>228</v>
      </c>
      <c r="BW94" s="1" t="s">
        <v>238</v>
      </c>
      <c r="BX94" s="1">
        <v>40</v>
      </c>
      <c r="BY94" s="1">
        <v>200</v>
      </c>
      <c r="BZ94" s="1" t="s">
        <v>253</v>
      </c>
      <c r="CA94" s="1" t="s">
        <v>343</v>
      </c>
      <c r="CB94" s="1" t="s">
        <v>240</v>
      </c>
      <c r="CC94" s="1" t="s">
        <v>322</v>
      </c>
      <c r="CD94" s="1">
        <v>450</v>
      </c>
      <c r="CE94" s="1">
        <v>1200</v>
      </c>
      <c r="CF94" s="1" t="s">
        <v>236</v>
      </c>
      <c r="CG94" s="1" t="s">
        <v>242</v>
      </c>
      <c r="CH94" s="1" t="s">
        <v>243</v>
      </c>
      <c r="CI94" s="1" t="s">
        <v>243</v>
      </c>
      <c r="CJ94" s="1" t="s">
        <v>2848</v>
      </c>
      <c r="CL94" s="5" t="s">
        <v>4451</v>
      </c>
      <c r="CM94" s="1" t="s">
        <v>4452</v>
      </c>
      <c r="CN94" s="1" t="s">
        <v>228</v>
      </c>
      <c r="CQ94" s="42">
        <v>8.3333333335758653E-2</v>
      </c>
      <c r="CR94" s="42">
        <v>0.375</v>
      </c>
      <c r="CT94" s="45" t="str">
        <f t="array" ref="CT94">IFERROR(INDEX(#REF!,MATCH('Respuestas de formulario 1.1'!$B94,#REF!,0),MATCH('Respuestas de formulario 1.1'!CT$1,#REF!,0)),"")</f>
        <v/>
      </c>
      <c r="CU94" s="56" t="str">
        <f t="array" ref="CU94">IFERROR(INDEX(#REF!,MATCH('Respuestas de formulario 1.1'!$B94,#REF!,0),MATCH('Respuestas de formulario 1.1'!CU$1,#REF!,0)),"")</f>
        <v/>
      </c>
      <c r="CV94" s="56" t="str">
        <f t="array" ref="CV94">IFERROR(INDEX(#REF!,MATCH('Respuestas de formulario 1.1'!$B94,#REF!,0),MATCH('Respuestas de formulario 1.1'!CV$1,#REF!,0)),"")</f>
        <v/>
      </c>
      <c r="CW94" s="56" t="str">
        <f t="array" ref="CW94">IFERROR(INDEX(#REF!,MATCH('Respuestas de formulario 1.1'!$B94,#REF!,0),MATCH('Respuestas de formulario 1.1'!CW$1,#REF!,0)),"")</f>
        <v/>
      </c>
      <c r="CX94" s="56" t="str">
        <f t="array" ref="CX94">IFERROR(INDEX(#REF!,MATCH('Respuestas de formulario 1.1'!$B94,#REF!,0),MATCH('Respuestas de formulario 1.1'!CX$1,#REF!,0)),"")</f>
        <v/>
      </c>
      <c r="CY94" s="56" t="str">
        <f t="array" ref="CY94">IFERROR(INDEX(#REF!,MATCH('Respuestas de formulario 1.1'!$B94,#REF!,0),MATCH('Respuestas de formulario 1.1'!CY$1,#REF!,0)),"")</f>
        <v/>
      </c>
      <c r="CZ94" s="57" t="str">
        <f t="array" ref="CZ94">IFERROR(INDEX(#REF!,MATCH('Respuestas de formulario 1.1'!$B94,#REF!,0),MATCH('Respuestas de formulario 1.1'!CZ$1,#REF!,0)),"")</f>
        <v/>
      </c>
      <c r="DA94" s="45" t="e">
        <f t="array" ref="DA94">INDEX(#REF!,MATCH('Respuestas de formulario 1.1'!$B94,#REF!,0),MATCH('Respuestas de formulario 1.1'!DA$1,#REF!,0))</f>
        <v>#REF!</v>
      </c>
      <c r="DB94" s="45" t="e">
        <f t="array" ref="DB94">INDEX(#REF!,MATCH('Respuestas de formulario 1.1'!$B94,#REF!,0),MATCH('Respuestas de formulario 1.1'!DB$1,#REF!,0))</f>
        <v>#REF!</v>
      </c>
      <c r="DC94" s="45" t="e">
        <f t="array" ref="DC94">INDEX(#REF!,MATCH('Respuestas de formulario 1.1'!$B94,#REF!,0),MATCH('Respuestas de formulario 1.1'!DC$1,#REF!,0))</f>
        <v>#REF!</v>
      </c>
      <c r="DD94" s="45" t="e">
        <f t="array" ref="DD94">INDEX(#REF!,MATCH('Respuestas de formulario 1.1'!$B94,#REF!,0),MATCH('Respuestas de formulario 1.1'!DD$1,#REF!,0))</f>
        <v>#REF!</v>
      </c>
      <c r="DE94" s="45" t="e">
        <f t="array" ref="DE94">INDEX(#REF!,MATCH('Respuestas de formulario 1.1'!$B94,#REF!,0),MATCH('Respuestas de formulario 1.1'!DE$1,#REF!,0))</f>
        <v>#REF!</v>
      </c>
      <c r="DF94" s="45" t="e">
        <f t="array" ref="DF94">INDEX(#REF!,MATCH('Respuestas de formulario 1.1'!$B94,#REF!,0),MATCH('Respuestas de formulario 1.1'!DF$1,#REF!,0))</f>
        <v>#REF!</v>
      </c>
      <c r="DG94" s="45" t="e">
        <f t="array" ref="DG94">INDEX(#REF!,MATCH('Respuestas de formulario 1.1'!$B94,#REF!,0),MATCH('Respuestas de formulario 1.1'!DG$1,#REF!,0))</f>
        <v>#REF!</v>
      </c>
      <c r="DH94" s="45" t="e">
        <f t="array" ref="DH94">INDEX(#REF!,MATCH('Respuestas de formulario 1.1'!$B94,#REF!,0),MATCH('Respuestas de formulario 1.1'!DH$1,#REF!,0))</f>
        <v>#REF!</v>
      </c>
      <c r="DI94" s="48" t="e">
        <f>VLOOKUP(CONCATENATE($DF94," TUTO ",$DC94),#REF!,3,0)</f>
        <v>#REF!</v>
      </c>
      <c r="DJ94" s="48" t="e">
        <f t="array" ref="DJ94">IF('Respuestas de formulario 1.1'!A94="","",INDEX(#REF!,MATCH('Respuestas de formulario 1.1'!B94,#REF!,0),MATCH('Respuestas de formulario 1.1'!$DH$1,#REF!,0)))</f>
        <v>#REF!</v>
      </c>
      <c r="DK94" s="52" t="str">
        <f>CONCATENATE("http://doc.google.com/uc?id=",MID('Respuestas de formulario 1.1'!G94,34,33))</f>
        <v>http://doc.google.com/uc?id=1NAMiv268HWF4rUjkWn3hKfI8c93ODvBn</v>
      </c>
      <c r="DL94" s="49" t="str">
        <f>CONCATENATE("http://doc.google.com/uc?id=",MID('Respuestas de formulario 1.1'!AH94,34,33))</f>
        <v>http://doc.google.com/uc?id=1RwuBS_BP8De3SE4etwaGGHPAkoFjp_Gh</v>
      </c>
      <c r="DM94" s="50" t="str">
        <f>CONCATENATE("http://doc.google.com/uc?id=",MID('Respuestas de formulario 1.1'!AW94,34,33))</f>
        <v>http://doc.google.com/uc?id=1iUDw1t5r89SNGN71wmK3vX2d83Yl7tpD</v>
      </c>
      <c r="DN94" s="53" t="str">
        <f>CONCATENATE("http://doc.google.com/uc?id=",MID('Respuestas de formulario 1.1'!$BI94,34,33))</f>
        <v>http://doc.google.com/uc?id=1J39y_hAM_-_gJhw6wXYJkK4M0b0nME8V</v>
      </c>
      <c r="DO94" s="45" t="str">
        <f>IFERROR(VLOOKUP(CONCATENATE('Respuestas de formulario 1.1'!$B94,MID('Respuestas de formulario 1.1'!DO$1,2,1)),#REF!,12,0),"")</f>
        <v/>
      </c>
      <c r="DP94" s="45" t="str">
        <f>IFERROR(VLOOKUP(CONCATENATE('Respuestas de formulario 1.1'!$B94,MID('Respuestas de formulario 1.1'!DP$1,2,1)),#REF!,12,0),"")</f>
        <v/>
      </c>
      <c r="DQ94" s="45" t="str">
        <f>IFERROR(VLOOKUP(CONCATENATE('Respuestas de formulario 1.1'!$B94,MID('Respuestas de formulario 1.1'!DQ$1,2,1)),#REF!,12,0),"")</f>
        <v/>
      </c>
      <c r="DR94" s="45" t="str">
        <f>IFERROR(VLOOKUP(CONCATENATE('Respuestas de formulario 1.1'!$B94,MID('Respuestas de formulario 1.1'!DR$1,2,1)),#REF!,12,0),"")</f>
        <v/>
      </c>
      <c r="DS94" s="45" t="str">
        <f>IFERROR(VLOOKUP(CONCATENATE('Respuestas de formulario 1.1'!$B94,MID('Respuestas de formulario 1.1'!DS$1,2,1)),#REF!,12,0),"")</f>
        <v/>
      </c>
      <c r="DT94" s="45" t="str">
        <f>IFERROR(VLOOKUP(CONCATENATE('Respuestas de formulario 1.1'!$B94,MID('Respuestas de formulario 1.1'!DT$1,2,1)),#REF!,12,0),"")</f>
        <v/>
      </c>
      <c r="DU94" s="45" t="str">
        <f>IFERROR(VLOOKUP(CONCATENATE('Respuestas de formulario 1.1'!$B94,MID('Respuestas de formulario 1.1'!DU$1,2,1)),#REF!,12,0),"")</f>
        <v/>
      </c>
      <c r="DV94" s="45" t="str">
        <f>IFERROR(VLOOKUP(CONCATENATE('Respuestas de formulario 1.1'!$B94,MID('Respuestas de formulario 1.1'!DV$1,2,1)),#REF!,12,0),"")</f>
        <v/>
      </c>
      <c r="DW94" s="45" t="str">
        <f>IFERROR(VLOOKUP(CONCATENATE('Respuestas de formulario 1.1'!$B94,MID('Respuestas de formulario 1.1'!DW$1,2,1)),#REF!,12,0),"")</f>
        <v/>
      </c>
      <c r="DX94" s="45" t="str">
        <f>IFERROR(VLOOKUP(CONCATENATE('Respuestas de formulario 1.1'!$B94,MID('Respuestas de formulario 1.1'!DX$1,2,1)),#REF!,12,0),"")</f>
        <v/>
      </c>
      <c r="DY94" s="45" t="str">
        <f>IFERROR(VLOOKUP(CONCATENATE('Respuestas de formulario 1.1'!$B94,MID('Respuestas de formulario 1.1'!DY$1,2,1)),#REF!,12,0),"")</f>
        <v/>
      </c>
      <c r="DZ94" s="45" t="str">
        <f>IFERROR(VLOOKUP(CONCATENATE('Respuestas de formulario 1.1'!$B94,MID('Respuestas de formulario 1.1'!DZ$1,2,1)),#REF!,12,0),"")</f>
        <v/>
      </c>
      <c r="EA94" s="45" t="str">
        <f>IFERROR(VLOOKUP(CONCATENATE('Respuestas de formulario 1.1'!$B94,MID('Respuestas de formulario 1.1'!EA$1,2,1)),#REF!,12,0),"")</f>
        <v/>
      </c>
      <c r="EB94" s="45" t="str">
        <f>IFERROR(VLOOKUP(CONCATENATE('Respuestas de formulario 1.1'!$B94,MID('Respuestas de formulario 1.1'!EB$1,2,1)),#REF!,12,0),"")</f>
        <v/>
      </c>
      <c r="EC94" s="45" t="str">
        <f>IFERROR(VLOOKUP(CONCATENATE('Respuestas de formulario 1.1'!$B94,MID('Respuestas de formulario 1.1'!EC$1,2,1)),#REF!,12,0),"")</f>
        <v/>
      </c>
      <c r="ED94" s="45" t="str">
        <f>IFERROR(VLOOKUP(CONCATENATE('Respuestas de formulario 1.1'!$B94,MID('Respuestas de formulario 1.1'!ED$1,2,1)),#REF!,12,0),"")</f>
        <v/>
      </c>
      <c r="EE94" s="45" t="str">
        <f>IFERROR(VLOOKUP(CONCATENATE('Respuestas de formulario 1.1'!$B94,MID('Respuestas de formulario 1.1'!EE$1,2,1)),#REF!,12,0),"")</f>
        <v/>
      </c>
      <c r="EF94" s="45" t="str">
        <f>IFERROR(VLOOKUP(CONCATENATE('Respuestas de formulario 1.1'!$B94,MID('Respuestas de formulario 1.1'!EF$1,2,1)),#REF!,12,0),"")</f>
        <v/>
      </c>
      <c r="EG94" s="45" t="str">
        <f>IFERROR(VLOOKUP(CONCATENATE('Respuestas de formulario 1.1'!$B94,MID('Respuestas de formulario 1.1'!EG$1,2,1)),#REF!,12,0),"")</f>
        <v/>
      </c>
      <c r="EH94" s="45" t="str">
        <f>IFERROR(VLOOKUP(CONCATENATE('Respuestas de formulario 1.1'!$B94,MID('Respuestas de formulario 1.1'!EH$1,2,1)),#REF!,12,0),"")</f>
        <v/>
      </c>
      <c r="EI94" s="45" t="str">
        <f>IFERROR(VLOOKUP(CONCATENATE('Respuestas de formulario 1.1'!$B94,MID('Respuestas de formulario 1.1'!EI$1,2,1)),#REF!,12,0),"")</f>
        <v/>
      </c>
      <c r="EJ94" s="45" t="str">
        <f t="array" ref="EJ94">IF(DO94="","", INDEX(#REF!,MATCH(CONCATENATE('Respuestas de formulario 1.1'!$B94,DO94),#REF!,0),MATCH('Respuestas de formulario 1.1'!EJ$1,#REF!,0)))</f>
        <v/>
      </c>
      <c r="EK94" s="56" t="str">
        <f t="array" ref="EK94">IF(DP94="","", INDEX(#REF!,MATCH(CONCATENATE('Respuestas de formulario 1.1'!$B94,DP94),#REF!,0),MATCH('Respuestas de formulario 1.1'!EK$1,#REF!,0)))</f>
        <v/>
      </c>
      <c r="EL94" s="56" t="str">
        <f t="array" ref="EL94">IF(DQ94="","", INDEX(#REF!,MATCH(CONCATENATE('Respuestas de formulario 1.1'!$B94,DQ94),#REF!,0),MATCH('Respuestas de formulario 1.1'!EL$1,#REF!,0)))</f>
        <v/>
      </c>
      <c r="EM94" s="56" t="str">
        <f t="array" ref="EM94">IF(DR94="","", INDEX(#REF!,MATCH(CONCATENATE('Respuestas de formulario 1.1'!$B94,DR94),#REF!,0),MATCH('Respuestas de formulario 1.1'!EM$1,#REF!,0)))</f>
        <v/>
      </c>
      <c r="EN94" s="56" t="str">
        <f t="array" ref="EN94">IF(DS94="","", INDEX(#REF!,MATCH(CONCATENATE('Respuestas de formulario 1.1'!$B94,DS94),#REF!,0),MATCH('Respuestas de formulario 1.1'!EN$1,#REF!,0)))</f>
        <v/>
      </c>
      <c r="EO94" s="56" t="str">
        <f t="array" ref="EO94">IF(DT94="","", INDEX(#REF!,MATCH(CONCATENATE('Respuestas de formulario 1.1'!$B94,DT94),#REF!,0),MATCH('Respuestas de formulario 1.1'!EO$1,#REF!,0)))</f>
        <v/>
      </c>
      <c r="EP94" s="45" t="str">
        <f t="array" ref="EP94">IF(DU94="","", INDEX(#REF!,MATCH(CONCATENATE('Respuestas de formulario 1.1'!$B94,DU94),#REF!,0),MATCH('Respuestas de formulario 1.1'!EP$1,#REF!,0)))</f>
        <v/>
      </c>
      <c r="EQ94" s="45" t="str">
        <f t="array" ref="EQ94">IF(DP94="","", INDEX(#REF!,MATCH(CONCATENATE('Respuestas de formulario 1.1'!$B94,DP94),#REF!,0),MATCH('Respuestas de formulario 1.1'!EQ$1,#REF!,0)))</f>
        <v/>
      </c>
      <c r="ER94" s="56" t="str">
        <f t="array" ref="ER94">IF(DQ94="","", INDEX(#REF!,MATCH(CONCATENATE('Respuestas de formulario 1.1'!$B94,DQ94),#REF!,0),MATCH('Respuestas de formulario 1.1'!ER$1,#REF!,0)))</f>
        <v/>
      </c>
      <c r="ES94" s="56" t="str">
        <f t="array" ref="ES94">IF(DR94="","", INDEX(#REF!,MATCH(CONCATENATE('Respuestas de formulario 1.1'!$B94,DR94),#REF!,0),MATCH('Respuestas de formulario 1.1'!ES$1,#REF!,0)))</f>
        <v/>
      </c>
      <c r="ET94" s="56" t="str">
        <f t="array" ref="ET94">IF(DS94="","", INDEX(#REF!,MATCH(CONCATENATE('Respuestas de formulario 1.1'!$B94,DS94),#REF!,0),MATCH('Respuestas de formulario 1.1'!ET$1,#REF!,0)))</f>
        <v/>
      </c>
      <c r="EU94" s="56" t="str">
        <f t="array" ref="EU94">IF(DT94="","", INDEX(#REF!,MATCH(CONCATENATE('Respuestas de formulario 1.1'!$B94,DT94),#REF!,0),MATCH('Respuestas de formulario 1.1'!EU$1,#REF!,0)))</f>
        <v/>
      </c>
      <c r="EV94" s="56" t="str">
        <f t="array" ref="EV94">IF(DU94="","", INDEX(#REF!,MATCH(CONCATENATE('Respuestas de formulario 1.1'!$B94,DU94),#REF!,0),MATCH('Respuestas de formulario 1.1'!EV$1,#REF!,0)))</f>
        <v/>
      </c>
      <c r="EW94" s="45" t="str">
        <f t="array" ref="EW94">IF(DV94="","", INDEX(#REF!,MATCH(CONCATENATE('Respuestas de formulario 1.1'!$B94,DV94),#REF!,0),MATCH('Respuestas de formulario 1.1'!EW$1,#REF!,0)))</f>
        <v/>
      </c>
      <c r="EX94" s="45" t="str">
        <f t="array" ref="EX94">IF($DQ94="","", INDEX(#REF!,MATCH(CONCATENATE('Respuestas de formulario 1.1'!$B94,$DQ94),#REF!,0),MATCH('Respuestas de formulario 1.1'!EX$1,#REF!,0)))</f>
        <v/>
      </c>
      <c r="EY94" s="56" t="str">
        <f t="array" ref="EY94">IF($DQ94="","", INDEX(#REF!,MATCH(CONCATENATE('Respuestas de formulario 1.1'!$B94,$DQ94),#REF!,0),MATCH('Respuestas de formulario 1.1'!EY$1,#REF!,0)))</f>
        <v/>
      </c>
      <c r="EZ94" s="56" t="str">
        <f t="array" ref="EZ94">IF($DQ94="","", INDEX(#REF!,MATCH(CONCATENATE('Respuestas de formulario 1.1'!$B94,$DQ94),#REF!,0),MATCH('Respuestas de formulario 1.1'!EZ$1,#REF!,0)))</f>
        <v/>
      </c>
      <c r="FA94" s="56" t="str">
        <f t="array" ref="FA94">IF($DQ94="","", INDEX(#REF!,MATCH(CONCATENATE('Respuestas de formulario 1.1'!$B94,$DQ94),#REF!,0),MATCH('Respuestas de formulario 1.1'!FA$1,#REF!,0)))</f>
        <v/>
      </c>
      <c r="FB94" s="56" t="str">
        <f t="array" ref="FB94">IF($DQ94="","", INDEX(#REF!,MATCH(CONCATENATE('Respuestas de formulario 1.1'!$B94,$DQ94),#REF!,0),MATCH('Respuestas de formulario 1.1'!FB$1,#REF!,0)))</f>
        <v/>
      </c>
      <c r="FC94" s="56" t="str">
        <f t="array" ref="FC94">IF($DQ94="","", INDEX(#REF!,MATCH(CONCATENATE('Respuestas de formulario 1.1'!$B94,$DQ94),#REF!,0),MATCH('Respuestas de formulario 1.1'!FC$1,#REF!,0)))</f>
        <v/>
      </c>
      <c r="FD94" s="45" t="str">
        <f t="array" ref="FD94">IF($DQ94="","", INDEX(#REF!,MATCH(CONCATENATE('Respuestas de formulario 1.1'!$B94,$DQ94),#REF!,0),MATCH('Respuestas de formulario 1.1'!FD$1,#REF!,0)))</f>
        <v/>
      </c>
      <c r="FE94" s="45" t="str">
        <f t="array" ref="FE94">IF($DR94="","", INDEX(#REF!,MATCH(CONCATENATE(#REF!,$DR94),#REF!,0),MATCH(#REF!,#REF!,0)))</f>
        <v/>
      </c>
      <c r="FF94" s="56" t="str">
        <f t="array" ref="FF94">IF($DR94="","", INDEX(#REF!,MATCH(CONCATENATE(#REF!,$DR94),#REF!,0),MATCH(#REF!,#REF!,0)))</f>
        <v/>
      </c>
      <c r="FG94" s="56" t="str">
        <f t="array" ref="FG94">IF($DR94="","", INDEX(#REF!,MATCH(CONCATENATE(#REF!,$DR94),#REF!,0),MATCH(#REF!,#REF!,0)))</f>
        <v/>
      </c>
      <c r="FH94" s="56" t="str">
        <f t="array" ref="FH94">IF($DR94="","", INDEX(#REF!,MATCH(CONCATENATE(#REF!,$DR94),#REF!,0),MATCH(#REF!,#REF!,0)))</f>
        <v/>
      </c>
      <c r="FI94" s="56" t="str">
        <f t="array" ref="FI94">IF($DR94="","", INDEX(#REF!,MATCH(CONCATENATE(#REF!,$DR94),#REF!,0),MATCH(#REF!,#REF!,0)))</f>
        <v/>
      </c>
      <c r="FJ94" s="56" t="str">
        <f t="array" ref="FJ94">IF($DR94="","", INDEX(#REF!,MATCH(CONCATENATE(#REF!,$DR94),#REF!,0),MATCH(#REF!,#REF!,0)))</f>
        <v/>
      </c>
      <c r="FK94" s="45" t="str">
        <f t="array" ref="FK94">IF($DR94="","", INDEX(#REF!,MATCH(CONCATENATE(#REF!,$DR94),#REF!,0),MATCH(#REF!,#REF!,0)))</f>
        <v/>
      </c>
      <c r="FL94" s="45" t="str">
        <f t="array" ref="FL94">IF($DT94="","", INDEX(#REF!,MATCH(CONCATENATE('Respuestas de formulario 1.1'!$B94,$DS94),#REF!,0),MATCH('Respuestas de formulario 1.1'!FL$1,#REF!,0)))</f>
        <v/>
      </c>
      <c r="FM94" s="56" t="str">
        <f t="array" ref="FM94">IF($DT94="","", INDEX(#REF!,MATCH(CONCATENATE('Respuestas de formulario 1.1'!$B94,$DS94),#REF!,0),MATCH('Respuestas de formulario 1.1'!FM$1,#REF!,0)))</f>
        <v/>
      </c>
      <c r="FN94" s="56" t="str">
        <f t="array" ref="FN94">IF($DT94="","", INDEX(#REF!,MATCH(CONCATENATE('Respuestas de formulario 1.1'!$B94,$DS94),#REF!,0),MATCH('Respuestas de formulario 1.1'!FN$1,#REF!,0)))</f>
        <v/>
      </c>
      <c r="FO94" s="56" t="str">
        <f t="array" ref="FO94">IF($DT94="","", INDEX(#REF!,MATCH(CONCATENATE('Respuestas de formulario 1.1'!$B94,$DS94),#REF!,0),MATCH('Respuestas de formulario 1.1'!FO$1,#REF!,0)))</f>
        <v/>
      </c>
      <c r="FP94" s="56" t="str">
        <f t="array" ref="FP94">IF($DT94="","", INDEX(#REF!,MATCH(CONCATENATE('Respuestas de formulario 1.1'!$B94,$DS94),#REF!,0),MATCH('Respuestas de formulario 1.1'!FP$1,#REF!,0)))</f>
        <v/>
      </c>
      <c r="FQ94" s="56" t="str">
        <f t="array" ref="FQ94">IF($DT94="","", INDEX(#REF!,MATCH(CONCATENATE('Respuestas de formulario 1.1'!$B94,$DS94),#REF!,0),MATCH('Respuestas de formulario 1.1'!FQ$1,#REF!,0)))</f>
        <v/>
      </c>
      <c r="FR94" s="45" t="str">
        <f t="array" ref="FR94">IF($DT94="","", INDEX(#REF!,MATCH(CONCATENATE('Respuestas de formulario 1.1'!$B94,$DS94),#REF!,0),MATCH('Respuestas de formulario 1.1'!FR$1,#REF!,0)))</f>
        <v/>
      </c>
      <c r="FS94" s="45" t="str">
        <f t="array" ref="FS94">IF($DU94="","", INDEX(#REF!,MATCH(CONCATENATE('Respuestas de formulario 1.1'!$B94,$DT94),#REF!,0),MATCH('Respuestas de formulario 1.1'!FS$1,#REF!,0)))</f>
        <v/>
      </c>
      <c r="FT94" s="56" t="str">
        <f t="array" ref="FT94">IF($DU94="","", INDEX(#REF!,MATCH(CONCATENATE('Respuestas de formulario 1.1'!$B94,$DT94),#REF!,0),MATCH('Respuestas de formulario 1.1'!FT$1,#REF!,0)))</f>
        <v/>
      </c>
      <c r="FU94" s="56" t="str">
        <f t="array" ref="FU94">IF($DU94="","", INDEX(#REF!,MATCH(CONCATENATE('Respuestas de formulario 1.1'!$B94,$DT94),#REF!,0),MATCH('Respuestas de formulario 1.1'!FU$1,#REF!,0)))</f>
        <v/>
      </c>
      <c r="FV94" s="56" t="str">
        <f t="array" ref="FV94">IF($DU94="","", INDEX(#REF!,MATCH(CONCATENATE('Respuestas de formulario 1.1'!$B94,$DT94),#REF!,0),MATCH('Respuestas de formulario 1.1'!FV$1,#REF!,0)))</f>
        <v/>
      </c>
      <c r="FW94" s="56" t="str">
        <f t="array" ref="FW94">IF($DU94="","", INDEX(#REF!,MATCH(CONCATENATE('Respuestas de formulario 1.1'!$B94,$DT94),#REF!,0),MATCH('Respuestas de formulario 1.1'!FW$1,#REF!,0)))</f>
        <v/>
      </c>
      <c r="FX94" s="56" t="str">
        <f t="array" ref="FX94">IF($DU94="","", INDEX(#REF!,MATCH(CONCATENATE('Respuestas de formulario 1.1'!$B94,$DT94),#REF!,0),MATCH('Respuestas de formulario 1.1'!FX$1,#REF!,0)))</f>
        <v/>
      </c>
      <c r="FY94" s="45" t="str">
        <f t="array" ref="FY94">IF($DU94="","", INDEX(#REF!,MATCH(CONCATENATE('Respuestas de formulario 1.1'!$B94,$DT94),#REF!,0),MATCH('Respuestas de formulario 1.1'!FY$1,#REF!,0)))</f>
        <v/>
      </c>
      <c r="FZ94" s="3" t="s">
        <v>2860</v>
      </c>
      <c r="GA94" s="1" t="s">
        <v>4453</v>
      </c>
      <c r="GB94" s="5" t="s">
        <v>4454</v>
      </c>
      <c r="GC94" s="4" t="str">
        <f>HYPERLINK("https://drive.google.com/file/d/1kGlq8IvnuXBFlfba0tODMR2LMj4WFLRb/view?usp=drivesdk","CASTILLO RAMIREZ IAN YAMILI Formato de reinscripción y pago 2022-2")</f>
        <v>CASTILLO RAMIREZ IAN YAMILI Formato de reinscripción y pago 2022-2</v>
      </c>
      <c r="GD94" s="1" t="s">
        <v>4455</v>
      </c>
      <c r="GE94" s="1"/>
      <c r="GF94" s="1"/>
      <c r="GG94" s="1"/>
      <c r="GH94" s="1"/>
      <c r="GI94" s="1" t="s">
        <v>4456</v>
      </c>
      <c r="GJ94" s="5" t="s">
        <v>4457</v>
      </c>
      <c r="GK94" s="5" t="str">
        <f>HYPERLINK("https://drive.google.com/file/d/1W7G9GnwIa2gUAgEz85Gw5QlwdGF8-lSs/view?usp=drivesdk","CASTILLO RAMIREZ IAN YAMILI Formato de reinscripción y pago 2022-2")</f>
        <v>CASTILLO RAMIREZ IAN YAMILI Formato de reinscripción y pago 2022-2</v>
      </c>
      <c r="GL94" s="1" t="s">
        <v>4458</v>
      </c>
    </row>
    <row r="95" spans="1:194" ht="38.25" x14ac:dyDescent="0.2">
      <c r="A95" s="2">
        <v>45139.405726898149</v>
      </c>
      <c r="B95" s="1" t="s">
        <v>14</v>
      </c>
      <c r="C95" s="1" t="s">
        <v>485</v>
      </c>
      <c r="D95" s="1" t="s">
        <v>304</v>
      </c>
      <c r="E95" s="1" t="s">
        <v>4459</v>
      </c>
      <c r="F95" s="1" t="s">
        <v>223</v>
      </c>
      <c r="G95" s="5" t="s">
        <v>4460</v>
      </c>
      <c r="H95" s="41">
        <v>39350</v>
      </c>
      <c r="I95" s="1">
        <v>15</v>
      </c>
      <c r="J95" s="1">
        <v>5568839724</v>
      </c>
      <c r="K95" s="1">
        <v>5589165483</v>
      </c>
      <c r="L95" s="1" t="s">
        <v>2657</v>
      </c>
      <c r="M95" s="1">
        <v>22309060570042</v>
      </c>
      <c r="N95" s="1" t="s">
        <v>562</v>
      </c>
      <c r="O95" s="1" t="s">
        <v>225</v>
      </c>
      <c r="P95" s="1" t="s">
        <v>314</v>
      </c>
      <c r="Q95" s="1" t="s">
        <v>248</v>
      </c>
      <c r="R95" s="1" t="s">
        <v>236</v>
      </c>
      <c r="S95" s="1" t="s">
        <v>228</v>
      </c>
      <c r="T95" s="1" t="s">
        <v>229</v>
      </c>
      <c r="U95" s="1" t="s">
        <v>393</v>
      </c>
      <c r="V95" s="1" t="s">
        <v>228</v>
      </c>
      <c r="W95" s="1" t="s">
        <v>4461</v>
      </c>
      <c r="X95" s="1" t="s">
        <v>393</v>
      </c>
      <c r="Y95" s="1" t="s">
        <v>708</v>
      </c>
      <c r="Z95" s="1" t="s">
        <v>240</v>
      </c>
      <c r="AA95" s="44" t="s">
        <v>707</v>
      </c>
      <c r="AB95" s="1">
        <v>21</v>
      </c>
      <c r="AC95" s="1" t="s">
        <v>923</v>
      </c>
      <c r="AD95" s="1" t="s">
        <v>4462</v>
      </c>
      <c r="AE95" s="1" t="s">
        <v>4463</v>
      </c>
      <c r="AF95" s="1" t="s">
        <v>580</v>
      </c>
      <c r="AG95" s="1">
        <v>54</v>
      </c>
      <c r="AH95" s="5" t="s">
        <v>4464</v>
      </c>
      <c r="AI95" s="1">
        <v>5570585794</v>
      </c>
      <c r="AJ95" s="1">
        <v>5589165483</v>
      </c>
      <c r="AK95" s="1" t="s">
        <v>2659</v>
      </c>
      <c r="AL95" s="1" t="s">
        <v>604</v>
      </c>
      <c r="AM95" s="1" t="s">
        <v>892</v>
      </c>
      <c r="AN95" s="1" t="s">
        <v>496</v>
      </c>
      <c r="AO95" s="1" t="s">
        <v>291</v>
      </c>
      <c r="AP95" s="1">
        <v>64</v>
      </c>
      <c r="AQ95" s="1" t="s">
        <v>2177</v>
      </c>
      <c r="AR95" s="42">
        <v>0.33333333333575865</v>
      </c>
      <c r="AS95" s="42">
        <v>0.33333333333575865</v>
      </c>
      <c r="AT95" s="1">
        <v>5568725646</v>
      </c>
      <c r="AU95" s="1">
        <v>5568725646</v>
      </c>
      <c r="AV95" s="1" t="s">
        <v>2660</v>
      </c>
      <c r="AW95" s="5" t="s">
        <v>4465</v>
      </c>
      <c r="AX95" s="1" t="s">
        <v>304</v>
      </c>
      <c r="AY95" s="1" t="s">
        <v>616</v>
      </c>
      <c r="AZ95" s="1" t="s">
        <v>4466</v>
      </c>
      <c r="BA95" s="1" t="s">
        <v>2363</v>
      </c>
      <c r="BB95" s="1">
        <v>22</v>
      </c>
      <c r="BC95" s="1" t="s">
        <v>1044</v>
      </c>
      <c r="BD95" s="43">
        <v>0.10416666666424135</v>
      </c>
      <c r="BE95" s="43">
        <v>0.41666666666424135</v>
      </c>
      <c r="BF95" s="1">
        <v>5564961618</v>
      </c>
      <c r="BG95" s="1">
        <v>5589165483</v>
      </c>
      <c r="BH95" s="1" t="s">
        <v>2658</v>
      </c>
      <c r="BI95" s="5" t="s">
        <v>4467</v>
      </c>
      <c r="BJ95" s="1" t="s">
        <v>236</v>
      </c>
      <c r="BL95" s="1">
        <v>1.61</v>
      </c>
      <c r="BM95" s="1">
        <v>60</v>
      </c>
      <c r="BN95" s="1" t="s">
        <v>228</v>
      </c>
      <c r="BO95" s="1" t="s">
        <v>228</v>
      </c>
      <c r="BQ95" s="1" t="s">
        <v>228</v>
      </c>
      <c r="BR95" s="1" t="s">
        <v>237</v>
      </c>
      <c r="BS95" s="1" t="s">
        <v>228</v>
      </c>
      <c r="BT95" s="1" t="s">
        <v>237</v>
      </c>
      <c r="BU95" s="1" t="s">
        <v>228</v>
      </c>
      <c r="BW95" s="1" t="s">
        <v>307</v>
      </c>
      <c r="BX95" s="1">
        <v>30</v>
      </c>
      <c r="BY95" s="1">
        <v>100</v>
      </c>
      <c r="BZ95" s="1" t="s">
        <v>4468</v>
      </c>
      <c r="CA95" s="1" t="s">
        <v>4469</v>
      </c>
      <c r="CB95" s="1" t="s">
        <v>240</v>
      </c>
      <c r="CC95" s="1" t="s">
        <v>631</v>
      </c>
      <c r="CD95" s="1">
        <v>1500</v>
      </c>
      <c r="CE95" s="1">
        <v>2000</v>
      </c>
      <c r="CF95" s="1" t="s">
        <v>236</v>
      </c>
      <c r="CG95" s="1" t="s">
        <v>242</v>
      </c>
      <c r="CH95" s="1" t="s">
        <v>243</v>
      </c>
      <c r="CI95" s="1" t="s">
        <v>243</v>
      </c>
      <c r="CJ95" s="1" t="s">
        <v>2848</v>
      </c>
      <c r="CL95" s="5" t="s">
        <v>4470</v>
      </c>
      <c r="CM95" s="44" t="s">
        <v>2661</v>
      </c>
      <c r="CN95" s="1" t="s">
        <v>228</v>
      </c>
      <c r="CQ95" s="42">
        <v>0.25</v>
      </c>
      <c r="CR95" s="42">
        <v>0.25</v>
      </c>
      <c r="CT95" s="45" t="str">
        <f t="array" ref="CT95">IFERROR(INDEX(#REF!,MATCH('Respuestas de formulario 1.1'!$B95,#REF!,0),MATCH('Respuestas de formulario 1.1'!CT$1,#REF!,0)),"")</f>
        <v/>
      </c>
      <c r="CU95" s="56" t="str">
        <f t="array" ref="CU95">IFERROR(INDEX(#REF!,MATCH('Respuestas de formulario 1.1'!$B95,#REF!,0),MATCH('Respuestas de formulario 1.1'!CU$1,#REF!,0)),"")</f>
        <v/>
      </c>
      <c r="CV95" s="56" t="str">
        <f t="array" ref="CV95">IFERROR(INDEX(#REF!,MATCH('Respuestas de formulario 1.1'!$B95,#REF!,0),MATCH('Respuestas de formulario 1.1'!CV$1,#REF!,0)),"")</f>
        <v/>
      </c>
      <c r="CW95" s="56" t="str">
        <f t="array" ref="CW95">IFERROR(INDEX(#REF!,MATCH('Respuestas de formulario 1.1'!$B95,#REF!,0),MATCH('Respuestas de formulario 1.1'!CW$1,#REF!,0)),"")</f>
        <v/>
      </c>
      <c r="CX95" s="56" t="str">
        <f t="array" ref="CX95">IFERROR(INDEX(#REF!,MATCH('Respuestas de formulario 1.1'!$B95,#REF!,0),MATCH('Respuestas de formulario 1.1'!CX$1,#REF!,0)),"")</f>
        <v/>
      </c>
      <c r="CY95" s="56" t="str">
        <f t="array" ref="CY95">IFERROR(INDEX(#REF!,MATCH('Respuestas de formulario 1.1'!$B95,#REF!,0),MATCH('Respuestas de formulario 1.1'!CY$1,#REF!,0)),"")</f>
        <v/>
      </c>
      <c r="CZ95" s="57" t="str">
        <f t="array" ref="CZ95">IFERROR(INDEX(#REF!,MATCH('Respuestas de formulario 1.1'!$B95,#REF!,0),MATCH('Respuestas de formulario 1.1'!CZ$1,#REF!,0)),"")</f>
        <v/>
      </c>
      <c r="DA95" s="45" t="e">
        <f t="array" ref="DA95">INDEX(#REF!,MATCH('Respuestas de formulario 1.1'!$B95,#REF!,0),MATCH('Respuestas de formulario 1.1'!DA$1,#REF!,0))</f>
        <v>#REF!</v>
      </c>
      <c r="DB95" s="45" t="e">
        <f t="array" ref="DB95">INDEX(#REF!,MATCH('Respuestas de formulario 1.1'!$B95,#REF!,0),MATCH('Respuestas de formulario 1.1'!DB$1,#REF!,0))</f>
        <v>#REF!</v>
      </c>
      <c r="DC95" s="45" t="e">
        <f t="array" ref="DC95">INDEX(#REF!,MATCH('Respuestas de formulario 1.1'!$B95,#REF!,0),MATCH('Respuestas de formulario 1.1'!DC$1,#REF!,0))</f>
        <v>#REF!</v>
      </c>
      <c r="DD95" s="45" t="e">
        <f t="array" ref="DD95">INDEX(#REF!,MATCH('Respuestas de formulario 1.1'!$B95,#REF!,0),MATCH('Respuestas de formulario 1.1'!DD$1,#REF!,0))</f>
        <v>#REF!</v>
      </c>
      <c r="DE95" s="45" t="e">
        <f t="array" ref="DE95">INDEX(#REF!,MATCH('Respuestas de formulario 1.1'!$B95,#REF!,0),MATCH('Respuestas de formulario 1.1'!DE$1,#REF!,0))</f>
        <v>#REF!</v>
      </c>
      <c r="DF95" s="45" t="e">
        <f t="array" ref="DF95">INDEX(#REF!,MATCH('Respuestas de formulario 1.1'!$B95,#REF!,0),MATCH('Respuestas de formulario 1.1'!DF$1,#REF!,0))</f>
        <v>#REF!</v>
      </c>
      <c r="DG95" s="45" t="e">
        <f t="array" ref="DG95">INDEX(#REF!,MATCH('Respuestas de formulario 1.1'!$B95,#REF!,0),MATCH('Respuestas de formulario 1.1'!DG$1,#REF!,0))</f>
        <v>#REF!</v>
      </c>
      <c r="DH95" s="45" t="e">
        <f t="array" ref="DH95">INDEX(#REF!,MATCH('Respuestas de formulario 1.1'!$B95,#REF!,0),MATCH('Respuestas de formulario 1.1'!DH$1,#REF!,0))</f>
        <v>#REF!</v>
      </c>
      <c r="DI95" s="48" t="e">
        <f>VLOOKUP(CONCATENATE($DF95," TUTO ",$DC95),#REF!,3,0)</f>
        <v>#REF!</v>
      </c>
      <c r="DJ95" s="48" t="e">
        <f t="array" ref="DJ95">IF('Respuestas de formulario 1.1'!A95="","",INDEX(#REF!,MATCH('Respuestas de formulario 1.1'!B95,#REF!,0),MATCH('Respuestas de formulario 1.1'!$DH$1,#REF!,0)))</f>
        <v>#REF!</v>
      </c>
      <c r="DK95" s="52" t="str">
        <f>CONCATENATE("http://doc.google.com/uc?id=",MID('Respuestas de formulario 1.1'!G95,34,33))</f>
        <v>http://doc.google.com/uc?id=1cQ822PcueOSmO1EHbNHU0vYZSQNizi-Y</v>
      </c>
      <c r="DL95" s="49" t="str">
        <f>CONCATENATE("http://doc.google.com/uc?id=",MID('Respuestas de formulario 1.1'!AH95,34,33))</f>
        <v>http://doc.google.com/uc?id=1EkCZeBG5QazvrdtWuk2lUPMrFD9MJmEv</v>
      </c>
      <c r="DM95" s="50" t="str">
        <f>CONCATENATE("http://doc.google.com/uc?id=",MID('Respuestas de formulario 1.1'!AW95,34,33))</f>
        <v>http://doc.google.com/uc?id=1nK0_cNr0tjMTu1DAv0mvclvUPKiW6OsP</v>
      </c>
      <c r="DN95" s="53" t="str">
        <f>CONCATENATE("http://doc.google.com/uc?id=",MID('Respuestas de formulario 1.1'!$BI95,34,33))</f>
        <v>http://doc.google.com/uc?id=1xFPsi6MeB2cfb-SgrpVFT3pPpE1abdAu</v>
      </c>
      <c r="DO95" s="45" t="str">
        <f>IFERROR(VLOOKUP(CONCATENATE('Respuestas de formulario 1.1'!$B95,MID('Respuestas de formulario 1.1'!DO$1,2,1)),#REF!,12,0),"")</f>
        <v/>
      </c>
      <c r="DP95" s="45" t="str">
        <f>IFERROR(VLOOKUP(CONCATENATE('Respuestas de formulario 1.1'!$B95,MID('Respuestas de formulario 1.1'!DP$1,2,1)),#REF!,12,0),"")</f>
        <v/>
      </c>
      <c r="DQ95" s="45" t="str">
        <f>IFERROR(VLOOKUP(CONCATENATE('Respuestas de formulario 1.1'!$B95,MID('Respuestas de formulario 1.1'!DQ$1,2,1)),#REF!,12,0),"")</f>
        <v/>
      </c>
      <c r="DR95" s="45" t="str">
        <f>IFERROR(VLOOKUP(CONCATENATE('Respuestas de formulario 1.1'!$B95,MID('Respuestas de formulario 1.1'!DR$1,2,1)),#REF!,12,0),"")</f>
        <v/>
      </c>
      <c r="DS95" s="45" t="str">
        <f>IFERROR(VLOOKUP(CONCATENATE('Respuestas de formulario 1.1'!$B95,MID('Respuestas de formulario 1.1'!DS$1,2,1)),#REF!,12,0),"")</f>
        <v/>
      </c>
      <c r="DT95" s="45" t="str">
        <f>IFERROR(VLOOKUP(CONCATENATE('Respuestas de formulario 1.1'!$B95,MID('Respuestas de formulario 1.1'!DT$1,2,1)),#REF!,12,0),"")</f>
        <v/>
      </c>
      <c r="DU95" s="45" t="str">
        <f>IFERROR(VLOOKUP(CONCATENATE('Respuestas de formulario 1.1'!$B95,MID('Respuestas de formulario 1.1'!DU$1,2,1)),#REF!,12,0),"")</f>
        <v/>
      </c>
      <c r="DV95" s="45" t="str">
        <f>IFERROR(VLOOKUP(CONCATENATE('Respuestas de formulario 1.1'!$B95,MID('Respuestas de formulario 1.1'!DV$1,2,1)),#REF!,12,0),"")</f>
        <v/>
      </c>
      <c r="DW95" s="45" t="str">
        <f>IFERROR(VLOOKUP(CONCATENATE('Respuestas de formulario 1.1'!$B95,MID('Respuestas de formulario 1.1'!DW$1,2,1)),#REF!,12,0),"")</f>
        <v/>
      </c>
      <c r="DX95" s="45" t="str">
        <f>IFERROR(VLOOKUP(CONCATENATE('Respuestas de formulario 1.1'!$B95,MID('Respuestas de formulario 1.1'!DX$1,2,1)),#REF!,12,0),"")</f>
        <v/>
      </c>
      <c r="DY95" s="45" t="str">
        <f>IFERROR(VLOOKUP(CONCATENATE('Respuestas de formulario 1.1'!$B95,MID('Respuestas de formulario 1.1'!DY$1,2,1)),#REF!,12,0),"")</f>
        <v/>
      </c>
      <c r="DZ95" s="45" t="str">
        <f>IFERROR(VLOOKUP(CONCATENATE('Respuestas de formulario 1.1'!$B95,MID('Respuestas de formulario 1.1'!DZ$1,2,1)),#REF!,12,0),"")</f>
        <v/>
      </c>
      <c r="EA95" s="45" t="str">
        <f>IFERROR(VLOOKUP(CONCATENATE('Respuestas de formulario 1.1'!$B95,MID('Respuestas de formulario 1.1'!EA$1,2,1)),#REF!,12,0),"")</f>
        <v/>
      </c>
      <c r="EB95" s="45" t="str">
        <f>IFERROR(VLOOKUP(CONCATENATE('Respuestas de formulario 1.1'!$B95,MID('Respuestas de formulario 1.1'!EB$1,2,1)),#REF!,12,0),"")</f>
        <v/>
      </c>
      <c r="EC95" s="45" t="str">
        <f>IFERROR(VLOOKUP(CONCATENATE('Respuestas de formulario 1.1'!$B95,MID('Respuestas de formulario 1.1'!EC$1,2,1)),#REF!,12,0),"")</f>
        <v/>
      </c>
      <c r="ED95" s="45" t="str">
        <f>IFERROR(VLOOKUP(CONCATENATE('Respuestas de formulario 1.1'!$B95,MID('Respuestas de formulario 1.1'!ED$1,2,1)),#REF!,12,0),"")</f>
        <v/>
      </c>
      <c r="EE95" s="45" t="str">
        <f>IFERROR(VLOOKUP(CONCATENATE('Respuestas de formulario 1.1'!$B95,MID('Respuestas de formulario 1.1'!EE$1,2,1)),#REF!,12,0),"")</f>
        <v/>
      </c>
      <c r="EF95" s="45" t="str">
        <f>IFERROR(VLOOKUP(CONCATENATE('Respuestas de formulario 1.1'!$B95,MID('Respuestas de formulario 1.1'!EF$1,2,1)),#REF!,12,0),"")</f>
        <v/>
      </c>
      <c r="EG95" s="45" t="str">
        <f>IFERROR(VLOOKUP(CONCATENATE('Respuestas de formulario 1.1'!$B95,MID('Respuestas de formulario 1.1'!EG$1,2,1)),#REF!,12,0),"")</f>
        <v/>
      </c>
      <c r="EH95" s="45" t="str">
        <f>IFERROR(VLOOKUP(CONCATENATE('Respuestas de formulario 1.1'!$B95,MID('Respuestas de formulario 1.1'!EH$1,2,1)),#REF!,12,0),"")</f>
        <v/>
      </c>
      <c r="EI95" s="45" t="str">
        <f>IFERROR(VLOOKUP(CONCATENATE('Respuestas de formulario 1.1'!$B95,MID('Respuestas de formulario 1.1'!EI$1,2,1)),#REF!,12,0),"")</f>
        <v/>
      </c>
      <c r="EJ95" s="45" t="str">
        <f t="array" ref="EJ95">IF(DO95="","", INDEX(#REF!,MATCH(CONCATENATE('Respuestas de formulario 1.1'!$B95,DO95),#REF!,0),MATCH('Respuestas de formulario 1.1'!EJ$1,#REF!,0)))</f>
        <v/>
      </c>
      <c r="EK95" s="56" t="str">
        <f t="array" ref="EK95">IF(DP95="","", INDEX(#REF!,MATCH(CONCATENATE('Respuestas de formulario 1.1'!$B95,DP95),#REF!,0),MATCH('Respuestas de formulario 1.1'!EK$1,#REF!,0)))</f>
        <v/>
      </c>
      <c r="EL95" s="56" t="str">
        <f t="array" ref="EL95">IF(DQ95="","", INDEX(#REF!,MATCH(CONCATENATE('Respuestas de formulario 1.1'!$B95,DQ95),#REF!,0),MATCH('Respuestas de formulario 1.1'!EL$1,#REF!,0)))</f>
        <v/>
      </c>
      <c r="EM95" s="56" t="str">
        <f t="array" ref="EM95">IF(DR95="","", INDEX(#REF!,MATCH(CONCATENATE('Respuestas de formulario 1.1'!$B95,DR95),#REF!,0),MATCH('Respuestas de formulario 1.1'!EM$1,#REF!,0)))</f>
        <v/>
      </c>
      <c r="EN95" s="56" t="str">
        <f t="array" ref="EN95">IF(DS95="","", INDEX(#REF!,MATCH(CONCATENATE('Respuestas de formulario 1.1'!$B95,DS95),#REF!,0),MATCH('Respuestas de formulario 1.1'!EN$1,#REF!,0)))</f>
        <v/>
      </c>
      <c r="EO95" s="56" t="str">
        <f t="array" ref="EO95">IF(DT95="","", INDEX(#REF!,MATCH(CONCATENATE('Respuestas de formulario 1.1'!$B95,DT95),#REF!,0),MATCH('Respuestas de formulario 1.1'!EO$1,#REF!,0)))</f>
        <v/>
      </c>
      <c r="EP95" s="45" t="str">
        <f t="array" ref="EP95">IF(DU95="","", INDEX(#REF!,MATCH(CONCATENATE('Respuestas de formulario 1.1'!$B95,DU95),#REF!,0),MATCH('Respuestas de formulario 1.1'!EP$1,#REF!,0)))</f>
        <v/>
      </c>
      <c r="EQ95" s="45" t="str">
        <f t="array" ref="EQ95">IF(DP95="","", INDEX(#REF!,MATCH(CONCATENATE('Respuestas de formulario 1.1'!$B95,DP95),#REF!,0),MATCH('Respuestas de formulario 1.1'!EQ$1,#REF!,0)))</f>
        <v/>
      </c>
      <c r="ER95" s="56" t="str">
        <f t="array" ref="ER95">IF(DQ95="","", INDEX(#REF!,MATCH(CONCATENATE('Respuestas de formulario 1.1'!$B95,DQ95),#REF!,0),MATCH('Respuestas de formulario 1.1'!ER$1,#REF!,0)))</f>
        <v/>
      </c>
      <c r="ES95" s="56" t="str">
        <f t="array" ref="ES95">IF(DR95="","", INDEX(#REF!,MATCH(CONCATENATE('Respuestas de formulario 1.1'!$B95,DR95),#REF!,0),MATCH('Respuestas de formulario 1.1'!ES$1,#REF!,0)))</f>
        <v/>
      </c>
      <c r="ET95" s="56" t="str">
        <f t="array" ref="ET95">IF(DS95="","", INDEX(#REF!,MATCH(CONCATENATE('Respuestas de formulario 1.1'!$B95,DS95),#REF!,0),MATCH('Respuestas de formulario 1.1'!ET$1,#REF!,0)))</f>
        <v/>
      </c>
      <c r="EU95" s="56" t="str">
        <f t="array" ref="EU95">IF(DT95="","", INDEX(#REF!,MATCH(CONCATENATE('Respuestas de formulario 1.1'!$B95,DT95),#REF!,0),MATCH('Respuestas de formulario 1.1'!EU$1,#REF!,0)))</f>
        <v/>
      </c>
      <c r="EV95" s="56" t="str">
        <f t="array" ref="EV95">IF(DU95="","", INDEX(#REF!,MATCH(CONCATENATE('Respuestas de formulario 1.1'!$B95,DU95),#REF!,0),MATCH('Respuestas de formulario 1.1'!EV$1,#REF!,0)))</f>
        <v/>
      </c>
      <c r="EW95" s="45" t="str">
        <f t="array" ref="EW95">IF(DV95="","", INDEX(#REF!,MATCH(CONCATENATE('Respuestas de formulario 1.1'!$B95,DV95),#REF!,0),MATCH('Respuestas de formulario 1.1'!EW$1,#REF!,0)))</f>
        <v/>
      </c>
      <c r="EX95" s="45" t="str">
        <f t="array" ref="EX95">IF($DQ95="","", INDEX(#REF!,MATCH(CONCATENATE('Respuestas de formulario 1.1'!$B95,$DQ95),#REF!,0),MATCH('Respuestas de formulario 1.1'!EX$1,#REF!,0)))</f>
        <v/>
      </c>
      <c r="EY95" s="56" t="str">
        <f t="array" ref="EY95">IF($DQ95="","", INDEX(#REF!,MATCH(CONCATENATE('Respuestas de formulario 1.1'!$B95,$DQ95),#REF!,0),MATCH('Respuestas de formulario 1.1'!EY$1,#REF!,0)))</f>
        <v/>
      </c>
      <c r="EZ95" s="56" t="str">
        <f t="array" ref="EZ95">IF($DQ95="","", INDEX(#REF!,MATCH(CONCATENATE('Respuestas de formulario 1.1'!$B95,$DQ95),#REF!,0),MATCH('Respuestas de formulario 1.1'!EZ$1,#REF!,0)))</f>
        <v/>
      </c>
      <c r="FA95" s="56" t="str">
        <f t="array" ref="FA95">IF($DQ95="","", INDEX(#REF!,MATCH(CONCATENATE('Respuestas de formulario 1.1'!$B95,$DQ95),#REF!,0),MATCH('Respuestas de formulario 1.1'!FA$1,#REF!,0)))</f>
        <v/>
      </c>
      <c r="FB95" s="56" t="str">
        <f t="array" ref="FB95">IF($DQ95="","", INDEX(#REF!,MATCH(CONCATENATE('Respuestas de formulario 1.1'!$B95,$DQ95),#REF!,0),MATCH('Respuestas de formulario 1.1'!FB$1,#REF!,0)))</f>
        <v/>
      </c>
      <c r="FC95" s="56" t="str">
        <f t="array" ref="FC95">IF($DQ95="","", INDEX(#REF!,MATCH(CONCATENATE('Respuestas de formulario 1.1'!$B95,$DQ95),#REF!,0),MATCH('Respuestas de formulario 1.1'!FC$1,#REF!,0)))</f>
        <v/>
      </c>
      <c r="FD95" s="45" t="str">
        <f t="array" ref="FD95">IF($DQ95="","", INDEX(#REF!,MATCH(CONCATENATE('Respuestas de formulario 1.1'!$B95,$DQ95),#REF!,0),MATCH('Respuestas de formulario 1.1'!FD$1,#REF!,0)))</f>
        <v/>
      </c>
      <c r="FE95" s="45" t="str">
        <f t="array" ref="FE95">IF($DR95="","", INDEX(#REF!,MATCH(CONCATENATE(#REF!,$DR95),#REF!,0),MATCH(#REF!,#REF!,0)))</f>
        <v/>
      </c>
      <c r="FF95" s="56" t="str">
        <f t="array" ref="FF95">IF($DR95="","", INDEX(#REF!,MATCH(CONCATENATE(#REF!,$DR95),#REF!,0),MATCH(#REF!,#REF!,0)))</f>
        <v/>
      </c>
      <c r="FG95" s="56" t="str">
        <f t="array" ref="FG95">IF($DR95="","", INDEX(#REF!,MATCH(CONCATENATE(#REF!,$DR95),#REF!,0),MATCH(#REF!,#REF!,0)))</f>
        <v/>
      </c>
      <c r="FH95" s="56" t="str">
        <f t="array" ref="FH95">IF($DR95="","", INDEX(#REF!,MATCH(CONCATENATE(#REF!,$DR95),#REF!,0),MATCH(#REF!,#REF!,0)))</f>
        <v/>
      </c>
      <c r="FI95" s="56" t="str">
        <f t="array" ref="FI95">IF($DR95="","", INDEX(#REF!,MATCH(CONCATENATE(#REF!,$DR95),#REF!,0),MATCH(#REF!,#REF!,0)))</f>
        <v/>
      </c>
      <c r="FJ95" s="56" t="str">
        <f t="array" ref="FJ95">IF($DR95="","", INDEX(#REF!,MATCH(CONCATENATE(#REF!,$DR95),#REF!,0),MATCH(#REF!,#REF!,0)))</f>
        <v/>
      </c>
      <c r="FK95" s="45" t="str">
        <f t="array" ref="FK95">IF($DR95="","", INDEX(#REF!,MATCH(CONCATENATE(#REF!,$DR95),#REF!,0),MATCH(#REF!,#REF!,0)))</f>
        <v/>
      </c>
      <c r="FL95" s="45" t="str">
        <f t="array" ref="FL95">IF($DT95="","", INDEX(#REF!,MATCH(CONCATENATE('Respuestas de formulario 1.1'!$B95,$DS95),#REF!,0),MATCH('Respuestas de formulario 1.1'!FL$1,#REF!,0)))</f>
        <v/>
      </c>
      <c r="FM95" s="56" t="str">
        <f t="array" ref="FM95">IF($DT95="","", INDEX(#REF!,MATCH(CONCATENATE('Respuestas de formulario 1.1'!$B95,$DS95),#REF!,0),MATCH('Respuestas de formulario 1.1'!FM$1,#REF!,0)))</f>
        <v/>
      </c>
      <c r="FN95" s="56" t="str">
        <f t="array" ref="FN95">IF($DT95="","", INDEX(#REF!,MATCH(CONCATENATE('Respuestas de formulario 1.1'!$B95,$DS95),#REF!,0),MATCH('Respuestas de formulario 1.1'!FN$1,#REF!,0)))</f>
        <v/>
      </c>
      <c r="FO95" s="56" t="str">
        <f t="array" ref="FO95">IF($DT95="","", INDEX(#REF!,MATCH(CONCATENATE('Respuestas de formulario 1.1'!$B95,$DS95),#REF!,0),MATCH('Respuestas de formulario 1.1'!FO$1,#REF!,0)))</f>
        <v/>
      </c>
      <c r="FP95" s="56" t="str">
        <f t="array" ref="FP95">IF($DT95="","", INDEX(#REF!,MATCH(CONCATENATE('Respuestas de formulario 1.1'!$B95,$DS95),#REF!,0),MATCH('Respuestas de formulario 1.1'!FP$1,#REF!,0)))</f>
        <v/>
      </c>
      <c r="FQ95" s="56" t="str">
        <f t="array" ref="FQ95">IF($DT95="","", INDEX(#REF!,MATCH(CONCATENATE('Respuestas de formulario 1.1'!$B95,$DS95),#REF!,0),MATCH('Respuestas de formulario 1.1'!FQ$1,#REF!,0)))</f>
        <v/>
      </c>
      <c r="FR95" s="45" t="str">
        <f t="array" ref="FR95">IF($DT95="","", INDEX(#REF!,MATCH(CONCATENATE('Respuestas de formulario 1.1'!$B95,$DS95),#REF!,0),MATCH('Respuestas de formulario 1.1'!FR$1,#REF!,0)))</f>
        <v/>
      </c>
      <c r="FS95" s="45" t="str">
        <f t="array" ref="FS95">IF($DU95="","", INDEX(#REF!,MATCH(CONCATENATE('Respuestas de formulario 1.1'!$B95,$DT95),#REF!,0),MATCH('Respuestas de formulario 1.1'!FS$1,#REF!,0)))</f>
        <v/>
      </c>
      <c r="FT95" s="56" t="str">
        <f t="array" ref="FT95">IF($DU95="","", INDEX(#REF!,MATCH(CONCATENATE('Respuestas de formulario 1.1'!$B95,$DT95),#REF!,0),MATCH('Respuestas de formulario 1.1'!FT$1,#REF!,0)))</f>
        <v/>
      </c>
      <c r="FU95" s="56" t="str">
        <f t="array" ref="FU95">IF($DU95="","", INDEX(#REF!,MATCH(CONCATENATE('Respuestas de formulario 1.1'!$B95,$DT95),#REF!,0),MATCH('Respuestas de formulario 1.1'!FU$1,#REF!,0)))</f>
        <v/>
      </c>
      <c r="FV95" s="56" t="str">
        <f t="array" ref="FV95">IF($DU95="","", INDEX(#REF!,MATCH(CONCATENATE('Respuestas de formulario 1.1'!$B95,$DT95),#REF!,0),MATCH('Respuestas de formulario 1.1'!FV$1,#REF!,0)))</f>
        <v/>
      </c>
      <c r="FW95" s="56" t="str">
        <f t="array" ref="FW95">IF($DU95="","", INDEX(#REF!,MATCH(CONCATENATE('Respuestas de formulario 1.1'!$B95,$DT95),#REF!,0),MATCH('Respuestas de formulario 1.1'!FW$1,#REF!,0)))</f>
        <v/>
      </c>
      <c r="FX95" s="56" t="str">
        <f t="array" ref="FX95">IF($DU95="","", INDEX(#REF!,MATCH(CONCATENATE('Respuestas de formulario 1.1'!$B95,$DT95),#REF!,0),MATCH('Respuestas de formulario 1.1'!FX$1,#REF!,0)))</f>
        <v/>
      </c>
      <c r="FY95" s="45" t="str">
        <f t="array" ref="FY95">IF($DU95="","", INDEX(#REF!,MATCH(CONCATENATE('Respuestas de formulario 1.1'!$B95,$DT95),#REF!,0),MATCH('Respuestas de formulario 1.1'!FY$1,#REF!,0)))</f>
        <v/>
      </c>
      <c r="FZ95" s="3" t="s">
        <v>2860</v>
      </c>
      <c r="GA95" s="1" t="s">
        <v>4471</v>
      </c>
      <c r="GB95" s="5" t="s">
        <v>4472</v>
      </c>
      <c r="GC95" s="4" t="str">
        <f>HYPERLINK("https://drive.google.com/file/d/1les7j9d8W69OH28s1RQhuTCSEn05Cic3/view?usp=drivesdk","DIAZ GARCIA FERNANDA EDITH  Formato de reinscripción y pago 2022-2")</f>
        <v>DIAZ GARCIA FERNANDA EDITH  Formato de reinscripción y pago 2022-2</v>
      </c>
      <c r="GD95" s="1" t="s">
        <v>4473</v>
      </c>
      <c r="GE95" s="1"/>
      <c r="GF95" s="1"/>
      <c r="GG95" s="1"/>
      <c r="GH95" s="1"/>
      <c r="GI95" s="1" t="s">
        <v>4474</v>
      </c>
      <c r="GJ95" s="5" t="s">
        <v>4475</v>
      </c>
      <c r="GK95" s="5" t="str">
        <f>HYPERLINK("https://drive.google.com/file/d/1DNsHpCro1CItNVgSKYwLf5dogYIKGxYS/view?usp=drivesdk","DIAZ GARCIA FERNANDA EDITH  Formato de reinscripción y pago 2022-2")</f>
        <v>DIAZ GARCIA FERNANDA EDITH  Formato de reinscripción y pago 2022-2</v>
      </c>
      <c r="GL95" s="1" t="s">
        <v>4476</v>
      </c>
    </row>
    <row r="96" spans="1:194" ht="38.25" x14ac:dyDescent="0.2">
      <c r="A96" s="2">
        <v>45139.406490624999</v>
      </c>
      <c r="B96" s="1" t="s">
        <v>1473</v>
      </c>
      <c r="C96" s="1" t="s">
        <v>1101</v>
      </c>
      <c r="D96" s="1" t="s">
        <v>244</v>
      </c>
      <c r="E96" s="1" t="s">
        <v>4477</v>
      </c>
      <c r="F96" s="1" t="s">
        <v>223</v>
      </c>
      <c r="G96" s="5" t="s">
        <v>4478</v>
      </c>
      <c r="H96" s="41">
        <v>32937</v>
      </c>
      <c r="I96" s="1">
        <v>33</v>
      </c>
      <c r="J96" s="1">
        <v>5540031615</v>
      </c>
      <c r="K96" s="1">
        <v>5526351033</v>
      </c>
      <c r="L96" s="1" t="s">
        <v>1474</v>
      </c>
      <c r="M96" s="1">
        <v>21309060570121</v>
      </c>
      <c r="N96" s="1" t="s">
        <v>1108</v>
      </c>
      <c r="O96" s="1" t="s">
        <v>247</v>
      </c>
      <c r="P96" s="1" t="s">
        <v>226</v>
      </c>
      <c r="Q96" s="1" t="s">
        <v>248</v>
      </c>
      <c r="R96" s="1" t="s">
        <v>236</v>
      </c>
      <c r="S96" s="1" t="s">
        <v>236</v>
      </c>
      <c r="T96" s="1" t="s">
        <v>411</v>
      </c>
      <c r="U96" s="1" t="s">
        <v>249</v>
      </c>
      <c r="V96" s="1" t="s">
        <v>228</v>
      </c>
      <c r="W96" s="1" t="s">
        <v>4479</v>
      </c>
      <c r="X96" s="1" t="s">
        <v>249</v>
      </c>
      <c r="Y96" s="1" t="s">
        <v>1431</v>
      </c>
      <c r="Z96" s="1" t="s">
        <v>240</v>
      </c>
      <c r="AA96" s="44" t="s">
        <v>764</v>
      </c>
      <c r="AB96" s="1" t="s">
        <v>4480</v>
      </c>
      <c r="AC96" s="1" t="s">
        <v>1223</v>
      </c>
      <c r="AD96" s="1" t="s">
        <v>4481</v>
      </c>
      <c r="AE96" s="1" t="s">
        <v>1475</v>
      </c>
      <c r="AF96" s="1" t="s">
        <v>2506</v>
      </c>
      <c r="AG96" s="1">
        <v>33</v>
      </c>
      <c r="AH96" s="5" t="s">
        <v>4482</v>
      </c>
      <c r="AI96" s="1">
        <v>5513961803</v>
      </c>
      <c r="AJ96" s="1">
        <v>5526351033</v>
      </c>
      <c r="AK96" s="1"/>
      <c r="AL96" s="1" t="s">
        <v>1101</v>
      </c>
      <c r="AM96" s="1" t="s">
        <v>244</v>
      </c>
      <c r="AN96" s="1" t="s">
        <v>4477</v>
      </c>
      <c r="AO96" s="1" t="s">
        <v>1013</v>
      </c>
      <c r="AP96" s="1">
        <v>33</v>
      </c>
      <c r="AQ96" s="1" t="s">
        <v>267</v>
      </c>
      <c r="AR96" s="42">
        <v>0.58333333333575865</v>
      </c>
      <c r="AS96" s="42">
        <v>0.89583333333575865</v>
      </c>
      <c r="AT96" s="1">
        <v>5540031615</v>
      </c>
      <c r="AU96" s="1">
        <v>5526351033</v>
      </c>
      <c r="AV96" s="1"/>
      <c r="AW96" s="5" t="s">
        <v>4483</v>
      </c>
      <c r="AX96" s="1" t="s">
        <v>1101</v>
      </c>
      <c r="AY96" s="1" t="s">
        <v>244</v>
      </c>
      <c r="AZ96" s="1" t="s">
        <v>4477</v>
      </c>
      <c r="BA96" s="1" t="s">
        <v>1013</v>
      </c>
      <c r="BB96" s="1">
        <v>33</v>
      </c>
      <c r="BC96" s="1" t="s">
        <v>306</v>
      </c>
      <c r="BD96" s="43">
        <v>0.58333333333575865</v>
      </c>
      <c r="BE96" s="43">
        <v>0.89583333333575865</v>
      </c>
      <c r="BF96" s="1">
        <v>5540031615</v>
      </c>
      <c r="BG96" s="1">
        <v>5526351033</v>
      </c>
      <c r="BH96" s="1"/>
      <c r="BI96" s="5" t="s">
        <v>4484</v>
      </c>
      <c r="BJ96" s="1" t="s">
        <v>228</v>
      </c>
      <c r="BK96" s="1" t="s">
        <v>4485</v>
      </c>
      <c r="BL96" s="1">
        <v>1.54</v>
      </c>
      <c r="BM96" s="1">
        <v>59</v>
      </c>
      <c r="BN96" s="1" t="s">
        <v>236</v>
      </c>
      <c r="BO96" s="1" t="s">
        <v>228</v>
      </c>
      <c r="BQ96" s="1" t="s">
        <v>228</v>
      </c>
      <c r="BR96" s="1" t="s">
        <v>237</v>
      </c>
      <c r="BS96" s="1" t="s">
        <v>228</v>
      </c>
      <c r="BT96" s="1" t="s">
        <v>462</v>
      </c>
      <c r="BU96" s="1" t="s">
        <v>228</v>
      </c>
      <c r="BW96" s="1" t="s">
        <v>238</v>
      </c>
      <c r="BX96" s="1">
        <v>1.3</v>
      </c>
      <c r="BY96" s="1">
        <v>450</v>
      </c>
      <c r="BZ96" s="1" t="s">
        <v>237</v>
      </c>
      <c r="CA96" s="1" t="s">
        <v>237</v>
      </c>
      <c r="CB96" s="1" t="s">
        <v>520</v>
      </c>
      <c r="CC96" s="1" t="s">
        <v>520</v>
      </c>
      <c r="CD96" s="1">
        <v>40</v>
      </c>
      <c r="CE96" s="1">
        <v>30</v>
      </c>
      <c r="CF96" s="1" t="s">
        <v>236</v>
      </c>
      <c r="CG96" s="1" t="s">
        <v>242</v>
      </c>
      <c r="CH96" s="1" t="s">
        <v>243</v>
      </c>
      <c r="CI96" s="1" t="s">
        <v>243</v>
      </c>
      <c r="CJ96" s="1" t="s">
        <v>2848</v>
      </c>
      <c r="CL96" s="5" t="s">
        <v>4486</v>
      </c>
      <c r="CM96" s="1">
        <v>45089011840</v>
      </c>
      <c r="CN96" s="1" t="s">
        <v>228</v>
      </c>
      <c r="CQ96" s="42">
        <v>0.29166666666424135</v>
      </c>
      <c r="CR96" s="42">
        <v>0.875</v>
      </c>
      <c r="CT96" s="45" t="str">
        <f t="array" ref="CT96">IFERROR(INDEX(#REF!,MATCH('Respuestas de formulario 1.1'!$B96,#REF!,0),MATCH('Respuestas de formulario 1.1'!CT$1,#REF!,0)),"")</f>
        <v/>
      </c>
      <c r="CU96" s="56" t="str">
        <f t="array" ref="CU96">IFERROR(INDEX(#REF!,MATCH('Respuestas de formulario 1.1'!$B96,#REF!,0),MATCH('Respuestas de formulario 1.1'!CU$1,#REF!,0)),"")</f>
        <v/>
      </c>
      <c r="CV96" s="56" t="str">
        <f t="array" ref="CV96">IFERROR(INDEX(#REF!,MATCH('Respuestas de formulario 1.1'!$B96,#REF!,0),MATCH('Respuestas de formulario 1.1'!CV$1,#REF!,0)),"")</f>
        <v/>
      </c>
      <c r="CW96" s="56" t="str">
        <f t="array" ref="CW96">IFERROR(INDEX(#REF!,MATCH('Respuestas de formulario 1.1'!$B96,#REF!,0),MATCH('Respuestas de formulario 1.1'!CW$1,#REF!,0)),"")</f>
        <v/>
      </c>
      <c r="CX96" s="56" t="str">
        <f t="array" ref="CX96">IFERROR(INDEX(#REF!,MATCH('Respuestas de formulario 1.1'!$B96,#REF!,0),MATCH('Respuestas de formulario 1.1'!CX$1,#REF!,0)),"")</f>
        <v/>
      </c>
      <c r="CY96" s="56" t="str">
        <f t="array" ref="CY96">IFERROR(INDEX(#REF!,MATCH('Respuestas de formulario 1.1'!$B96,#REF!,0),MATCH('Respuestas de formulario 1.1'!CY$1,#REF!,0)),"")</f>
        <v/>
      </c>
      <c r="CZ96" s="57" t="str">
        <f t="array" ref="CZ96">IFERROR(INDEX(#REF!,MATCH('Respuestas de formulario 1.1'!$B96,#REF!,0),MATCH('Respuestas de formulario 1.1'!CZ$1,#REF!,0)),"")</f>
        <v/>
      </c>
      <c r="DA96" s="45" t="e">
        <f t="array" ref="DA96">INDEX(#REF!,MATCH('Respuestas de formulario 1.1'!$B96,#REF!,0),MATCH('Respuestas de formulario 1.1'!DA$1,#REF!,0))</f>
        <v>#REF!</v>
      </c>
      <c r="DB96" s="45" t="e">
        <f t="array" ref="DB96">INDEX(#REF!,MATCH('Respuestas de formulario 1.1'!$B96,#REF!,0),MATCH('Respuestas de formulario 1.1'!DB$1,#REF!,0))</f>
        <v>#REF!</v>
      </c>
      <c r="DC96" s="45" t="e">
        <f t="array" ref="DC96">INDEX(#REF!,MATCH('Respuestas de formulario 1.1'!$B96,#REF!,0),MATCH('Respuestas de formulario 1.1'!DC$1,#REF!,0))</f>
        <v>#REF!</v>
      </c>
      <c r="DD96" s="45" t="e">
        <f t="array" ref="DD96">INDEX(#REF!,MATCH('Respuestas de formulario 1.1'!$B96,#REF!,0),MATCH('Respuestas de formulario 1.1'!DD$1,#REF!,0))</f>
        <v>#REF!</v>
      </c>
      <c r="DE96" s="45" t="e">
        <f t="array" ref="DE96">INDEX(#REF!,MATCH('Respuestas de formulario 1.1'!$B96,#REF!,0),MATCH('Respuestas de formulario 1.1'!DE$1,#REF!,0))</f>
        <v>#REF!</v>
      </c>
      <c r="DF96" s="45" t="e">
        <f t="array" ref="DF96">INDEX(#REF!,MATCH('Respuestas de formulario 1.1'!$B96,#REF!,0),MATCH('Respuestas de formulario 1.1'!DF$1,#REF!,0))</f>
        <v>#REF!</v>
      </c>
      <c r="DG96" s="45" t="e">
        <f t="array" ref="DG96">INDEX(#REF!,MATCH('Respuestas de formulario 1.1'!$B96,#REF!,0),MATCH('Respuestas de formulario 1.1'!DG$1,#REF!,0))</f>
        <v>#REF!</v>
      </c>
      <c r="DH96" s="45" t="e">
        <f t="array" ref="DH96">INDEX(#REF!,MATCH('Respuestas de formulario 1.1'!$B96,#REF!,0),MATCH('Respuestas de formulario 1.1'!DH$1,#REF!,0))</f>
        <v>#REF!</v>
      </c>
      <c r="DI96" s="48" t="e">
        <f>VLOOKUP(CONCATENATE($DF96," TUTO ",$DC96),#REF!,3,0)</f>
        <v>#REF!</v>
      </c>
      <c r="DJ96" s="48" t="e">
        <f t="array" ref="DJ96">IF('Respuestas de formulario 1.1'!A96="","",INDEX(#REF!,MATCH('Respuestas de formulario 1.1'!B96,#REF!,0),MATCH('Respuestas de formulario 1.1'!$DH$1,#REF!,0)))</f>
        <v>#REF!</v>
      </c>
      <c r="DK96" s="52" t="str">
        <f>CONCATENATE("http://doc.google.com/uc?id=",MID('Respuestas de formulario 1.1'!G96,34,33))</f>
        <v>http://doc.google.com/uc?id=14z5TpWS1X-UqJcjxGQga_QziFbVssovw</v>
      </c>
      <c r="DL96" s="49" t="str">
        <f>CONCATENATE("http://doc.google.com/uc?id=",MID('Respuestas de formulario 1.1'!AH96,34,33))</f>
        <v>http://doc.google.com/uc?id=1kerYWMs2zacLvwAXStIwSqgHdwdX8Lts</v>
      </c>
      <c r="DM96" s="50" t="str">
        <f>CONCATENATE("http://doc.google.com/uc?id=",MID('Respuestas de formulario 1.1'!AW96,34,33))</f>
        <v>http://doc.google.com/uc?id=1YgucytUbUWlJb49F3Q9INv_ljEzn_7-m</v>
      </c>
      <c r="DN96" s="53" t="str">
        <f>CONCATENATE("http://doc.google.com/uc?id=",MID('Respuestas de formulario 1.1'!$BI96,34,33))</f>
        <v>http://doc.google.com/uc?id=10Q2ejBpwGI5e_5XhzBn1gbsR8E1zNm8M</v>
      </c>
      <c r="DO96" s="45" t="str">
        <f>IFERROR(VLOOKUP(CONCATENATE('Respuestas de formulario 1.1'!$B96,MID('Respuestas de formulario 1.1'!DO$1,2,1)),#REF!,12,0),"")</f>
        <v/>
      </c>
      <c r="DP96" s="45" t="str">
        <f>IFERROR(VLOOKUP(CONCATENATE('Respuestas de formulario 1.1'!$B96,MID('Respuestas de formulario 1.1'!DP$1,2,1)),#REF!,12,0),"")</f>
        <v/>
      </c>
      <c r="DQ96" s="45" t="str">
        <f>IFERROR(VLOOKUP(CONCATENATE('Respuestas de formulario 1.1'!$B96,MID('Respuestas de formulario 1.1'!DQ$1,2,1)),#REF!,12,0),"")</f>
        <v/>
      </c>
      <c r="DR96" s="45" t="str">
        <f>IFERROR(VLOOKUP(CONCATENATE('Respuestas de formulario 1.1'!$B96,MID('Respuestas de formulario 1.1'!DR$1,2,1)),#REF!,12,0),"")</f>
        <v/>
      </c>
      <c r="DS96" s="45" t="str">
        <f>IFERROR(VLOOKUP(CONCATENATE('Respuestas de formulario 1.1'!$B96,MID('Respuestas de formulario 1.1'!DS$1,2,1)),#REF!,12,0),"")</f>
        <v/>
      </c>
      <c r="DT96" s="45" t="str">
        <f>IFERROR(VLOOKUP(CONCATENATE('Respuestas de formulario 1.1'!$B96,MID('Respuestas de formulario 1.1'!DT$1,2,1)),#REF!,12,0),"")</f>
        <v/>
      </c>
      <c r="DU96" s="45" t="str">
        <f>IFERROR(VLOOKUP(CONCATENATE('Respuestas de formulario 1.1'!$B96,MID('Respuestas de formulario 1.1'!DU$1,2,1)),#REF!,12,0),"")</f>
        <v/>
      </c>
      <c r="DV96" s="45" t="str">
        <f>IFERROR(VLOOKUP(CONCATENATE('Respuestas de formulario 1.1'!$B96,MID('Respuestas de formulario 1.1'!DV$1,2,1)),#REF!,12,0),"")</f>
        <v/>
      </c>
      <c r="DW96" s="45" t="str">
        <f>IFERROR(VLOOKUP(CONCATENATE('Respuestas de formulario 1.1'!$B96,MID('Respuestas de formulario 1.1'!DW$1,2,1)),#REF!,12,0),"")</f>
        <v/>
      </c>
      <c r="DX96" s="45" t="str">
        <f>IFERROR(VLOOKUP(CONCATENATE('Respuestas de formulario 1.1'!$B96,MID('Respuestas de formulario 1.1'!DX$1,2,1)),#REF!,12,0),"")</f>
        <v/>
      </c>
      <c r="DY96" s="45" t="str">
        <f>IFERROR(VLOOKUP(CONCATENATE('Respuestas de formulario 1.1'!$B96,MID('Respuestas de formulario 1.1'!DY$1,2,1)),#REF!,12,0),"")</f>
        <v/>
      </c>
      <c r="DZ96" s="45" t="str">
        <f>IFERROR(VLOOKUP(CONCATENATE('Respuestas de formulario 1.1'!$B96,MID('Respuestas de formulario 1.1'!DZ$1,2,1)),#REF!,12,0),"")</f>
        <v/>
      </c>
      <c r="EA96" s="45" t="str">
        <f>IFERROR(VLOOKUP(CONCATENATE('Respuestas de formulario 1.1'!$B96,MID('Respuestas de formulario 1.1'!EA$1,2,1)),#REF!,12,0),"")</f>
        <v/>
      </c>
      <c r="EB96" s="45" t="str">
        <f>IFERROR(VLOOKUP(CONCATENATE('Respuestas de formulario 1.1'!$B96,MID('Respuestas de formulario 1.1'!EB$1,2,1)),#REF!,12,0),"")</f>
        <v/>
      </c>
      <c r="EC96" s="45" t="str">
        <f>IFERROR(VLOOKUP(CONCATENATE('Respuestas de formulario 1.1'!$B96,MID('Respuestas de formulario 1.1'!EC$1,2,1)),#REF!,12,0),"")</f>
        <v/>
      </c>
      <c r="ED96" s="45" t="str">
        <f>IFERROR(VLOOKUP(CONCATENATE('Respuestas de formulario 1.1'!$B96,MID('Respuestas de formulario 1.1'!ED$1,2,1)),#REF!,12,0),"")</f>
        <v/>
      </c>
      <c r="EE96" s="45" t="str">
        <f>IFERROR(VLOOKUP(CONCATENATE('Respuestas de formulario 1.1'!$B96,MID('Respuestas de formulario 1.1'!EE$1,2,1)),#REF!,12,0),"")</f>
        <v/>
      </c>
      <c r="EF96" s="45" t="str">
        <f>IFERROR(VLOOKUP(CONCATENATE('Respuestas de formulario 1.1'!$B96,MID('Respuestas de formulario 1.1'!EF$1,2,1)),#REF!,12,0),"")</f>
        <v/>
      </c>
      <c r="EG96" s="45" t="str">
        <f>IFERROR(VLOOKUP(CONCATENATE('Respuestas de formulario 1.1'!$B96,MID('Respuestas de formulario 1.1'!EG$1,2,1)),#REF!,12,0),"")</f>
        <v/>
      </c>
      <c r="EH96" s="45" t="str">
        <f>IFERROR(VLOOKUP(CONCATENATE('Respuestas de formulario 1.1'!$B96,MID('Respuestas de formulario 1.1'!EH$1,2,1)),#REF!,12,0),"")</f>
        <v/>
      </c>
      <c r="EI96" s="45" t="str">
        <f>IFERROR(VLOOKUP(CONCATENATE('Respuestas de formulario 1.1'!$B96,MID('Respuestas de formulario 1.1'!EI$1,2,1)),#REF!,12,0),"")</f>
        <v/>
      </c>
      <c r="EJ96" s="45" t="str">
        <f t="array" ref="EJ96">IF(DO96="","", INDEX(#REF!,MATCH(CONCATENATE('Respuestas de formulario 1.1'!$B96,DO96),#REF!,0),MATCH('Respuestas de formulario 1.1'!EJ$1,#REF!,0)))</f>
        <v/>
      </c>
      <c r="EK96" s="56" t="str">
        <f t="array" ref="EK96">IF(DP96="","", INDEX(#REF!,MATCH(CONCATENATE('Respuestas de formulario 1.1'!$B96,DP96),#REF!,0),MATCH('Respuestas de formulario 1.1'!EK$1,#REF!,0)))</f>
        <v/>
      </c>
      <c r="EL96" s="56" t="str">
        <f t="array" ref="EL96">IF(DQ96="","", INDEX(#REF!,MATCH(CONCATENATE('Respuestas de formulario 1.1'!$B96,DQ96),#REF!,0),MATCH('Respuestas de formulario 1.1'!EL$1,#REF!,0)))</f>
        <v/>
      </c>
      <c r="EM96" s="56" t="str">
        <f t="array" ref="EM96">IF(DR96="","", INDEX(#REF!,MATCH(CONCATENATE('Respuestas de formulario 1.1'!$B96,DR96),#REF!,0),MATCH('Respuestas de formulario 1.1'!EM$1,#REF!,0)))</f>
        <v/>
      </c>
      <c r="EN96" s="56" t="str">
        <f t="array" ref="EN96">IF(DS96="","", INDEX(#REF!,MATCH(CONCATENATE('Respuestas de formulario 1.1'!$B96,DS96),#REF!,0),MATCH('Respuestas de formulario 1.1'!EN$1,#REF!,0)))</f>
        <v/>
      </c>
      <c r="EO96" s="56" t="str">
        <f t="array" ref="EO96">IF(DT96="","", INDEX(#REF!,MATCH(CONCATENATE('Respuestas de formulario 1.1'!$B96,DT96),#REF!,0),MATCH('Respuestas de formulario 1.1'!EO$1,#REF!,0)))</f>
        <v/>
      </c>
      <c r="EP96" s="45" t="str">
        <f t="array" ref="EP96">IF(DU96="","", INDEX(#REF!,MATCH(CONCATENATE('Respuestas de formulario 1.1'!$B96,DU96),#REF!,0),MATCH('Respuestas de formulario 1.1'!EP$1,#REF!,0)))</f>
        <v/>
      </c>
      <c r="EQ96" s="45" t="str">
        <f t="array" ref="EQ96">IF(DP96="","", INDEX(#REF!,MATCH(CONCATENATE('Respuestas de formulario 1.1'!$B96,DP96),#REF!,0),MATCH('Respuestas de formulario 1.1'!EQ$1,#REF!,0)))</f>
        <v/>
      </c>
      <c r="ER96" s="56" t="str">
        <f t="array" ref="ER96">IF(DQ96="","", INDEX(#REF!,MATCH(CONCATENATE('Respuestas de formulario 1.1'!$B96,DQ96),#REF!,0),MATCH('Respuestas de formulario 1.1'!ER$1,#REF!,0)))</f>
        <v/>
      </c>
      <c r="ES96" s="56" t="str">
        <f t="array" ref="ES96">IF(DR96="","", INDEX(#REF!,MATCH(CONCATENATE('Respuestas de formulario 1.1'!$B96,DR96),#REF!,0),MATCH('Respuestas de formulario 1.1'!ES$1,#REF!,0)))</f>
        <v/>
      </c>
      <c r="ET96" s="56" t="str">
        <f t="array" ref="ET96">IF(DS96="","", INDEX(#REF!,MATCH(CONCATENATE('Respuestas de formulario 1.1'!$B96,DS96),#REF!,0),MATCH('Respuestas de formulario 1.1'!ET$1,#REF!,0)))</f>
        <v/>
      </c>
      <c r="EU96" s="56" t="str">
        <f t="array" ref="EU96">IF(DT96="","", INDEX(#REF!,MATCH(CONCATENATE('Respuestas de formulario 1.1'!$B96,DT96),#REF!,0),MATCH('Respuestas de formulario 1.1'!EU$1,#REF!,0)))</f>
        <v/>
      </c>
      <c r="EV96" s="56" t="str">
        <f t="array" ref="EV96">IF(DU96="","", INDEX(#REF!,MATCH(CONCATENATE('Respuestas de formulario 1.1'!$B96,DU96),#REF!,0),MATCH('Respuestas de formulario 1.1'!EV$1,#REF!,0)))</f>
        <v/>
      </c>
      <c r="EW96" s="45" t="str">
        <f t="array" ref="EW96">IF(DV96="","", INDEX(#REF!,MATCH(CONCATENATE('Respuestas de formulario 1.1'!$B96,DV96),#REF!,0),MATCH('Respuestas de formulario 1.1'!EW$1,#REF!,0)))</f>
        <v/>
      </c>
      <c r="EX96" s="45" t="str">
        <f t="array" ref="EX96">IF($DQ96="","", INDEX(#REF!,MATCH(CONCATENATE('Respuestas de formulario 1.1'!$B96,$DQ96),#REF!,0),MATCH('Respuestas de formulario 1.1'!EX$1,#REF!,0)))</f>
        <v/>
      </c>
      <c r="EY96" s="56" t="str">
        <f t="array" ref="EY96">IF($DQ96="","", INDEX(#REF!,MATCH(CONCATENATE('Respuestas de formulario 1.1'!$B96,$DQ96),#REF!,0),MATCH('Respuestas de formulario 1.1'!EY$1,#REF!,0)))</f>
        <v/>
      </c>
      <c r="EZ96" s="56" t="str">
        <f t="array" ref="EZ96">IF($DQ96="","", INDEX(#REF!,MATCH(CONCATENATE('Respuestas de formulario 1.1'!$B96,$DQ96),#REF!,0),MATCH('Respuestas de formulario 1.1'!EZ$1,#REF!,0)))</f>
        <v/>
      </c>
      <c r="FA96" s="56" t="str">
        <f t="array" ref="FA96">IF($DQ96="","", INDEX(#REF!,MATCH(CONCATENATE('Respuestas de formulario 1.1'!$B96,$DQ96),#REF!,0),MATCH('Respuestas de formulario 1.1'!FA$1,#REF!,0)))</f>
        <v/>
      </c>
      <c r="FB96" s="56" t="str">
        <f t="array" ref="FB96">IF($DQ96="","", INDEX(#REF!,MATCH(CONCATENATE('Respuestas de formulario 1.1'!$B96,$DQ96),#REF!,0),MATCH('Respuestas de formulario 1.1'!FB$1,#REF!,0)))</f>
        <v/>
      </c>
      <c r="FC96" s="56" t="str">
        <f t="array" ref="FC96">IF($DQ96="","", INDEX(#REF!,MATCH(CONCATENATE('Respuestas de formulario 1.1'!$B96,$DQ96),#REF!,0),MATCH('Respuestas de formulario 1.1'!FC$1,#REF!,0)))</f>
        <v/>
      </c>
      <c r="FD96" s="45" t="str">
        <f t="array" ref="FD96">IF($DQ96="","", INDEX(#REF!,MATCH(CONCATENATE('Respuestas de formulario 1.1'!$B96,$DQ96),#REF!,0),MATCH('Respuestas de formulario 1.1'!FD$1,#REF!,0)))</f>
        <v/>
      </c>
      <c r="FE96" s="45" t="str">
        <f t="array" ref="FE96">IF($DR96="","", INDEX(#REF!,MATCH(CONCATENATE(#REF!,$DR96),#REF!,0),MATCH(#REF!,#REF!,0)))</f>
        <v/>
      </c>
      <c r="FF96" s="56" t="str">
        <f t="array" ref="FF96">IF($DR96="","", INDEX(#REF!,MATCH(CONCATENATE(#REF!,$DR96),#REF!,0),MATCH(#REF!,#REF!,0)))</f>
        <v/>
      </c>
      <c r="FG96" s="56" t="str">
        <f t="array" ref="FG96">IF($DR96="","", INDEX(#REF!,MATCH(CONCATENATE(#REF!,$DR96),#REF!,0),MATCH(#REF!,#REF!,0)))</f>
        <v/>
      </c>
      <c r="FH96" s="56" t="str">
        <f t="array" ref="FH96">IF($DR96="","", INDEX(#REF!,MATCH(CONCATENATE(#REF!,$DR96),#REF!,0),MATCH(#REF!,#REF!,0)))</f>
        <v/>
      </c>
      <c r="FI96" s="56" t="str">
        <f t="array" ref="FI96">IF($DR96="","", INDEX(#REF!,MATCH(CONCATENATE(#REF!,$DR96),#REF!,0),MATCH(#REF!,#REF!,0)))</f>
        <v/>
      </c>
      <c r="FJ96" s="56" t="str">
        <f t="array" ref="FJ96">IF($DR96="","", INDEX(#REF!,MATCH(CONCATENATE(#REF!,$DR96),#REF!,0),MATCH(#REF!,#REF!,0)))</f>
        <v/>
      </c>
      <c r="FK96" s="45" t="str">
        <f t="array" ref="FK96">IF($DR96="","", INDEX(#REF!,MATCH(CONCATENATE(#REF!,$DR96),#REF!,0),MATCH(#REF!,#REF!,0)))</f>
        <v/>
      </c>
      <c r="FL96" s="45" t="str">
        <f t="array" ref="FL96">IF($DT96="","", INDEX(#REF!,MATCH(CONCATENATE('Respuestas de formulario 1.1'!$B96,$DS96),#REF!,0),MATCH('Respuestas de formulario 1.1'!FL$1,#REF!,0)))</f>
        <v/>
      </c>
      <c r="FM96" s="56" t="str">
        <f t="array" ref="FM96">IF($DT96="","", INDEX(#REF!,MATCH(CONCATENATE('Respuestas de formulario 1.1'!$B96,$DS96),#REF!,0),MATCH('Respuestas de formulario 1.1'!FM$1,#REF!,0)))</f>
        <v/>
      </c>
      <c r="FN96" s="56" t="str">
        <f t="array" ref="FN96">IF($DT96="","", INDEX(#REF!,MATCH(CONCATENATE('Respuestas de formulario 1.1'!$B96,$DS96),#REF!,0),MATCH('Respuestas de formulario 1.1'!FN$1,#REF!,0)))</f>
        <v/>
      </c>
      <c r="FO96" s="56" t="str">
        <f t="array" ref="FO96">IF($DT96="","", INDEX(#REF!,MATCH(CONCATENATE('Respuestas de formulario 1.1'!$B96,$DS96),#REF!,0),MATCH('Respuestas de formulario 1.1'!FO$1,#REF!,0)))</f>
        <v/>
      </c>
      <c r="FP96" s="56" t="str">
        <f t="array" ref="FP96">IF($DT96="","", INDEX(#REF!,MATCH(CONCATENATE('Respuestas de formulario 1.1'!$B96,$DS96),#REF!,0),MATCH('Respuestas de formulario 1.1'!FP$1,#REF!,0)))</f>
        <v/>
      </c>
      <c r="FQ96" s="56" t="str">
        <f t="array" ref="FQ96">IF($DT96="","", INDEX(#REF!,MATCH(CONCATENATE('Respuestas de formulario 1.1'!$B96,$DS96),#REF!,0),MATCH('Respuestas de formulario 1.1'!FQ$1,#REF!,0)))</f>
        <v/>
      </c>
      <c r="FR96" s="45" t="str">
        <f t="array" ref="FR96">IF($DT96="","", INDEX(#REF!,MATCH(CONCATENATE('Respuestas de formulario 1.1'!$B96,$DS96),#REF!,0),MATCH('Respuestas de formulario 1.1'!FR$1,#REF!,0)))</f>
        <v/>
      </c>
      <c r="FS96" s="45" t="str">
        <f t="array" ref="FS96">IF($DU96="","", INDEX(#REF!,MATCH(CONCATENATE('Respuestas de formulario 1.1'!$B96,$DT96),#REF!,0),MATCH('Respuestas de formulario 1.1'!FS$1,#REF!,0)))</f>
        <v/>
      </c>
      <c r="FT96" s="56" t="str">
        <f t="array" ref="FT96">IF($DU96="","", INDEX(#REF!,MATCH(CONCATENATE('Respuestas de formulario 1.1'!$B96,$DT96),#REF!,0),MATCH('Respuestas de formulario 1.1'!FT$1,#REF!,0)))</f>
        <v/>
      </c>
      <c r="FU96" s="56" t="str">
        <f t="array" ref="FU96">IF($DU96="","", INDEX(#REF!,MATCH(CONCATENATE('Respuestas de formulario 1.1'!$B96,$DT96),#REF!,0),MATCH('Respuestas de formulario 1.1'!FU$1,#REF!,0)))</f>
        <v/>
      </c>
      <c r="FV96" s="56" t="str">
        <f t="array" ref="FV96">IF($DU96="","", INDEX(#REF!,MATCH(CONCATENATE('Respuestas de formulario 1.1'!$B96,$DT96),#REF!,0),MATCH('Respuestas de formulario 1.1'!FV$1,#REF!,0)))</f>
        <v/>
      </c>
      <c r="FW96" s="56" t="str">
        <f t="array" ref="FW96">IF($DU96="","", INDEX(#REF!,MATCH(CONCATENATE('Respuestas de formulario 1.1'!$B96,$DT96),#REF!,0),MATCH('Respuestas de formulario 1.1'!FW$1,#REF!,0)))</f>
        <v/>
      </c>
      <c r="FX96" s="56" t="str">
        <f t="array" ref="FX96">IF($DU96="","", INDEX(#REF!,MATCH(CONCATENATE('Respuestas de formulario 1.1'!$B96,$DT96),#REF!,0),MATCH('Respuestas de formulario 1.1'!FX$1,#REF!,0)))</f>
        <v/>
      </c>
      <c r="FY96" s="45" t="str">
        <f t="array" ref="FY96">IF($DU96="","", INDEX(#REF!,MATCH(CONCATENATE('Respuestas de formulario 1.1'!$B96,$DT96),#REF!,0),MATCH('Respuestas de formulario 1.1'!FY$1,#REF!,0)))</f>
        <v/>
      </c>
      <c r="FZ96" s="3" t="s">
        <v>2860</v>
      </c>
      <c r="GA96" s="1" t="s">
        <v>4487</v>
      </c>
      <c r="GB96" s="5" t="s">
        <v>4488</v>
      </c>
      <c r="GC96" s="4" t="str">
        <f>HYPERLINK("https://drive.google.com/file/d/1-18emLo8BEP3rrHUXHvxukZkkEKq-p9o/view?usp=drivesdk","ARENAS HERNANDEZ VIRIDIANA Formato de reinscripción y pago 2022-2")</f>
        <v>ARENAS HERNANDEZ VIRIDIANA Formato de reinscripción y pago 2022-2</v>
      </c>
      <c r="GD96" s="1" t="s">
        <v>4489</v>
      </c>
      <c r="GE96" s="1"/>
      <c r="GF96" s="1"/>
      <c r="GG96" s="1"/>
      <c r="GH96" s="1"/>
      <c r="GI96" s="1" t="s">
        <v>4490</v>
      </c>
      <c r="GJ96" s="5" t="s">
        <v>4491</v>
      </c>
      <c r="GK96" s="5" t="str">
        <f>HYPERLINK("https://drive.google.com/file/d/1cyGRn_r0ohs1-uiYktznAkDREyCEzPfy/view?usp=drivesdk","ARENAS HERNANDEZ VIRIDIANA Formato de reinscripción y pago 2022-2")</f>
        <v>ARENAS HERNANDEZ VIRIDIANA Formato de reinscripción y pago 2022-2</v>
      </c>
      <c r="GL96" s="1" t="s">
        <v>4492</v>
      </c>
    </row>
    <row r="97" spans="1:194" ht="38.25" x14ac:dyDescent="0.2">
      <c r="A97" s="2">
        <v>45139.408211932867</v>
      </c>
      <c r="B97" s="1" t="s">
        <v>2769</v>
      </c>
      <c r="C97" s="1" t="s">
        <v>2020</v>
      </c>
      <c r="D97" s="1" t="s">
        <v>513</v>
      </c>
      <c r="E97" s="1" t="s">
        <v>2770</v>
      </c>
      <c r="F97" s="1" t="s">
        <v>223</v>
      </c>
      <c r="G97" s="5" t="s">
        <v>4493</v>
      </c>
      <c r="H97" s="41">
        <v>39016</v>
      </c>
      <c r="I97" s="1">
        <v>16</v>
      </c>
      <c r="J97" s="1">
        <v>4432581066</v>
      </c>
      <c r="K97" s="1">
        <v>4435350587</v>
      </c>
      <c r="L97" s="1" t="s">
        <v>2771</v>
      </c>
      <c r="M97" s="1">
        <v>21309060570956</v>
      </c>
      <c r="N97" s="1" t="s">
        <v>1108</v>
      </c>
      <c r="O97" s="1" t="s">
        <v>225</v>
      </c>
      <c r="P97" s="1" t="s">
        <v>314</v>
      </c>
      <c r="Q97" s="1" t="s">
        <v>248</v>
      </c>
      <c r="R97" s="1" t="s">
        <v>228</v>
      </c>
      <c r="S97" s="1" t="s">
        <v>228</v>
      </c>
      <c r="T97" s="1" t="s">
        <v>411</v>
      </c>
      <c r="U97" s="1" t="s">
        <v>471</v>
      </c>
      <c r="V97" s="1" t="s">
        <v>228</v>
      </c>
      <c r="W97" s="1" t="s">
        <v>4494</v>
      </c>
      <c r="X97" s="1" t="s">
        <v>471</v>
      </c>
      <c r="Y97" s="1" t="s">
        <v>4495</v>
      </c>
      <c r="Z97" s="1" t="s">
        <v>240</v>
      </c>
      <c r="AA97" s="1">
        <v>16780</v>
      </c>
      <c r="AB97" s="1">
        <v>67</v>
      </c>
      <c r="AC97" s="1">
        <v>67</v>
      </c>
      <c r="AD97" s="1" t="s">
        <v>4496</v>
      </c>
      <c r="AE97" s="1" t="s">
        <v>4497</v>
      </c>
      <c r="AF97" s="1" t="s">
        <v>505</v>
      </c>
      <c r="AG97" s="1">
        <v>45</v>
      </c>
      <c r="AH97" s="5" t="s">
        <v>4498</v>
      </c>
      <c r="AI97" s="1">
        <v>5532203882</v>
      </c>
      <c r="AJ97" s="1">
        <v>5532203882</v>
      </c>
      <c r="AK97" s="1" t="s">
        <v>2773</v>
      </c>
      <c r="AL97" s="1" t="s">
        <v>513</v>
      </c>
      <c r="AM97" s="1" t="s">
        <v>1974</v>
      </c>
      <c r="AN97" s="1" t="s">
        <v>4499</v>
      </c>
      <c r="AO97" s="1" t="s">
        <v>265</v>
      </c>
      <c r="AP97" s="1">
        <v>40</v>
      </c>
      <c r="AQ97" s="1" t="s">
        <v>267</v>
      </c>
      <c r="AR97" s="42">
        <v>8.3333333335758653E-2</v>
      </c>
      <c r="AS97" s="42">
        <v>0.35416666666424135</v>
      </c>
      <c r="AT97" s="1">
        <v>4435350587</v>
      </c>
      <c r="AU97" s="1">
        <v>4435350587</v>
      </c>
      <c r="AV97" s="1" t="s">
        <v>4500</v>
      </c>
      <c r="AW97" s="5" t="s">
        <v>4501</v>
      </c>
      <c r="AX97" s="1" t="s">
        <v>603</v>
      </c>
      <c r="AY97" s="1" t="s">
        <v>1194</v>
      </c>
      <c r="AZ97" s="1" t="s">
        <v>2615</v>
      </c>
      <c r="BA97" s="1" t="s">
        <v>505</v>
      </c>
      <c r="BB97" s="1">
        <v>45</v>
      </c>
      <c r="BC97" s="1" t="s">
        <v>739</v>
      </c>
      <c r="BD97" s="43">
        <v>8.3333333335758653E-2</v>
      </c>
      <c r="BE97" s="43">
        <v>0.375</v>
      </c>
      <c r="BF97" s="1">
        <v>5532203882</v>
      </c>
      <c r="BG97" s="1">
        <v>5532203882</v>
      </c>
      <c r="BH97" s="1" t="s">
        <v>2773</v>
      </c>
      <c r="BI97" s="5" t="s">
        <v>4502</v>
      </c>
      <c r="BJ97" s="1" t="s">
        <v>236</v>
      </c>
      <c r="BL97" s="1">
        <v>1.68</v>
      </c>
      <c r="BM97" s="1">
        <v>49</v>
      </c>
      <c r="BN97" s="1" t="s">
        <v>236</v>
      </c>
      <c r="BO97" s="1" t="s">
        <v>228</v>
      </c>
      <c r="BQ97" s="1" t="s">
        <v>228</v>
      </c>
      <c r="BR97" s="1" t="s">
        <v>237</v>
      </c>
      <c r="BS97" s="1" t="s">
        <v>236</v>
      </c>
      <c r="BT97" s="1" t="s">
        <v>237</v>
      </c>
      <c r="BU97" s="1" t="s">
        <v>228</v>
      </c>
      <c r="BW97" s="1" t="s">
        <v>238</v>
      </c>
      <c r="BX97" s="1">
        <v>100</v>
      </c>
      <c r="BY97" s="1">
        <v>300</v>
      </c>
      <c r="BZ97" s="1" t="s">
        <v>298</v>
      </c>
      <c r="CA97" s="1" t="s">
        <v>4503</v>
      </c>
      <c r="CB97" s="1" t="s">
        <v>240</v>
      </c>
      <c r="CC97" s="1" t="s">
        <v>4504</v>
      </c>
      <c r="CD97" s="1">
        <v>500</v>
      </c>
      <c r="CE97" s="1">
        <v>1500</v>
      </c>
      <c r="CF97" s="1" t="s">
        <v>236</v>
      </c>
      <c r="CG97" s="1" t="s">
        <v>242</v>
      </c>
      <c r="CH97" s="1" t="s">
        <v>243</v>
      </c>
      <c r="CI97" s="1" t="s">
        <v>243</v>
      </c>
      <c r="CJ97" s="1" t="s">
        <v>2848</v>
      </c>
      <c r="CL97" s="5" t="s">
        <v>4505</v>
      </c>
      <c r="CM97" s="44" t="s">
        <v>2772</v>
      </c>
      <c r="CN97" s="1" t="s">
        <v>228</v>
      </c>
      <c r="CQ97" s="42">
        <v>8.3333333335758653E-2</v>
      </c>
      <c r="CR97" s="42">
        <v>0.375</v>
      </c>
      <c r="CT97" s="45" t="str">
        <f t="array" ref="CT97">IFERROR(INDEX(#REF!,MATCH('Respuestas de formulario 1.1'!$B97,#REF!,0),MATCH('Respuestas de formulario 1.1'!CT$1,#REF!,0)),"")</f>
        <v/>
      </c>
      <c r="CU97" s="56" t="str">
        <f t="array" ref="CU97">IFERROR(INDEX(#REF!,MATCH('Respuestas de formulario 1.1'!$B97,#REF!,0),MATCH('Respuestas de formulario 1.1'!CU$1,#REF!,0)),"")</f>
        <v/>
      </c>
      <c r="CV97" s="56" t="str">
        <f t="array" ref="CV97">IFERROR(INDEX(#REF!,MATCH('Respuestas de formulario 1.1'!$B97,#REF!,0),MATCH('Respuestas de formulario 1.1'!CV$1,#REF!,0)),"")</f>
        <v/>
      </c>
      <c r="CW97" s="56" t="str">
        <f t="array" ref="CW97">IFERROR(INDEX(#REF!,MATCH('Respuestas de formulario 1.1'!$B97,#REF!,0),MATCH('Respuestas de formulario 1.1'!CW$1,#REF!,0)),"")</f>
        <v/>
      </c>
      <c r="CX97" s="56" t="str">
        <f t="array" ref="CX97">IFERROR(INDEX(#REF!,MATCH('Respuestas de formulario 1.1'!$B97,#REF!,0),MATCH('Respuestas de formulario 1.1'!CX$1,#REF!,0)),"")</f>
        <v/>
      </c>
      <c r="CY97" s="56" t="str">
        <f t="array" ref="CY97">IFERROR(INDEX(#REF!,MATCH('Respuestas de formulario 1.1'!$B97,#REF!,0),MATCH('Respuestas de formulario 1.1'!CY$1,#REF!,0)),"")</f>
        <v/>
      </c>
      <c r="CZ97" s="57" t="str">
        <f t="array" ref="CZ97">IFERROR(INDEX(#REF!,MATCH('Respuestas de formulario 1.1'!$B97,#REF!,0),MATCH('Respuestas de formulario 1.1'!CZ$1,#REF!,0)),"")</f>
        <v/>
      </c>
      <c r="DA97" s="45" t="e">
        <f t="array" ref="DA97">INDEX(#REF!,MATCH('Respuestas de formulario 1.1'!$B97,#REF!,0),MATCH('Respuestas de formulario 1.1'!DA$1,#REF!,0))</f>
        <v>#REF!</v>
      </c>
      <c r="DB97" s="45" t="e">
        <f t="array" ref="DB97">INDEX(#REF!,MATCH('Respuestas de formulario 1.1'!$B97,#REF!,0),MATCH('Respuestas de formulario 1.1'!DB$1,#REF!,0))</f>
        <v>#REF!</v>
      </c>
      <c r="DC97" s="45" t="e">
        <f t="array" ref="DC97">INDEX(#REF!,MATCH('Respuestas de formulario 1.1'!$B97,#REF!,0),MATCH('Respuestas de formulario 1.1'!DC$1,#REF!,0))</f>
        <v>#REF!</v>
      </c>
      <c r="DD97" s="45" t="e">
        <f t="array" ref="DD97">INDEX(#REF!,MATCH('Respuestas de formulario 1.1'!$B97,#REF!,0),MATCH('Respuestas de formulario 1.1'!DD$1,#REF!,0))</f>
        <v>#REF!</v>
      </c>
      <c r="DE97" s="45" t="e">
        <f t="array" ref="DE97">INDEX(#REF!,MATCH('Respuestas de formulario 1.1'!$B97,#REF!,0),MATCH('Respuestas de formulario 1.1'!DE$1,#REF!,0))</f>
        <v>#REF!</v>
      </c>
      <c r="DF97" s="45" t="e">
        <f t="array" ref="DF97">INDEX(#REF!,MATCH('Respuestas de formulario 1.1'!$B97,#REF!,0),MATCH('Respuestas de formulario 1.1'!DF$1,#REF!,0))</f>
        <v>#REF!</v>
      </c>
      <c r="DG97" s="45" t="e">
        <f t="array" ref="DG97">INDEX(#REF!,MATCH('Respuestas de formulario 1.1'!$B97,#REF!,0),MATCH('Respuestas de formulario 1.1'!DG$1,#REF!,0))</f>
        <v>#REF!</v>
      </c>
      <c r="DH97" s="45" t="e">
        <f t="array" ref="DH97">INDEX(#REF!,MATCH('Respuestas de formulario 1.1'!$B97,#REF!,0),MATCH('Respuestas de formulario 1.1'!DH$1,#REF!,0))</f>
        <v>#REF!</v>
      </c>
      <c r="DI97" s="48" t="e">
        <f>VLOOKUP(CONCATENATE($DF97," TUTO ",$DC97),#REF!,3,0)</f>
        <v>#REF!</v>
      </c>
      <c r="DJ97" s="48" t="e">
        <f t="array" ref="DJ97">IF('Respuestas de formulario 1.1'!A97="","",INDEX(#REF!,MATCH('Respuestas de formulario 1.1'!B97,#REF!,0),MATCH('Respuestas de formulario 1.1'!$DH$1,#REF!,0)))</f>
        <v>#REF!</v>
      </c>
      <c r="DK97" s="52" t="str">
        <f>CONCATENATE("http://doc.google.com/uc?id=",MID('Respuestas de formulario 1.1'!G97,34,33))</f>
        <v>http://doc.google.com/uc?id=1VtL3hMv3VJGvxv-EmWB8iaTY4VeqPquE</v>
      </c>
      <c r="DL97" s="49" t="str">
        <f>CONCATENATE("http://doc.google.com/uc?id=",MID('Respuestas de formulario 1.1'!AH97,34,33))</f>
        <v>http://doc.google.com/uc?id=15uEdlkgbfKVGQhl34JMtJopN7EydTW_o</v>
      </c>
      <c r="DM97" s="50" t="str">
        <f>CONCATENATE("http://doc.google.com/uc?id=",MID('Respuestas de formulario 1.1'!AW97,34,33))</f>
        <v>http://doc.google.com/uc?id=1VDGK2EnMFGcpmynFomj_nF7LPb6YLU5Z</v>
      </c>
      <c r="DN97" s="53" t="str">
        <f>CONCATENATE("http://doc.google.com/uc?id=",MID('Respuestas de formulario 1.1'!$BI97,34,33))</f>
        <v>http://doc.google.com/uc?id=1gwRzZAQvByTUw7RPWHBl1QNZcnzMZknt</v>
      </c>
      <c r="DO97" s="45" t="str">
        <f>IFERROR(VLOOKUP(CONCATENATE('Respuestas de formulario 1.1'!$B97,MID('Respuestas de formulario 1.1'!DO$1,2,1)),#REF!,12,0),"")</f>
        <v/>
      </c>
      <c r="DP97" s="45" t="str">
        <f>IFERROR(VLOOKUP(CONCATENATE('Respuestas de formulario 1.1'!$B97,MID('Respuestas de formulario 1.1'!DP$1,2,1)),#REF!,12,0),"")</f>
        <v/>
      </c>
      <c r="DQ97" s="45" t="str">
        <f>IFERROR(VLOOKUP(CONCATENATE('Respuestas de formulario 1.1'!$B97,MID('Respuestas de formulario 1.1'!DQ$1,2,1)),#REF!,12,0),"")</f>
        <v/>
      </c>
      <c r="DR97" s="45" t="str">
        <f>IFERROR(VLOOKUP(CONCATENATE('Respuestas de formulario 1.1'!$B97,MID('Respuestas de formulario 1.1'!DR$1,2,1)),#REF!,12,0),"")</f>
        <v/>
      </c>
      <c r="DS97" s="45" t="str">
        <f>IFERROR(VLOOKUP(CONCATENATE('Respuestas de formulario 1.1'!$B97,MID('Respuestas de formulario 1.1'!DS$1,2,1)),#REF!,12,0),"")</f>
        <v/>
      </c>
      <c r="DT97" s="45" t="str">
        <f>IFERROR(VLOOKUP(CONCATENATE('Respuestas de formulario 1.1'!$B97,MID('Respuestas de formulario 1.1'!DT$1,2,1)),#REF!,12,0),"")</f>
        <v/>
      </c>
      <c r="DU97" s="45" t="str">
        <f>IFERROR(VLOOKUP(CONCATENATE('Respuestas de formulario 1.1'!$B97,MID('Respuestas de formulario 1.1'!DU$1,2,1)),#REF!,12,0),"")</f>
        <v/>
      </c>
      <c r="DV97" s="45" t="str">
        <f>IFERROR(VLOOKUP(CONCATENATE('Respuestas de formulario 1.1'!$B97,MID('Respuestas de formulario 1.1'!DV$1,2,1)),#REF!,12,0),"")</f>
        <v/>
      </c>
      <c r="DW97" s="45" t="str">
        <f>IFERROR(VLOOKUP(CONCATENATE('Respuestas de formulario 1.1'!$B97,MID('Respuestas de formulario 1.1'!DW$1,2,1)),#REF!,12,0),"")</f>
        <v/>
      </c>
      <c r="DX97" s="45" t="str">
        <f>IFERROR(VLOOKUP(CONCATENATE('Respuestas de formulario 1.1'!$B97,MID('Respuestas de formulario 1.1'!DX$1,2,1)),#REF!,12,0),"")</f>
        <v/>
      </c>
      <c r="DY97" s="45" t="str">
        <f>IFERROR(VLOOKUP(CONCATENATE('Respuestas de formulario 1.1'!$B97,MID('Respuestas de formulario 1.1'!DY$1,2,1)),#REF!,12,0),"")</f>
        <v/>
      </c>
      <c r="DZ97" s="45" t="str">
        <f>IFERROR(VLOOKUP(CONCATENATE('Respuestas de formulario 1.1'!$B97,MID('Respuestas de formulario 1.1'!DZ$1,2,1)),#REF!,12,0),"")</f>
        <v/>
      </c>
      <c r="EA97" s="45" t="str">
        <f>IFERROR(VLOOKUP(CONCATENATE('Respuestas de formulario 1.1'!$B97,MID('Respuestas de formulario 1.1'!EA$1,2,1)),#REF!,12,0),"")</f>
        <v/>
      </c>
      <c r="EB97" s="45" t="str">
        <f>IFERROR(VLOOKUP(CONCATENATE('Respuestas de formulario 1.1'!$B97,MID('Respuestas de formulario 1.1'!EB$1,2,1)),#REF!,12,0),"")</f>
        <v/>
      </c>
      <c r="EC97" s="45" t="str">
        <f>IFERROR(VLOOKUP(CONCATENATE('Respuestas de formulario 1.1'!$B97,MID('Respuestas de formulario 1.1'!EC$1,2,1)),#REF!,12,0),"")</f>
        <v/>
      </c>
      <c r="ED97" s="45" t="str">
        <f>IFERROR(VLOOKUP(CONCATENATE('Respuestas de formulario 1.1'!$B97,MID('Respuestas de formulario 1.1'!ED$1,2,1)),#REF!,12,0),"")</f>
        <v/>
      </c>
      <c r="EE97" s="45" t="str">
        <f>IFERROR(VLOOKUP(CONCATENATE('Respuestas de formulario 1.1'!$B97,MID('Respuestas de formulario 1.1'!EE$1,2,1)),#REF!,12,0),"")</f>
        <v/>
      </c>
      <c r="EF97" s="45" t="str">
        <f>IFERROR(VLOOKUP(CONCATENATE('Respuestas de formulario 1.1'!$B97,MID('Respuestas de formulario 1.1'!EF$1,2,1)),#REF!,12,0),"")</f>
        <v/>
      </c>
      <c r="EG97" s="45" t="str">
        <f>IFERROR(VLOOKUP(CONCATENATE('Respuestas de formulario 1.1'!$B97,MID('Respuestas de formulario 1.1'!EG$1,2,1)),#REF!,12,0),"")</f>
        <v/>
      </c>
      <c r="EH97" s="45" t="str">
        <f>IFERROR(VLOOKUP(CONCATENATE('Respuestas de formulario 1.1'!$B97,MID('Respuestas de formulario 1.1'!EH$1,2,1)),#REF!,12,0),"")</f>
        <v/>
      </c>
      <c r="EI97" s="45" t="str">
        <f>IFERROR(VLOOKUP(CONCATENATE('Respuestas de formulario 1.1'!$B97,MID('Respuestas de formulario 1.1'!EI$1,2,1)),#REF!,12,0),"")</f>
        <v/>
      </c>
      <c r="EJ97" s="45" t="str">
        <f t="array" ref="EJ97">IF(DO97="","", INDEX(#REF!,MATCH(CONCATENATE('Respuestas de formulario 1.1'!$B97,DO97),#REF!,0),MATCH('Respuestas de formulario 1.1'!EJ$1,#REF!,0)))</f>
        <v/>
      </c>
      <c r="EK97" s="56" t="str">
        <f t="array" ref="EK97">IF(DP97="","", INDEX(#REF!,MATCH(CONCATENATE('Respuestas de formulario 1.1'!$B97,DP97),#REF!,0),MATCH('Respuestas de formulario 1.1'!EK$1,#REF!,0)))</f>
        <v/>
      </c>
      <c r="EL97" s="56" t="str">
        <f t="array" ref="EL97">IF(DQ97="","", INDEX(#REF!,MATCH(CONCATENATE('Respuestas de formulario 1.1'!$B97,DQ97),#REF!,0),MATCH('Respuestas de formulario 1.1'!EL$1,#REF!,0)))</f>
        <v/>
      </c>
      <c r="EM97" s="56" t="str">
        <f t="array" ref="EM97">IF(DR97="","", INDEX(#REF!,MATCH(CONCATENATE('Respuestas de formulario 1.1'!$B97,DR97),#REF!,0),MATCH('Respuestas de formulario 1.1'!EM$1,#REF!,0)))</f>
        <v/>
      </c>
      <c r="EN97" s="56" t="str">
        <f t="array" ref="EN97">IF(DS97="","", INDEX(#REF!,MATCH(CONCATENATE('Respuestas de formulario 1.1'!$B97,DS97),#REF!,0),MATCH('Respuestas de formulario 1.1'!EN$1,#REF!,0)))</f>
        <v/>
      </c>
      <c r="EO97" s="56" t="str">
        <f t="array" ref="EO97">IF(DT97="","", INDEX(#REF!,MATCH(CONCATENATE('Respuestas de formulario 1.1'!$B97,DT97),#REF!,0),MATCH('Respuestas de formulario 1.1'!EO$1,#REF!,0)))</f>
        <v/>
      </c>
      <c r="EP97" s="45" t="str">
        <f t="array" ref="EP97">IF(DU97="","", INDEX(#REF!,MATCH(CONCATENATE('Respuestas de formulario 1.1'!$B97,DU97),#REF!,0),MATCH('Respuestas de formulario 1.1'!EP$1,#REF!,0)))</f>
        <v/>
      </c>
      <c r="EQ97" s="45" t="str">
        <f t="array" ref="EQ97">IF(DP97="","", INDEX(#REF!,MATCH(CONCATENATE('Respuestas de formulario 1.1'!$B97,DP97),#REF!,0),MATCH('Respuestas de formulario 1.1'!EQ$1,#REF!,0)))</f>
        <v/>
      </c>
      <c r="ER97" s="56" t="str">
        <f t="array" ref="ER97">IF(DQ97="","", INDEX(#REF!,MATCH(CONCATENATE('Respuestas de formulario 1.1'!$B97,DQ97),#REF!,0),MATCH('Respuestas de formulario 1.1'!ER$1,#REF!,0)))</f>
        <v/>
      </c>
      <c r="ES97" s="56" t="str">
        <f t="array" ref="ES97">IF(DR97="","", INDEX(#REF!,MATCH(CONCATENATE('Respuestas de formulario 1.1'!$B97,DR97),#REF!,0),MATCH('Respuestas de formulario 1.1'!ES$1,#REF!,0)))</f>
        <v/>
      </c>
      <c r="ET97" s="56" t="str">
        <f t="array" ref="ET97">IF(DS97="","", INDEX(#REF!,MATCH(CONCATENATE('Respuestas de formulario 1.1'!$B97,DS97),#REF!,0),MATCH('Respuestas de formulario 1.1'!ET$1,#REF!,0)))</f>
        <v/>
      </c>
      <c r="EU97" s="56" t="str">
        <f t="array" ref="EU97">IF(DT97="","", INDEX(#REF!,MATCH(CONCATENATE('Respuestas de formulario 1.1'!$B97,DT97),#REF!,0),MATCH('Respuestas de formulario 1.1'!EU$1,#REF!,0)))</f>
        <v/>
      </c>
      <c r="EV97" s="56" t="str">
        <f t="array" ref="EV97">IF(DU97="","", INDEX(#REF!,MATCH(CONCATENATE('Respuestas de formulario 1.1'!$B97,DU97),#REF!,0),MATCH('Respuestas de formulario 1.1'!EV$1,#REF!,0)))</f>
        <v/>
      </c>
      <c r="EW97" s="45" t="str">
        <f t="array" ref="EW97">IF(DV97="","", INDEX(#REF!,MATCH(CONCATENATE('Respuestas de formulario 1.1'!$B97,DV97),#REF!,0),MATCH('Respuestas de formulario 1.1'!EW$1,#REF!,0)))</f>
        <v/>
      </c>
      <c r="EX97" s="45" t="str">
        <f t="array" ref="EX97">IF($DQ97="","", INDEX(#REF!,MATCH(CONCATENATE('Respuestas de formulario 1.1'!$B97,$DQ97),#REF!,0),MATCH('Respuestas de formulario 1.1'!EX$1,#REF!,0)))</f>
        <v/>
      </c>
      <c r="EY97" s="56" t="str">
        <f t="array" ref="EY97">IF($DQ97="","", INDEX(#REF!,MATCH(CONCATENATE('Respuestas de formulario 1.1'!$B97,$DQ97),#REF!,0),MATCH('Respuestas de formulario 1.1'!EY$1,#REF!,0)))</f>
        <v/>
      </c>
      <c r="EZ97" s="56" t="str">
        <f t="array" ref="EZ97">IF($DQ97="","", INDEX(#REF!,MATCH(CONCATENATE('Respuestas de formulario 1.1'!$B97,$DQ97),#REF!,0),MATCH('Respuestas de formulario 1.1'!EZ$1,#REF!,0)))</f>
        <v/>
      </c>
      <c r="FA97" s="56" t="str">
        <f t="array" ref="FA97">IF($DQ97="","", INDEX(#REF!,MATCH(CONCATENATE('Respuestas de formulario 1.1'!$B97,$DQ97),#REF!,0),MATCH('Respuestas de formulario 1.1'!FA$1,#REF!,0)))</f>
        <v/>
      </c>
      <c r="FB97" s="56" t="str">
        <f t="array" ref="FB97">IF($DQ97="","", INDEX(#REF!,MATCH(CONCATENATE('Respuestas de formulario 1.1'!$B97,$DQ97),#REF!,0),MATCH('Respuestas de formulario 1.1'!FB$1,#REF!,0)))</f>
        <v/>
      </c>
      <c r="FC97" s="56" t="str">
        <f t="array" ref="FC97">IF($DQ97="","", INDEX(#REF!,MATCH(CONCATENATE('Respuestas de formulario 1.1'!$B97,$DQ97),#REF!,0),MATCH('Respuestas de formulario 1.1'!FC$1,#REF!,0)))</f>
        <v/>
      </c>
      <c r="FD97" s="45" t="str">
        <f t="array" ref="FD97">IF($DQ97="","", INDEX(#REF!,MATCH(CONCATENATE('Respuestas de formulario 1.1'!$B97,$DQ97),#REF!,0),MATCH('Respuestas de formulario 1.1'!FD$1,#REF!,0)))</f>
        <v/>
      </c>
      <c r="FE97" s="45" t="str">
        <f t="array" ref="FE97">IF($DR97="","", INDEX(#REF!,MATCH(CONCATENATE(#REF!,$DR97),#REF!,0),MATCH(#REF!,#REF!,0)))</f>
        <v/>
      </c>
      <c r="FF97" s="56" t="str">
        <f t="array" ref="FF97">IF($DR97="","", INDEX(#REF!,MATCH(CONCATENATE(#REF!,$DR97),#REF!,0),MATCH(#REF!,#REF!,0)))</f>
        <v/>
      </c>
      <c r="FG97" s="56" t="str">
        <f t="array" ref="FG97">IF($DR97="","", INDEX(#REF!,MATCH(CONCATENATE(#REF!,$DR97),#REF!,0),MATCH(#REF!,#REF!,0)))</f>
        <v/>
      </c>
      <c r="FH97" s="56" t="str">
        <f t="array" ref="FH97">IF($DR97="","", INDEX(#REF!,MATCH(CONCATENATE(#REF!,$DR97),#REF!,0),MATCH(#REF!,#REF!,0)))</f>
        <v/>
      </c>
      <c r="FI97" s="56" t="str">
        <f t="array" ref="FI97">IF($DR97="","", INDEX(#REF!,MATCH(CONCATENATE(#REF!,$DR97),#REF!,0),MATCH(#REF!,#REF!,0)))</f>
        <v/>
      </c>
      <c r="FJ97" s="56" t="str">
        <f t="array" ref="FJ97">IF($DR97="","", INDEX(#REF!,MATCH(CONCATENATE(#REF!,$DR97),#REF!,0),MATCH(#REF!,#REF!,0)))</f>
        <v/>
      </c>
      <c r="FK97" s="45" t="str">
        <f t="array" ref="FK97">IF($DR97="","", INDEX(#REF!,MATCH(CONCATENATE(#REF!,$DR97),#REF!,0),MATCH(#REF!,#REF!,0)))</f>
        <v/>
      </c>
      <c r="FL97" s="45" t="str">
        <f t="array" ref="FL97">IF($DT97="","", INDEX(#REF!,MATCH(CONCATENATE('Respuestas de formulario 1.1'!$B97,$DS97),#REF!,0),MATCH('Respuestas de formulario 1.1'!FL$1,#REF!,0)))</f>
        <v/>
      </c>
      <c r="FM97" s="56" t="str">
        <f t="array" ref="FM97">IF($DT97="","", INDEX(#REF!,MATCH(CONCATENATE('Respuestas de formulario 1.1'!$B97,$DS97),#REF!,0),MATCH('Respuestas de formulario 1.1'!FM$1,#REF!,0)))</f>
        <v/>
      </c>
      <c r="FN97" s="56" t="str">
        <f t="array" ref="FN97">IF($DT97="","", INDEX(#REF!,MATCH(CONCATENATE('Respuestas de formulario 1.1'!$B97,$DS97),#REF!,0),MATCH('Respuestas de formulario 1.1'!FN$1,#REF!,0)))</f>
        <v/>
      </c>
      <c r="FO97" s="56" t="str">
        <f t="array" ref="FO97">IF($DT97="","", INDEX(#REF!,MATCH(CONCATENATE('Respuestas de formulario 1.1'!$B97,$DS97),#REF!,0),MATCH('Respuestas de formulario 1.1'!FO$1,#REF!,0)))</f>
        <v/>
      </c>
      <c r="FP97" s="56" t="str">
        <f t="array" ref="FP97">IF($DT97="","", INDEX(#REF!,MATCH(CONCATENATE('Respuestas de formulario 1.1'!$B97,$DS97),#REF!,0),MATCH('Respuestas de formulario 1.1'!FP$1,#REF!,0)))</f>
        <v/>
      </c>
      <c r="FQ97" s="56" t="str">
        <f t="array" ref="FQ97">IF($DT97="","", INDEX(#REF!,MATCH(CONCATENATE('Respuestas de formulario 1.1'!$B97,$DS97),#REF!,0),MATCH('Respuestas de formulario 1.1'!FQ$1,#REF!,0)))</f>
        <v/>
      </c>
      <c r="FR97" s="45" t="str">
        <f t="array" ref="FR97">IF($DT97="","", INDEX(#REF!,MATCH(CONCATENATE('Respuestas de formulario 1.1'!$B97,$DS97),#REF!,0),MATCH('Respuestas de formulario 1.1'!FR$1,#REF!,0)))</f>
        <v/>
      </c>
      <c r="FS97" s="45" t="str">
        <f t="array" ref="FS97">IF($DU97="","", INDEX(#REF!,MATCH(CONCATENATE('Respuestas de formulario 1.1'!$B97,$DT97),#REF!,0),MATCH('Respuestas de formulario 1.1'!FS$1,#REF!,0)))</f>
        <v/>
      </c>
      <c r="FT97" s="56" t="str">
        <f t="array" ref="FT97">IF($DU97="","", INDEX(#REF!,MATCH(CONCATENATE('Respuestas de formulario 1.1'!$B97,$DT97),#REF!,0),MATCH('Respuestas de formulario 1.1'!FT$1,#REF!,0)))</f>
        <v/>
      </c>
      <c r="FU97" s="56" t="str">
        <f t="array" ref="FU97">IF($DU97="","", INDEX(#REF!,MATCH(CONCATENATE('Respuestas de formulario 1.1'!$B97,$DT97),#REF!,0),MATCH('Respuestas de formulario 1.1'!FU$1,#REF!,0)))</f>
        <v/>
      </c>
      <c r="FV97" s="56" t="str">
        <f t="array" ref="FV97">IF($DU97="","", INDEX(#REF!,MATCH(CONCATENATE('Respuestas de formulario 1.1'!$B97,$DT97),#REF!,0),MATCH('Respuestas de formulario 1.1'!FV$1,#REF!,0)))</f>
        <v/>
      </c>
      <c r="FW97" s="56" t="str">
        <f t="array" ref="FW97">IF($DU97="","", INDEX(#REF!,MATCH(CONCATENATE('Respuestas de formulario 1.1'!$B97,$DT97),#REF!,0),MATCH('Respuestas de formulario 1.1'!FW$1,#REF!,0)))</f>
        <v/>
      </c>
      <c r="FX97" s="56" t="str">
        <f t="array" ref="FX97">IF($DU97="","", INDEX(#REF!,MATCH(CONCATENATE('Respuestas de formulario 1.1'!$B97,$DT97),#REF!,0),MATCH('Respuestas de formulario 1.1'!FX$1,#REF!,0)))</f>
        <v/>
      </c>
      <c r="FY97" s="45" t="str">
        <f t="array" ref="FY97">IF($DU97="","", INDEX(#REF!,MATCH(CONCATENATE('Respuestas de formulario 1.1'!$B97,$DT97),#REF!,0),MATCH('Respuestas de formulario 1.1'!FY$1,#REF!,0)))</f>
        <v/>
      </c>
      <c r="FZ97" s="3" t="s">
        <v>2860</v>
      </c>
      <c r="GA97" s="1" t="s">
        <v>4506</v>
      </c>
      <c r="GB97" s="5" t="s">
        <v>4507</v>
      </c>
      <c r="GC97" s="4" t="str">
        <f>HYPERLINK("https://drive.google.com/file/d/1eqc_l9b48s5oHcLghK-OUZc0hXdaswiZ/view?usp=drivesdk","ROCHA CHAVEZ ALONDRA SACIHT  Formato de reinscripción y pago 2022-2")</f>
        <v>ROCHA CHAVEZ ALONDRA SACIHT  Formato de reinscripción y pago 2022-2</v>
      </c>
      <c r="GD97" s="1" t="s">
        <v>4508</v>
      </c>
      <c r="GE97" s="1"/>
      <c r="GF97" s="1"/>
      <c r="GG97" s="1"/>
      <c r="GH97" s="1"/>
      <c r="GI97" s="1" t="s">
        <v>4509</v>
      </c>
      <c r="GJ97" s="5" t="s">
        <v>4510</v>
      </c>
      <c r="GK97" s="5" t="str">
        <f>HYPERLINK("https://drive.google.com/file/d/1RhiOWCmdTiPDO23TFegR1-aff2SfGS5e/view?usp=drivesdk","ROCHA CHAVEZ ALONDRA SACIHT  Formato de reinscripción y pago 2022-2")</f>
        <v>ROCHA CHAVEZ ALONDRA SACIHT  Formato de reinscripción y pago 2022-2</v>
      </c>
      <c r="GL97" s="1" t="s">
        <v>4511</v>
      </c>
    </row>
    <row r="98" spans="1:194" ht="38.25" x14ac:dyDescent="0.2">
      <c r="A98" s="2">
        <v>45139.408407106486</v>
      </c>
      <c r="B98" s="1" t="s">
        <v>78</v>
      </c>
      <c r="C98" s="1" t="s">
        <v>489</v>
      </c>
      <c r="D98" s="1" t="s">
        <v>304</v>
      </c>
      <c r="E98" s="1" t="s">
        <v>1891</v>
      </c>
      <c r="F98" s="1" t="s">
        <v>262</v>
      </c>
      <c r="G98" s="5" t="s">
        <v>4512</v>
      </c>
      <c r="H98" s="41">
        <v>39029</v>
      </c>
      <c r="I98" s="1">
        <v>16</v>
      </c>
      <c r="J98" s="1">
        <v>5532397536</v>
      </c>
      <c r="K98" s="1">
        <v>5557562337</v>
      </c>
      <c r="L98" s="1" t="s">
        <v>1892</v>
      </c>
      <c r="M98" s="1">
        <v>21309060570510</v>
      </c>
      <c r="N98" s="1" t="s">
        <v>1108</v>
      </c>
      <c r="O98" s="1" t="s">
        <v>247</v>
      </c>
      <c r="P98" s="1" t="s">
        <v>226</v>
      </c>
      <c r="Q98" s="1" t="s">
        <v>248</v>
      </c>
      <c r="R98" s="1" t="s">
        <v>236</v>
      </c>
      <c r="S98" s="1" t="s">
        <v>228</v>
      </c>
      <c r="T98" s="1" t="s">
        <v>411</v>
      </c>
      <c r="U98" s="1" t="s">
        <v>393</v>
      </c>
      <c r="V98" s="1" t="s">
        <v>228</v>
      </c>
      <c r="W98" s="1" t="s">
        <v>4513</v>
      </c>
      <c r="X98" s="1" t="s">
        <v>393</v>
      </c>
      <c r="Y98" s="1" t="s">
        <v>1515</v>
      </c>
      <c r="Z98" s="1" t="s">
        <v>240</v>
      </c>
      <c r="AA98" s="44" t="s">
        <v>707</v>
      </c>
      <c r="AB98" s="1">
        <v>10</v>
      </c>
      <c r="AC98" s="1">
        <v>10</v>
      </c>
      <c r="AD98" s="1" t="s">
        <v>4514</v>
      </c>
      <c r="AE98" s="1" t="s">
        <v>4515</v>
      </c>
      <c r="AF98" s="1" t="s">
        <v>265</v>
      </c>
      <c r="AG98" s="1">
        <v>46</v>
      </c>
      <c r="AH98" s="5" t="s">
        <v>4516</v>
      </c>
      <c r="AI98" s="1">
        <v>5520722311</v>
      </c>
      <c r="AJ98" s="1">
        <v>5557562337</v>
      </c>
      <c r="AK98" s="1" t="s">
        <v>4517</v>
      </c>
      <c r="AL98" s="1" t="s">
        <v>304</v>
      </c>
      <c r="AM98" s="1" t="s">
        <v>1273</v>
      </c>
      <c r="AN98" s="1" t="s">
        <v>2664</v>
      </c>
      <c r="AO98" s="1" t="s">
        <v>493</v>
      </c>
      <c r="AP98" s="1">
        <v>42</v>
      </c>
      <c r="AQ98" s="1" t="s">
        <v>454</v>
      </c>
      <c r="AR98" s="42">
        <v>0.29166666666424135</v>
      </c>
      <c r="AS98" s="42">
        <v>0.91666666666424135</v>
      </c>
      <c r="AT98" s="1">
        <v>5531662438</v>
      </c>
      <c r="AU98" s="1">
        <v>5557562337</v>
      </c>
      <c r="AV98" s="1"/>
      <c r="AW98" s="5" t="s">
        <v>4518</v>
      </c>
      <c r="AX98" s="1" t="s">
        <v>489</v>
      </c>
      <c r="AY98" s="1" t="s">
        <v>611</v>
      </c>
      <c r="AZ98" s="1" t="s">
        <v>4519</v>
      </c>
      <c r="BA98" s="1" t="s">
        <v>435</v>
      </c>
      <c r="BB98" s="1">
        <v>47</v>
      </c>
      <c r="BC98" s="1" t="s">
        <v>2153</v>
      </c>
      <c r="BD98" s="43">
        <v>0.29166666666424135</v>
      </c>
      <c r="BE98" s="43">
        <v>0.70833333333575865</v>
      </c>
      <c r="BF98" s="1">
        <v>5551939223</v>
      </c>
      <c r="BG98" s="1">
        <v>5588840549</v>
      </c>
      <c r="BH98" s="1"/>
      <c r="BI98" s="5" t="s">
        <v>4520</v>
      </c>
      <c r="BJ98" s="1" t="s">
        <v>236</v>
      </c>
      <c r="BL98" s="1">
        <v>165</v>
      </c>
      <c r="BM98" s="1">
        <v>65</v>
      </c>
      <c r="BN98" s="1" t="s">
        <v>236</v>
      </c>
      <c r="BO98" s="1" t="s">
        <v>236</v>
      </c>
      <c r="BP98" s="1" t="s">
        <v>4521</v>
      </c>
      <c r="BQ98" s="1" t="s">
        <v>228</v>
      </c>
      <c r="BR98" s="1" t="s">
        <v>237</v>
      </c>
      <c r="BS98" s="1" t="s">
        <v>228</v>
      </c>
      <c r="BT98" s="1" t="s">
        <v>237</v>
      </c>
      <c r="BU98" s="1" t="s">
        <v>228</v>
      </c>
      <c r="BW98" s="1" t="s">
        <v>349</v>
      </c>
      <c r="BX98" s="1">
        <v>60</v>
      </c>
      <c r="BY98" s="1">
        <v>60</v>
      </c>
      <c r="BZ98" s="1" t="s">
        <v>4522</v>
      </c>
      <c r="CA98" s="1" t="s">
        <v>1960</v>
      </c>
      <c r="CB98" s="1" t="s">
        <v>240</v>
      </c>
      <c r="CC98" s="1" t="s">
        <v>497</v>
      </c>
      <c r="CD98" s="1">
        <v>1500</v>
      </c>
      <c r="CE98" s="1">
        <v>2000</v>
      </c>
      <c r="CF98" s="1" t="s">
        <v>236</v>
      </c>
      <c r="CG98" s="1" t="s">
        <v>323</v>
      </c>
      <c r="CH98" s="1" t="s">
        <v>243</v>
      </c>
      <c r="CI98" s="1" t="s">
        <v>243</v>
      </c>
      <c r="CJ98" s="1" t="s">
        <v>2848</v>
      </c>
      <c r="CL98" s="5" t="s">
        <v>4523</v>
      </c>
      <c r="CM98" s="1">
        <v>15210613749</v>
      </c>
      <c r="CN98" s="1" t="s">
        <v>228</v>
      </c>
      <c r="CQ98" s="42">
        <v>0.33333333333575865</v>
      </c>
      <c r="CR98" s="42">
        <v>0.75</v>
      </c>
      <c r="CT98" s="45" t="str">
        <f t="array" ref="CT98">IFERROR(INDEX(#REF!,MATCH('Respuestas de formulario 1.1'!$B98,#REF!,0),MATCH('Respuestas de formulario 1.1'!CT$1,#REF!,0)),"")</f>
        <v/>
      </c>
      <c r="CU98" s="56" t="str">
        <f t="array" ref="CU98">IFERROR(INDEX(#REF!,MATCH('Respuestas de formulario 1.1'!$B98,#REF!,0),MATCH('Respuestas de formulario 1.1'!CU$1,#REF!,0)),"")</f>
        <v/>
      </c>
      <c r="CV98" s="56" t="str">
        <f t="array" ref="CV98">IFERROR(INDEX(#REF!,MATCH('Respuestas de formulario 1.1'!$B98,#REF!,0),MATCH('Respuestas de formulario 1.1'!CV$1,#REF!,0)),"")</f>
        <v/>
      </c>
      <c r="CW98" s="56" t="str">
        <f t="array" ref="CW98">IFERROR(INDEX(#REF!,MATCH('Respuestas de formulario 1.1'!$B98,#REF!,0),MATCH('Respuestas de formulario 1.1'!CW$1,#REF!,0)),"")</f>
        <v/>
      </c>
      <c r="CX98" s="56" t="str">
        <f t="array" ref="CX98">IFERROR(INDEX(#REF!,MATCH('Respuestas de formulario 1.1'!$B98,#REF!,0),MATCH('Respuestas de formulario 1.1'!CX$1,#REF!,0)),"")</f>
        <v/>
      </c>
      <c r="CY98" s="56" t="str">
        <f t="array" ref="CY98">IFERROR(INDEX(#REF!,MATCH('Respuestas de formulario 1.1'!$B98,#REF!,0),MATCH('Respuestas de formulario 1.1'!CY$1,#REF!,0)),"")</f>
        <v/>
      </c>
      <c r="CZ98" s="57" t="str">
        <f t="array" ref="CZ98">IFERROR(INDEX(#REF!,MATCH('Respuestas de formulario 1.1'!$B98,#REF!,0),MATCH('Respuestas de formulario 1.1'!CZ$1,#REF!,0)),"")</f>
        <v/>
      </c>
      <c r="DA98" s="45" t="e">
        <f t="array" ref="DA98">INDEX(#REF!,MATCH('Respuestas de formulario 1.1'!$B98,#REF!,0),MATCH('Respuestas de formulario 1.1'!DA$1,#REF!,0))</f>
        <v>#REF!</v>
      </c>
      <c r="DB98" s="45" t="e">
        <f t="array" ref="DB98">INDEX(#REF!,MATCH('Respuestas de formulario 1.1'!$B98,#REF!,0),MATCH('Respuestas de formulario 1.1'!DB$1,#REF!,0))</f>
        <v>#REF!</v>
      </c>
      <c r="DC98" s="45" t="e">
        <f t="array" ref="DC98">INDEX(#REF!,MATCH('Respuestas de formulario 1.1'!$B98,#REF!,0),MATCH('Respuestas de formulario 1.1'!DC$1,#REF!,0))</f>
        <v>#REF!</v>
      </c>
      <c r="DD98" s="45" t="e">
        <f t="array" ref="DD98">INDEX(#REF!,MATCH('Respuestas de formulario 1.1'!$B98,#REF!,0),MATCH('Respuestas de formulario 1.1'!DD$1,#REF!,0))</f>
        <v>#REF!</v>
      </c>
      <c r="DE98" s="45" t="e">
        <f t="array" ref="DE98">INDEX(#REF!,MATCH('Respuestas de formulario 1.1'!$B98,#REF!,0),MATCH('Respuestas de formulario 1.1'!DE$1,#REF!,0))</f>
        <v>#REF!</v>
      </c>
      <c r="DF98" s="45" t="e">
        <f t="array" ref="DF98">INDEX(#REF!,MATCH('Respuestas de formulario 1.1'!$B98,#REF!,0),MATCH('Respuestas de formulario 1.1'!DF$1,#REF!,0))</f>
        <v>#REF!</v>
      </c>
      <c r="DG98" s="45" t="e">
        <f t="array" ref="DG98">INDEX(#REF!,MATCH('Respuestas de formulario 1.1'!$B98,#REF!,0),MATCH('Respuestas de formulario 1.1'!DG$1,#REF!,0))</f>
        <v>#REF!</v>
      </c>
      <c r="DH98" s="45" t="e">
        <f t="array" ref="DH98">INDEX(#REF!,MATCH('Respuestas de formulario 1.1'!$B98,#REF!,0),MATCH('Respuestas de formulario 1.1'!DH$1,#REF!,0))</f>
        <v>#REF!</v>
      </c>
      <c r="DI98" s="48" t="e">
        <f>VLOOKUP(CONCATENATE($DF98," TUTO ",$DC98),#REF!,3,0)</f>
        <v>#REF!</v>
      </c>
      <c r="DJ98" s="48" t="e">
        <f t="array" ref="DJ98">IF('Respuestas de formulario 1.1'!A98="","",INDEX(#REF!,MATCH('Respuestas de formulario 1.1'!B98,#REF!,0),MATCH('Respuestas de formulario 1.1'!$DH$1,#REF!,0)))</f>
        <v>#REF!</v>
      </c>
      <c r="DK98" s="52" t="str">
        <f>CONCATENATE("http://doc.google.com/uc?id=",MID('Respuestas de formulario 1.1'!G98,34,33))</f>
        <v>http://doc.google.com/uc?id=1W4ogy-INaw7-0tKQV3VnHA65EEGMQUQ7</v>
      </c>
      <c r="DL98" s="49" t="str">
        <f>CONCATENATE("http://doc.google.com/uc?id=",MID('Respuestas de formulario 1.1'!AH98,34,33))</f>
        <v>http://doc.google.com/uc?id=12K3W6Fsy7vHtj_p_B0WGzthlrsnEHs86</v>
      </c>
      <c r="DM98" s="50" t="str">
        <f>CONCATENATE("http://doc.google.com/uc?id=",MID('Respuestas de formulario 1.1'!AW98,34,33))</f>
        <v>http://doc.google.com/uc?id=192bta32vYkiYZmSiRoUmiISA2ia5y6wh</v>
      </c>
      <c r="DN98" s="53" t="str">
        <f>CONCATENATE("http://doc.google.com/uc?id=",MID('Respuestas de formulario 1.1'!$BI98,34,33))</f>
        <v>http://doc.google.com/uc?id=1TU1KgDrmucKNKAvQtxibB6FmG6L7FUru</v>
      </c>
      <c r="DO98" s="45" t="str">
        <f>IFERROR(VLOOKUP(CONCATENATE('Respuestas de formulario 1.1'!$B98,MID('Respuestas de formulario 1.1'!DO$1,2,1)),#REF!,12,0),"")</f>
        <v/>
      </c>
      <c r="DP98" s="45" t="str">
        <f>IFERROR(VLOOKUP(CONCATENATE('Respuestas de formulario 1.1'!$B98,MID('Respuestas de formulario 1.1'!DP$1,2,1)),#REF!,12,0),"")</f>
        <v/>
      </c>
      <c r="DQ98" s="45" t="str">
        <f>IFERROR(VLOOKUP(CONCATENATE('Respuestas de formulario 1.1'!$B98,MID('Respuestas de formulario 1.1'!DQ$1,2,1)),#REF!,12,0),"")</f>
        <v/>
      </c>
      <c r="DR98" s="45" t="str">
        <f>IFERROR(VLOOKUP(CONCATENATE('Respuestas de formulario 1.1'!$B98,MID('Respuestas de formulario 1.1'!DR$1,2,1)),#REF!,12,0),"")</f>
        <v/>
      </c>
      <c r="DS98" s="45" t="str">
        <f>IFERROR(VLOOKUP(CONCATENATE('Respuestas de formulario 1.1'!$B98,MID('Respuestas de formulario 1.1'!DS$1,2,1)),#REF!,12,0),"")</f>
        <v/>
      </c>
      <c r="DT98" s="45" t="str">
        <f>IFERROR(VLOOKUP(CONCATENATE('Respuestas de formulario 1.1'!$B98,MID('Respuestas de formulario 1.1'!DT$1,2,1)),#REF!,12,0),"")</f>
        <v/>
      </c>
      <c r="DU98" s="45" t="str">
        <f>IFERROR(VLOOKUP(CONCATENATE('Respuestas de formulario 1.1'!$B98,MID('Respuestas de formulario 1.1'!DU$1,2,1)),#REF!,12,0),"")</f>
        <v/>
      </c>
      <c r="DV98" s="45" t="str">
        <f>IFERROR(VLOOKUP(CONCATENATE('Respuestas de formulario 1.1'!$B98,MID('Respuestas de formulario 1.1'!DV$1,2,1)),#REF!,12,0),"")</f>
        <v/>
      </c>
      <c r="DW98" s="45" t="str">
        <f>IFERROR(VLOOKUP(CONCATENATE('Respuestas de formulario 1.1'!$B98,MID('Respuestas de formulario 1.1'!DW$1,2,1)),#REF!,12,0),"")</f>
        <v/>
      </c>
      <c r="DX98" s="45" t="str">
        <f>IFERROR(VLOOKUP(CONCATENATE('Respuestas de formulario 1.1'!$B98,MID('Respuestas de formulario 1.1'!DX$1,2,1)),#REF!,12,0),"")</f>
        <v/>
      </c>
      <c r="DY98" s="45" t="str">
        <f>IFERROR(VLOOKUP(CONCATENATE('Respuestas de formulario 1.1'!$B98,MID('Respuestas de formulario 1.1'!DY$1,2,1)),#REF!,12,0),"")</f>
        <v/>
      </c>
      <c r="DZ98" s="45" t="str">
        <f>IFERROR(VLOOKUP(CONCATENATE('Respuestas de formulario 1.1'!$B98,MID('Respuestas de formulario 1.1'!DZ$1,2,1)),#REF!,12,0),"")</f>
        <v/>
      </c>
      <c r="EA98" s="45" t="str">
        <f>IFERROR(VLOOKUP(CONCATENATE('Respuestas de formulario 1.1'!$B98,MID('Respuestas de formulario 1.1'!EA$1,2,1)),#REF!,12,0),"")</f>
        <v/>
      </c>
      <c r="EB98" s="45" t="str">
        <f>IFERROR(VLOOKUP(CONCATENATE('Respuestas de formulario 1.1'!$B98,MID('Respuestas de formulario 1.1'!EB$1,2,1)),#REF!,12,0),"")</f>
        <v/>
      </c>
      <c r="EC98" s="45" t="str">
        <f>IFERROR(VLOOKUP(CONCATENATE('Respuestas de formulario 1.1'!$B98,MID('Respuestas de formulario 1.1'!EC$1,2,1)),#REF!,12,0),"")</f>
        <v/>
      </c>
      <c r="ED98" s="45" t="str">
        <f>IFERROR(VLOOKUP(CONCATENATE('Respuestas de formulario 1.1'!$B98,MID('Respuestas de formulario 1.1'!ED$1,2,1)),#REF!,12,0),"")</f>
        <v/>
      </c>
      <c r="EE98" s="45" t="str">
        <f>IFERROR(VLOOKUP(CONCATENATE('Respuestas de formulario 1.1'!$B98,MID('Respuestas de formulario 1.1'!EE$1,2,1)),#REF!,12,0),"")</f>
        <v/>
      </c>
      <c r="EF98" s="45" t="str">
        <f>IFERROR(VLOOKUP(CONCATENATE('Respuestas de formulario 1.1'!$B98,MID('Respuestas de formulario 1.1'!EF$1,2,1)),#REF!,12,0),"")</f>
        <v/>
      </c>
      <c r="EG98" s="45" t="str">
        <f>IFERROR(VLOOKUP(CONCATENATE('Respuestas de formulario 1.1'!$B98,MID('Respuestas de formulario 1.1'!EG$1,2,1)),#REF!,12,0),"")</f>
        <v/>
      </c>
      <c r="EH98" s="45" t="str">
        <f>IFERROR(VLOOKUP(CONCATENATE('Respuestas de formulario 1.1'!$B98,MID('Respuestas de formulario 1.1'!EH$1,2,1)),#REF!,12,0),"")</f>
        <v/>
      </c>
      <c r="EI98" s="45" t="str">
        <f>IFERROR(VLOOKUP(CONCATENATE('Respuestas de formulario 1.1'!$B98,MID('Respuestas de formulario 1.1'!EI$1,2,1)),#REF!,12,0),"")</f>
        <v/>
      </c>
      <c r="EJ98" s="45" t="str">
        <f t="array" ref="EJ98">IF(DO98="","", INDEX(#REF!,MATCH(CONCATENATE('Respuestas de formulario 1.1'!$B98,DO98),#REF!,0),MATCH('Respuestas de formulario 1.1'!EJ$1,#REF!,0)))</f>
        <v/>
      </c>
      <c r="EK98" s="56" t="str">
        <f t="array" ref="EK98">IF(DP98="","", INDEX(#REF!,MATCH(CONCATENATE('Respuestas de formulario 1.1'!$B98,DP98),#REF!,0),MATCH('Respuestas de formulario 1.1'!EK$1,#REF!,0)))</f>
        <v/>
      </c>
      <c r="EL98" s="56" t="str">
        <f t="array" ref="EL98">IF(DQ98="","", INDEX(#REF!,MATCH(CONCATENATE('Respuestas de formulario 1.1'!$B98,DQ98),#REF!,0),MATCH('Respuestas de formulario 1.1'!EL$1,#REF!,0)))</f>
        <v/>
      </c>
      <c r="EM98" s="56" t="str">
        <f t="array" ref="EM98">IF(DR98="","", INDEX(#REF!,MATCH(CONCATENATE('Respuestas de formulario 1.1'!$B98,DR98),#REF!,0),MATCH('Respuestas de formulario 1.1'!EM$1,#REF!,0)))</f>
        <v/>
      </c>
      <c r="EN98" s="56" t="str">
        <f t="array" ref="EN98">IF(DS98="","", INDEX(#REF!,MATCH(CONCATENATE('Respuestas de formulario 1.1'!$B98,DS98),#REF!,0),MATCH('Respuestas de formulario 1.1'!EN$1,#REF!,0)))</f>
        <v/>
      </c>
      <c r="EO98" s="56" t="str">
        <f t="array" ref="EO98">IF(DT98="","", INDEX(#REF!,MATCH(CONCATENATE('Respuestas de formulario 1.1'!$B98,DT98),#REF!,0),MATCH('Respuestas de formulario 1.1'!EO$1,#REF!,0)))</f>
        <v/>
      </c>
      <c r="EP98" s="45" t="str">
        <f t="array" ref="EP98">IF(DU98="","", INDEX(#REF!,MATCH(CONCATENATE('Respuestas de formulario 1.1'!$B98,DU98),#REF!,0),MATCH('Respuestas de formulario 1.1'!EP$1,#REF!,0)))</f>
        <v/>
      </c>
      <c r="EQ98" s="45" t="str">
        <f t="array" ref="EQ98">IF(DP98="","", INDEX(#REF!,MATCH(CONCATENATE('Respuestas de formulario 1.1'!$B98,DP98),#REF!,0),MATCH('Respuestas de formulario 1.1'!EQ$1,#REF!,0)))</f>
        <v/>
      </c>
      <c r="ER98" s="56" t="str">
        <f t="array" ref="ER98">IF(DQ98="","", INDEX(#REF!,MATCH(CONCATENATE('Respuestas de formulario 1.1'!$B98,DQ98),#REF!,0),MATCH('Respuestas de formulario 1.1'!ER$1,#REF!,0)))</f>
        <v/>
      </c>
      <c r="ES98" s="56" t="str">
        <f t="array" ref="ES98">IF(DR98="","", INDEX(#REF!,MATCH(CONCATENATE('Respuestas de formulario 1.1'!$B98,DR98),#REF!,0),MATCH('Respuestas de formulario 1.1'!ES$1,#REF!,0)))</f>
        <v/>
      </c>
      <c r="ET98" s="56" t="str">
        <f t="array" ref="ET98">IF(DS98="","", INDEX(#REF!,MATCH(CONCATENATE('Respuestas de formulario 1.1'!$B98,DS98),#REF!,0),MATCH('Respuestas de formulario 1.1'!ET$1,#REF!,0)))</f>
        <v/>
      </c>
      <c r="EU98" s="56" t="str">
        <f t="array" ref="EU98">IF(DT98="","", INDEX(#REF!,MATCH(CONCATENATE('Respuestas de formulario 1.1'!$B98,DT98),#REF!,0),MATCH('Respuestas de formulario 1.1'!EU$1,#REF!,0)))</f>
        <v/>
      </c>
      <c r="EV98" s="56" t="str">
        <f t="array" ref="EV98">IF(DU98="","", INDEX(#REF!,MATCH(CONCATENATE('Respuestas de formulario 1.1'!$B98,DU98),#REF!,0),MATCH('Respuestas de formulario 1.1'!EV$1,#REF!,0)))</f>
        <v/>
      </c>
      <c r="EW98" s="45" t="str">
        <f t="array" ref="EW98">IF(DV98="","", INDEX(#REF!,MATCH(CONCATENATE('Respuestas de formulario 1.1'!$B98,DV98),#REF!,0),MATCH('Respuestas de formulario 1.1'!EW$1,#REF!,0)))</f>
        <v/>
      </c>
      <c r="EX98" s="45" t="str">
        <f t="array" ref="EX98">IF($DQ98="","", INDEX(#REF!,MATCH(CONCATENATE('Respuestas de formulario 1.1'!$B98,$DQ98),#REF!,0),MATCH('Respuestas de formulario 1.1'!EX$1,#REF!,0)))</f>
        <v/>
      </c>
      <c r="EY98" s="56" t="str">
        <f t="array" ref="EY98">IF($DQ98="","", INDEX(#REF!,MATCH(CONCATENATE('Respuestas de formulario 1.1'!$B98,$DQ98),#REF!,0),MATCH('Respuestas de formulario 1.1'!EY$1,#REF!,0)))</f>
        <v/>
      </c>
      <c r="EZ98" s="56" t="str">
        <f t="array" ref="EZ98">IF($DQ98="","", INDEX(#REF!,MATCH(CONCATENATE('Respuestas de formulario 1.1'!$B98,$DQ98),#REF!,0),MATCH('Respuestas de formulario 1.1'!EZ$1,#REF!,0)))</f>
        <v/>
      </c>
      <c r="FA98" s="56" t="str">
        <f t="array" ref="FA98">IF($DQ98="","", INDEX(#REF!,MATCH(CONCATENATE('Respuestas de formulario 1.1'!$B98,$DQ98),#REF!,0),MATCH('Respuestas de formulario 1.1'!FA$1,#REF!,0)))</f>
        <v/>
      </c>
      <c r="FB98" s="56" t="str">
        <f t="array" ref="FB98">IF($DQ98="","", INDEX(#REF!,MATCH(CONCATENATE('Respuestas de formulario 1.1'!$B98,$DQ98),#REF!,0),MATCH('Respuestas de formulario 1.1'!FB$1,#REF!,0)))</f>
        <v/>
      </c>
      <c r="FC98" s="56" t="str">
        <f t="array" ref="FC98">IF($DQ98="","", INDEX(#REF!,MATCH(CONCATENATE('Respuestas de formulario 1.1'!$B98,$DQ98),#REF!,0),MATCH('Respuestas de formulario 1.1'!FC$1,#REF!,0)))</f>
        <v/>
      </c>
      <c r="FD98" s="45" t="str">
        <f t="array" ref="FD98">IF($DQ98="","", INDEX(#REF!,MATCH(CONCATENATE('Respuestas de formulario 1.1'!$B98,$DQ98),#REF!,0),MATCH('Respuestas de formulario 1.1'!FD$1,#REF!,0)))</f>
        <v/>
      </c>
      <c r="FE98" s="45" t="str">
        <f t="array" ref="FE98">IF($DR98="","", INDEX(#REF!,MATCH(CONCATENATE(#REF!,$DR98),#REF!,0),MATCH(#REF!,#REF!,0)))</f>
        <v/>
      </c>
      <c r="FF98" s="56" t="str">
        <f t="array" ref="FF98">IF($DR98="","", INDEX(#REF!,MATCH(CONCATENATE(#REF!,$DR98),#REF!,0),MATCH(#REF!,#REF!,0)))</f>
        <v/>
      </c>
      <c r="FG98" s="56" t="str">
        <f t="array" ref="FG98">IF($DR98="","", INDEX(#REF!,MATCH(CONCATENATE(#REF!,$DR98),#REF!,0),MATCH(#REF!,#REF!,0)))</f>
        <v/>
      </c>
      <c r="FH98" s="56" t="str">
        <f t="array" ref="FH98">IF($DR98="","", INDEX(#REF!,MATCH(CONCATENATE(#REF!,$DR98),#REF!,0),MATCH(#REF!,#REF!,0)))</f>
        <v/>
      </c>
      <c r="FI98" s="56" t="str">
        <f t="array" ref="FI98">IF($DR98="","", INDEX(#REF!,MATCH(CONCATENATE(#REF!,$DR98),#REF!,0),MATCH(#REF!,#REF!,0)))</f>
        <v/>
      </c>
      <c r="FJ98" s="56" t="str">
        <f t="array" ref="FJ98">IF($DR98="","", INDEX(#REF!,MATCH(CONCATENATE(#REF!,$DR98),#REF!,0),MATCH(#REF!,#REF!,0)))</f>
        <v/>
      </c>
      <c r="FK98" s="45" t="str">
        <f t="array" ref="FK98">IF($DR98="","", INDEX(#REF!,MATCH(CONCATENATE(#REF!,$DR98),#REF!,0),MATCH(#REF!,#REF!,0)))</f>
        <v/>
      </c>
      <c r="FL98" s="45" t="str">
        <f t="array" ref="FL98">IF($DT98="","", INDEX(#REF!,MATCH(CONCATENATE('Respuestas de formulario 1.1'!$B98,$DS98),#REF!,0),MATCH('Respuestas de formulario 1.1'!FL$1,#REF!,0)))</f>
        <v/>
      </c>
      <c r="FM98" s="56" t="str">
        <f t="array" ref="FM98">IF($DT98="","", INDEX(#REF!,MATCH(CONCATENATE('Respuestas de formulario 1.1'!$B98,$DS98),#REF!,0),MATCH('Respuestas de formulario 1.1'!FM$1,#REF!,0)))</f>
        <v/>
      </c>
      <c r="FN98" s="56" t="str">
        <f t="array" ref="FN98">IF($DT98="","", INDEX(#REF!,MATCH(CONCATENATE('Respuestas de formulario 1.1'!$B98,$DS98),#REF!,0),MATCH('Respuestas de formulario 1.1'!FN$1,#REF!,0)))</f>
        <v/>
      </c>
      <c r="FO98" s="56" t="str">
        <f t="array" ref="FO98">IF($DT98="","", INDEX(#REF!,MATCH(CONCATENATE('Respuestas de formulario 1.1'!$B98,$DS98),#REF!,0),MATCH('Respuestas de formulario 1.1'!FO$1,#REF!,0)))</f>
        <v/>
      </c>
      <c r="FP98" s="56" t="str">
        <f t="array" ref="FP98">IF($DT98="","", INDEX(#REF!,MATCH(CONCATENATE('Respuestas de formulario 1.1'!$B98,$DS98),#REF!,0),MATCH('Respuestas de formulario 1.1'!FP$1,#REF!,0)))</f>
        <v/>
      </c>
      <c r="FQ98" s="56" t="str">
        <f t="array" ref="FQ98">IF($DT98="","", INDEX(#REF!,MATCH(CONCATENATE('Respuestas de formulario 1.1'!$B98,$DS98),#REF!,0),MATCH('Respuestas de formulario 1.1'!FQ$1,#REF!,0)))</f>
        <v/>
      </c>
      <c r="FR98" s="45" t="str">
        <f t="array" ref="FR98">IF($DT98="","", INDEX(#REF!,MATCH(CONCATENATE('Respuestas de formulario 1.1'!$B98,$DS98),#REF!,0),MATCH('Respuestas de formulario 1.1'!FR$1,#REF!,0)))</f>
        <v/>
      </c>
      <c r="FS98" s="45" t="str">
        <f t="array" ref="FS98">IF($DU98="","", INDEX(#REF!,MATCH(CONCATENATE('Respuestas de formulario 1.1'!$B98,$DT98),#REF!,0),MATCH('Respuestas de formulario 1.1'!FS$1,#REF!,0)))</f>
        <v/>
      </c>
      <c r="FT98" s="56" t="str">
        <f t="array" ref="FT98">IF($DU98="","", INDEX(#REF!,MATCH(CONCATENATE('Respuestas de formulario 1.1'!$B98,$DT98),#REF!,0),MATCH('Respuestas de formulario 1.1'!FT$1,#REF!,0)))</f>
        <v/>
      </c>
      <c r="FU98" s="56" t="str">
        <f t="array" ref="FU98">IF($DU98="","", INDEX(#REF!,MATCH(CONCATENATE('Respuestas de formulario 1.1'!$B98,$DT98),#REF!,0),MATCH('Respuestas de formulario 1.1'!FU$1,#REF!,0)))</f>
        <v/>
      </c>
      <c r="FV98" s="56" t="str">
        <f t="array" ref="FV98">IF($DU98="","", INDEX(#REF!,MATCH(CONCATENATE('Respuestas de formulario 1.1'!$B98,$DT98),#REF!,0),MATCH('Respuestas de formulario 1.1'!FV$1,#REF!,0)))</f>
        <v/>
      </c>
      <c r="FW98" s="56" t="str">
        <f t="array" ref="FW98">IF($DU98="","", INDEX(#REF!,MATCH(CONCATENATE('Respuestas de formulario 1.1'!$B98,$DT98),#REF!,0),MATCH('Respuestas de formulario 1.1'!FW$1,#REF!,0)))</f>
        <v/>
      </c>
      <c r="FX98" s="56" t="str">
        <f t="array" ref="FX98">IF($DU98="","", INDEX(#REF!,MATCH(CONCATENATE('Respuestas de formulario 1.1'!$B98,$DT98),#REF!,0),MATCH('Respuestas de formulario 1.1'!FX$1,#REF!,0)))</f>
        <v/>
      </c>
      <c r="FY98" s="45" t="str">
        <f t="array" ref="FY98">IF($DU98="","", INDEX(#REF!,MATCH(CONCATENATE('Respuestas de formulario 1.1'!$B98,$DT98),#REF!,0),MATCH('Respuestas de formulario 1.1'!FY$1,#REF!,0)))</f>
        <v/>
      </c>
      <c r="FZ98" s="3" t="s">
        <v>2860</v>
      </c>
      <c r="GA98" s="1" t="s">
        <v>4524</v>
      </c>
      <c r="GB98" s="5" t="s">
        <v>4525</v>
      </c>
      <c r="GC98" s="4" t="str">
        <f>HYPERLINK("https://drive.google.com/file/d/1RNz-Oe3g9zB1wFiGSu5QHHzCivpmOTBj/view?usp=drivesdk","RODRIGUEZ GARCIA RODRIGO IVAN Formato de reinscripción y pago 2022-2")</f>
        <v>RODRIGUEZ GARCIA RODRIGO IVAN Formato de reinscripción y pago 2022-2</v>
      </c>
      <c r="GD98" s="1" t="s">
        <v>4526</v>
      </c>
      <c r="GE98" s="1"/>
      <c r="GF98" s="1"/>
      <c r="GG98" s="1"/>
      <c r="GH98" s="1"/>
      <c r="GI98" s="1" t="s">
        <v>4527</v>
      </c>
      <c r="GJ98" s="5" t="s">
        <v>4528</v>
      </c>
      <c r="GK98" s="5" t="str">
        <f>HYPERLINK("https://drive.google.com/file/d/1n8DPpTupgJvEGLRchIGdLX2c41inPD1U/view?usp=drivesdk","RODRIGUEZ GARCIA RODRIGO IVAN Formato de reinscripción y pago 2022-2")</f>
        <v>RODRIGUEZ GARCIA RODRIGO IVAN Formato de reinscripción y pago 2022-2</v>
      </c>
      <c r="GL98" s="1" t="s">
        <v>4529</v>
      </c>
    </row>
    <row r="99" spans="1:194" ht="38.25" x14ac:dyDescent="0.2">
      <c r="A99" s="2">
        <v>45139.410417974534</v>
      </c>
      <c r="B99" s="1" t="s">
        <v>1989</v>
      </c>
      <c r="C99" s="1" t="s">
        <v>596</v>
      </c>
      <c r="D99" s="1" t="s">
        <v>1990</v>
      </c>
      <c r="E99" s="1" t="s">
        <v>1991</v>
      </c>
      <c r="F99" s="1" t="s">
        <v>223</v>
      </c>
      <c r="G99" s="5" t="s">
        <v>4530</v>
      </c>
      <c r="H99" s="41">
        <v>39258</v>
      </c>
      <c r="I99" s="1">
        <v>16</v>
      </c>
      <c r="J99" s="1">
        <v>5574137588</v>
      </c>
      <c r="K99" s="1">
        <v>5515467161</v>
      </c>
      <c r="L99" s="1" t="s">
        <v>1992</v>
      </c>
      <c r="M99" s="1">
        <v>22309060570587</v>
      </c>
      <c r="N99" s="1" t="s">
        <v>562</v>
      </c>
      <c r="O99" s="1" t="s">
        <v>247</v>
      </c>
      <c r="P99" s="1" t="s">
        <v>226</v>
      </c>
      <c r="Q99" s="1" t="s">
        <v>248</v>
      </c>
      <c r="R99" s="1" t="s">
        <v>236</v>
      </c>
      <c r="S99" s="1" t="s">
        <v>228</v>
      </c>
      <c r="T99" s="1" t="s">
        <v>229</v>
      </c>
      <c r="U99" s="1" t="s">
        <v>249</v>
      </c>
      <c r="V99" s="1" t="s">
        <v>228</v>
      </c>
      <c r="W99" s="1" t="s">
        <v>4531</v>
      </c>
      <c r="X99" s="1" t="s">
        <v>249</v>
      </c>
      <c r="Y99" s="1" t="s">
        <v>2308</v>
      </c>
      <c r="Z99" s="1" t="s">
        <v>240</v>
      </c>
      <c r="AA99" s="44" t="s">
        <v>1534</v>
      </c>
      <c r="AB99" s="1">
        <v>100</v>
      </c>
      <c r="AC99" s="1">
        <v>12</v>
      </c>
      <c r="AD99" s="1" t="s">
        <v>4532</v>
      </c>
      <c r="AE99" s="1" t="s">
        <v>1993</v>
      </c>
      <c r="AF99" s="1" t="s">
        <v>359</v>
      </c>
      <c r="AG99" s="1">
        <v>60</v>
      </c>
      <c r="AH99" s="5" t="s">
        <v>4533</v>
      </c>
      <c r="AI99" s="1">
        <v>5547720977</v>
      </c>
      <c r="AJ99" s="1">
        <v>5515467161</v>
      </c>
      <c r="AK99" s="1" t="s">
        <v>4534</v>
      </c>
      <c r="AL99" s="1" t="s">
        <v>1990</v>
      </c>
      <c r="AM99" s="1" t="s">
        <v>1430</v>
      </c>
      <c r="AN99" s="1" t="s">
        <v>1994</v>
      </c>
      <c r="AO99" s="1" t="s">
        <v>461</v>
      </c>
      <c r="AP99" s="1">
        <v>37</v>
      </c>
      <c r="AQ99" s="1" t="s">
        <v>663</v>
      </c>
      <c r="AR99" s="42">
        <v>0.25</v>
      </c>
      <c r="AS99" s="42">
        <v>8.3333333335758653E-2</v>
      </c>
      <c r="AT99" s="1">
        <v>5549086463</v>
      </c>
      <c r="AU99" s="1">
        <v>5515467161</v>
      </c>
      <c r="AV99" s="1" t="s">
        <v>1995</v>
      </c>
      <c r="AW99" s="5" t="s">
        <v>4535</v>
      </c>
      <c r="AX99" s="1" t="s">
        <v>1430</v>
      </c>
      <c r="AY99" s="1" t="s">
        <v>295</v>
      </c>
      <c r="AZ99" s="1" t="s">
        <v>4536</v>
      </c>
      <c r="BA99" s="1" t="s">
        <v>359</v>
      </c>
      <c r="BB99" s="1">
        <v>60</v>
      </c>
      <c r="BC99" s="1" t="s">
        <v>663</v>
      </c>
      <c r="BD99" s="43">
        <v>0.33333333333575865</v>
      </c>
      <c r="BE99" s="43">
        <v>0.5</v>
      </c>
      <c r="BF99" s="1">
        <v>5547720977</v>
      </c>
      <c r="BG99" s="1">
        <v>5515467161</v>
      </c>
      <c r="BH99" s="1" t="s">
        <v>4534</v>
      </c>
      <c r="BI99" s="5" t="s">
        <v>4537</v>
      </c>
      <c r="BJ99" s="1" t="s">
        <v>236</v>
      </c>
      <c r="BL99" s="1">
        <v>160</v>
      </c>
      <c r="BM99" s="1">
        <v>55</v>
      </c>
      <c r="BN99" s="1" t="s">
        <v>228</v>
      </c>
      <c r="BO99" s="1" t="s">
        <v>228</v>
      </c>
      <c r="BQ99" s="1" t="s">
        <v>228</v>
      </c>
      <c r="BR99" s="1" t="s">
        <v>237</v>
      </c>
      <c r="BS99" s="1" t="s">
        <v>228</v>
      </c>
      <c r="BT99" s="1" t="s">
        <v>237</v>
      </c>
      <c r="BU99" s="1" t="s">
        <v>228</v>
      </c>
      <c r="BW99" s="1" t="s">
        <v>238</v>
      </c>
      <c r="BX99" s="1">
        <v>120</v>
      </c>
      <c r="BY99" s="1">
        <v>210</v>
      </c>
      <c r="BZ99" s="1" t="s">
        <v>298</v>
      </c>
      <c r="CA99" s="1" t="s">
        <v>343</v>
      </c>
      <c r="CB99" s="1" t="s">
        <v>240</v>
      </c>
      <c r="CC99" s="1" t="s">
        <v>300</v>
      </c>
      <c r="CD99" s="1">
        <v>1000</v>
      </c>
      <c r="CE99" s="1">
        <v>1500</v>
      </c>
      <c r="CF99" s="1" t="s">
        <v>236</v>
      </c>
      <c r="CG99" s="1" t="s">
        <v>242</v>
      </c>
      <c r="CH99" s="1" t="s">
        <v>243</v>
      </c>
      <c r="CI99" s="1" t="s">
        <v>243</v>
      </c>
      <c r="CJ99" s="1" t="s">
        <v>2848</v>
      </c>
      <c r="CL99" s="5" t="s">
        <v>4538</v>
      </c>
      <c r="CM99" s="1">
        <v>14220711379</v>
      </c>
      <c r="CN99" s="1" t="s">
        <v>228</v>
      </c>
      <c r="CQ99" s="42">
        <v>0.33333333333575865</v>
      </c>
      <c r="CR99" s="42">
        <v>0.5</v>
      </c>
      <c r="CT99" s="45" t="str">
        <f t="array" ref="CT99">IFERROR(INDEX(#REF!,MATCH('Respuestas de formulario 1.1'!$B99,#REF!,0),MATCH('Respuestas de formulario 1.1'!CT$1,#REF!,0)),"")</f>
        <v/>
      </c>
      <c r="CU99" s="56" t="str">
        <f t="array" ref="CU99">IFERROR(INDEX(#REF!,MATCH('Respuestas de formulario 1.1'!$B99,#REF!,0),MATCH('Respuestas de formulario 1.1'!CU$1,#REF!,0)),"")</f>
        <v/>
      </c>
      <c r="CV99" s="56" t="str">
        <f t="array" ref="CV99">IFERROR(INDEX(#REF!,MATCH('Respuestas de formulario 1.1'!$B99,#REF!,0),MATCH('Respuestas de formulario 1.1'!CV$1,#REF!,0)),"")</f>
        <v/>
      </c>
      <c r="CW99" s="56" t="str">
        <f t="array" ref="CW99">IFERROR(INDEX(#REF!,MATCH('Respuestas de formulario 1.1'!$B99,#REF!,0),MATCH('Respuestas de formulario 1.1'!CW$1,#REF!,0)),"")</f>
        <v/>
      </c>
      <c r="CX99" s="56" t="str">
        <f t="array" ref="CX99">IFERROR(INDEX(#REF!,MATCH('Respuestas de formulario 1.1'!$B99,#REF!,0),MATCH('Respuestas de formulario 1.1'!CX$1,#REF!,0)),"")</f>
        <v/>
      </c>
      <c r="CY99" s="56" t="str">
        <f t="array" ref="CY99">IFERROR(INDEX(#REF!,MATCH('Respuestas de formulario 1.1'!$B99,#REF!,0),MATCH('Respuestas de formulario 1.1'!CY$1,#REF!,0)),"")</f>
        <v/>
      </c>
      <c r="CZ99" s="57" t="str">
        <f t="array" ref="CZ99">IFERROR(INDEX(#REF!,MATCH('Respuestas de formulario 1.1'!$B99,#REF!,0),MATCH('Respuestas de formulario 1.1'!CZ$1,#REF!,0)),"")</f>
        <v/>
      </c>
      <c r="DA99" s="45" t="e">
        <f t="array" ref="DA99">INDEX(#REF!,MATCH('Respuestas de formulario 1.1'!$B99,#REF!,0),MATCH('Respuestas de formulario 1.1'!DA$1,#REF!,0))</f>
        <v>#REF!</v>
      </c>
      <c r="DB99" s="45" t="e">
        <f t="array" ref="DB99">INDEX(#REF!,MATCH('Respuestas de formulario 1.1'!$B99,#REF!,0),MATCH('Respuestas de formulario 1.1'!DB$1,#REF!,0))</f>
        <v>#REF!</v>
      </c>
      <c r="DC99" s="45" t="e">
        <f t="array" ref="DC99">INDEX(#REF!,MATCH('Respuestas de formulario 1.1'!$B99,#REF!,0),MATCH('Respuestas de formulario 1.1'!DC$1,#REF!,0))</f>
        <v>#REF!</v>
      </c>
      <c r="DD99" s="45" t="e">
        <f t="array" ref="DD99">INDEX(#REF!,MATCH('Respuestas de formulario 1.1'!$B99,#REF!,0),MATCH('Respuestas de formulario 1.1'!DD$1,#REF!,0))</f>
        <v>#REF!</v>
      </c>
      <c r="DE99" s="45" t="e">
        <f t="array" ref="DE99">INDEX(#REF!,MATCH('Respuestas de formulario 1.1'!$B99,#REF!,0),MATCH('Respuestas de formulario 1.1'!DE$1,#REF!,0))</f>
        <v>#REF!</v>
      </c>
      <c r="DF99" s="45" t="e">
        <f t="array" ref="DF99">INDEX(#REF!,MATCH('Respuestas de formulario 1.1'!$B99,#REF!,0),MATCH('Respuestas de formulario 1.1'!DF$1,#REF!,0))</f>
        <v>#REF!</v>
      </c>
      <c r="DG99" s="45" t="e">
        <f t="array" ref="DG99">INDEX(#REF!,MATCH('Respuestas de formulario 1.1'!$B99,#REF!,0),MATCH('Respuestas de formulario 1.1'!DG$1,#REF!,0))</f>
        <v>#REF!</v>
      </c>
      <c r="DH99" s="45" t="e">
        <f t="array" ref="DH99">INDEX(#REF!,MATCH('Respuestas de formulario 1.1'!$B99,#REF!,0),MATCH('Respuestas de formulario 1.1'!DH$1,#REF!,0))</f>
        <v>#REF!</v>
      </c>
      <c r="DI99" s="48" t="e">
        <f>VLOOKUP(CONCATENATE($DF99," TUTO ",$DC99),#REF!,3,0)</f>
        <v>#REF!</v>
      </c>
      <c r="DJ99" s="48" t="e">
        <f t="array" ref="DJ99">IF('Respuestas de formulario 1.1'!A99="","",INDEX(#REF!,MATCH('Respuestas de formulario 1.1'!B99,#REF!,0),MATCH('Respuestas de formulario 1.1'!$DH$1,#REF!,0)))</f>
        <v>#REF!</v>
      </c>
      <c r="DK99" s="52" t="str">
        <f>CONCATENATE("http://doc.google.com/uc?id=",MID('Respuestas de formulario 1.1'!G99,34,33))</f>
        <v>http://doc.google.com/uc?id=1CIh87wo3HizcLYrPCT8AZ9EUTZgqHK2J</v>
      </c>
      <c r="DL99" s="49" t="str">
        <f>CONCATENATE("http://doc.google.com/uc?id=",MID('Respuestas de formulario 1.1'!AH99,34,33))</f>
        <v>http://doc.google.com/uc?id=1sf53L6gNmf8yt-ZKFhe5xN6Wu0z2wOAn</v>
      </c>
      <c r="DM99" s="50" t="str">
        <f>CONCATENATE("http://doc.google.com/uc?id=",MID('Respuestas de formulario 1.1'!AW99,34,33))</f>
        <v>http://doc.google.com/uc?id=1TAdVh4q298vDw6_aVdXt-5JoWTn2wPfq</v>
      </c>
      <c r="DN99" s="53" t="str">
        <f>CONCATENATE("http://doc.google.com/uc?id=",MID('Respuestas de formulario 1.1'!$BI99,34,33))</f>
        <v>http://doc.google.com/uc?id=1pvGzBsTuRlzQHDAbz09l0w2B0SGv_UZ3</v>
      </c>
      <c r="DO99" s="45" t="str">
        <f>IFERROR(VLOOKUP(CONCATENATE('Respuestas de formulario 1.1'!$B99,MID('Respuestas de formulario 1.1'!DO$1,2,1)),#REF!,12,0),"")</f>
        <v/>
      </c>
      <c r="DP99" s="45" t="str">
        <f>IFERROR(VLOOKUP(CONCATENATE('Respuestas de formulario 1.1'!$B99,MID('Respuestas de formulario 1.1'!DP$1,2,1)),#REF!,12,0),"")</f>
        <v/>
      </c>
      <c r="DQ99" s="45" t="str">
        <f>IFERROR(VLOOKUP(CONCATENATE('Respuestas de formulario 1.1'!$B99,MID('Respuestas de formulario 1.1'!DQ$1,2,1)),#REF!,12,0),"")</f>
        <v/>
      </c>
      <c r="DR99" s="45" t="str">
        <f>IFERROR(VLOOKUP(CONCATENATE('Respuestas de formulario 1.1'!$B99,MID('Respuestas de formulario 1.1'!DR$1,2,1)),#REF!,12,0),"")</f>
        <v/>
      </c>
      <c r="DS99" s="45" t="str">
        <f>IFERROR(VLOOKUP(CONCATENATE('Respuestas de formulario 1.1'!$B99,MID('Respuestas de formulario 1.1'!DS$1,2,1)),#REF!,12,0),"")</f>
        <v/>
      </c>
      <c r="DT99" s="45" t="str">
        <f>IFERROR(VLOOKUP(CONCATENATE('Respuestas de formulario 1.1'!$B99,MID('Respuestas de formulario 1.1'!DT$1,2,1)),#REF!,12,0),"")</f>
        <v/>
      </c>
      <c r="DU99" s="45" t="str">
        <f>IFERROR(VLOOKUP(CONCATENATE('Respuestas de formulario 1.1'!$B99,MID('Respuestas de formulario 1.1'!DU$1,2,1)),#REF!,12,0),"")</f>
        <v/>
      </c>
      <c r="DV99" s="45" t="str">
        <f>IFERROR(VLOOKUP(CONCATENATE('Respuestas de formulario 1.1'!$B99,MID('Respuestas de formulario 1.1'!DV$1,2,1)),#REF!,12,0),"")</f>
        <v/>
      </c>
      <c r="DW99" s="45" t="str">
        <f>IFERROR(VLOOKUP(CONCATENATE('Respuestas de formulario 1.1'!$B99,MID('Respuestas de formulario 1.1'!DW$1,2,1)),#REF!,12,0),"")</f>
        <v/>
      </c>
      <c r="DX99" s="45" t="str">
        <f>IFERROR(VLOOKUP(CONCATENATE('Respuestas de formulario 1.1'!$B99,MID('Respuestas de formulario 1.1'!DX$1,2,1)),#REF!,12,0),"")</f>
        <v/>
      </c>
      <c r="DY99" s="45" t="str">
        <f>IFERROR(VLOOKUP(CONCATENATE('Respuestas de formulario 1.1'!$B99,MID('Respuestas de formulario 1.1'!DY$1,2,1)),#REF!,12,0),"")</f>
        <v/>
      </c>
      <c r="DZ99" s="45" t="str">
        <f>IFERROR(VLOOKUP(CONCATENATE('Respuestas de formulario 1.1'!$B99,MID('Respuestas de formulario 1.1'!DZ$1,2,1)),#REF!,12,0),"")</f>
        <v/>
      </c>
      <c r="EA99" s="45" t="str">
        <f>IFERROR(VLOOKUP(CONCATENATE('Respuestas de formulario 1.1'!$B99,MID('Respuestas de formulario 1.1'!EA$1,2,1)),#REF!,12,0),"")</f>
        <v/>
      </c>
      <c r="EB99" s="45" t="str">
        <f>IFERROR(VLOOKUP(CONCATENATE('Respuestas de formulario 1.1'!$B99,MID('Respuestas de formulario 1.1'!EB$1,2,1)),#REF!,12,0),"")</f>
        <v/>
      </c>
      <c r="EC99" s="45" t="str">
        <f>IFERROR(VLOOKUP(CONCATENATE('Respuestas de formulario 1.1'!$B99,MID('Respuestas de formulario 1.1'!EC$1,2,1)),#REF!,12,0),"")</f>
        <v/>
      </c>
      <c r="ED99" s="45" t="str">
        <f>IFERROR(VLOOKUP(CONCATENATE('Respuestas de formulario 1.1'!$B99,MID('Respuestas de formulario 1.1'!ED$1,2,1)),#REF!,12,0),"")</f>
        <v/>
      </c>
      <c r="EE99" s="45" t="str">
        <f>IFERROR(VLOOKUP(CONCATENATE('Respuestas de formulario 1.1'!$B99,MID('Respuestas de formulario 1.1'!EE$1,2,1)),#REF!,12,0),"")</f>
        <v/>
      </c>
      <c r="EF99" s="45" t="str">
        <f>IFERROR(VLOOKUP(CONCATENATE('Respuestas de formulario 1.1'!$B99,MID('Respuestas de formulario 1.1'!EF$1,2,1)),#REF!,12,0),"")</f>
        <v/>
      </c>
      <c r="EG99" s="45" t="str">
        <f>IFERROR(VLOOKUP(CONCATENATE('Respuestas de formulario 1.1'!$B99,MID('Respuestas de formulario 1.1'!EG$1,2,1)),#REF!,12,0),"")</f>
        <v/>
      </c>
      <c r="EH99" s="45" t="str">
        <f>IFERROR(VLOOKUP(CONCATENATE('Respuestas de formulario 1.1'!$B99,MID('Respuestas de formulario 1.1'!EH$1,2,1)),#REF!,12,0),"")</f>
        <v/>
      </c>
      <c r="EI99" s="45" t="str">
        <f>IFERROR(VLOOKUP(CONCATENATE('Respuestas de formulario 1.1'!$B99,MID('Respuestas de formulario 1.1'!EI$1,2,1)),#REF!,12,0),"")</f>
        <v/>
      </c>
      <c r="EJ99" s="45" t="str">
        <f t="array" ref="EJ99">IF(DO99="","", INDEX(#REF!,MATCH(CONCATENATE('Respuestas de formulario 1.1'!$B99,DO99),#REF!,0),MATCH('Respuestas de formulario 1.1'!EJ$1,#REF!,0)))</f>
        <v/>
      </c>
      <c r="EK99" s="56" t="str">
        <f t="array" ref="EK99">IF(DP99="","", INDEX(#REF!,MATCH(CONCATENATE('Respuestas de formulario 1.1'!$B99,DP99),#REF!,0),MATCH('Respuestas de formulario 1.1'!EK$1,#REF!,0)))</f>
        <v/>
      </c>
      <c r="EL99" s="56" t="str">
        <f t="array" ref="EL99">IF(DQ99="","", INDEX(#REF!,MATCH(CONCATENATE('Respuestas de formulario 1.1'!$B99,DQ99),#REF!,0),MATCH('Respuestas de formulario 1.1'!EL$1,#REF!,0)))</f>
        <v/>
      </c>
      <c r="EM99" s="56" t="str">
        <f t="array" ref="EM99">IF(DR99="","", INDEX(#REF!,MATCH(CONCATENATE('Respuestas de formulario 1.1'!$B99,DR99),#REF!,0),MATCH('Respuestas de formulario 1.1'!EM$1,#REF!,0)))</f>
        <v/>
      </c>
      <c r="EN99" s="56" t="str">
        <f t="array" ref="EN99">IF(DS99="","", INDEX(#REF!,MATCH(CONCATENATE('Respuestas de formulario 1.1'!$B99,DS99),#REF!,0),MATCH('Respuestas de formulario 1.1'!EN$1,#REF!,0)))</f>
        <v/>
      </c>
      <c r="EO99" s="56" t="str">
        <f t="array" ref="EO99">IF(DT99="","", INDEX(#REF!,MATCH(CONCATENATE('Respuestas de formulario 1.1'!$B99,DT99),#REF!,0),MATCH('Respuestas de formulario 1.1'!EO$1,#REF!,0)))</f>
        <v/>
      </c>
      <c r="EP99" s="45" t="str">
        <f t="array" ref="EP99">IF(DU99="","", INDEX(#REF!,MATCH(CONCATENATE('Respuestas de formulario 1.1'!$B99,DU99),#REF!,0),MATCH('Respuestas de formulario 1.1'!EP$1,#REF!,0)))</f>
        <v/>
      </c>
      <c r="EQ99" s="45" t="str">
        <f t="array" ref="EQ99">IF(DP99="","", INDEX(#REF!,MATCH(CONCATENATE('Respuestas de formulario 1.1'!$B99,DP99),#REF!,0),MATCH('Respuestas de formulario 1.1'!EQ$1,#REF!,0)))</f>
        <v/>
      </c>
      <c r="ER99" s="56" t="str">
        <f t="array" ref="ER99">IF(DQ99="","", INDEX(#REF!,MATCH(CONCATENATE('Respuestas de formulario 1.1'!$B99,DQ99),#REF!,0),MATCH('Respuestas de formulario 1.1'!ER$1,#REF!,0)))</f>
        <v/>
      </c>
      <c r="ES99" s="56" t="str">
        <f t="array" ref="ES99">IF(DR99="","", INDEX(#REF!,MATCH(CONCATENATE('Respuestas de formulario 1.1'!$B99,DR99),#REF!,0),MATCH('Respuestas de formulario 1.1'!ES$1,#REF!,0)))</f>
        <v/>
      </c>
      <c r="ET99" s="56" t="str">
        <f t="array" ref="ET99">IF(DS99="","", INDEX(#REF!,MATCH(CONCATENATE('Respuestas de formulario 1.1'!$B99,DS99),#REF!,0),MATCH('Respuestas de formulario 1.1'!ET$1,#REF!,0)))</f>
        <v/>
      </c>
      <c r="EU99" s="56" t="str">
        <f t="array" ref="EU99">IF(DT99="","", INDEX(#REF!,MATCH(CONCATENATE('Respuestas de formulario 1.1'!$B99,DT99),#REF!,0),MATCH('Respuestas de formulario 1.1'!EU$1,#REF!,0)))</f>
        <v/>
      </c>
      <c r="EV99" s="56" t="str">
        <f t="array" ref="EV99">IF(DU99="","", INDEX(#REF!,MATCH(CONCATENATE('Respuestas de formulario 1.1'!$B99,DU99),#REF!,0),MATCH('Respuestas de formulario 1.1'!EV$1,#REF!,0)))</f>
        <v/>
      </c>
      <c r="EW99" s="45" t="str">
        <f t="array" ref="EW99">IF(DV99="","", INDEX(#REF!,MATCH(CONCATENATE('Respuestas de formulario 1.1'!$B99,DV99),#REF!,0),MATCH('Respuestas de formulario 1.1'!EW$1,#REF!,0)))</f>
        <v/>
      </c>
      <c r="EX99" s="45" t="str">
        <f t="array" ref="EX99">IF($DQ99="","", INDEX(#REF!,MATCH(CONCATENATE('Respuestas de formulario 1.1'!$B99,$DQ99),#REF!,0),MATCH('Respuestas de formulario 1.1'!EX$1,#REF!,0)))</f>
        <v/>
      </c>
      <c r="EY99" s="56" t="str">
        <f t="array" ref="EY99">IF($DQ99="","", INDEX(#REF!,MATCH(CONCATENATE('Respuestas de formulario 1.1'!$B99,$DQ99),#REF!,0),MATCH('Respuestas de formulario 1.1'!EY$1,#REF!,0)))</f>
        <v/>
      </c>
      <c r="EZ99" s="56" t="str">
        <f t="array" ref="EZ99">IF($DQ99="","", INDEX(#REF!,MATCH(CONCATENATE('Respuestas de formulario 1.1'!$B99,$DQ99),#REF!,0),MATCH('Respuestas de formulario 1.1'!EZ$1,#REF!,0)))</f>
        <v/>
      </c>
      <c r="FA99" s="56" t="str">
        <f t="array" ref="FA99">IF($DQ99="","", INDEX(#REF!,MATCH(CONCATENATE('Respuestas de formulario 1.1'!$B99,$DQ99),#REF!,0),MATCH('Respuestas de formulario 1.1'!FA$1,#REF!,0)))</f>
        <v/>
      </c>
      <c r="FB99" s="56" t="str">
        <f t="array" ref="FB99">IF($DQ99="","", INDEX(#REF!,MATCH(CONCATENATE('Respuestas de formulario 1.1'!$B99,$DQ99),#REF!,0),MATCH('Respuestas de formulario 1.1'!FB$1,#REF!,0)))</f>
        <v/>
      </c>
      <c r="FC99" s="56" t="str">
        <f t="array" ref="FC99">IF($DQ99="","", INDEX(#REF!,MATCH(CONCATENATE('Respuestas de formulario 1.1'!$B99,$DQ99),#REF!,0),MATCH('Respuestas de formulario 1.1'!FC$1,#REF!,0)))</f>
        <v/>
      </c>
      <c r="FD99" s="45" t="str">
        <f t="array" ref="FD99">IF($DQ99="","", INDEX(#REF!,MATCH(CONCATENATE('Respuestas de formulario 1.1'!$B99,$DQ99),#REF!,0),MATCH('Respuestas de formulario 1.1'!FD$1,#REF!,0)))</f>
        <v/>
      </c>
      <c r="FE99" s="45" t="str">
        <f t="array" ref="FE99">IF($DR99="","", INDEX(#REF!,MATCH(CONCATENATE(#REF!,$DR99),#REF!,0),MATCH(#REF!,#REF!,0)))</f>
        <v/>
      </c>
      <c r="FF99" s="56" t="str">
        <f t="array" ref="FF99">IF($DR99="","", INDEX(#REF!,MATCH(CONCATENATE(#REF!,$DR99),#REF!,0),MATCH(#REF!,#REF!,0)))</f>
        <v/>
      </c>
      <c r="FG99" s="56" t="str">
        <f t="array" ref="FG99">IF($DR99="","", INDEX(#REF!,MATCH(CONCATENATE(#REF!,$DR99),#REF!,0),MATCH(#REF!,#REF!,0)))</f>
        <v/>
      </c>
      <c r="FH99" s="56" t="str">
        <f t="array" ref="FH99">IF($DR99="","", INDEX(#REF!,MATCH(CONCATENATE(#REF!,$DR99),#REF!,0),MATCH(#REF!,#REF!,0)))</f>
        <v/>
      </c>
      <c r="FI99" s="56" t="str">
        <f t="array" ref="FI99">IF($DR99="","", INDEX(#REF!,MATCH(CONCATENATE(#REF!,$DR99),#REF!,0),MATCH(#REF!,#REF!,0)))</f>
        <v/>
      </c>
      <c r="FJ99" s="56" t="str">
        <f t="array" ref="FJ99">IF($DR99="","", INDEX(#REF!,MATCH(CONCATENATE(#REF!,$DR99),#REF!,0),MATCH(#REF!,#REF!,0)))</f>
        <v/>
      </c>
      <c r="FK99" s="45" t="str">
        <f t="array" ref="FK99">IF($DR99="","", INDEX(#REF!,MATCH(CONCATENATE(#REF!,$DR99),#REF!,0),MATCH(#REF!,#REF!,0)))</f>
        <v/>
      </c>
      <c r="FL99" s="45" t="str">
        <f t="array" ref="FL99">IF($DT99="","", INDEX(#REF!,MATCH(CONCATENATE('Respuestas de formulario 1.1'!$B99,$DS99),#REF!,0),MATCH('Respuestas de formulario 1.1'!FL$1,#REF!,0)))</f>
        <v/>
      </c>
      <c r="FM99" s="56" t="str">
        <f t="array" ref="FM99">IF($DT99="","", INDEX(#REF!,MATCH(CONCATENATE('Respuestas de formulario 1.1'!$B99,$DS99),#REF!,0),MATCH('Respuestas de formulario 1.1'!FM$1,#REF!,0)))</f>
        <v/>
      </c>
      <c r="FN99" s="56" t="str">
        <f t="array" ref="FN99">IF($DT99="","", INDEX(#REF!,MATCH(CONCATENATE('Respuestas de formulario 1.1'!$B99,$DS99),#REF!,0),MATCH('Respuestas de formulario 1.1'!FN$1,#REF!,0)))</f>
        <v/>
      </c>
      <c r="FO99" s="56" t="str">
        <f t="array" ref="FO99">IF($DT99="","", INDEX(#REF!,MATCH(CONCATENATE('Respuestas de formulario 1.1'!$B99,$DS99),#REF!,0),MATCH('Respuestas de formulario 1.1'!FO$1,#REF!,0)))</f>
        <v/>
      </c>
      <c r="FP99" s="56" t="str">
        <f t="array" ref="FP99">IF($DT99="","", INDEX(#REF!,MATCH(CONCATENATE('Respuestas de formulario 1.1'!$B99,$DS99),#REF!,0),MATCH('Respuestas de formulario 1.1'!FP$1,#REF!,0)))</f>
        <v/>
      </c>
      <c r="FQ99" s="56" t="str">
        <f t="array" ref="FQ99">IF($DT99="","", INDEX(#REF!,MATCH(CONCATENATE('Respuestas de formulario 1.1'!$B99,$DS99),#REF!,0),MATCH('Respuestas de formulario 1.1'!FQ$1,#REF!,0)))</f>
        <v/>
      </c>
      <c r="FR99" s="45" t="str">
        <f t="array" ref="FR99">IF($DT99="","", INDEX(#REF!,MATCH(CONCATENATE('Respuestas de formulario 1.1'!$B99,$DS99),#REF!,0),MATCH('Respuestas de formulario 1.1'!FR$1,#REF!,0)))</f>
        <v/>
      </c>
      <c r="FS99" s="45" t="str">
        <f t="array" ref="FS99">IF($DU99="","", INDEX(#REF!,MATCH(CONCATENATE('Respuestas de formulario 1.1'!$B99,$DT99),#REF!,0),MATCH('Respuestas de formulario 1.1'!FS$1,#REF!,0)))</f>
        <v/>
      </c>
      <c r="FT99" s="56" t="str">
        <f t="array" ref="FT99">IF($DU99="","", INDEX(#REF!,MATCH(CONCATENATE('Respuestas de formulario 1.1'!$B99,$DT99),#REF!,0),MATCH('Respuestas de formulario 1.1'!FT$1,#REF!,0)))</f>
        <v/>
      </c>
      <c r="FU99" s="56" t="str">
        <f t="array" ref="FU99">IF($DU99="","", INDEX(#REF!,MATCH(CONCATENATE('Respuestas de formulario 1.1'!$B99,$DT99),#REF!,0),MATCH('Respuestas de formulario 1.1'!FU$1,#REF!,0)))</f>
        <v/>
      </c>
      <c r="FV99" s="56" t="str">
        <f t="array" ref="FV99">IF($DU99="","", INDEX(#REF!,MATCH(CONCATENATE('Respuestas de formulario 1.1'!$B99,$DT99),#REF!,0),MATCH('Respuestas de formulario 1.1'!FV$1,#REF!,0)))</f>
        <v/>
      </c>
      <c r="FW99" s="56" t="str">
        <f t="array" ref="FW99">IF($DU99="","", INDEX(#REF!,MATCH(CONCATENATE('Respuestas de formulario 1.1'!$B99,$DT99),#REF!,0),MATCH('Respuestas de formulario 1.1'!FW$1,#REF!,0)))</f>
        <v/>
      </c>
      <c r="FX99" s="56" t="str">
        <f t="array" ref="FX99">IF($DU99="","", INDEX(#REF!,MATCH(CONCATENATE('Respuestas de formulario 1.1'!$B99,$DT99),#REF!,0),MATCH('Respuestas de formulario 1.1'!FX$1,#REF!,0)))</f>
        <v/>
      </c>
      <c r="FY99" s="45" t="str">
        <f t="array" ref="FY99">IF($DU99="","", INDEX(#REF!,MATCH(CONCATENATE('Respuestas de formulario 1.1'!$B99,$DT99),#REF!,0),MATCH('Respuestas de formulario 1.1'!FY$1,#REF!,0)))</f>
        <v/>
      </c>
      <c r="FZ99" s="3" t="s">
        <v>2860</v>
      </c>
      <c r="GA99" s="1" t="s">
        <v>4539</v>
      </c>
      <c r="GB99" s="5" t="s">
        <v>4540</v>
      </c>
      <c r="GC99" s="4" t="str">
        <f>HYPERLINK("https://drive.google.com/file/d/1QyCRreH8-glkZTTyDZdl_Ic6JxtwIgx_/view?usp=drivesdk","ORTIZ  ARANDA  AYLIN CELESTE  Formato de reinscripción y pago 2022-2")</f>
        <v>ORTIZ  ARANDA  AYLIN CELESTE  Formato de reinscripción y pago 2022-2</v>
      </c>
      <c r="GD99" s="1" t="s">
        <v>4541</v>
      </c>
      <c r="GE99" s="1"/>
      <c r="GF99" s="1"/>
      <c r="GG99" s="1"/>
      <c r="GH99" s="1"/>
      <c r="GI99" s="1" t="s">
        <v>4542</v>
      </c>
      <c r="GJ99" s="5" t="s">
        <v>4543</v>
      </c>
      <c r="GK99" s="5" t="str">
        <f>HYPERLINK("https://drive.google.com/file/d/1DQo3KChNlK7DbY3i5SaGCXoVcbQcFsN2/view?usp=drivesdk","ORTIZ  ARANDA  AYLIN CELESTE  Formato de reinscripción y pago 2022-2")</f>
        <v>ORTIZ  ARANDA  AYLIN CELESTE  Formato de reinscripción y pago 2022-2</v>
      </c>
      <c r="GL99" s="1" t="s">
        <v>4544</v>
      </c>
    </row>
    <row r="100" spans="1:194" ht="38.25" x14ac:dyDescent="0.2">
      <c r="A100" s="2">
        <v>45139.415312141209</v>
      </c>
      <c r="B100" s="1" t="s">
        <v>1010</v>
      </c>
      <c r="C100" s="1" t="s">
        <v>587</v>
      </c>
      <c r="D100" s="1" t="s">
        <v>1011</v>
      </c>
      <c r="E100" s="1" t="s">
        <v>1017</v>
      </c>
      <c r="F100" s="1" t="s">
        <v>223</v>
      </c>
      <c r="G100" s="5" t="s">
        <v>4545</v>
      </c>
      <c r="H100" s="41">
        <v>36320</v>
      </c>
      <c r="I100" s="1">
        <v>24</v>
      </c>
      <c r="J100" s="1">
        <v>5621231390</v>
      </c>
      <c r="K100" s="1">
        <v>5621231390</v>
      </c>
      <c r="L100" s="1" t="s">
        <v>1012</v>
      </c>
      <c r="M100" s="1">
        <v>21309060570912</v>
      </c>
      <c r="N100" s="1" t="s">
        <v>1108</v>
      </c>
      <c r="O100" s="1" t="s">
        <v>247</v>
      </c>
      <c r="P100" s="1" t="s">
        <v>226</v>
      </c>
      <c r="Q100" s="1" t="s">
        <v>227</v>
      </c>
      <c r="R100" s="1" t="s">
        <v>236</v>
      </c>
      <c r="S100" s="1" t="s">
        <v>228</v>
      </c>
      <c r="T100" s="1" t="s">
        <v>229</v>
      </c>
      <c r="U100" s="1" t="s">
        <v>264</v>
      </c>
      <c r="V100" s="1" t="s">
        <v>228</v>
      </c>
      <c r="W100" s="1" t="s">
        <v>4546</v>
      </c>
      <c r="X100" s="1" t="s">
        <v>264</v>
      </c>
      <c r="Y100" s="1" t="s">
        <v>999</v>
      </c>
      <c r="Z100" s="1" t="s">
        <v>231</v>
      </c>
      <c r="AA100" s="1">
        <v>57900</v>
      </c>
      <c r="AB100" s="1">
        <v>19</v>
      </c>
      <c r="AC100" s="1" t="s">
        <v>310</v>
      </c>
      <c r="AD100" s="1" t="s">
        <v>4547</v>
      </c>
      <c r="AE100" s="1" t="s">
        <v>4548</v>
      </c>
      <c r="AF100" s="1" t="s">
        <v>265</v>
      </c>
      <c r="AG100" s="1">
        <v>42</v>
      </c>
      <c r="AH100" s="5" t="s">
        <v>4549</v>
      </c>
      <c r="AI100" s="1">
        <v>5615009696</v>
      </c>
      <c r="AJ100" s="1">
        <v>5615009696</v>
      </c>
      <c r="AK100" s="1"/>
      <c r="AL100" s="1" t="s">
        <v>587</v>
      </c>
      <c r="AM100" s="1" t="s">
        <v>1014</v>
      </c>
      <c r="AN100" s="1" t="s">
        <v>1017</v>
      </c>
      <c r="AO100" s="1" t="s">
        <v>1013</v>
      </c>
      <c r="AP100" s="1">
        <v>24</v>
      </c>
      <c r="AQ100" s="1" t="s">
        <v>1044</v>
      </c>
      <c r="AR100" s="42">
        <v>0.29166666666424135</v>
      </c>
      <c r="AS100" s="42">
        <v>0.58333333333575865</v>
      </c>
      <c r="AT100" s="1">
        <v>5621231390</v>
      </c>
      <c r="AU100" s="1">
        <v>5621231390</v>
      </c>
      <c r="AV100" s="1" t="s">
        <v>4550</v>
      </c>
      <c r="AW100" s="5" t="s">
        <v>4551</v>
      </c>
      <c r="AX100" s="1" t="s">
        <v>1011</v>
      </c>
      <c r="AY100" s="1" t="s">
        <v>2511</v>
      </c>
      <c r="AZ100" s="1" t="s">
        <v>1015</v>
      </c>
      <c r="BA100" s="1" t="s">
        <v>265</v>
      </c>
      <c r="BB100" s="1">
        <v>42</v>
      </c>
      <c r="BC100" s="1" t="s">
        <v>517</v>
      </c>
      <c r="BD100" s="43">
        <v>0.83333333333575865</v>
      </c>
      <c r="BE100" s="43">
        <v>0.33333333333575865</v>
      </c>
      <c r="BF100" s="1">
        <v>5615009696</v>
      </c>
      <c r="BG100" s="1">
        <v>5615009696</v>
      </c>
      <c r="BH100" s="1"/>
      <c r="BI100" s="5" t="s">
        <v>4552</v>
      </c>
      <c r="BJ100" s="1" t="s">
        <v>236</v>
      </c>
      <c r="BL100" s="1">
        <v>1.56</v>
      </c>
      <c r="BM100" s="1">
        <v>60</v>
      </c>
      <c r="BN100" s="1" t="s">
        <v>236</v>
      </c>
      <c r="BO100" s="1" t="s">
        <v>228</v>
      </c>
      <c r="BQ100" s="1" t="s">
        <v>228</v>
      </c>
      <c r="BR100" s="1" t="s">
        <v>237</v>
      </c>
      <c r="BS100" s="1" t="s">
        <v>228</v>
      </c>
      <c r="BT100" s="1" t="s">
        <v>237</v>
      </c>
      <c r="BU100" s="1" t="s">
        <v>228</v>
      </c>
      <c r="BW100" s="1" t="s">
        <v>238</v>
      </c>
      <c r="BX100" s="1">
        <v>50</v>
      </c>
      <c r="BY100" s="1">
        <v>400</v>
      </c>
      <c r="BZ100" s="1" t="s">
        <v>253</v>
      </c>
      <c r="CA100" s="1" t="s">
        <v>343</v>
      </c>
      <c r="CB100" s="1" t="s">
        <v>240</v>
      </c>
      <c r="CC100" s="1" t="s">
        <v>274</v>
      </c>
      <c r="CD100" s="1">
        <v>1500</v>
      </c>
      <c r="CE100" s="1">
        <v>2500</v>
      </c>
      <c r="CF100" s="1" t="s">
        <v>236</v>
      </c>
      <c r="CG100" s="1" t="s">
        <v>242</v>
      </c>
      <c r="CH100" s="1" t="s">
        <v>243</v>
      </c>
      <c r="CI100" s="1" t="s">
        <v>243</v>
      </c>
      <c r="CJ100" s="1" t="s">
        <v>2848</v>
      </c>
      <c r="CL100" s="5" t="s">
        <v>4553</v>
      </c>
      <c r="CM100" s="1">
        <v>63169939368</v>
      </c>
      <c r="CN100" s="1" t="s">
        <v>228</v>
      </c>
      <c r="CQ100" s="42">
        <v>0.83333333333575865</v>
      </c>
      <c r="CR100" s="42">
        <v>0.33333333333575865</v>
      </c>
      <c r="CT100" s="45" t="str">
        <f t="array" ref="CT100">IFERROR(INDEX(#REF!,MATCH('Respuestas de formulario 1.1'!$B100,#REF!,0),MATCH('Respuestas de formulario 1.1'!CT$1,#REF!,0)),"")</f>
        <v/>
      </c>
      <c r="CU100" s="56" t="str">
        <f t="array" ref="CU100">IFERROR(INDEX(#REF!,MATCH('Respuestas de formulario 1.1'!$B100,#REF!,0),MATCH('Respuestas de formulario 1.1'!CU$1,#REF!,0)),"")</f>
        <v/>
      </c>
      <c r="CV100" s="56" t="str">
        <f t="array" ref="CV100">IFERROR(INDEX(#REF!,MATCH('Respuestas de formulario 1.1'!$B100,#REF!,0),MATCH('Respuestas de formulario 1.1'!CV$1,#REF!,0)),"")</f>
        <v/>
      </c>
      <c r="CW100" s="56" t="str">
        <f t="array" ref="CW100">IFERROR(INDEX(#REF!,MATCH('Respuestas de formulario 1.1'!$B100,#REF!,0),MATCH('Respuestas de formulario 1.1'!CW$1,#REF!,0)),"")</f>
        <v/>
      </c>
      <c r="CX100" s="56" t="str">
        <f t="array" ref="CX100">IFERROR(INDEX(#REF!,MATCH('Respuestas de formulario 1.1'!$B100,#REF!,0),MATCH('Respuestas de formulario 1.1'!CX$1,#REF!,0)),"")</f>
        <v/>
      </c>
      <c r="CY100" s="56" t="str">
        <f t="array" ref="CY100">IFERROR(INDEX(#REF!,MATCH('Respuestas de formulario 1.1'!$B100,#REF!,0),MATCH('Respuestas de formulario 1.1'!CY$1,#REF!,0)),"")</f>
        <v/>
      </c>
      <c r="CZ100" s="57" t="str">
        <f t="array" ref="CZ100">IFERROR(INDEX(#REF!,MATCH('Respuestas de formulario 1.1'!$B100,#REF!,0),MATCH('Respuestas de formulario 1.1'!CZ$1,#REF!,0)),"")</f>
        <v/>
      </c>
      <c r="DA100" s="45" t="e">
        <f t="array" ref="DA100">INDEX(#REF!,MATCH('Respuestas de formulario 1.1'!$B100,#REF!,0),MATCH('Respuestas de formulario 1.1'!DA$1,#REF!,0))</f>
        <v>#REF!</v>
      </c>
      <c r="DB100" s="45" t="e">
        <f t="array" ref="DB100">INDEX(#REF!,MATCH('Respuestas de formulario 1.1'!$B100,#REF!,0),MATCH('Respuestas de formulario 1.1'!DB$1,#REF!,0))</f>
        <v>#REF!</v>
      </c>
      <c r="DC100" s="45" t="e">
        <f t="array" ref="DC100">INDEX(#REF!,MATCH('Respuestas de formulario 1.1'!$B100,#REF!,0),MATCH('Respuestas de formulario 1.1'!DC$1,#REF!,0))</f>
        <v>#REF!</v>
      </c>
      <c r="DD100" s="45" t="e">
        <f t="array" ref="DD100">INDEX(#REF!,MATCH('Respuestas de formulario 1.1'!$B100,#REF!,0),MATCH('Respuestas de formulario 1.1'!DD$1,#REF!,0))</f>
        <v>#REF!</v>
      </c>
      <c r="DE100" s="45" t="e">
        <f t="array" ref="DE100">INDEX(#REF!,MATCH('Respuestas de formulario 1.1'!$B100,#REF!,0),MATCH('Respuestas de formulario 1.1'!DE$1,#REF!,0))</f>
        <v>#REF!</v>
      </c>
      <c r="DF100" s="45" t="e">
        <f t="array" ref="DF100">INDEX(#REF!,MATCH('Respuestas de formulario 1.1'!$B100,#REF!,0),MATCH('Respuestas de formulario 1.1'!DF$1,#REF!,0))</f>
        <v>#REF!</v>
      </c>
      <c r="DG100" s="45" t="e">
        <f t="array" ref="DG100">INDEX(#REF!,MATCH('Respuestas de formulario 1.1'!$B100,#REF!,0),MATCH('Respuestas de formulario 1.1'!DG$1,#REF!,0))</f>
        <v>#REF!</v>
      </c>
      <c r="DH100" s="45" t="e">
        <f t="array" ref="DH100">INDEX(#REF!,MATCH('Respuestas de formulario 1.1'!$B100,#REF!,0),MATCH('Respuestas de formulario 1.1'!DH$1,#REF!,0))</f>
        <v>#REF!</v>
      </c>
      <c r="DI100" s="48" t="e">
        <f>VLOOKUP(CONCATENATE($DF100," TUTO ",$DC100),#REF!,3,0)</f>
        <v>#REF!</v>
      </c>
      <c r="DJ100" s="48" t="e">
        <f t="array" ref="DJ100">IF('Respuestas de formulario 1.1'!A100="","",INDEX(#REF!,MATCH('Respuestas de formulario 1.1'!B100,#REF!,0),MATCH('Respuestas de formulario 1.1'!$DH$1,#REF!,0)))</f>
        <v>#REF!</v>
      </c>
      <c r="DK100" s="52" t="str">
        <f>CONCATENATE("http://doc.google.com/uc?id=",MID('Respuestas de formulario 1.1'!G100,34,33))</f>
        <v>http://doc.google.com/uc?id=1IF6PfvgkNnyGeYDWVrUJdXiKMMpDKJV4</v>
      </c>
      <c r="DL100" s="49" t="str">
        <f>CONCATENATE("http://doc.google.com/uc?id=",MID('Respuestas de formulario 1.1'!AH100,34,33))</f>
        <v>http://doc.google.com/uc?id=19MtS1xLqPazP0l5rEoq_UWp2xc66Tb1Z</v>
      </c>
      <c r="DM100" s="50" t="str">
        <f>CONCATENATE("http://doc.google.com/uc?id=",MID('Respuestas de formulario 1.1'!AW100,34,33))</f>
        <v>http://doc.google.com/uc?id=1SLPCuApelFHc9lFblzoMJjdpjUvd9OEa</v>
      </c>
      <c r="DN100" s="53" t="str">
        <f>CONCATENATE("http://doc.google.com/uc?id=",MID('Respuestas de formulario 1.1'!$BI100,34,33))</f>
        <v>http://doc.google.com/uc?id=1s4N15OG7GCITQgKZXAG4mYDr5k-r9I70</v>
      </c>
      <c r="DO100" s="45" t="str">
        <f>IFERROR(VLOOKUP(CONCATENATE('Respuestas de formulario 1.1'!$B100,MID('Respuestas de formulario 1.1'!DO$1,2,1)),#REF!,12,0),"")</f>
        <v/>
      </c>
      <c r="DP100" s="45" t="str">
        <f>IFERROR(VLOOKUP(CONCATENATE('Respuestas de formulario 1.1'!$B100,MID('Respuestas de formulario 1.1'!DP$1,2,1)),#REF!,12,0),"")</f>
        <v/>
      </c>
      <c r="DQ100" s="45" t="str">
        <f>IFERROR(VLOOKUP(CONCATENATE('Respuestas de formulario 1.1'!$B100,MID('Respuestas de formulario 1.1'!DQ$1,2,1)),#REF!,12,0),"")</f>
        <v/>
      </c>
      <c r="DR100" s="45" t="str">
        <f>IFERROR(VLOOKUP(CONCATENATE('Respuestas de formulario 1.1'!$B100,MID('Respuestas de formulario 1.1'!DR$1,2,1)),#REF!,12,0),"")</f>
        <v/>
      </c>
      <c r="DS100" s="45" t="str">
        <f>IFERROR(VLOOKUP(CONCATENATE('Respuestas de formulario 1.1'!$B100,MID('Respuestas de formulario 1.1'!DS$1,2,1)),#REF!,12,0),"")</f>
        <v/>
      </c>
      <c r="DT100" s="45" t="str">
        <f>IFERROR(VLOOKUP(CONCATENATE('Respuestas de formulario 1.1'!$B100,MID('Respuestas de formulario 1.1'!DT$1,2,1)),#REF!,12,0),"")</f>
        <v/>
      </c>
      <c r="DU100" s="45" t="str">
        <f>IFERROR(VLOOKUP(CONCATENATE('Respuestas de formulario 1.1'!$B100,MID('Respuestas de formulario 1.1'!DU$1,2,1)),#REF!,12,0),"")</f>
        <v/>
      </c>
      <c r="DV100" s="45" t="str">
        <f>IFERROR(VLOOKUP(CONCATENATE('Respuestas de formulario 1.1'!$B100,MID('Respuestas de formulario 1.1'!DV$1,2,1)),#REF!,12,0),"")</f>
        <v/>
      </c>
      <c r="DW100" s="45" t="str">
        <f>IFERROR(VLOOKUP(CONCATENATE('Respuestas de formulario 1.1'!$B100,MID('Respuestas de formulario 1.1'!DW$1,2,1)),#REF!,12,0),"")</f>
        <v/>
      </c>
      <c r="DX100" s="45" t="str">
        <f>IFERROR(VLOOKUP(CONCATENATE('Respuestas de formulario 1.1'!$B100,MID('Respuestas de formulario 1.1'!DX$1,2,1)),#REF!,12,0),"")</f>
        <v/>
      </c>
      <c r="DY100" s="45" t="str">
        <f>IFERROR(VLOOKUP(CONCATENATE('Respuestas de formulario 1.1'!$B100,MID('Respuestas de formulario 1.1'!DY$1,2,1)),#REF!,12,0),"")</f>
        <v/>
      </c>
      <c r="DZ100" s="45" t="str">
        <f>IFERROR(VLOOKUP(CONCATENATE('Respuestas de formulario 1.1'!$B100,MID('Respuestas de formulario 1.1'!DZ$1,2,1)),#REF!,12,0),"")</f>
        <v/>
      </c>
      <c r="EA100" s="45" t="str">
        <f>IFERROR(VLOOKUP(CONCATENATE('Respuestas de formulario 1.1'!$B100,MID('Respuestas de formulario 1.1'!EA$1,2,1)),#REF!,12,0),"")</f>
        <v/>
      </c>
      <c r="EB100" s="45" t="str">
        <f>IFERROR(VLOOKUP(CONCATENATE('Respuestas de formulario 1.1'!$B100,MID('Respuestas de formulario 1.1'!EB$1,2,1)),#REF!,12,0),"")</f>
        <v/>
      </c>
      <c r="EC100" s="45" t="str">
        <f>IFERROR(VLOOKUP(CONCATENATE('Respuestas de formulario 1.1'!$B100,MID('Respuestas de formulario 1.1'!EC$1,2,1)),#REF!,12,0),"")</f>
        <v/>
      </c>
      <c r="ED100" s="45" t="str">
        <f>IFERROR(VLOOKUP(CONCATENATE('Respuestas de formulario 1.1'!$B100,MID('Respuestas de formulario 1.1'!ED$1,2,1)),#REF!,12,0),"")</f>
        <v/>
      </c>
      <c r="EE100" s="45" t="str">
        <f>IFERROR(VLOOKUP(CONCATENATE('Respuestas de formulario 1.1'!$B100,MID('Respuestas de formulario 1.1'!EE$1,2,1)),#REF!,12,0),"")</f>
        <v/>
      </c>
      <c r="EF100" s="45" t="str">
        <f>IFERROR(VLOOKUP(CONCATENATE('Respuestas de formulario 1.1'!$B100,MID('Respuestas de formulario 1.1'!EF$1,2,1)),#REF!,12,0),"")</f>
        <v/>
      </c>
      <c r="EG100" s="45" t="str">
        <f>IFERROR(VLOOKUP(CONCATENATE('Respuestas de formulario 1.1'!$B100,MID('Respuestas de formulario 1.1'!EG$1,2,1)),#REF!,12,0),"")</f>
        <v/>
      </c>
      <c r="EH100" s="45" t="str">
        <f>IFERROR(VLOOKUP(CONCATENATE('Respuestas de formulario 1.1'!$B100,MID('Respuestas de formulario 1.1'!EH$1,2,1)),#REF!,12,0),"")</f>
        <v/>
      </c>
      <c r="EI100" s="45" t="str">
        <f>IFERROR(VLOOKUP(CONCATENATE('Respuestas de formulario 1.1'!$B100,MID('Respuestas de formulario 1.1'!EI$1,2,1)),#REF!,12,0),"")</f>
        <v/>
      </c>
      <c r="EJ100" s="45" t="str">
        <f t="array" ref="EJ100">IF(DO100="","", INDEX(#REF!,MATCH(CONCATENATE('Respuestas de formulario 1.1'!$B100,DO100),#REF!,0),MATCH('Respuestas de formulario 1.1'!EJ$1,#REF!,0)))</f>
        <v/>
      </c>
      <c r="EK100" s="56" t="str">
        <f t="array" ref="EK100">IF(DP100="","", INDEX(#REF!,MATCH(CONCATENATE('Respuestas de formulario 1.1'!$B100,DP100),#REF!,0),MATCH('Respuestas de formulario 1.1'!EK$1,#REF!,0)))</f>
        <v/>
      </c>
      <c r="EL100" s="56" t="str">
        <f t="array" ref="EL100">IF(DQ100="","", INDEX(#REF!,MATCH(CONCATENATE('Respuestas de formulario 1.1'!$B100,DQ100),#REF!,0),MATCH('Respuestas de formulario 1.1'!EL$1,#REF!,0)))</f>
        <v/>
      </c>
      <c r="EM100" s="56" t="str">
        <f t="array" ref="EM100">IF(DR100="","", INDEX(#REF!,MATCH(CONCATENATE('Respuestas de formulario 1.1'!$B100,DR100),#REF!,0),MATCH('Respuestas de formulario 1.1'!EM$1,#REF!,0)))</f>
        <v/>
      </c>
      <c r="EN100" s="56" t="str">
        <f t="array" ref="EN100">IF(DS100="","", INDEX(#REF!,MATCH(CONCATENATE('Respuestas de formulario 1.1'!$B100,DS100),#REF!,0),MATCH('Respuestas de formulario 1.1'!EN$1,#REF!,0)))</f>
        <v/>
      </c>
      <c r="EO100" s="56" t="str">
        <f t="array" ref="EO100">IF(DT100="","", INDEX(#REF!,MATCH(CONCATENATE('Respuestas de formulario 1.1'!$B100,DT100),#REF!,0),MATCH('Respuestas de formulario 1.1'!EO$1,#REF!,0)))</f>
        <v/>
      </c>
      <c r="EP100" s="45" t="str">
        <f t="array" ref="EP100">IF(DU100="","", INDEX(#REF!,MATCH(CONCATENATE('Respuestas de formulario 1.1'!$B100,DU100),#REF!,0),MATCH('Respuestas de formulario 1.1'!EP$1,#REF!,0)))</f>
        <v/>
      </c>
      <c r="EQ100" s="45" t="str">
        <f t="array" ref="EQ100">IF(DP100="","", INDEX(#REF!,MATCH(CONCATENATE('Respuestas de formulario 1.1'!$B100,DP100),#REF!,0),MATCH('Respuestas de formulario 1.1'!EQ$1,#REF!,0)))</f>
        <v/>
      </c>
      <c r="ER100" s="56" t="str">
        <f t="array" ref="ER100">IF(DQ100="","", INDEX(#REF!,MATCH(CONCATENATE('Respuestas de formulario 1.1'!$B100,DQ100),#REF!,0),MATCH('Respuestas de formulario 1.1'!ER$1,#REF!,0)))</f>
        <v/>
      </c>
      <c r="ES100" s="56" t="str">
        <f t="array" ref="ES100">IF(DR100="","", INDEX(#REF!,MATCH(CONCATENATE('Respuestas de formulario 1.1'!$B100,DR100),#REF!,0),MATCH('Respuestas de formulario 1.1'!ES$1,#REF!,0)))</f>
        <v/>
      </c>
      <c r="ET100" s="56" t="str">
        <f t="array" ref="ET100">IF(DS100="","", INDEX(#REF!,MATCH(CONCATENATE('Respuestas de formulario 1.1'!$B100,DS100),#REF!,0),MATCH('Respuestas de formulario 1.1'!ET$1,#REF!,0)))</f>
        <v/>
      </c>
      <c r="EU100" s="56" t="str">
        <f t="array" ref="EU100">IF(DT100="","", INDEX(#REF!,MATCH(CONCATENATE('Respuestas de formulario 1.1'!$B100,DT100),#REF!,0),MATCH('Respuestas de formulario 1.1'!EU$1,#REF!,0)))</f>
        <v/>
      </c>
      <c r="EV100" s="56" t="str">
        <f t="array" ref="EV100">IF(DU100="","", INDEX(#REF!,MATCH(CONCATENATE('Respuestas de formulario 1.1'!$B100,DU100),#REF!,0),MATCH('Respuestas de formulario 1.1'!EV$1,#REF!,0)))</f>
        <v/>
      </c>
      <c r="EW100" s="45" t="str">
        <f t="array" ref="EW100">IF(DV100="","", INDEX(#REF!,MATCH(CONCATENATE('Respuestas de formulario 1.1'!$B100,DV100),#REF!,0),MATCH('Respuestas de formulario 1.1'!EW$1,#REF!,0)))</f>
        <v/>
      </c>
      <c r="EX100" s="45" t="str">
        <f t="array" ref="EX100">IF($DQ100="","", INDEX(#REF!,MATCH(CONCATENATE('Respuestas de formulario 1.1'!$B100,$DQ100),#REF!,0),MATCH('Respuestas de formulario 1.1'!EX$1,#REF!,0)))</f>
        <v/>
      </c>
      <c r="EY100" s="56" t="str">
        <f t="array" ref="EY100">IF($DQ100="","", INDEX(#REF!,MATCH(CONCATENATE('Respuestas de formulario 1.1'!$B100,$DQ100),#REF!,0),MATCH('Respuestas de formulario 1.1'!EY$1,#REF!,0)))</f>
        <v/>
      </c>
      <c r="EZ100" s="56" t="str">
        <f t="array" ref="EZ100">IF($DQ100="","", INDEX(#REF!,MATCH(CONCATENATE('Respuestas de formulario 1.1'!$B100,$DQ100),#REF!,0),MATCH('Respuestas de formulario 1.1'!EZ$1,#REF!,0)))</f>
        <v/>
      </c>
      <c r="FA100" s="56" t="str">
        <f t="array" ref="FA100">IF($DQ100="","", INDEX(#REF!,MATCH(CONCATENATE('Respuestas de formulario 1.1'!$B100,$DQ100),#REF!,0),MATCH('Respuestas de formulario 1.1'!FA$1,#REF!,0)))</f>
        <v/>
      </c>
      <c r="FB100" s="56" t="str">
        <f t="array" ref="FB100">IF($DQ100="","", INDEX(#REF!,MATCH(CONCATENATE('Respuestas de formulario 1.1'!$B100,$DQ100),#REF!,0),MATCH('Respuestas de formulario 1.1'!FB$1,#REF!,0)))</f>
        <v/>
      </c>
      <c r="FC100" s="56" t="str">
        <f t="array" ref="FC100">IF($DQ100="","", INDEX(#REF!,MATCH(CONCATENATE('Respuestas de formulario 1.1'!$B100,$DQ100),#REF!,0),MATCH('Respuestas de formulario 1.1'!FC$1,#REF!,0)))</f>
        <v/>
      </c>
      <c r="FD100" s="45" t="str">
        <f t="array" ref="FD100">IF($DQ100="","", INDEX(#REF!,MATCH(CONCATENATE('Respuestas de formulario 1.1'!$B100,$DQ100),#REF!,0),MATCH('Respuestas de formulario 1.1'!FD$1,#REF!,0)))</f>
        <v/>
      </c>
      <c r="FE100" s="45" t="str">
        <f t="array" ref="FE100">IF($DR100="","", INDEX(#REF!,MATCH(CONCATENATE(#REF!,$DR100),#REF!,0),MATCH(#REF!,#REF!,0)))</f>
        <v/>
      </c>
      <c r="FF100" s="56" t="str">
        <f t="array" ref="FF100">IF($DR100="","", INDEX(#REF!,MATCH(CONCATENATE(#REF!,$DR100),#REF!,0),MATCH(#REF!,#REF!,0)))</f>
        <v/>
      </c>
      <c r="FG100" s="56" t="str">
        <f t="array" ref="FG100">IF($DR100="","", INDEX(#REF!,MATCH(CONCATENATE(#REF!,$DR100),#REF!,0),MATCH(#REF!,#REF!,0)))</f>
        <v/>
      </c>
      <c r="FH100" s="56" t="str">
        <f t="array" ref="FH100">IF($DR100="","", INDEX(#REF!,MATCH(CONCATENATE(#REF!,$DR100),#REF!,0),MATCH(#REF!,#REF!,0)))</f>
        <v/>
      </c>
      <c r="FI100" s="56" t="str">
        <f t="array" ref="FI100">IF($DR100="","", INDEX(#REF!,MATCH(CONCATENATE(#REF!,$DR100),#REF!,0),MATCH(#REF!,#REF!,0)))</f>
        <v/>
      </c>
      <c r="FJ100" s="56" t="str">
        <f t="array" ref="FJ100">IF($DR100="","", INDEX(#REF!,MATCH(CONCATENATE(#REF!,$DR100),#REF!,0),MATCH(#REF!,#REF!,0)))</f>
        <v/>
      </c>
      <c r="FK100" s="45" t="str">
        <f t="array" ref="FK100">IF($DR100="","", INDEX(#REF!,MATCH(CONCATENATE(#REF!,$DR100),#REF!,0),MATCH(#REF!,#REF!,0)))</f>
        <v/>
      </c>
      <c r="FL100" s="45" t="str">
        <f t="array" ref="FL100">IF($DT100="","", INDEX(#REF!,MATCH(CONCATENATE('Respuestas de formulario 1.1'!$B100,$DS100),#REF!,0),MATCH('Respuestas de formulario 1.1'!FL$1,#REF!,0)))</f>
        <v/>
      </c>
      <c r="FM100" s="56" t="str">
        <f t="array" ref="FM100">IF($DT100="","", INDEX(#REF!,MATCH(CONCATENATE('Respuestas de formulario 1.1'!$B100,$DS100),#REF!,0),MATCH('Respuestas de formulario 1.1'!FM$1,#REF!,0)))</f>
        <v/>
      </c>
      <c r="FN100" s="56" t="str">
        <f t="array" ref="FN100">IF($DT100="","", INDEX(#REF!,MATCH(CONCATENATE('Respuestas de formulario 1.1'!$B100,$DS100),#REF!,0),MATCH('Respuestas de formulario 1.1'!FN$1,#REF!,0)))</f>
        <v/>
      </c>
      <c r="FO100" s="56" t="str">
        <f t="array" ref="FO100">IF($DT100="","", INDEX(#REF!,MATCH(CONCATENATE('Respuestas de formulario 1.1'!$B100,$DS100),#REF!,0),MATCH('Respuestas de formulario 1.1'!FO$1,#REF!,0)))</f>
        <v/>
      </c>
      <c r="FP100" s="56" t="str">
        <f t="array" ref="FP100">IF($DT100="","", INDEX(#REF!,MATCH(CONCATENATE('Respuestas de formulario 1.1'!$B100,$DS100),#REF!,0),MATCH('Respuestas de formulario 1.1'!FP$1,#REF!,0)))</f>
        <v/>
      </c>
      <c r="FQ100" s="56" t="str">
        <f t="array" ref="FQ100">IF($DT100="","", INDEX(#REF!,MATCH(CONCATENATE('Respuestas de formulario 1.1'!$B100,$DS100),#REF!,0),MATCH('Respuestas de formulario 1.1'!FQ$1,#REF!,0)))</f>
        <v/>
      </c>
      <c r="FR100" s="45" t="str">
        <f t="array" ref="FR100">IF($DT100="","", INDEX(#REF!,MATCH(CONCATENATE('Respuestas de formulario 1.1'!$B100,$DS100),#REF!,0),MATCH('Respuestas de formulario 1.1'!FR$1,#REF!,0)))</f>
        <v/>
      </c>
      <c r="FS100" s="45" t="str">
        <f t="array" ref="FS100">IF($DU100="","", INDEX(#REF!,MATCH(CONCATENATE('Respuestas de formulario 1.1'!$B100,$DT100),#REF!,0),MATCH('Respuestas de formulario 1.1'!FS$1,#REF!,0)))</f>
        <v/>
      </c>
      <c r="FT100" s="56" t="str">
        <f t="array" ref="FT100">IF($DU100="","", INDEX(#REF!,MATCH(CONCATENATE('Respuestas de formulario 1.1'!$B100,$DT100),#REF!,0),MATCH('Respuestas de formulario 1.1'!FT$1,#REF!,0)))</f>
        <v/>
      </c>
      <c r="FU100" s="56" t="str">
        <f t="array" ref="FU100">IF($DU100="","", INDEX(#REF!,MATCH(CONCATENATE('Respuestas de formulario 1.1'!$B100,$DT100),#REF!,0),MATCH('Respuestas de formulario 1.1'!FU$1,#REF!,0)))</f>
        <v/>
      </c>
      <c r="FV100" s="56" t="str">
        <f t="array" ref="FV100">IF($DU100="","", INDEX(#REF!,MATCH(CONCATENATE('Respuestas de formulario 1.1'!$B100,$DT100),#REF!,0),MATCH('Respuestas de formulario 1.1'!FV$1,#REF!,0)))</f>
        <v/>
      </c>
      <c r="FW100" s="56" t="str">
        <f t="array" ref="FW100">IF($DU100="","", INDEX(#REF!,MATCH(CONCATENATE('Respuestas de formulario 1.1'!$B100,$DT100),#REF!,0),MATCH('Respuestas de formulario 1.1'!FW$1,#REF!,0)))</f>
        <v/>
      </c>
      <c r="FX100" s="56" t="str">
        <f t="array" ref="FX100">IF($DU100="","", INDEX(#REF!,MATCH(CONCATENATE('Respuestas de formulario 1.1'!$B100,$DT100),#REF!,0),MATCH('Respuestas de formulario 1.1'!FX$1,#REF!,0)))</f>
        <v/>
      </c>
      <c r="FY100" s="45" t="str">
        <f t="array" ref="FY100">IF($DU100="","", INDEX(#REF!,MATCH(CONCATENATE('Respuestas de formulario 1.1'!$B100,$DT100),#REF!,0),MATCH('Respuestas de formulario 1.1'!FY$1,#REF!,0)))</f>
        <v/>
      </c>
      <c r="FZ100" s="3" t="s">
        <v>2860</v>
      </c>
      <c r="GA100" s="1" t="s">
        <v>4554</v>
      </c>
      <c r="GB100" s="5" t="s">
        <v>4555</v>
      </c>
      <c r="GC100" s="4" t="str">
        <f>HYPERLINK("https://drive.google.com/file/d/18qcx3vgXz9WLE3ZL9I9NQJfhGEyB53PO/view?usp=drivesdk","SANCHEZ  ARAGON BRENDA CITLALLI  Formato de reinscripción y pago 2022-2")</f>
        <v>SANCHEZ  ARAGON BRENDA CITLALLI  Formato de reinscripción y pago 2022-2</v>
      </c>
      <c r="GD100" s="1" t="s">
        <v>4556</v>
      </c>
      <c r="GE100" s="1"/>
      <c r="GF100" s="1"/>
      <c r="GG100" s="1"/>
      <c r="GH100" s="1"/>
      <c r="GI100" s="1" t="s">
        <v>4557</v>
      </c>
      <c r="GJ100" s="5" t="s">
        <v>4558</v>
      </c>
      <c r="GK100" s="5" t="str">
        <f>HYPERLINK("https://drive.google.com/file/d/1wE_RCBcPC0v6Vf940CUcJURDdFS09TcX/view?usp=drivesdk","SANCHEZ  ARAGON BRENDA CITLALLI  Formato de reinscripción y pago 2022-2")</f>
        <v>SANCHEZ  ARAGON BRENDA CITLALLI  Formato de reinscripción y pago 2022-2</v>
      </c>
      <c r="GL100" s="1" t="s">
        <v>4559</v>
      </c>
    </row>
    <row r="101" spans="1:194" ht="38.25" x14ac:dyDescent="0.2">
      <c r="A101" s="2">
        <v>45139.418907083338</v>
      </c>
      <c r="B101" s="1" t="s">
        <v>1297</v>
      </c>
      <c r="C101" s="1" t="s">
        <v>244</v>
      </c>
      <c r="D101" s="1" t="s">
        <v>1298</v>
      </c>
      <c r="E101" s="1" t="s">
        <v>1299</v>
      </c>
      <c r="F101" s="1" t="s">
        <v>223</v>
      </c>
      <c r="G101" s="5" t="s">
        <v>4560</v>
      </c>
      <c r="H101" s="41">
        <v>39119</v>
      </c>
      <c r="I101" s="1">
        <v>16</v>
      </c>
      <c r="J101" s="1">
        <v>5632206363</v>
      </c>
      <c r="K101" s="1">
        <v>5515515460</v>
      </c>
      <c r="L101" s="1" t="s">
        <v>1300</v>
      </c>
      <c r="M101" s="1">
        <v>22309060570554</v>
      </c>
      <c r="N101" s="1" t="s">
        <v>562</v>
      </c>
      <c r="O101" s="1" t="s">
        <v>247</v>
      </c>
      <c r="P101" s="1" t="s">
        <v>226</v>
      </c>
      <c r="Q101" s="1" t="s">
        <v>227</v>
      </c>
      <c r="R101" s="1" t="s">
        <v>236</v>
      </c>
      <c r="S101" s="1" t="s">
        <v>228</v>
      </c>
      <c r="T101" s="1" t="s">
        <v>411</v>
      </c>
      <c r="U101" s="1" t="s">
        <v>249</v>
      </c>
      <c r="V101" s="1" t="s">
        <v>228</v>
      </c>
      <c r="W101" s="1" t="s">
        <v>4561</v>
      </c>
      <c r="X101" s="1" t="s">
        <v>249</v>
      </c>
      <c r="Y101" s="1" t="s">
        <v>4562</v>
      </c>
      <c r="Z101" s="1" t="s">
        <v>240</v>
      </c>
      <c r="AA101" s="44" t="s">
        <v>1001</v>
      </c>
      <c r="AB101" s="1" t="s">
        <v>1301</v>
      </c>
      <c r="AC101" s="1" t="s">
        <v>1302</v>
      </c>
      <c r="AD101" s="1" t="s">
        <v>4563</v>
      </c>
      <c r="AE101" s="1" t="s">
        <v>4564</v>
      </c>
      <c r="AF101" s="1" t="s">
        <v>265</v>
      </c>
      <c r="AG101" s="1">
        <v>49</v>
      </c>
      <c r="AH101" s="5" t="s">
        <v>4565</v>
      </c>
      <c r="AI101" s="1">
        <v>5561138052</v>
      </c>
      <c r="AJ101" s="1">
        <v>5515515460</v>
      </c>
      <c r="AK101" s="1" t="s">
        <v>4566</v>
      </c>
      <c r="AL101" s="1" t="s">
        <v>244</v>
      </c>
      <c r="AM101" s="1" t="s">
        <v>397</v>
      </c>
      <c r="AN101" s="1" t="s">
        <v>1303</v>
      </c>
      <c r="AO101" s="1" t="s">
        <v>435</v>
      </c>
      <c r="AP101" s="1">
        <v>49</v>
      </c>
      <c r="AQ101" s="1" t="s">
        <v>4567</v>
      </c>
      <c r="AR101" s="42">
        <v>0.33333333333575865</v>
      </c>
      <c r="AS101" s="42">
        <v>0.29166666666424135</v>
      </c>
      <c r="AT101" s="1">
        <v>5535030048</v>
      </c>
      <c r="AU101" s="1">
        <v>5515515460</v>
      </c>
      <c r="AV101" s="1" t="s">
        <v>4568</v>
      </c>
      <c r="AW101" s="5" t="s">
        <v>4569</v>
      </c>
      <c r="AX101" s="1" t="s">
        <v>244</v>
      </c>
      <c r="AY101" s="1" t="s">
        <v>1298</v>
      </c>
      <c r="AZ101" s="1" t="s">
        <v>4570</v>
      </c>
      <c r="BA101" s="1" t="s">
        <v>403</v>
      </c>
      <c r="BB101" s="1">
        <v>24</v>
      </c>
      <c r="BC101" s="1" t="s">
        <v>926</v>
      </c>
      <c r="BD101" s="43">
        <v>0.33333333333575865</v>
      </c>
      <c r="BE101" s="43">
        <v>0.29166666666424135</v>
      </c>
      <c r="BF101" s="1">
        <v>5532681895</v>
      </c>
      <c r="BG101" s="1">
        <v>5515515460</v>
      </c>
      <c r="BH101" s="1" t="s">
        <v>4571</v>
      </c>
      <c r="BI101" s="5" t="s">
        <v>4572</v>
      </c>
      <c r="BJ101" s="1" t="s">
        <v>236</v>
      </c>
      <c r="BK101" s="1" t="s">
        <v>549</v>
      </c>
      <c r="BL101" s="1">
        <v>1.53</v>
      </c>
      <c r="BM101" s="1">
        <v>39</v>
      </c>
      <c r="BN101" s="1" t="s">
        <v>236</v>
      </c>
      <c r="BO101" s="1" t="s">
        <v>228</v>
      </c>
      <c r="BP101" s="1" t="s">
        <v>270</v>
      </c>
      <c r="BQ101" s="1" t="s">
        <v>228</v>
      </c>
      <c r="BR101" s="1" t="s">
        <v>237</v>
      </c>
      <c r="BS101" s="1" t="s">
        <v>236</v>
      </c>
      <c r="BT101" s="1" t="s">
        <v>271</v>
      </c>
      <c r="BU101" s="1" t="s">
        <v>228</v>
      </c>
      <c r="BW101" s="1" t="s">
        <v>238</v>
      </c>
      <c r="BX101" s="1">
        <v>60</v>
      </c>
      <c r="BY101" s="1">
        <v>140</v>
      </c>
      <c r="BZ101" s="1" t="s">
        <v>1004</v>
      </c>
      <c r="CA101" s="1" t="s">
        <v>343</v>
      </c>
      <c r="CB101" s="1" t="s">
        <v>240</v>
      </c>
      <c r="CC101" s="1" t="s">
        <v>322</v>
      </c>
      <c r="CD101" s="1">
        <v>1000</v>
      </c>
      <c r="CE101" s="1">
        <v>1000</v>
      </c>
      <c r="CF101" s="1" t="s">
        <v>236</v>
      </c>
      <c r="CG101" s="1" t="s">
        <v>242</v>
      </c>
      <c r="CH101" s="1" t="s">
        <v>243</v>
      </c>
      <c r="CI101" s="1" t="s">
        <v>243</v>
      </c>
      <c r="CJ101" s="1" t="s">
        <v>2848</v>
      </c>
      <c r="CL101" s="5" t="s">
        <v>4573</v>
      </c>
      <c r="CM101" s="44" t="s">
        <v>1304</v>
      </c>
      <c r="CN101" s="1" t="s">
        <v>228</v>
      </c>
      <c r="CQ101" s="42">
        <v>0.33333333333575865</v>
      </c>
      <c r="CR101" s="42">
        <v>0.29166666666424135</v>
      </c>
      <c r="CT101" s="45" t="str">
        <f t="array" ref="CT101">IFERROR(INDEX(#REF!,MATCH('Respuestas de formulario 1.1'!$B101,#REF!,0),MATCH('Respuestas de formulario 1.1'!CT$1,#REF!,0)),"")</f>
        <v/>
      </c>
      <c r="CU101" s="56" t="str">
        <f t="array" ref="CU101">IFERROR(INDEX(#REF!,MATCH('Respuestas de formulario 1.1'!$B101,#REF!,0),MATCH('Respuestas de formulario 1.1'!CU$1,#REF!,0)),"")</f>
        <v/>
      </c>
      <c r="CV101" s="56" t="str">
        <f t="array" ref="CV101">IFERROR(INDEX(#REF!,MATCH('Respuestas de formulario 1.1'!$B101,#REF!,0),MATCH('Respuestas de formulario 1.1'!CV$1,#REF!,0)),"")</f>
        <v/>
      </c>
      <c r="CW101" s="56" t="str">
        <f t="array" ref="CW101">IFERROR(INDEX(#REF!,MATCH('Respuestas de formulario 1.1'!$B101,#REF!,0),MATCH('Respuestas de formulario 1.1'!CW$1,#REF!,0)),"")</f>
        <v/>
      </c>
      <c r="CX101" s="56" t="str">
        <f t="array" ref="CX101">IFERROR(INDEX(#REF!,MATCH('Respuestas de formulario 1.1'!$B101,#REF!,0),MATCH('Respuestas de formulario 1.1'!CX$1,#REF!,0)),"")</f>
        <v/>
      </c>
      <c r="CY101" s="56" t="str">
        <f t="array" ref="CY101">IFERROR(INDEX(#REF!,MATCH('Respuestas de formulario 1.1'!$B101,#REF!,0),MATCH('Respuestas de formulario 1.1'!CY$1,#REF!,0)),"")</f>
        <v/>
      </c>
      <c r="CZ101" s="57" t="str">
        <f t="array" ref="CZ101">IFERROR(INDEX(#REF!,MATCH('Respuestas de formulario 1.1'!$B101,#REF!,0),MATCH('Respuestas de formulario 1.1'!CZ$1,#REF!,0)),"")</f>
        <v/>
      </c>
      <c r="DA101" s="45" t="e">
        <f t="array" ref="DA101">INDEX(#REF!,MATCH('Respuestas de formulario 1.1'!$B101,#REF!,0),MATCH('Respuestas de formulario 1.1'!DA$1,#REF!,0))</f>
        <v>#REF!</v>
      </c>
      <c r="DB101" s="45" t="e">
        <f t="array" ref="DB101">INDEX(#REF!,MATCH('Respuestas de formulario 1.1'!$B101,#REF!,0),MATCH('Respuestas de formulario 1.1'!DB$1,#REF!,0))</f>
        <v>#REF!</v>
      </c>
      <c r="DC101" s="45" t="e">
        <f t="array" ref="DC101">INDEX(#REF!,MATCH('Respuestas de formulario 1.1'!$B101,#REF!,0),MATCH('Respuestas de formulario 1.1'!DC$1,#REF!,0))</f>
        <v>#REF!</v>
      </c>
      <c r="DD101" s="45" t="e">
        <f t="array" ref="DD101">INDEX(#REF!,MATCH('Respuestas de formulario 1.1'!$B101,#REF!,0),MATCH('Respuestas de formulario 1.1'!DD$1,#REF!,0))</f>
        <v>#REF!</v>
      </c>
      <c r="DE101" s="45" t="e">
        <f t="array" ref="DE101">INDEX(#REF!,MATCH('Respuestas de formulario 1.1'!$B101,#REF!,0),MATCH('Respuestas de formulario 1.1'!DE$1,#REF!,0))</f>
        <v>#REF!</v>
      </c>
      <c r="DF101" s="45" t="e">
        <f t="array" ref="DF101">INDEX(#REF!,MATCH('Respuestas de formulario 1.1'!$B101,#REF!,0),MATCH('Respuestas de formulario 1.1'!DF$1,#REF!,0))</f>
        <v>#REF!</v>
      </c>
      <c r="DG101" s="45" t="e">
        <f t="array" ref="DG101">INDEX(#REF!,MATCH('Respuestas de formulario 1.1'!$B101,#REF!,0),MATCH('Respuestas de formulario 1.1'!DG$1,#REF!,0))</f>
        <v>#REF!</v>
      </c>
      <c r="DH101" s="45" t="e">
        <f t="array" ref="DH101">INDEX(#REF!,MATCH('Respuestas de formulario 1.1'!$B101,#REF!,0),MATCH('Respuestas de formulario 1.1'!DH$1,#REF!,0))</f>
        <v>#REF!</v>
      </c>
      <c r="DI101" s="48" t="e">
        <f>VLOOKUP(CONCATENATE($DF101," TUTO ",$DC101),#REF!,3,0)</f>
        <v>#REF!</v>
      </c>
      <c r="DJ101" s="48" t="e">
        <f t="array" ref="DJ101">IF('Respuestas de formulario 1.1'!A101="","",INDEX(#REF!,MATCH('Respuestas de formulario 1.1'!B101,#REF!,0),MATCH('Respuestas de formulario 1.1'!$DH$1,#REF!,0)))</f>
        <v>#REF!</v>
      </c>
      <c r="DK101" s="52" t="str">
        <f>CONCATENATE("http://doc.google.com/uc?id=",MID('Respuestas de formulario 1.1'!G101,34,33))</f>
        <v>http://doc.google.com/uc?id=1ny--2ayvsnwigGjbXwYN720DUDiEVSFp</v>
      </c>
      <c r="DL101" s="49" t="str">
        <f>CONCATENATE("http://doc.google.com/uc?id=",MID('Respuestas de formulario 1.1'!AH101,34,33))</f>
        <v>http://doc.google.com/uc?id=1xksJORMqV1CqXC5qdr_JuIc67II3UNKY</v>
      </c>
      <c r="DM101" s="50" t="str">
        <f>CONCATENATE("http://doc.google.com/uc?id=",MID('Respuestas de formulario 1.1'!AW101,34,33))</f>
        <v>http://doc.google.com/uc?id=1ORSZMQIQ647S0kcu9EYpC_rGwbVDH6lK</v>
      </c>
      <c r="DN101" s="53" t="str">
        <f>CONCATENATE("http://doc.google.com/uc?id=",MID('Respuestas de formulario 1.1'!$BI101,34,33))</f>
        <v>http://doc.google.com/uc?id=1n-VKfuor92J-40bdKdaBHZXy-UtAbhm4</v>
      </c>
      <c r="DO101" s="45" t="str">
        <f>IFERROR(VLOOKUP(CONCATENATE('Respuestas de formulario 1.1'!$B101,MID('Respuestas de formulario 1.1'!DO$1,2,1)),#REF!,12,0),"")</f>
        <v/>
      </c>
      <c r="DP101" s="45" t="str">
        <f>IFERROR(VLOOKUP(CONCATENATE('Respuestas de formulario 1.1'!$B101,MID('Respuestas de formulario 1.1'!DP$1,2,1)),#REF!,12,0),"")</f>
        <v/>
      </c>
      <c r="DQ101" s="45" t="str">
        <f>IFERROR(VLOOKUP(CONCATENATE('Respuestas de formulario 1.1'!$B101,MID('Respuestas de formulario 1.1'!DQ$1,2,1)),#REF!,12,0),"")</f>
        <v/>
      </c>
      <c r="DR101" s="45" t="str">
        <f>IFERROR(VLOOKUP(CONCATENATE('Respuestas de formulario 1.1'!$B101,MID('Respuestas de formulario 1.1'!DR$1,2,1)),#REF!,12,0),"")</f>
        <v/>
      </c>
      <c r="DS101" s="45" t="str">
        <f>IFERROR(VLOOKUP(CONCATENATE('Respuestas de formulario 1.1'!$B101,MID('Respuestas de formulario 1.1'!DS$1,2,1)),#REF!,12,0),"")</f>
        <v/>
      </c>
      <c r="DT101" s="45" t="str">
        <f>IFERROR(VLOOKUP(CONCATENATE('Respuestas de formulario 1.1'!$B101,MID('Respuestas de formulario 1.1'!DT$1,2,1)),#REF!,12,0),"")</f>
        <v/>
      </c>
      <c r="DU101" s="45" t="str">
        <f>IFERROR(VLOOKUP(CONCATENATE('Respuestas de formulario 1.1'!$B101,MID('Respuestas de formulario 1.1'!DU$1,2,1)),#REF!,12,0),"")</f>
        <v/>
      </c>
      <c r="DV101" s="45" t="str">
        <f>IFERROR(VLOOKUP(CONCATENATE('Respuestas de formulario 1.1'!$B101,MID('Respuestas de formulario 1.1'!DV$1,2,1)),#REF!,12,0),"")</f>
        <v/>
      </c>
      <c r="DW101" s="45" t="str">
        <f>IFERROR(VLOOKUP(CONCATENATE('Respuestas de formulario 1.1'!$B101,MID('Respuestas de formulario 1.1'!DW$1,2,1)),#REF!,12,0),"")</f>
        <v/>
      </c>
      <c r="DX101" s="45" t="str">
        <f>IFERROR(VLOOKUP(CONCATENATE('Respuestas de formulario 1.1'!$B101,MID('Respuestas de formulario 1.1'!DX$1,2,1)),#REF!,12,0),"")</f>
        <v/>
      </c>
      <c r="DY101" s="45" t="str">
        <f>IFERROR(VLOOKUP(CONCATENATE('Respuestas de formulario 1.1'!$B101,MID('Respuestas de formulario 1.1'!DY$1,2,1)),#REF!,12,0),"")</f>
        <v/>
      </c>
      <c r="DZ101" s="45" t="str">
        <f>IFERROR(VLOOKUP(CONCATENATE('Respuestas de formulario 1.1'!$B101,MID('Respuestas de formulario 1.1'!DZ$1,2,1)),#REF!,12,0),"")</f>
        <v/>
      </c>
      <c r="EA101" s="45" t="str">
        <f>IFERROR(VLOOKUP(CONCATENATE('Respuestas de formulario 1.1'!$B101,MID('Respuestas de formulario 1.1'!EA$1,2,1)),#REF!,12,0),"")</f>
        <v/>
      </c>
      <c r="EB101" s="45" t="str">
        <f>IFERROR(VLOOKUP(CONCATENATE('Respuestas de formulario 1.1'!$B101,MID('Respuestas de formulario 1.1'!EB$1,2,1)),#REF!,12,0),"")</f>
        <v/>
      </c>
      <c r="EC101" s="45" t="str">
        <f>IFERROR(VLOOKUP(CONCATENATE('Respuestas de formulario 1.1'!$B101,MID('Respuestas de formulario 1.1'!EC$1,2,1)),#REF!,12,0),"")</f>
        <v/>
      </c>
      <c r="ED101" s="45" t="str">
        <f>IFERROR(VLOOKUP(CONCATENATE('Respuestas de formulario 1.1'!$B101,MID('Respuestas de formulario 1.1'!ED$1,2,1)),#REF!,12,0),"")</f>
        <v/>
      </c>
      <c r="EE101" s="45" t="str">
        <f>IFERROR(VLOOKUP(CONCATENATE('Respuestas de formulario 1.1'!$B101,MID('Respuestas de formulario 1.1'!EE$1,2,1)),#REF!,12,0),"")</f>
        <v/>
      </c>
      <c r="EF101" s="45" t="str">
        <f>IFERROR(VLOOKUP(CONCATENATE('Respuestas de formulario 1.1'!$B101,MID('Respuestas de formulario 1.1'!EF$1,2,1)),#REF!,12,0),"")</f>
        <v/>
      </c>
      <c r="EG101" s="45" t="str">
        <f>IFERROR(VLOOKUP(CONCATENATE('Respuestas de formulario 1.1'!$B101,MID('Respuestas de formulario 1.1'!EG$1,2,1)),#REF!,12,0),"")</f>
        <v/>
      </c>
      <c r="EH101" s="45" t="str">
        <f>IFERROR(VLOOKUP(CONCATENATE('Respuestas de formulario 1.1'!$B101,MID('Respuestas de formulario 1.1'!EH$1,2,1)),#REF!,12,0),"")</f>
        <v/>
      </c>
      <c r="EI101" s="45" t="str">
        <f>IFERROR(VLOOKUP(CONCATENATE('Respuestas de formulario 1.1'!$B101,MID('Respuestas de formulario 1.1'!EI$1,2,1)),#REF!,12,0),"")</f>
        <v/>
      </c>
      <c r="EJ101" s="45" t="str">
        <f t="array" ref="EJ101">IF(DO101="","", INDEX(#REF!,MATCH(CONCATENATE('Respuestas de formulario 1.1'!$B101,DO101),#REF!,0),MATCH('Respuestas de formulario 1.1'!EJ$1,#REF!,0)))</f>
        <v/>
      </c>
      <c r="EK101" s="56" t="str">
        <f t="array" ref="EK101">IF(DP101="","", INDEX(#REF!,MATCH(CONCATENATE('Respuestas de formulario 1.1'!$B101,DP101),#REF!,0),MATCH('Respuestas de formulario 1.1'!EK$1,#REF!,0)))</f>
        <v/>
      </c>
      <c r="EL101" s="56" t="str">
        <f t="array" ref="EL101">IF(DQ101="","", INDEX(#REF!,MATCH(CONCATENATE('Respuestas de formulario 1.1'!$B101,DQ101),#REF!,0),MATCH('Respuestas de formulario 1.1'!EL$1,#REF!,0)))</f>
        <v/>
      </c>
      <c r="EM101" s="56" t="str">
        <f t="array" ref="EM101">IF(DR101="","", INDEX(#REF!,MATCH(CONCATENATE('Respuestas de formulario 1.1'!$B101,DR101),#REF!,0),MATCH('Respuestas de formulario 1.1'!EM$1,#REF!,0)))</f>
        <v/>
      </c>
      <c r="EN101" s="56" t="str">
        <f t="array" ref="EN101">IF(DS101="","", INDEX(#REF!,MATCH(CONCATENATE('Respuestas de formulario 1.1'!$B101,DS101),#REF!,0),MATCH('Respuestas de formulario 1.1'!EN$1,#REF!,0)))</f>
        <v/>
      </c>
      <c r="EO101" s="56" t="str">
        <f t="array" ref="EO101">IF(DT101="","", INDEX(#REF!,MATCH(CONCATENATE('Respuestas de formulario 1.1'!$B101,DT101),#REF!,0),MATCH('Respuestas de formulario 1.1'!EO$1,#REF!,0)))</f>
        <v/>
      </c>
      <c r="EP101" s="45" t="str">
        <f t="array" ref="EP101">IF(DU101="","", INDEX(#REF!,MATCH(CONCATENATE('Respuestas de formulario 1.1'!$B101,DU101),#REF!,0),MATCH('Respuestas de formulario 1.1'!EP$1,#REF!,0)))</f>
        <v/>
      </c>
      <c r="EQ101" s="45" t="str">
        <f t="array" ref="EQ101">IF(DP101="","", INDEX(#REF!,MATCH(CONCATENATE('Respuestas de formulario 1.1'!$B101,DP101),#REF!,0),MATCH('Respuestas de formulario 1.1'!EQ$1,#REF!,0)))</f>
        <v/>
      </c>
      <c r="ER101" s="56" t="str">
        <f t="array" ref="ER101">IF(DQ101="","", INDEX(#REF!,MATCH(CONCATENATE('Respuestas de formulario 1.1'!$B101,DQ101),#REF!,0),MATCH('Respuestas de formulario 1.1'!ER$1,#REF!,0)))</f>
        <v/>
      </c>
      <c r="ES101" s="56" t="str">
        <f t="array" ref="ES101">IF(DR101="","", INDEX(#REF!,MATCH(CONCATENATE('Respuestas de formulario 1.1'!$B101,DR101),#REF!,0),MATCH('Respuestas de formulario 1.1'!ES$1,#REF!,0)))</f>
        <v/>
      </c>
      <c r="ET101" s="56" t="str">
        <f t="array" ref="ET101">IF(DS101="","", INDEX(#REF!,MATCH(CONCATENATE('Respuestas de formulario 1.1'!$B101,DS101),#REF!,0),MATCH('Respuestas de formulario 1.1'!ET$1,#REF!,0)))</f>
        <v/>
      </c>
      <c r="EU101" s="56" t="str">
        <f t="array" ref="EU101">IF(DT101="","", INDEX(#REF!,MATCH(CONCATENATE('Respuestas de formulario 1.1'!$B101,DT101),#REF!,0),MATCH('Respuestas de formulario 1.1'!EU$1,#REF!,0)))</f>
        <v/>
      </c>
      <c r="EV101" s="56" t="str">
        <f t="array" ref="EV101">IF(DU101="","", INDEX(#REF!,MATCH(CONCATENATE('Respuestas de formulario 1.1'!$B101,DU101),#REF!,0),MATCH('Respuestas de formulario 1.1'!EV$1,#REF!,0)))</f>
        <v/>
      </c>
      <c r="EW101" s="45" t="str">
        <f t="array" ref="EW101">IF(DV101="","", INDEX(#REF!,MATCH(CONCATENATE('Respuestas de formulario 1.1'!$B101,DV101),#REF!,0),MATCH('Respuestas de formulario 1.1'!EW$1,#REF!,0)))</f>
        <v/>
      </c>
      <c r="EX101" s="45" t="str">
        <f t="array" ref="EX101">IF($DQ101="","", INDEX(#REF!,MATCH(CONCATENATE('Respuestas de formulario 1.1'!$B101,$DQ101),#REF!,0),MATCH('Respuestas de formulario 1.1'!EX$1,#REF!,0)))</f>
        <v/>
      </c>
      <c r="EY101" s="56" t="str">
        <f t="array" ref="EY101">IF($DQ101="","", INDEX(#REF!,MATCH(CONCATENATE('Respuestas de formulario 1.1'!$B101,$DQ101),#REF!,0),MATCH('Respuestas de formulario 1.1'!EY$1,#REF!,0)))</f>
        <v/>
      </c>
      <c r="EZ101" s="56" t="str">
        <f t="array" ref="EZ101">IF($DQ101="","", INDEX(#REF!,MATCH(CONCATENATE('Respuestas de formulario 1.1'!$B101,$DQ101),#REF!,0),MATCH('Respuestas de formulario 1.1'!EZ$1,#REF!,0)))</f>
        <v/>
      </c>
      <c r="FA101" s="56" t="str">
        <f t="array" ref="FA101">IF($DQ101="","", INDEX(#REF!,MATCH(CONCATENATE('Respuestas de formulario 1.1'!$B101,$DQ101),#REF!,0),MATCH('Respuestas de formulario 1.1'!FA$1,#REF!,0)))</f>
        <v/>
      </c>
      <c r="FB101" s="56" t="str">
        <f t="array" ref="FB101">IF($DQ101="","", INDEX(#REF!,MATCH(CONCATENATE('Respuestas de formulario 1.1'!$B101,$DQ101),#REF!,0),MATCH('Respuestas de formulario 1.1'!FB$1,#REF!,0)))</f>
        <v/>
      </c>
      <c r="FC101" s="56" t="str">
        <f t="array" ref="FC101">IF($DQ101="","", INDEX(#REF!,MATCH(CONCATENATE('Respuestas de formulario 1.1'!$B101,$DQ101),#REF!,0),MATCH('Respuestas de formulario 1.1'!FC$1,#REF!,0)))</f>
        <v/>
      </c>
      <c r="FD101" s="45" t="str">
        <f t="array" ref="FD101">IF($DQ101="","", INDEX(#REF!,MATCH(CONCATENATE('Respuestas de formulario 1.1'!$B101,$DQ101),#REF!,0),MATCH('Respuestas de formulario 1.1'!FD$1,#REF!,0)))</f>
        <v/>
      </c>
      <c r="FE101" s="45" t="str">
        <f t="array" ref="FE101">IF($DR101="","", INDEX(#REF!,MATCH(CONCATENATE(#REF!,$DR101),#REF!,0),MATCH(#REF!,#REF!,0)))</f>
        <v/>
      </c>
      <c r="FF101" s="56" t="str">
        <f t="array" ref="FF101">IF($DR101="","", INDEX(#REF!,MATCH(CONCATENATE(#REF!,$DR101),#REF!,0),MATCH(#REF!,#REF!,0)))</f>
        <v/>
      </c>
      <c r="FG101" s="56" t="str">
        <f t="array" ref="FG101">IF($DR101="","", INDEX(#REF!,MATCH(CONCATENATE(#REF!,$DR101),#REF!,0),MATCH(#REF!,#REF!,0)))</f>
        <v/>
      </c>
      <c r="FH101" s="56" t="str">
        <f t="array" ref="FH101">IF($DR101="","", INDEX(#REF!,MATCH(CONCATENATE(#REF!,$DR101),#REF!,0),MATCH(#REF!,#REF!,0)))</f>
        <v/>
      </c>
      <c r="FI101" s="56" t="str">
        <f t="array" ref="FI101">IF($DR101="","", INDEX(#REF!,MATCH(CONCATENATE(#REF!,$DR101),#REF!,0),MATCH(#REF!,#REF!,0)))</f>
        <v/>
      </c>
      <c r="FJ101" s="56" t="str">
        <f t="array" ref="FJ101">IF($DR101="","", INDEX(#REF!,MATCH(CONCATENATE(#REF!,$DR101),#REF!,0),MATCH(#REF!,#REF!,0)))</f>
        <v/>
      </c>
      <c r="FK101" s="45" t="str">
        <f t="array" ref="FK101">IF($DR101="","", INDEX(#REF!,MATCH(CONCATENATE(#REF!,$DR101),#REF!,0),MATCH(#REF!,#REF!,0)))</f>
        <v/>
      </c>
      <c r="FL101" s="45" t="str">
        <f t="array" ref="FL101">IF($DT101="","", INDEX(#REF!,MATCH(CONCATENATE('Respuestas de formulario 1.1'!$B101,$DS101),#REF!,0),MATCH('Respuestas de formulario 1.1'!FL$1,#REF!,0)))</f>
        <v/>
      </c>
      <c r="FM101" s="56" t="str">
        <f t="array" ref="FM101">IF($DT101="","", INDEX(#REF!,MATCH(CONCATENATE('Respuestas de formulario 1.1'!$B101,$DS101),#REF!,0),MATCH('Respuestas de formulario 1.1'!FM$1,#REF!,0)))</f>
        <v/>
      </c>
      <c r="FN101" s="56" t="str">
        <f t="array" ref="FN101">IF($DT101="","", INDEX(#REF!,MATCH(CONCATENATE('Respuestas de formulario 1.1'!$B101,$DS101),#REF!,0),MATCH('Respuestas de formulario 1.1'!FN$1,#REF!,0)))</f>
        <v/>
      </c>
      <c r="FO101" s="56" t="str">
        <f t="array" ref="FO101">IF($DT101="","", INDEX(#REF!,MATCH(CONCATENATE('Respuestas de formulario 1.1'!$B101,$DS101),#REF!,0),MATCH('Respuestas de formulario 1.1'!FO$1,#REF!,0)))</f>
        <v/>
      </c>
      <c r="FP101" s="56" t="str">
        <f t="array" ref="FP101">IF($DT101="","", INDEX(#REF!,MATCH(CONCATENATE('Respuestas de formulario 1.1'!$B101,$DS101),#REF!,0),MATCH('Respuestas de formulario 1.1'!FP$1,#REF!,0)))</f>
        <v/>
      </c>
      <c r="FQ101" s="56" t="str">
        <f t="array" ref="FQ101">IF($DT101="","", INDEX(#REF!,MATCH(CONCATENATE('Respuestas de formulario 1.1'!$B101,$DS101),#REF!,0),MATCH('Respuestas de formulario 1.1'!FQ$1,#REF!,0)))</f>
        <v/>
      </c>
      <c r="FR101" s="45" t="str">
        <f t="array" ref="FR101">IF($DT101="","", INDEX(#REF!,MATCH(CONCATENATE('Respuestas de formulario 1.1'!$B101,$DS101),#REF!,0),MATCH('Respuestas de formulario 1.1'!FR$1,#REF!,0)))</f>
        <v/>
      </c>
      <c r="FS101" s="45" t="str">
        <f t="array" ref="FS101">IF($DU101="","", INDEX(#REF!,MATCH(CONCATENATE('Respuestas de formulario 1.1'!$B101,$DT101),#REF!,0),MATCH('Respuestas de formulario 1.1'!FS$1,#REF!,0)))</f>
        <v/>
      </c>
      <c r="FT101" s="56" t="str">
        <f t="array" ref="FT101">IF($DU101="","", INDEX(#REF!,MATCH(CONCATENATE('Respuestas de formulario 1.1'!$B101,$DT101),#REF!,0),MATCH('Respuestas de formulario 1.1'!FT$1,#REF!,0)))</f>
        <v/>
      </c>
      <c r="FU101" s="56" t="str">
        <f t="array" ref="FU101">IF($DU101="","", INDEX(#REF!,MATCH(CONCATENATE('Respuestas de formulario 1.1'!$B101,$DT101),#REF!,0),MATCH('Respuestas de formulario 1.1'!FU$1,#REF!,0)))</f>
        <v/>
      </c>
      <c r="FV101" s="56" t="str">
        <f t="array" ref="FV101">IF($DU101="","", INDEX(#REF!,MATCH(CONCATENATE('Respuestas de formulario 1.1'!$B101,$DT101),#REF!,0),MATCH('Respuestas de formulario 1.1'!FV$1,#REF!,0)))</f>
        <v/>
      </c>
      <c r="FW101" s="56" t="str">
        <f t="array" ref="FW101">IF($DU101="","", INDEX(#REF!,MATCH(CONCATENATE('Respuestas de formulario 1.1'!$B101,$DT101),#REF!,0),MATCH('Respuestas de formulario 1.1'!FW$1,#REF!,0)))</f>
        <v/>
      </c>
      <c r="FX101" s="56" t="str">
        <f t="array" ref="FX101">IF($DU101="","", INDEX(#REF!,MATCH(CONCATENATE('Respuestas de formulario 1.1'!$B101,$DT101),#REF!,0),MATCH('Respuestas de formulario 1.1'!FX$1,#REF!,0)))</f>
        <v/>
      </c>
      <c r="FY101" s="45" t="str">
        <f t="array" ref="FY101">IF($DU101="","", INDEX(#REF!,MATCH(CONCATENATE('Respuestas de formulario 1.1'!$B101,$DT101),#REF!,0),MATCH('Respuestas de formulario 1.1'!FY$1,#REF!,0)))</f>
        <v/>
      </c>
      <c r="FZ101" s="3" t="s">
        <v>2860</v>
      </c>
      <c r="GA101" s="1" t="s">
        <v>4574</v>
      </c>
      <c r="GB101" s="5" t="s">
        <v>4575</v>
      </c>
      <c r="GC101" s="4" t="str">
        <f>HYPERLINK("https://drive.google.com/file/d/16sXzjAOOpE5nen6H7c7NKAT8AC6O3PRF/view?usp=drivesdk","HERNANDEZ FRIAS JANNET MARIBEL Formato de reinscripción y pago 2022-2")</f>
        <v>HERNANDEZ FRIAS JANNET MARIBEL Formato de reinscripción y pago 2022-2</v>
      </c>
      <c r="GD101" s="1" t="s">
        <v>4576</v>
      </c>
      <c r="GE101" s="1"/>
      <c r="GF101" s="1"/>
      <c r="GG101" s="1"/>
      <c r="GH101" s="1"/>
      <c r="GI101" s="1" t="s">
        <v>4577</v>
      </c>
      <c r="GJ101" s="5" t="s">
        <v>4578</v>
      </c>
      <c r="GK101" s="5" t="str">
        <f>HYPERLINK("https://drive.google.com/file/d/13_VzGMCle1nZKLHKIXXvggGpru28WU-s/view?usp=drivesdk","HERNANDEZ FRIAS JANNET MARIBEL Formato de reinscripción y pago 2022-2")</f>
        <v>HERNANDEZ FRIAS JANNET MARIBEL Formato de reinscripción y pago 2022-2</v>
      </c>
      <c r="GL101" s="1" t="s">
        <v>4579</v>
      </c>
    </row>
    <row r="102" spans="1:194" ht="38.25" x14ac:dyDescent="0.2">
      <c r="A102" s="2">
        <v>45139.418919629628</v>
      </c>
      <c r="B102" s="1" t="s">
        <v>768</v>
      </c>
      <c r="C102" s="1" t="s">
        <v>1933</v>
      </c>
      <c r="D102" s="1" t="s">
        <v>792</v>
      </c>
      <c r="E102" s="1" t="s">
        <v>677</v>
      </c>
      <c r="F102" s="1" t="s">
        <v>262</v>
      </c>
      <c r="G102" s="5" t="s">
        <v>4580</v>
      </c>
      <c r="H102" s="41">
        <v>38923</v>
      </c>
      <c r="I102" s="1">
        <v>17</v>
      </c>
      <c r="J102" s="1">
        <v>5578975416</v>
      </c>
      <c r="K102" s="1">
        <v>5522901699</v>
      </c>
      <c r="L102" s="1" t="s">
        <v>769</v>
      </c>
      <c r="M102" s="1">
        <v>21309060570012</v>
      </c>
      <c r="N102" s="1" t="s">
        <v>224</v>
      </c>
      <c r="O102" s="1" t="s">
        <v>247</v>
      </c>
      <c r="P102" s="1" t="s">
        <v>226</v>
      </c>
      <c r="Q102" s="1" t="s">
        <v>248</v>
      </c>
      <c r="R102" s="1" t="s">
        <v>236</v>
      </c>
      <c r="S102" s="1" t="s">
        <v>236</v>
      </c>
      <c r="T102" s="1" t="s">
        <v>229</v>
      </c>
      <c r="U102" s="1" t="s">
        <v>249</v>
      </c>
      <c r="V102" s="1" t="s">
        <v>228</v>
      </c>
      <c r="W102" s="1" t="s">
        <v>4581</v>
      </c>
      <c r="X102" s="1" t="s">
        <v>249</v>
      </c>
      <c r="Y102" s="1" t="s">
        <v>1121</v>
      </c>
      <c r="Z102" s="1" t="s">
        <v>240</v>
      </c>
      <c r="AA102" s="44" t="s">
        <v>654</v>
      </c>
      <c r="AB102" s="1" t="s">
        <v>4582</v>
      </c>
      <c r="AC102" s="1" t="s">
        <v>2650</v>
      </c>
      <c r="AD102" s="1" t="s">
        <v>4583</v>
      </c>
      <c r="AE102" s="1" t="s">
        <v>4584</v>
      </c>
      <c r="AF102" s="1" t="s">
        <v>435</v>
      </c>
      <c r="AG102" s="1">
        <v>45</v>
      </c>
      <c r="AH102" s="5" t="s">
        <v>4585</v>
      </c>
      <c r="AI102" s="1">
        <v>5525020318</v>
      </c>
      <c r="AJ102" s="1">
        <v>5522901699</v>
      </c>
      <c r="AK102" s="1" t="s">
        <v>770</v>
      </c>
      <c r="AL102" s="1" t="s">
        <v>792</v>
      </c>
      <c r="AM102" s="1" t="s">
        <v>1318</v>
      </c>
      <c r="AN102" s="1" t="s">
        <v>4586</v>
      </c>
      <c r="AO102" s="1" t="s">
        <v>265</v>
      </c>
      <c r="AP102" s="1">
        <v>43</v>
      </c>
      <c r="AQ102" s="1" t="s">
        <v>328</v>
      </c>
      <c r="AR102" s="42">
        <v>0.95833333333575865</v>
      </c>
      <c r="AS102" s="42">
        <v>0.5</v>
      </c>
      <c r="AT102" s="1">
        <v>5522517279</v>
      </c>
      <c r="AU102" s="1">
        <v>5522901699</v>
      </c>
      <c r="AV102" s="1" t="s">
        <v>772</v>
      </c>
      <c r="AW102" s="5" t="s">
        <v>4587</v>
      </c>
      <c r="AX102" s="1" t="s">
        <v>1933</v>
      </c>
      <c r="AY102" s="1" t="s">
        <v>792</v>
      </c>
      <c r="AZ102" s="1" t="s">
        <v>4588</v>
      </c>
      <c r="BA102" s="1" t="s">
        <v>488</v>
      </c>
      <c r="BB102" s="1">
        <v>22</v>
      </c>
      <c r="BC102" s="1" t="s">
        <v>1044</v>
      </c>
      <c r="BD102" s="43">
        <v>0.20833333333575865</v>
      </c>
      <c r="BE102" s="43">
        <v>0.1875</v>
      </c>
      <c r="BF102" s="1">
        <v>5560988046</v>
      </c>
      <c r="BG102" s="1">
        <v>5522901699</v>
      </c>
      <c r="BH102" s="1" t="s">
        <v>4589</v>
      </c>
      <c r="BI102" s="5" t="s">
        <v>4590</v>
      </c>
      <c r="BJ102" s="1" t="s">
        <v>236</v>
      </c>
      <c r="BL102" s="1">
        <v>1.6</v>
      </c>
      <c r="BM102" s="1">
        <v>49</v>
      </c>
      <c r="BN102" s="1" t="s">
        <v>228</v>
      </c>
      <c r="BO102" s="1" t="s">
        <v>228</v>
      </c>
      <c r="BQ102" s="1" t="s">
        <v>228</v>
      </c>
      <c r="BR102" s="1" t="s">
        <v>237</v>
      </c>
      <c r="BS102" s="1" t="s">
        <v>236</v>
      </c>
      <c r="BT102" s="1" t="s">
        <v>457</v>
      </c>
      <c r="BU102" s="1" t="s">
        <v>228</v>
      </c>
      <c r="BW102" s="1" t="s">
        <v>272</v>
      </c>
      <c r="BX102" s="1">
        <v>30</v>
      </c>
      <c r="BY102" s="1">
        <v>50</v>
      </c>
      <c r="BZ102" s="1" t="s">
        <v>298</v>
      </c>
      <c r="CA102" s="1" t="s">
        <v>343</v>
      </c>
      <c r="CB102" s="1" t="s">
        <v>240</v>
      </c>
      <c r="CC102" s="1" t="s">
        <v>274</v>
      </c>
      <c r="CD102" s="1">
        <v>2000</v>
      </c>
      <c r="CE102" s="1">
        <v>1000</v>
      </c>
      <c r="CF102" s="1" t="s">
        <v>236</v>
      </c>
      <c r="CG102" s="1" t="s">
        <v>242</v>
      </c>
      <c r="CH102" s="1" t="s">
        <v>243</v>
      </c>
      <c r="CI102" s="1" t="s">
        <v>243</v>
      </c>
      <c r="CJ102" s="1" t="s">
        <v>2848</v>
      </c>
      <c r="CL102" s="5" t="s">
        <v>4591</v>
      </c>
      <c r="CM102" s="44" t="s">
        <v>773</v>
      </c>
      <c r="CN102" s="1" t="s">
        <v>228</v>
      </c>
      <c r="CQ102" s="42">
        <v>0.83333333333575865</v>
      </c>
      <c r="CR102" s="42">
        <v>0.83333333333575865</v>
      </c>
      <c r="CT102" s="45" t="str">
        <f t="array" ref="CT102">IFERROR(INDEX(#REF!,MATCH('Respuestas de formulario 1.1'!$B102,#REF!,0),MATCH('Respuestas de formulario 1.1'!CT$1,#REF!,0)),"")</f>
        <v/>
      </c>
      <c r="CU102" s="56" t="str">
        <f t="array" ref="CU102">IFERROR(INDEX(#REF!,MATCH('Respuestas de formulario 1.1'!$B102,#REF!,0),MATCH('Respuestas de formulario 1.1'!CU$1,#REF!,0)),"")</f>
        <v/>
      </c>
      <c r="CV102" s="56" t="str">
        <f t="array" ref="CV102">IFERROR(INDEX(#REF!,MATCH('Respuestas de formulario 1.1'!$B102,#REF!,0),MATCH('Respuestas de formulario 1.1'!CV$1,#REF!,0)),"")</f>
        <v/>
      </c>
      <c r="CW102" s="56" t="str">
        <f t="array" ref="CW102">IFERROR(INDEX(#REF!,MATCH('Respuestas de formulario 1.1'!$B102,#REF!,0),MATCH('Respuestas de formulario 1.1'!CW$1,#REF!,0)),"")</f>
        <v/>
      </c>
      <c r="CX102" s="56" t="str">
        <f t="array" ref="CX102">IFERROR(INDEX(#REF!,MATCH('Respuestas de formulario 1.1'!$B102,#REF!,0),MATCH('Respuestas de formulario 1.1'!CX$1,#REF!,0)),"")</f>
        <v/>
      </c>
      <c r="CY102" s="56" t="str">
        <f t="array" ref="CY102">IFERROR(INDEX(#REF!,MATCH('Respuestas de formulario 1.1'!$B102,#REF!,0),MATCH('Respuestas de formulario 1.1'!CY$1,#REF!,0)),"")</f>
        <v/>
      </c>
      <c r="CZ102" s="57" t="str">
        <f t="array" ref="CZ102">IFERROR(INDEX(#REF!,MATCH('Respuestas de formulario 1.1'!$B102,#REF!,0),MATCH('Respuestas de formulario 1.1'!CZ$1,#REF!,0)),"")</f>
        <v/>
      </c>
      <c r="DA102" s="45" t="e">
        <f t="array" ref="DA102">INDEX(#REF!,MATCH('Respuestas de formulario 1.1'!$B102,#REF!,0),MATCH('Respuestas de formulario 1.1'!DA$1,#REF!,0))</f>
        <v>#REF!</v>
      </c>
      <c r="DB102" s="45" t="e">
        <f t="array" ref="DB102">INDEX(#REF!,MATCH('Respuestas de formulario 1.1'!$B102,#REF!,0),MATCH('Respuestas de formulario 1.1'!DB$1,#REF!,0))</f>
        <v>#REF!</v>
      </c>
      <c r="DC102" s="45" t="e">
        <f t="array" ref="DC102">INDEX(#REF!,MATCH('Respuestas de formulario 1.1'!$B102,#REF!,0),MATCH('Respuestas de formulario 1.1'!DC$1,#REF!,0))</f>
        <v>#REF!</v>
      </c>
      <c r="DD102" s="45" t="e">
        <f t="array" ref="DD102">INDEX(#REF!,MATCH('Respuestas de formulario 1.1'!$B102,#REF!,0),MATCH('Respuestas de formulario 1.1'!DD$1,#REF!,0))</f>
        <v>#REF!</v>
      </c>
      <c r="DE102" s="45" t="e">
        <f t="array" ref="DE102">INDEX(#REF!,MATCH('Respuestas de formulario 1.1'!$B102,#REF!,0),MATCH('Respuestas de formulario 1.1'!DE$1,#REF!,0))</f>
        <v>#REF!</v>
      </c>
      <c r="DF102" s="45" t="e">
        <f t="array" ref="DF102">INDEX(#REF!,MATCH('Respuestas de formulario 1.1'!$B102,#REF!,0),MATCH('Respuestas de formulario 1.1'!DF$1,#REF!,0))</f>
        <v>#REF!</v>
      </c>
      <c r="DG102" s="45" t="e">
        <f t="array" ref="DG102">INDEX(#REF!,MATCH('Respuestas de formulario 1.1'!$B102,#REF!,0),MATCH('Respuestas de formulario 1.1'!DG$1,#REF!,0))</f>
        <v>#REF!</v>
      </c>
      <c r="DH102" s="45" t="e">
        <f t="array" ref="DH102">INDEX(#REF!,MATCH('Respuestas de formulario 1.1'!$B102,#REF!,0),MATCH('Respuestas de formulario 1.1'!DH$1,#REF!,0))</f>
        <v>#REF!</v>
      </c>
      <c r="DI102" s="48" t="e">
        <f>VLOOKUP(CONCATENATE($DF102," TUTO ",$DC102),#REF!,3,0)</f>
        <v>#REF!</v>
      </c>
      <c r="DJ102" s="48" t="e">
        <f t="array" ref="DJ102">IF('Respuestas de formulario 1.1'!A102="","",INDEX(#REF!,MATCH('Respuestas de formulario 1.1'!B102,#REF!,0),MATCH('Respuestas de formulario 1.1'!$DH$1,#REF!,0)))</f>
        <v>#REF!</v>
      </c>
      <c r="DK102" s="52" t="str">
        <f>CONCATENATE("http://doc.google.com/uc?id=",MID('Respuestas de formulario 1.1'!G102,34,33))</f>
        <v>http://doc.google.com/uc?id=1qNbkPwlKLK8rZ7jDcCtwYjN5hHVsz9NG</v>
      </c>
      <c r="DL102" s="49" t="str">
        <f>CONCATENATE("http://doc.google.com/uc?id=",MID('Respuestas de formulario 1.1'!AH102,34,33))</f>
        <v>http://doc.google.com/uc?id=1kZCzyQRJg0OzeLLm9vNU4da6LFuaFQFV</v>
      </c>
      <c r="DM102" s="50" t="str">
        <f>CONCATENATE("http://doc.google.com/uc?id=",MID('Respuestas de formulario 1.1'!AW102,34,33))</f>
        <v>http://doc.google.com/uc?id=1ip_f1a4ScMDoHRS133h44Awh7hcErk1q</v>
      </c>
      <c r="DN102" s="53" t="str">
        <f>CONCATENATE("http://doc.google.com/uc?id=",MID('Respuestas de formulario 1.1'!$BI102,34,33))</f>
        <v>http://doc.google.com/uc?id=1UAQ3FtZ0lZunhZjf-cbtBHch1mKCE3OK</v>
      </c>
      <c r="DO102" s="45" t="str">
        <f>IFERROR(VLOOKUP(CONCATENATE('Respuestas de formulario 1.1'!$B102,MID('Respuestas de formulario 1.1'!DO$1,2,1)),#REF!,12,0),"")</f>
        <v/>
      </c>
      <c r="DP102" s="45" t="str">
        <f>IFERROR(VLOOKUP(CONCATENATE('Respuestas de formulario 1.1'!$B102,MID('Respuestas de formulario 1.1'!DP$1,2,1)),#REF!,12,0),"")</f>
        <v/>
      </c>
      <c r="DQ102" s="45" t="str">
        <f>IFERROR(VLOOKUP(CONCATENATE('Respuestas de formulario 1.1'!$B102,MID('Respuestas de formulario 1.1'!DQ$1,2,1)),#REF!,12,0),"")</f>
        <v/>
      </c>
      <c r="DR102" s="45" t="str">
        <f>IFERROR(VLOOKUP(CONCATENATE('Respuestas de formulario 1.1'!$B102,MID('Respuestas de formulario 1.1'!DR$1,2,1)),#REF!,12,0),"")</f>
        <v/>
      </c>
      <c r="DS102" s="45" t="str">
        <f>IFERROR(VLOOKUP(CONCATENATE('Respuestas de formulario 1.1'!$B102,MID('Respuestas de formulario 1.1'!DS$1,2,1)),#REF!,12,0),"")</f>
        <v/>
      </c>
      <c r="DT102" s="45" t="str">
        <f>IFERROR(VLOOKUP(CONCATENATE('Respuestas de formulario 1.1'!$B102,MID('Respuestas de formulario 1.1'!DT$1,2,1)),#REF!,12,0),"")</f>
        <v/>
      </c>
      <c r="DU102" s="45" t="str">
        <f>IFERROR(VLOOKUP(CONCATENATE('Respuestas de formulario 1.1'!$B102,MID('Respuestas de formulario 1.1'!DU$1,2,1)),#REF!,12,0),"")</f>
        <v/>
      </c>
      <c r="DV102" s="45" t="str">
        <f>IFERROR(VLOOKUP(CONCATENATE('Respuestas de formulario 1.1'!$B102,MID('Respuestas de formulario 1.1'!DV$1,2,1)),#REF!,12,0),"")</f>
        <v/>
      </c>
      <c r="DW102" s="45" t="str">
        <f>IFERROR(VLOOKUP(CONCATENATE('Respuestas de formulario 1.1'!$B102,MID('Respuestas de formulario 1.1'!DW$1,2,1)),#REF!,12,0),"")</f>
        <v/>
      </c>
      <c r="DX102" s="45" t="str">
        <f>IFERROR(VLOOKUP(CONCATENATE('Respuestas de formulario 1.1'!$B102,MID('Respuestas de formulario 1.1'!DX$1,2,1)),#REF!,12,0),"")</f>
        <v/>
      </c>
      <c r="DY102" s="45" t="str">
        <f>IFERROR(VLOOKUP(CONCATENATE('Respuestas de formulario 1.1'!$B102,MID('Respuestas de formulario 1.1'!DY$1,2,1)),#REF!,12,0),"")</f>
        <v/>
      </c>
      <c r="DZ102" s="45" t="str">
        <f>IFERROR(VLOOKUP(CONCATENATE('Respuestas de formulario 1.1'!$B102,MID('Respuestas de formulario 1.1'!DZ$1,2,1)),#REF!,12,0),"")</f>
        <v/>
      </c>
      <c r="EA102" s="45" t="str">
        <f>IFERROR(VLOOKUP(CONCATENATE('Respuestas de formulario 1.1'!$B102,MID('Respuestas de formulario 1.1'!EA$1,2,1)),#REF!,12,0),"")</f>
        <v/>
      </c>
      <c r="EB102" s="45" t="str">
        <f>IFERROR(VLOOKUP(CONCATENATE('Respuestas de formulario 1.1'!$B102,MID('Respuestas de formulario 1.1'!EB$1,2,1)),#REF!,12,0),"")</f>
        <v/>
      </c>
      <c r="EC102" s="45" t="str">
        <f>IFERROR(VLOOKUP(CONCATENATE('Respuestas de formulario 1.1'!$B102,MID('Respuestas de formulario 1.1'!EC$1,2,1)),#REF!,12,0),"")</f>
        <v/>
      </c>
      <c r="ED102" s="45" t="str">
        <f>IFERROR(VLOOKUP(CONCATENATE('Respuestas de formulario 1.1'!$B102,MID('Respuestas de formulario 1.1'!ED$1,2,1)),#REF!,12,0),"")</f>
        <v/>
      </c>
      <c r="EE102" s="45" t="str">
        <f>IFERROR(VLOOKUP(CONCATENATE('Respuestas de formulario 1.1'!$B102,MID('Respuestas de formulario 1.1'!EE$1,2,1)),#REF!,12,0),"")</f>
        <v/>
      </c>
      <c r="EF102" s="45" t="str">
        <f>IFERROR(VLOOKUP(CONCATENATE('Respuestas de formulario 1.1'!$B102,MID('Respuestas de formulario 1.1'!EF$1,2,1)),#REF!,12,0),"")</f>
        <v/>
      </c>
      <c r="EG102" s="45" t="str">
        <f>IFERROR(VLOOKUP(CONCATENATE('Respuestas de formulario 1.1'!$B102,MID('Respuestas de formulario 1.1'!EG$1,2,1)),#REF!,12,0),"")</f>
        <v/>
      </c>
      <c r="EH102" s="45" t="str">
        <f>IFERROR(VLOOKUP(CONCATENATE('Respuestas de formulario 1.1'!$B102,MID('Respuestas de formulario 1.1'!EH$1,2,1)),#REF!,12,0),"")</f>
        <v/>
      </c>
      <c r="EI102" s="45" t="str">
        <f>IFERROR(VLOOKUP(CONCATENATE('Respuestas de formulario 1.1'!$B102,MID('Respuestas de formulario 1.1'!EI$1,2,1)),#REF!,12,0),"")</f>
        <v/>
      </c>
      <c r="EJ102" s="45" t="str">
        <f t="array" ref="EJ102">IF(DO102="","", INDEX(#REF!,MATCH(CONCATENATE('Respuestas de formulario 1.1'!$B102,DO102),#REF!,0),MATCH('Respuestas de formulario 1.1'!EJ$1,#REF!,0)))</f>
        <v/>
      </c>
      <c r="EK102" s="56" t="str">
        <f t="array" ref="EK102">IF(DP102="","", INDEX(#REF!,MATCH(CONCATENATE('Respuestas de formulario 1.1'!$B102,DP102),#REF!,0),MATCH('Respuestas de formulario 1.1'!EK$1,#REF!,0)))</f>
        <v/>
      </c>
      <c r="EL102" s="56" t="str">
        <f t="array" ref="EL102">IF(DQ102="","", INDEX(#REF!,MATCH(CONCATENATE('Respuestas de formulario 1.1'!$B102,DQ102),#REF!,0),MATCH('Respuestas de formulario 1.1'!EL$1,#REF!,0)))</f>
        <v/>
      </c>
      <c r="EM102" s="56" t="str">
        <f t="array" ref="EM102">IF(DR102="","", INDEX(#REF!,MATCH(CONCATENATE('Respuestas de formulario 1.1'!$B102,DR102),#REF!,0),MATCH('Respuestas de formulario 1.1'!EM$1,#REF!,0)))</f>
        <v/>
      </c>
      <c r="EN102" s="56" t="str">
        <f t="array" ref="EN102">IF(DS102="","", INDEX(#REF!,MATCH(CONCATENATE('Respuestas de formulario 1.1'!$B102,DS102),#REF!,0),MATCH('Respuestas de formulario 1.1'!EN$1,#REF!,0)))</f>
        <v/>
      </c>
      <c r="EO102" s="56" t="str">
        <f t="array" ref="EO102">IF(DT102="","", INDEX(#REF!,MATCH(CONCATENATE('Respuestas de formulario 1.1'!$B102,DT102),#REF!,0),MATCH('Respuestas de formulario 1.1'!EO$1,#REF!,0)))</f>
        <v/>
      </c>
      <c r="EP102" s="45" t="str">
        <f t="array" ref="EP102">IF(DU102="","", INDEX(#REF!,MATCH(CONCATENATE('Respuestas de formulario 1.1'!$B102,DU102),#REF!,0),MATCH('Respuestas de formulario 1.1'!EP$1,#REF!,0)))</f>
        <v/>
      </c>
      <c r="EQ102" s="45" t="str">
        <f t="array" ref="EQ102">IF(DP102="","", INDEX(#REF!,MATCH(CONCATENATE('Respuestas de formulario 1.1'!$B102,DP102),#REF!,0),MATCH('Respuestas de formulario 1.1'!EQ$1,#REF!,0)))</f>
        <v/>
      </c>
      <c r="ER102" s="56" t="str">
        <f t="array" ref="ER102">IF(DQ102="","", INDEX(#REF!,MATCH(CONCATENATE('Respuestas de formulario 1.1'!$B102,DQ102),#REF!,0),MATCH('Respuestas de formulario 1.1'!ER$1,#REF!,0)))</f>
        <v/>
      </c>
      <c r="ES102" s="56" t="str">
        <f t="array" ref="ES102">IF(DR102="","", INDEX(#REF!,MATCH(CONCATENATE('Respuestas de formulario 1.1'!$B102,DR102),#REF!,0),MATCH('Respuestas de formulario 1.1'!ES$1,#REF!,0)))</f>
        <v/>
      </c>
      <c r="ET102" s="56" t="str">
        <f t="array" ref="ET102">IF(DS102="","", INDEX(#REF!,MATCH(CONCATENATE('Respuestas de formulario 1.1'!$B102,DS102),#REF!,0),MATCH('Respuestas de formulario 1.1'!ET$1,#REF!,0)))</f>
        <v/>
      </c>
      <c r="EU102" s="56" t="str">
        <f t="array" ref="EU102">IF(DT102="","", INDEX(#REF!,MATCH(CONCATENATE('Respuestas de formulario 1.1'!$B102,DT102),#REF!,0),MATCH('Respuestas de formulario 1.1'!EU$1,#REF!,0)))</f>
        <v/>
      </c>
      <c r="EV102" s="56" t="str">
        <f t="array" ref="EV102">IF(DU102="","", INDEX(#REF!,MATCH(CONCATENATE('Respuestas de formulario 1.1'!$B102,DU102),#REF!,0),MATCH('Respuestas de formulario 1.1'!EV$1,#REF!,0)))</f>
        <v/>
      </c>
      <c r="EW102" s="45" t="str">
        <f t="array" ref="EW102">IF(DV102="","", INDEX(#REF!,MATCH(CONCATENATE('Respuestas de formulario 1.1'!$B102,DV102),#REF!,0),MATCH('Respuestas de formulario 1.1'!EW$1,#REF!,0)))</f>
        <v/>
      </c>
      <c r="EX102" s="45" t="str">
        <f t="array" ref="EX102">IF($DQ102="","", INDEX(#REF!,MATCH(CONCATENATE('Respuestas de formulario 1.1'!$B102,$DQ102),#REF!,0),MATCH('Respuestas de formulario 1.1'!EX$1,#REF!,0)))</f>
        <v/>
      </c>
      <c r="EY102" s="56" t="str">
        <f t="array" ref="EY102">IF($DQ102="","", INDEX(#REF!,MATCH(CONCATENATE('Respuestas de formulario 1.1'!$B102,$DQ102),#REF!,0),MATCH('Respuestas de formulario 1.1'!EY$1,#REF!,0)))</f>
        <v/>
      </c>
      <c r="EZ102" s="56" t="str">
        <f t="array" ref="EZ102">IF($DQ102="","", INDEX(#REF!,MATCH(CONCATENATE('Respuestas de formulario 1.1'!$B102,$DQ102),#REF!,0),MATCH('Respuestas de formulario 1.1'!EZ$1,#REF!,0)))</f>
        <v/>
      </c>
      <c r="FA102" s="56" t="str">
        <f t="array" ref="FA102">IF($DQ102="","", INDEX(#REF!,MATCH(CONCATENATE('Respuestas de formulario 1.1'!$B102,$DQ102),#REF!,0),MATCH('Respuestas de formulario 1.1'!FA$1,#REF!,0)))</f>
        <v/>
      </c>
      <c r="FB102" s="56" t="str">
        <f t="array" ref="FB102">IF($DQ102="","", INDEX(#REF!,MATCH(CONCATENATE('Respuestas de formulario 1.1'!$B102,$DQ102),#REF!,0),MATCH('Respuestas de formulario 1.1'!FB$1,#REF!,0)))</f>
        <v/>
      </c>
      <c r="FC102" s="56" t="str">
        <f t="array" ref="FC102">IF($DQ102="","", INDEX(#REF!,MATCH(CONCATENATE('Respuestas de formulario 1.1'!$B102,$DQ102),#REF!,0),MATCH('Respuestas de formulario 1.1'!FC$1,#REF!,0)))</f>
        <v/>
      </c>
      <c r="FD102" s="45" t="str">
        <f t="array" ref="FD102">IF($DQ102="","", INDEX(#REF!,MATCH(CONCATENATE('Respuestas de formulario 1.1'!$B102,$DQ102),#REF!,0),MATCH('Respuestas de formulario 1.1'!FD$1,#REF!,0)))</f>
        <v/>
      </c>
      <c r="FE102" s="45" t="str">
        <f t="array" ref="FE102">IF($DR102="","", INDEX(#REF!,MATCH(CONCATENATE(#REF!,$DR102),#REF!,0),MATCH(#REF!,#REF!,0)))</f>
        <v/>
      </c>
      <c r="FF102" s="56" t="str">
        <f t="array" ref="FF102">IF($DR102="","", INDEX(#REF!,MATCH(CONCATENATE(#REF!,$DR102),#REF!,0),MATCH(#REF!,#REF!,0)))</f>
        <v/>
      </c>
      <c r="FG102" s="56" t="str">
        <f t="array" ref="FG102">IF($DR102="","", INDEX(#REF!,MATCH(CONCATENATE(#REF!,$DR102),#REF!,0),MATCH(#REF!,#REF!,0)))</f>
        <v/>
      </c>
      <c r="FH102" s="56" t="str">
        <f t="array" ref="FH102">IF($DR102="","", INDEX(#REF!,MATCH(CONCATENATE(#REF!,$DR102),#REF!,0),MATCH(#REF!,#REF!,0)))</f>
        <v/>
      </c>
      <c r="FI102" s="56" t="str">
        <f t="array" ref="FI102">IF($DR102="","", INDEX(#REF!,MATCH(CONCATENATE(#REF!,$DR102),#REF!,0),MATCH(#REF!,#REF!,0)))</f>
        <v/>
      </c>
      <c r="FJ102" s="56" t="str">
        <f t="array" ref="FJ102">IF($DR102="","", INDEX(#REF!,MATCH(CONCATENATE(#REF!,$DR102),#REF!,0),MATCH(#REF!,#REF!,0)))</f>
        <v/>
      </c>
      <c r="FK102" s="45" t="str">
        <f t="array" ref="FK102">IF($DR102="","", INDEX(#REF!,MATCH(CONCATENATE(#REF!,$DR102),#REF!,0),MATCH(#REF!,#REF!,0)))</f>
        <v/>
      </c>
      <c r="FL102" s="45" t="str">
        <f t="array" ref="FL102">IF($DT102="","", INDEX(#REF!,MATCH(CONCATENATE('Respuestas de formulario 1.1'!$B102,$DS102),#REF!,0),MATCH('Respuestas de formulario 1.1'!FL$1,#REF!,0)))</f>
        <v/>
      </c>
      <c r="FM102" s="56" t="str">
        <f t="array" ref="FM102">IF($DT102="","", INDEX(#REF!,MATCH(CONCATENATE('Respuestas de formulario 1.1'!$B102,$DS102),#REF!,0),MATCH('Respuestas de formulario 1.1'!FM$1,#REF!,0)))</f>
        <v/>
      </c>
      <c r="FN102" s="56" t="str">
        <f t="array" ref="FN102">IF($DT102="","", INDEX(#REF!,MATCH(CONCATENATE('Respuestas de formulario 1.1'!$B102,$DS102),#REF!,0),MATCH('Respuestas de formulario 1.1'!FN$1,#REF!,0)))</f>
        <v/>
      </c>
      <c r="FO102" s="56" t="str">
        <f t="array" ref="FO102">IF($DT102="","", INDEX(#REF!,MATCH(CONCATENATE('Respuestas de formulario 1.1'!$B102,$DS102),#REF!,0),MATCH('Respuestas de formulario 1.1'!FO$1,#REF!,0)))</f>
        <v/>
      </c>
      <c r="FP102" s="56" t="str">
        <f t="array" ref="FP102">IF($DT102="","", INDEX(#REF!,MATCH(CONCATENATE('Respuestas de formulario 1.1'!$B102,$DS102),#REF!,0),MATCH('Respuestas de formulario 1.1'!FP$1,#REF!,0)))</f>
        <v/>
      </c>
      <c r="FQ102" s="56" t="str">
        <f t="array" ref="FQ102">IF($DT102="","", INDEX(#REF!,MATCH(CONCATENATE('Respuestas de formulario 1.1'!$B102,$DS102),#REF!,0),MATCH('Respuestas de formulario 1.1'!FQ$1,#REF!,0)))</f>
        <v/>
      </c>
      <c r="FR102" s="45" t="str">
        <f t="array" ref="FR102">IF($DT102="","", INDEX(#REF!,MATCH(CONCATENATE('Respuestas de formulario 1.1'!$B102,$DS102),#REF!,0),MATCH('Respuestas de formulario 1.1'!FR$1,#REF!,0)))</f>
        <v/>
      </c>
      <c r="FS102" s="45" t="str">
        <f t="array" ref="FS102">IF($DU102="","", INDEX(#REF!,MATCH(CONCATENATE('Respuestas de formulario 1.1'!$B102,$DT102),#REF!,0),MATCH('Respuestas de formulario 1.1'!FS$1,#REF!,0)))</f>
        <v/>
      </c>
      <c r="FT102" s="56" t="str">
        <f t="array" ref="FT102">IF($DU102="","", INDEX(#REF!,MATCH(CONCATENATE('Respuestas de formulario 1.1'!$B102,$DT102),#REF!,0),MATCH('Respuestas de formulario 1.1'!FT$1,#REF!,0)))</f>
        <v/>
      </c>
      <c r="FU102" s="56" t="str">
        <f t="array" ref="FU102">IF($DU102="","", INDEX(#REF!,MATCH(CONCATENATE('Respuestas de formulario 1.1'!$B102,$DT102),#REF!,0),MATCH('Respuestas de formulario 1.1'!FU$1,#REF!,0)))</f>
        <v/>
      </c>
      <c r="FV102" s="56" t="str">
        <f t="array" ref="FV102">IF($DU102="","", INDEX(#REF!,MATCH(CONCATENATE('Respuestas de formulario 1.1'!$B102,$DT102),#REF!,0),MATCH('Respuestas de formulario 1.1'!FV$1,#REF!,0)))</f>
        <v/>
      </c>
      <c r="FW102" s="56" t="str">
        <f t="array" ref="FW102">IF($DU102="","", INDEX(#REF!,MATCH(CONCATENATE('Respuestas de formulario 1.1'!$B102,$DT102),#REF!,0),MATCH('Respuestas de formulario 1.1'!FW$1,#REF!,0)))</f>
        <v/>
      </c>
      <c r="FX102" s="56" t="str">
        <f t="array" ref="FX102">IF($DU102="","", INDEX(#REF!,MATCH(CONCATENATE('Respuestas de formulario 1.1'!$B102,$DT102),#REF!,0),MATCH('Respuestas de formulario 1.1'!FX$1,#REF!,0)))</f>
        <v/>
      </c>
      <c r="FY102" s="45" t="str">
        <f t="array" ref="FY102">IF($DU102="","", INDEX(#REF!,MATCH(CONCATENATE('Respuestas de formulario 1.1'!$B102,$DT102),#REF!,0),MATCH('Respuestas de formulario 1.1'!FY$1,#REF!,0)))</f>
        <v/>
      </c>
      <c r="FZ102" s="3" t="s">
        <v>2860</v>
      </c>
      <c r="GA102" s="1" t="s">
        <v>4592</v>
      </c>
      <c r="GB102" s="5" t="s">
        <v>4593</v>
      </c>
      <c r="GC102" s="4" t="str">
        <f>HYPERLINK("https://drive.google.com/file/d/1oBWAzBVaNPnUU3EPMeAg_aKqc8s90Jjq/view?usp=drivesdk","BARRADAS  SERNA  DIEGO Formato de reinscripción y pago 2022-2")</f>
        <v>BARRADAS  SERNA  DIEGO Formato de reinscripción y pago 2022-2</v>
      </c>
      <c r="GD102" s="1" t="s">
        <v>4594</v>
      </c>
      <c r="GE102" s="1"/>
      <c r="GF102" s="1"/>
      <c r="GG102" s="1"/>
      <c r="GH102" s="1"/>
      <c r="GI102" s="1" t="s">
        <v>4595</v>
      </c>
      <c r="GJ102" s="5" t="s">
        <v>4596</v>
      </c>
      <c r="GK102" s="5" t="str">
        <f>HYPERLINK("https://drive.google.com/file/d/1xNbdciD3lxdI7UZcZg-6hsHet1BEeqTr/view?usp=drivesdk","BARRADAS  SERNA  DIEGO Formato de reinscripción y pago 2022-2")</f>
        <v>BARRADAS  SERNA  DIEGO Formato de reinscripción y pago 2022-2</v>
      </c>
      <c r="GL102" s="1" t="s">
        <v>4597</v>
      </c>
    </row>
    <row r="103" spans="1:194" ht="38.25" x14ac:dyDescent="0.2">
      <c r="A103" s="2">
        <v>45139.419129513888</v>
      </c>
      <c r="B103" s="1" t="s">
        <v>67</v>
      </c>
      <c r="C103" s="1" t="s">
        <v>440</v>
      </c>
      <c r="D103" s="1" t="s">
        <v>441</v>
      </c>
      <c r="E103" s="1" t="s">
        <v>442</v>
      </c>
      <c r="F103" s="1" t="s">
        <v>223</v>
      </c>
      <c r="G103" s="5" t="s">
        <v>4598</v>
      </c>
      <c r="H103" s="41">
        <v>39009</v>
      </c>
      <c r="I103" s="1">
        <v>16</v>
      </c>
      <c r="J103" s="1">
        <v>5519796183</v>
      </c>
      <c r="K103" s="1">
        <v>5522877079</v>
      </c>
      <c r="L103" s="1" t="s">
        <v>443</v>
      </c>
      <c r="M103" s="1">
        <v>21309060570184</v>
      </c>
      <c r="N103" s="1" t="s">
        <v>1108</v>
      </c>
      <c r="O103" s="1" t="s">
        <v>247</v>
      </c>
      <c r="P103" s="1" t="s">
        <v>226</v>
      </c>
      <c r="Q103" s="1" t="s">
        <v>227</v>
      </c>
      <c r="R103" s="1" t="s">
        <v>236</v>
      </c>
      <c r="S103" s="1" t="s">
        <v>228</v>
      </c>
      <c r="T103" s="1" t="s">
        <v>411</v>
      </c>
      <c r="U103" s="1" t="s">
        <v>327</v>
      </c>
      <c r="V103" s="1" t="s">
        <v>228</v>
      </c>
      <c r="W103" s="1" t="s">
        <v>4599</v>
      </c>
      <c r="X103" s="1" t="s">
        <v>327</v>
      </c>
      <c r="Y103" s="1" t="s">
        <v>4600</v>
      </c>
      <c r="Z103" s="1" t="s">
        <v>231</v>
      </c>
      <c r="AA103" s="1">
        <v>56366</v>
      </c>
      <c r="AB103" s="1">
        <v>522</v>
      </c>
      <c r="AC103" s="1">
        <v>9</v>
      </c>
      <c r="AD103" s="1" t="s">
        <v>4601</v>
      </c>
      <c r="AE103" s="1" t="s">
        <v>444</v>
      </c>
      <c r="AF103" s="1" t="s">
        <v>445</v>
      </c>
      <c r="AG103" s="1">
        <v>44</v>
      </c>
      <c r="AH103" s="5" t="s">
        <v>4602</v>
      </c>
      <c r="AI103" s="1">
        <v>5546631147</v>
      </c>
      <c r="AJ103" s="1">
        <v>5522877079</v>
      </c>
      <c r="AK103" s="1" t="s">
        <v>446</v>
      </c>
      <c r="AL103" s="1" t="s">
        <v>440</v>
      </c>
      <c r="AM103" s="1" t="s">
        <v>447</v>
      </c>
      <c r="AN103" s="1" t="s">
        <v>448</v>
      </c>
      <c r="AO103" s="1" t="s">
        <v>650</v>
      </c>
      <c r="AP103" s="1">
        <v>44</v>
      </c>
      <c r="AQ103" s="1" t="s">
        <v>449</v>
      </c>
      <c r="AR103" s="42">
        <v>0.375</v>
      </c>
      <c r="AS103" s="42">
        <v>0.375</v>
      </c>
      <c r="AT103" s="1">
        <v>5570707850</v>
      </c>
      <c r="AU103" s="1">
        <v>5522877079</v>
      </c>
      <c r="AV103" s="1"/>
      <c r="AW103" s="5" t="s">
        <v>4603</v>
      </c>
      <c r="AX103" s="1" t="s">
        <v>525</v>
      </c>
      <c r="AY103" s="1" t="s">
        <v>441</v>
      </c>
      <c r="AZ103" s="1" t="s">
        <v>4604</v>
      </c>
      <c r="BA103" s="1" t="s">
        <v>2019</v>
      </c>
      <c r="BB103" s="1">
        <v>18</v>
      </c>
      <c r="BC103" s="1" t="s">
        <v>450</v>
      </c>
      <c r="BD103" s="43">
        <v>0</v>
      </c>
      <c r="BE103" s="43">
        <v>0</v>
      </c>
      <c r="BF103" s="1">
        <v>5511350944</v>
      </c>
      <c r="BG103" s="1">
        <v>5522877079</v>
      </c>
      <c r="BH103" s="1"/>
      <c r="BI103" s="5" t="s">
        <v>4605</v>
      </c>
      <c r="BJ103" s="1" t="s">
        <v>236</v>
      </c>
      <c r="BL103" s="1">
        <v>160</v>
      </c>
      <c r="BM103" s="1">
        <v>69</v>
      </c>
      <c r="BN103" s="1" t="s">
        <v>236</v>
      </c>
      <c r="BO103" s="1" t="s">
        <v>228</v>
      </c>
      <c r="BQ103" s="1" t="s">
        <v>236</v>
      </c>
      <c r="BR103" s="1" t="s">
        <v>348</v>
      </c>
      <c r="BS103" s="1" t="s">
        <v>236</v>
      </c>
      <c r="BT103" s="1" t="s">
        <v>462</v>
      </c>
      <c r="BU103" s="1" t="s">
        <v>228</v>
      </c>
      <c r="BW103" s="1" t="s">
        <v>238</v>
      </c>
      <c r="BX103" s="1">
        <v>110</v>
      </c>
      <c r="BY103" s="1">
        <v>250</v>
      </c>
      <c r="BZ103" s="1" t="s">
        <v>4606</v>
      </c>
      <c r="CA103" s="1" t="s">
        <v>343</v>
      </c>
      <c r="CB103" s="1" t="s">
        <v>240</v>
      </c>
      <c r="CC103" s="1" t="s">
        <v>4607</v>
      </c>
      <c r="CD103" s="1">
        <v>600</v>
      </c>
      <c r="CE103" s="1">
        <v>800</v>
      </c>
      <c r="CF103" s="1" t="s">
        <v>236</v>
      </c>
      <c r="CG103" s="1" t="s">
        <v>242</v>
      </c>
      <c r="CH103" s="1" t="s">
        <v>243</v>
      </c>
      <c r="CI103" s="1" t="s">
        <v>243</v>
      </c>
      <c r="CJ103" s="1" t="s">
        <v>2848</v>
      </c>
      <c r="CL103" s="5" t="s">
        <v>4608</v>
      </c>
      <c r="CM103" s="1">
        <v>56210636413</v>
      </c>
      <c r="CN103" s="1" t="s">
        <v>228</v>
      </c>
      <c r="CQ103" s="42">
        <v>0.16666666666424135</v>
      </c>
      <c r="CR103" s="42">
        <v>0.39583333333575865</v>
      </c>
      <c r="CT103" s="45" t="str">
        <f t="array" ref="CT103">IFERROR(INDEX(#REF!,MATCH('Respuestas de formulario 1.1'!$B103,#REF!,0),MATCH('Respuestas de formulario 1.1'!CT$1,#REF!,0)),"")</f>
        <v/>
      </c>
      <c r="CU103" s="56" t="str">
        <f t="array" ref="CU103">IFERROR(INDEX(#REF!,MATCH('Respuestas de formulario 1.1'!$B103,#REF!,0),MATCH('Respuestas de formulario 1.1'!CU$1,#REF!,0)),"")</f>
        <v/>
      </c>
      <c r="CV103" s="56" t="str">
        <f t="array" ref="CV103">IFERROR(INDEX(#REF!,MATCH('Respuestas de formulario 1.1'!$B103,#REF!,0),MATCH('Respuestas de formulario 1.1'!CV$1,#REF!,0)),"")</f>
        <v/>
      </c>
      <c r="CW103" s="56" t="str">
        <f t="array" ref="CW103">IFERROR(INDEX(#REF!,MATCH('Respuestas de formulario 1.1'!$B103,#REF!,0),MATCH('Respuestas de formulario 1.1'!CW$1,#REF!,0)),"")</f>
        <v/>
      </c>
      <c r="CX103" s="56" t="str">
        <f t="array" ref="CX103">IFERROR(INDEX(#REF!,MATCH('Respuestas de formulario 1.1'!$B103,#REF!,0),MATCH('Respuestas de formulario 1.1'!CX$1,#REF!,0)),"")</f>
        <v/>
      </c>
      <c r="CY103" s="56" t="str">
        <f t="array" ref="CY103">IFERROR(INDEX(#REF!,MATCH('Respuestas de formulario 1.1'!$B103,#REF!,0),MATCH('Respuestas de formulario 1.1'!CY$1,#REF!,0)),"")</f>
        <v/>
      </c>
      <c r="CZ103" s="57" t="str">
        <f t="array" ref="CZ103">IFERROR(INDEX(#REF!,MATCH('Respuestas de formulario 1.1'!$B103,#REF!,0),MATCH('Respuestas de formulario 1.1'!CZ$1,#REF!,0)),"")</f>
        <v/>
      </c>
      <c r="DA103" s="45" t="e">
        <f t="array" ref="DA103">INDEX(#REF!,MATCH('Respuestas de formulario 1.1'!$B103,#REF!,0),MATCH('Respuestas de formulario 1.1'!DA$1,#REF!,0))</f>
        <v>#REF!</v>
      </c>
      <c r="DB103" s="45" t="e">
        <f t="array" ref="DB103">INDEX(#REF!,MATCH('Respuestas de formulario 1.1'!$B103,#REF!,0),MATCH('Respuestas de formulario 1.1'!DB$1,#REF!,0))</f>
        <v>#REF!</v>
      </c>
      <c r="DC103" s="45" t="e">
        <f t="array" ref="DC103">INDEX(#REF!,MATCH('Respuestas de formulario 1.1'!$B103,#REF!,0),MATCH('Respuestas de formulario 1.1'!DC$1,#REF!,0))</f>
        <v>#REF!</v>
      </c>
      <c r="DD103" s="45" t="e">
        <f t="array" ref="DD103">INDEX(#REF!,MATCH('Respuestas de formulario 1.1'!$B103,#REF!,0),MATCH('Respuestas de formulario 1.1'!DD$1,#REF!,0))</f>
        <v>#REF!</v>
      </c>
      <c r="DE103" s="45" t="e">
        <f t="array" ref="DE103">INDEX(#REF!,MATCH('Respuestas de formulario 1.1'!$B103,#REF!,0),MATCH('Respuestas de formulario 1.1'!DE$1,#REF!,0))</f>
        <v>#REF!</v>
      </c>
      <c r="DF103" s="45" t="e">
        <f t="array" ref="DF103">INDEX(#REF!,MATCH('Respuestas de formulario 1.1'!$B103,#REF!,0),MATCH('Respuestas de formulario 1.1'!DF$1,#REF!,0))</f>
        <v>#REF!</v>
      </c>
      <c r="DG103" s="45" t="e">
        <f t="array" ref="DG103">INDEX(#REF!,MATCH('Respuestas de formulario 1.1'!$B103,#REF!,0),MATCH('Respuestas de formulario 1.1'!DG$1,#REF!,0))</f>
        <v>#REF!</v>
      </c>
      <c r="DH103" s="45" t="e">
        <f t="array" ref="DH103">INDEX(#REF!,MATCH('Respuestas de formulario 1.1'!$B103,#REF!,0),MATCH('Respuestas de formulario 1.1'!DH$1,#REF!,0))</f>
        <v>#REF!</v>
      </c>
      <c r="DI103" s="48" t="e">
        <f>VLOOKUP(CONCATENATE($DF103," TUTO ",$DC103),#REF!,3,0)</f>
        <v>#REF!</v>
      </c>
      <c r="DJ103" s="48" t="e">
        <f t="array" ref="DJ103">IF('Respuestas de formulario 1.1'!A103="","",INDEX(#REF!,MATCH('Respuestas de formulario 1.1'!B103,#REF!,0),MATCH('Respuestas de formulario 1.1'!$DH$1,#REF!,0)))</f>
        <v>#REF!</v>
      </c>
      <c r="DK103" s="52" t="str">
        <f>CONCATENATE("http://doc.google.com/uc?id=",MID('Respuestas de formulario 1.1'!G103,34,33))</f>
        <v>http://doc.google.com/uc?id=19yOOSdnL-bZtPU5dHJmfgArasS_ZcHty</v>
      </c>
      <c r="DL103" s="49" t="str">
        <f>CONCATENATE("http://doc.google.com/uc?id=",MID('Respuestas de formulario 1.1'!AH103,34,33))</f>
        <v>http://doc.google.com/uc?id=177BabVkyDhcjJpjO1o6KXGj2Ok9H79VB</v>
      </c>
      <c r="DM103" s="50" t="str">
        <f>CONCATENATE("http://doc.google.com/uc?id=",MID('Respuestas de formulario 1.1'!AW103,34,33))</f>
        <v>http://doc.google.com/uc?id=10qc_Cr5t284aKtJE4cA0IT9SXzJtXAgd</v>
      </c>
      <c r="DN103" s="53" t="str">
        <f>CONCATENATE("http://doc.google.com/uc?id=",MID('Respuestas de formulario 1.1'!$BI103,34,33))</f>
        <v>http://doc.google.com/uc?id=1X6HKRPfBEVxwTPJLSs1UBkQLUYXOimXD</v>
      </c>
      <c r="DO103" s="45" t="str">
        <f>IFERROR(VLOOKUP(CONCATENATE('Respuestas de formulario 1.1'!$B103,MID('Respuestas de formulario 1.1'!DO$1,2,1)),#REF!,12,0),"")</f>
        <v/>
      </c>
      <c r="DP103" s="45" t="str">
        <f>IFERROR(VLOOKUP(CONCATENATE('Respuestas de formulario 1.1'!$B103,MID('Respuestas de formulario 1.1'!DP$1,2,1)),#REF!,12,0),"")</f>
        <v/>
      </c>
      <c r="DQ103" s="45" t="str">
        <f>IFERROR(VLOOKUP(CONCATENATE('Respuestas de formulario 1.1'!$B103,MID('Respuestas de formulario 1.1'!DQ$1,2,1)),#REF!,12,0),"")</f>
        <v/>
      </c>
      <c r="DR103" s="45" t="str">
        <f>IFERROR(VLOOKUP(CONCATENATE('Respuestas de formulario 1.1'!$B103,MID('Respuestas de formulario 1.1'!DR$1,2,1)),#REF!,12,0),"")</f>
        <v/>
      </c>
      <c r="DS103" s="45" t="str">
        <f>IFERROR(VLOOKUP(CONCATENATE('Respuestas de formulario 1.1'!$B103,MID('Respuestas de formulario 1.1'!DS$1,2,1)),#REF!,12,0),"")</f>
        <v/>
      </c>
      <c r="DT103" s="45" t="str">
        <f>IFERROR(VLOOKUP(CONCATENATE('Respuestas de formulario 1.1'!$B103,MID('Respuestas de formulario 1.1'!DT$1,2,1)),#REF!,12,0),"")</f>
        <v/>
      </c>
      <c r="DU103" s="45" t="str">
        <f>IFERROR(VLOOKUP(CONCATENATE('Respuestas de formulario 1.1'!$B103,MID('Respuestas de formulario 1.1'!DU$1,2,1)),#REF!,12,0),"")</f>
        <v/>
      </c>
      <c r="DV103" s="45" t="str">
        <f>IFERROR(VLOOKUP(CONCATENATE('Respuestas de formulario 1.1'!$B103,MID('Respuestas de formulario 1.1'!DV$1,2,1)),#REF!,12,0),"")</f>
        <v/>
      </c>
      <c r="DW103" s="45" t="str">
        <f>IFERROR(VLOOKUP(CONCATENATE('Respuestas de formulario 1.1'!$B103,MID('Respuestas de formulario 1.1'!DW$1,2,1)),#REF!,12,0),"")</f>
        <v/>
      </c>
      <c r="DX103" s="45" t="str">
        <f>IFERROR(VLOOKUP(CONCATENATE('Respuestas de formulario 1.1'!$B103,MID('Respuestas de formulario 1.1'!DX$1,2,1)),#REF!,12,0),"")</f>
        <v/>
      </c>
      <c r="DY103" s="45" t="str">
        <f>IFERROR(VLOOKUP(CONCATENATE('Respuestas de formulario 1.1'!$B103,MID('Respuestas de formulario 1.1'!DY$1,2,1)),#REF!,12,0),"")</f>
        <v/>
      </c>
      <c r="DZ103" s="45" t="str">
        <f>IFERROR(VLOOKUP(CONCATENATE('Respuestas de formulario 1.1'!$B103,MID('Respuestas de formulario 1.1'!DZ$1,2,1)),#REF!,12,0),"")</f>
        <v/>
      </c>
      <c r="EA103" s="45" t="str">
        <f>IFERROR(VLOOKUP(CONCATENATE('Respuestas de formulario 1.1'!$B103,MID('Respuestas de formulario 1.1'!EA$1,2,1)),#REF!,12,0),"")</f>
        <v/>
      </c>
      <c r="EB103" s="45" t="str">
        <f>IFERROR(VLOOKUP(CONCATENATE('Respuestas de formulario 1.1'!$B103,MID('Respuestas de formulario 1.1'!EB$1,2,1)),#REF!,12,0),"")</f>
        <v/>
      </c>
      <c r="EC103" s="45" t="str">
        <f>IFERROR(VLOOKUP(CONCATENATE('Respuestas de formulario 1.1'!$B103,MID('Respuestas de formulario 1.1'!EC$1,2,1)),#REF!,12,0),"")</f>
        <v/>
      </c>
      <c r="ED103" s="45" t="str">
        <f>IFERROR(VLOOKUP(CONCATENATE('Respuestas de formulario 1.1'!$B103,MID('Respuestas de formulario 1.1'!ED$1,2,1)),#REF!,12,0),"")</f>
        <v/>
      </c>
      <c r="EE103" s="45" t="str">
        <f>IFERROR(VLOOKUP(CONCATENATE('Respuestas de formulario 1.1'!$B103,MID('Respuestas de formulario 1.1'!EE$1,2,1)),#REF!,12,0),"")</f>
        <v/>
      </c>
      <c r="EF103" s="45" t="str">
        <f>IFERROR(VLOOKUP(CONCATENATE('Respuestas de formulario 1.1'!$B103,MID('Respuestas de formulario 1.1'!EF$1,2,1)),#REF!,12,0),"")</f>
        <v/>
      </c>
      <c r="EG103" s="45" t="str">
        <f>IFERROR(VLOOKUP(CONCATENATE('Respuestas de formulario 1.1'!$B103,MID('Respuestas de formulario 1.1'!EG$1,2,1)),#REF!,12,0),"")</f>
        <v/>
      </c>
      <c r="EH103" s="45" t="str">
        <f>IFERROR(VLOOKUP(CONCATENATE('Respuestas de formulario 1.1'!$B103,MID('Respuestas de formulario 1.1'!EH$1,2,1)),#REF!,12,0),"")</f>
        <v/>
      </c>
      <c r="EI103" s="45" t="str">
        <f>IFERROR(VLOOKUP(CONCATENATE('Respuestas de formulario 1.1'!$B103,MID('Respuestas de formulario 1.1'!EI$1,2,1)),#REF!,12,0),"")</f>
        <v/>
      </c>
      <c r="EJ103" s="45" t="str">
        <f t="array" ref="EJ103">IF(DO103="","", INDEX(#REF!,MATCH(CONCATENATE('Respuestas de formulario 1.1'!$B103,DO103),#REF!,0),MATCH('Respuestas de formulario 1.1'!EJ$1,#REF!,0)))</f>
        <v/>
      </c>
      <c r="EK103" s="56" t="str">
        <f t="array" ref="EK103">IF(DP103="","", INDEX(#REF!,MATCH(CONCATENATE('Respuestas de formulario 1.1'!$B103,DP103),#REF!,0),MATCH('Respuestas de formulario 1.1'!EK$1,#REF!,0)))</f>
        <v/>
      </c>
      <c r="EL103" s="56" t="str">
        <f t="array" ref="EL103">IF(DQ103="","", INDEX(#REF!,MATCH(CONCATENATE('Respuestas de formulario 1.1'!$B103,DQ103),#REF!,0),MATCH('Respuestas de formulario 1.1'!EL$1,#REF!,0)))</f>
        <v/>
      </c>
      <c r="EM103" s="56" t="str">
        <f t="array" ref="EM103">IF(DR103="","", INDEX(#REF!,MATCH(CONCATENATE('Respuestas de formulario 1.1'!$B103,DR103),#REF!,0),MATCH('Respuestas de formulario 1.1'!EM$1,#REF!,0)))</f>
        <v/>
      </c>
      <c r="EN103" s="56" t="str">
        <f t="array" ref="EN103">IF(DS103="","", INDEX(#REF!,MATCH(CONCATENATE('Respuestas de formulario 1.1'!$B103,DS103),#REF!,0),MATCH('Respuestas de formulario 1.1'!EN$1,#REF!,0)))</f>
        <v/>
      </c>
      <c r="EO103" s="56" t="str">
        <f t="array" ref="EO103">IF(DT103="","", INDEX(#REF!,MATCH(CONCATENATE('Respuestas de formulario 1.1'!$B103,DT103),#REF!,0),MATCH('Respuestas de formulario 1.1'!EO$1,#REF!,0)))</f>
        <v/>
      </c>
      <c r="EP103" s="45" t="str">
        <f t="array" ref="EP103">IF(DU103="","", INDEX(#REF!,MATCH(CONCATENATE('Respuestas de formulario 1.1'!$B103,DU103),#REF!,0),MATCH('Respuestas de formulario 1.1'!EP$1,#REF!,0)))</f>
        <v/>
      </c>
      <c r="EQ103" s="45" t="str">
        <f t="array" ref="EQ103">IF(DP103="","", INDEX(#REF!,MATCH(CONCATENATE('Respuestas de formulario 1.1'!$B103,DP103),#REF!,0),MATCH('Respuestas de formulario 1.1'!EQ$1,#REF!,0)))</f>
        <v/>
      </c>
      <c r="ER103" s="56" t="str">
        <f t="array" ref="ER103">IF(DQ103="","", INDEX(#REF!,MATCH(CONCATENATE('Respuestas de formulario 1.1'!$B103,DQ103),#REF!,0),MATCH('Respuestas de formulario 1.1'!ER$1,#REF!,0)))</f>
        <v/>
      </c>
      <c r="ES103" s="56" t="str">
        <f t="array" ref="ES103">IF(DR103="","", INDEX(#REF!,MATCH(CONCATENATE('Respuestas de formulario 1.1'!$B103,DR103),#REF!,0),MATCH('Respuestas de formulario 1.1'!ES$1,#REF!,0)))</f>
        <v/>
      </c>
      <c r="ET103" s="56" t="str">
        <f t="array" ref="ET103">IF(DS103="","", INDEX(#REF!,MATCH(CONCATENATE('Respuestas de formulario 1.1'!$B103,DS103),#REF!,0),MATCH('Respuestas de formulario 1.1'!ET$1,#REF!,0)))</f>
        <v/>
      </c>
      <c r="EU103" s="56" t="str">
        <f t="array" ref="EU103">IF(DT103="","", INDEX(#REF!,MATCH(CONCATENATE('Respuestas de formulario 1.1'!$B103,DT103),#REF!,0),MATCH('Respuestas de formulario 1.1'!EU$1,#REF!,0)))</f>
        <v/>
      </c>
      <c r="EV103" s="56" t="str">
        <f t="array" ref="EV103">IF(DU103="","", INDEX(#REF!,MATCH(CONCATENATE('Respuestas de formulario 1.1'!$B103,DU103),#REF!,0),MATCH('Respuestas de formulario 1.1'!EV$1,#REF!,0)))</f>
        <v/>
      </c>
      <c r="EW103" s="45" t="str">
        <f t="array" ref="EW103">IF(DV103="","", INDEX(#REF!,MATCH(CONCATENATE('Respuestas de formulario 1.1'!$B103,DV103),#REF!,0),MATCH('Respuestas de formulario 1.1'!EW$1,#REF!,0)))</f>
        <v/>
      </c>
      <c r="EX103" s="45" t="str">
        <f t="array" ref="EX103">IF($DQ103="","", INDEX(#REF!,MATCH(CONCATENATE('Respuestas de formulario 1.1'!$B103,$DQ103),#REF!,0),MATCH('Respuestas de formulario 1.1'!EX$1,#REF!,0)))</f>
        <v/>
      </c>
      <c r="EY103" s="56" t="str">
        <f t="array" ref="EY103">IF($DQ103="","", INDEX(#REF!,MATCH(CONCATENATE('Respuestas de formulario 1.1'!$B103,$DQ103),#REF!,0),MATCH('Respuestas de formulario 1.1'!EY$1,#REF!,0)))</f>
        <v/>
      </c>
      <c r="EZ103" s="56" t="str">
        <f t="array" ref="EZ103">IF($DQ103="","", INDEX(#REF!,MATCH(CONCATENATE('Respuestas de formulario 1.1'!$B103,$DQ103),#REF!,0),MATCH('Respuestas de formulario 1.1'!EZ$1,#REF!,0)))</f>
        <v/>
      </c>
      <c r="FA103" s="56" t="str">
        <f t="array" ref="FA103">IF($DQ103="","", INDEX(#REF!,MATCH(CONCATENATE('Respuestas de formulario 1.1'!$B103,$DQ103),#REF!,0),MATCH('Respuestas de formulario 1.1'!FA$1,#REF!,0)))</f>
        <v/>
      </c>
      <c r="FB103" s="56" t="str">
        <f t="array" ref="FB103">IF($DQ103="","", INDEX(#REF!,MATCH(CONCATENATE('Respuestas de formulario 1.1'!$B103,$DQ103),#REF!,0),MATCH('Respuestas de formulario 1.1'!FB$1,#REF!,0)))</f>
        <v/>
      </c>
      <c r="FC103" s="56" t="str">
        <f t="array" ref="FC103">IF($DQ103="","", INDEX(#REF!,MATCH(CONCATENATE('Respuestas de formulario 1.1'!$B103,$DQ103),#REF!,0),MATCH('Respuestas de formulario 1.1'!FC$1,#REF!,0)))</f>
        <v/>
      </c>
      <c r="FD103" s="45" t="str">
        <f t="array" ref="FD103">IF($DQ103="","", INDEX(#REF!,MATCH(CONCATENATE('Respuestas de formulario 1.1'!$B103,$DQ103),#REF!,0),MATCH('Respuestas de formulario 1.1'!FD$1,#REF!,0)))</f>
        <v/>
      </c>
      <c r="FE103" s="45" t="str">
        <f t="array" ref="FE103">IF($DR103="","", INDEX(#REF!,MATCH(CONCATENATE(#REF!,$DR103),#REF!,0),MATCH(#REF!,#REF!,0)))</f>
        <v/>
      </c>
      <c r="FF103" s="56" t="str">
        <f t="array" ref="FF103">IF($DR103="","", INDEX(#REF!,MATCH(CONCATENATE(#REF!,$DR103),#REF!,0),MATCH(#REF!,#REF!,0)))</f>
        <v/>
      </c>
      <c r="FG103" s="56" t="str">
        <f t="array" ref="FG103">IF($DR103="","", INDEX(#REF!,MATCH(CONCATENATE(#REF!,$DR103),#REF!,0),MATCH(#REF!,#REF!,0)))</f>
        <v/>
      </c>
      <c r="FH103" s="56" t="str">
        <f t="array" ref="FH103">IF($DR103="","", INDEX(#REF!,MATCH(CONCATENATE(#REF!,$DR103),#REF!,0),MATCH(#REF!,#REF!,0)))</f>
        <v/>
      </c>
      <c r="FI103" s="56" t="str">
        <f t="array" ref="FI103">IF($DR103="","", INDEX(#REF!,MATCH(CONCATENATE(#REF!,$DR103),#REF!,0),MATCH(#REF!,#REF!,0)))</f>
        <v/>
      </c>
      <c r="FJ103" s="56" t="str">
        <f t="array" ref="FJ103">IF($DR103="","", INDEX(#REF!,MATCH(CONCATENATE(#REF!,$DR103),#REF!,0),MATCH(#REF!,#REF!,0)))</f>
        <v/>
      </c>
      <c r="FK103" s="45" t="str">
        <f t="array" ref="FK103">IF($DR103="","", INDEX(#REF!,MATCH(CONCATENATE(#REF!,$DR103),#REF!,0),MATCH(#REF!,#REF!,0)))</f>
        <v/>
      </c>
      <c r="FL103" s="45" t="str">
        <f t="array" ref="FL103">IF($DT103="","", INDEX(#REF!,MATCH(CONCATENATE('Respuestas de formulario 1.1'!$B103,$DS103),#REF!,0),MATCH('Respuestas de formulario 1.1'!FL$1,#REF!,0)))</f>
        <v/>
      </c>
      <c r="FM103" s="56" t="str">
        <f t="array" ref="FM103">IF($DT103="","", INDEX(#REF!,MATCH(CONCATENATE('Respuestas de formulario 1.1'!$B103,$DS103),#REF!,0),MATCH('Respuestas de formulario 1.1'!FM$1,#REF!,0)))</f>
        <v/>
      </c>
      <c r="FN103" s="56" t="str">
        <f t="array" ref="FN103">IF($DT103="","", INDEX(#REF!,MATCH(CONCATENATE('Respuestas de formulario 1.1'!$B103,$DS103),#REF!,0),MATCH('Respuestas de formulario 1.1'!FN$1,#REF!,0)))</f>
        <v/>
      </c>
      <c r="FO103" s="56" t="str">
        <f t="array" ref="FO103">IF($DT103="","", INDEX(#REF!,MATCH(CONCATENATE('Respuestas de formulario 1.1'!$B103,$DS103),#REF!,0),MATCH('Respuestas de formulario 1.1'!FO$1,#REF!,0)))</f>
        <v/>
      </c>
      <c r="FP103" s="56" t="str">
        <f t="array" ref="FP103">IF($DT103="","", INDEX(#REF!,MATCH(CONCATENATE('Respuestas de formulario 1.1'!$B103,$DS103),#REF!,0),MATCH('Respuestas de formulario 1.1'!FP$1,#REF!,0)))</f>
        <v/>
      </c>
      <c r="FQ103" s="56" t="str">
        <f t="array" ref="FQ103">IF($DT103="","", INDEX(#REF!,MATCH(CONCATENATE('Respuestas de formulario 1.1'!$B103,$DS103),#REF!,0),MATCH('Respuestas de formulario 1.1'!FQ$1,#REF!,0)))</f>
        <v/>
      </c>
      <c r="FR103" s="45" t="str">
        <f t="array" ref="FR103">IF($DT103="","", INDEX(#REF!,MATCH(CONCATENATE('Respuestas de formulario 1.1'!$B103,$DS103),#REF!,0),MATCH('Respuestas de formulario 1.1'!FR$1,#REF!,0)))</f>
        <v/>
      </c>
      <c r="FS103" s="45" t="str">
        <f t="array" ref="FS103">IF($DU103="","", INDEX(#REF!,MATCH(CONCATENATE('Respuestas de formulario 1.1'!$B103,$DT103),#REF!,0),MATCH('Respuestas de formulario 1.1'!FS$1,#REF!,0)))</f>
        <v/>
      </c>
      <c r="FT103" s="56" t="str">
        <f t="array" ref="FT103">IF($DU103="","", INDEX(#REF!,MATCH(CONCATENATE('Respuestas de formulario 1.1'!$B103,$DT103),#REF!,0),MATCH('Respuestas de formulario 1.1'!FT$1,#REF!,0)))</f>
        <v/>
      </c>
      <c r="FU103" s="56" t="str">
        <f t="array" ref="FU103">IF($DU103="","", INDEX(#REF!,MATCH(CONCATENATE('Respuestas de formulario 1.1'!$B103,$DT103),#REF!,0),MATCH('Respuestas de formulario 1.1'!FU$1,#REF!,0)))</f>
        <v/>
      </c>
      <c r="FV103" s="56" t="str">
        <f t="array" ref="FV103">IF($DU103="","", INDEX(#REF!,MATCH(CONCATENATE('Respuestas de formulario 1.1'!$B103,$DT103),#REF!,0),MATCH('Respuestas de formulario 1.1'!FV$1,#REF!,0)))</f>
        <v/>
      </c>
      <c r="FW103" s="56" t="str">
        <f t="array" ref="FW103">IF($DU103="","", INDEX(#REF!,MATCH(CONCATENATE('Respuestas de formulario 1.1'!$B103,$DT103),#REF!,0),MATCH('Respuestas de formulario 1.1'!FW$1,#REF!,0)))</f>
        <v/>
      </c>
      <c r="FX103" s="56" t="str">
        <f t="array" ref="FX103">IF($DU103="","", INDEX(#REF!,MATCH(CONCATENATE('Respuestas de formulario 1.1'!$B103,$DT103),#REF!,0),MATCH('Respuestas de formulario 1.1'!FX$1,#REF!,0)))</f>
        <v/>
      </c>
      <c r="FY103" s="45" t="str">
        <f t="array" ref="FY103">IF($DU103="","", INDEX(#REF!,MATCH(CONCATENATE('Respuestas de formulario 1.1'!$B103,$DT103),#REF!,0),MATCH('Respuestas de formulario 1.1'!FY$1,#REF!,0)))</f>
        <v/>
      </c>
      <c r="FZ103" s="3" t="s">
        <v>2860</v>
      </c>
      <c r="GA103" s="1" t="s">
        <v>4609</v>
      </c>
      <c r="GB103" s="5" t="s">
        <v>4610</v>
      </c>
      <c r="GC103" s="4" t="str">
        <f>HYPERLINK("https://drive.google.com/file/d/1lbtTazAXclp02O45HKmDfhEcP3K_8p6u/view?usp=drivesdk","FLORES  SUAREZ  ANA ALONDRA  Formato de reinscripción y pago 2022-2")</f>
        <v>FLORES  SUAREZ  ANA ALONDRA  Formato de reinscripción y pago 2022-2</v>
      </c>
      <c r="GD103" s="1" t="s">
        <v>4611</v>
      </c>
      <c r="GE103" s="1"/>
      <c r="GF103" s="1"/>
      <c r="GG103" s="1"/>
      <c r="GH103" s="1"/>
      <c r="GI103" s="1" t="s">
        <v>4612</v>
      </c>
      <c r="GJ103" s="5" t="s">
        <v>4613</v>
      </c>
      <c r="GK103" s="5" t="str">
        <f>HYPERLINK("https://drive.google.com/file/d/1MWBTXVuwLsQaY2EyeoirVSZWfRNZEGox/view?usp=drivesdk","FLORES  SUAREZ  ANA ALONDRA  Formato de reinscripción y pago 2022-2")</f>
        <v>FLORES  SUAREZ  ANA ALONDRA  Formato de reinscripción y pago 2022-2</v>
      </c>
      <c r="GL103" s="1" t="s">
        <v>4614</v>
      </c>
    </row>
    <row r="104" spans="1:194" ht="38.25" x14ac:dyDescent="0.2">
      <c r="A104" s="2">
        <v>45139.419809976855</v>
      </c>
      <c r="B104" s="1" t="s">
        <v>368</v>
      </c>
      <c r="C104" s="1" t="s">
        <v>369</v>
      </c>
      <c r="D104" s="1" t="s">
        <v>370</v>
      </c>
      <c r="E104" s="1" t="s">
        <v>371</v>
      </c>
      <c r="F104" s="1" t="s">
        <v>262</v>
      </c>
      <c r="G104" s="5" t="s">
        <v>4615</v>
      </c>
      <c r="H104" s="41">
        <v>38603</v>
      </c>
      <c r="I104" s="1">
        <v>17</v>
      </c>
      <c r="J104" s="1">
        <v>5617517606</v>
      </c>
      <c r="K104" s="1">
        <v>5556904713</v>
      </c>
      <c r="L104" s="1" t="s">
        <v>372</v>
      </c>
      <c r="M104" s="1">
        <v>22309060570374</v>
      </c>
      <c r="N104" s="1" t="s">
        <v>562</v>
      </c>
      <c r="O104" s="1" t="s">
        <v>225</v>
      </c>
      <c r="P104" s="1" t="s">
        <v>226</v>
      </c>
      <c r="Q104" s="1" t="s">
        <v>315</v>
      </c>
      <c r="R104" s="1" t="s">
        <v>236</v>
      </c>
      <c r="S104" s="1" t="s">
        <v>228</v>
      </c>
      <c r="T104" s="1" t="s">
        <v>229</v>
      </c>
      <c r="U104" s="1" t="s">
        <v>249</v>
      </c>
      <c r="V104" s="1" t="s">
        <v>228</v>
      </c>
      <c r="W104" s="1" t="s">
        <v>4616</v>
      </c>
      <c r="X104" s="1" t="s">
        <v>249</v>
      </c>
      <c r="Y104" s="1" t="s">
        <v>381</v>
      </c>
      <c r="Z104" s="1" t="s">
        <v>240</v>
      </c>
      <c r="AA104" s="44" t="s">
        <v>373</v>
      </c>
      <c r="AB104" s="1" t="s">
        <v>4617</v>
      </c>
      <c r="AC104" s="1" t="s">
        <v>4618</v>
      </c>
      <c r="AD104" s="1" t="s">
        <v>4619</v>
      </c>
      <c r="AE104" s="1" t="s">
        <v>4620</v>
      </c>
      <c r="AF104" s="1" t="s">
        <v>488</v>
      </c>
      <c r="AG104" s="1">
        <v>28</v>
      </c>
      <c r="AH104" s="5" t="s">
        <v>4621</v>
      </c>
      <c r="AI104" s="1">
        <v>5573284611</v>
      </c>
      <c r="AJ104" s="1">
        <v>5556904713</v>
      </c>
      <c r="AK104" s="1" t="s">
        <v>4622</v>
      </c>
      <c r="AL104" s="1" t="s">
        <v>374</v>
      </c>
      <c r="AM104" s="1" t="s">
        <v>560</v>
      </c>
      <c r="AN104" s="1" t="s">
        <v>375</v>
      </c>
      <c r="AO104" s="1" t="s">
        <v>445</v>
      </c>
      <c r="AP104" s="1">
        <v>56</v>
      </c>
      <c r="AQ104" s="1" t="s">
        <v>233</v>
      </c>
      <c r="AR104" s="42">
        <v>0</v>
      </c>
      <c r="AS104" s="42">
        <v>0</v>
      </c>
      <c r="AT104" s="1">
        <v>5581783544</v>
      </c>
      <c r="AU104" s="1">
        <v>5556904713</v>
      </c>
      <c r="AV104" s="1" t="s">
        <v>4623</v>
      </c>
      <c r="AW104" s="5" t="s">
        <v>4624</v>
      </c>
      <c r="AX104" s="1" t="s">
        <v>369</v>
      </c>
      <c r="AY104" s="1" t="s">
        <v>377</v>
      </c>
      <c r="AZ104" s="1" t="s">
        <v>378</v>
      </c>
      <c r="BA104" s="1" t="s">
        <v>650</v>
      </c>
      <c r="BB104" s="1">
        <v>58</v>
      </c>
      <c r="BC104" s="1" t="s">
        <v>2730</v>
      </c>
      <c r="BD104" s="43">
        <v>0.25</v>
      </c>
      <c r="BE104" s="43">
        <v>0.16666666666424135</v>
      </c>
      <c r="BF104" s="1">
        <v>5557338511</v>
      </c>
      <c r="BG104" s="1">
        <v>5556904713</v>
      </c>
      <c r="BH104" s="1" t="s">
        <v>4625</v>
      </c>
      <c r="BI104" s="5" t="s">
        <v>4626</v>
      </c>
      <c r="BJ104" s="1" t="s">
        <v>236</v>
      </c>
      <c r="BL104" s="1">
        <v>1.7</v>
      </c>
      <c r="BM104" s="1">
        <v>65</v>
      </c>
      <c r="BN104" s="1" t="s">
        <v>236</v>
      </c>
      <c r="BO104" s="1" t="s">
        <v>228</v>
      </c>
      <c r="BQ104" s="1" t="s">
        <v>228</v>
      </c>
      <c r="BR104" s="1" t="s">
        <v>237</v>
      </c>
      <c r="BS104" s="1" t="s">
        <v>236</v>
      </c>
      <c r="BT104" s="1" t="s">
        <v>457</v>
      </c>
      <c r="BU104" s="1" t="s">
        <v>236</v>
      </c>
      <c r="BW104" s="1" t="s">
        <v>238</v>
      </c>
      <c r="BX104" s="1">
        <v>2</v>
      </c>
      <c r="BY104" s="1">
        <v>40</v>
      </c>
      <c r="BZ104" s="1" t="s">
        <v>4627</v>
      </c>
      <c r="CA104" s="1" t="s">
        <v>379</v>
      </c>
      <c r="CB104" s="1" t="s">
        <v>380</v>
      </c>
      <c r="CC104" s="1" t="s">
        <v>4628</v>
      </c>
      <c r="CD104" s="1">
        <v>8000</v>
      </c>
      <c r="CE104" s="1">
        <v>2000</v>
      </c>
      <c r="CF104" s="1" t="s">
        <v>236</v>
      </c>
      <c r="CG104" s="1" t="s">
        <v>242</v>
      </c>
      <c r="CH104" s="1" t="s">
        <v>243</v>
      </c>
      <c r="CI104" s="1" t="s">
        <v>243</v>
      </c>
      <c r="CJ104" s="1" t="s">
        <v>2848</v>
      </c>
      <c r="CL104" s="5" t="s">
        <v>4629</v>
      </c>
      <c r="CM104" s="1">
        <v>25220588203</v>
      </c>
      <c r="CN104" s="1" t="s">
        <v>228</v>
      </c>
      <c r="CQ104" s="42">
        <v>0.33333333333575865</v>
      </c>
      <c r="CR104" s="42">
        <v>0.33333333333575865</v>
      </c>
      <c r="CT104" s="45" t="str">
        <f t="array" ref="CT104">IFERROR(INDEX(#REF!,MATCH('Respuestas de formulario 1.1'!$B104,#REF!,0),MATCH('Respuestas de formulario 1.1'!CT$1,#REF!,0)),"")</f>
        <v/>
      </c>
      <c r="CU104" s="56" t="str">
        <f t="array" ref="CU104">IFERROR(INDEX(#REF!,MATCH('Respuestas de formulario 1.1'!$B104,#REF!,0),MATCH('Respuestas de formulario 1.1'!CU$1,#REF!,0)),"")</f>
        <v/>
      </c>
      <c r="CV104" s="56" t="str">
        <f t="array" ref="CV104">IFERROR(INDEX(#REF!,MATCH('Respuestas de formulario 1.1'!$B104,#REF!,0),MATCH('Respuestas de formulario 1.1'!CV$1,#REF!,0)),"")</f>
        <v/>
      </c>
      <c r="CW104" s="56" t="str">
        <f t="array" ref="CW104">IFERROR(INDEX(#REF!,MATCH('Respuestas de formulario 1.1'!$B104,#REF!,0),MATCH('Respuestas de formulario 1.1'!CW$1,#REF!,0)),"")</f>
        <v/>
      </c>
      <c r="CX104" s="56" t="str">
        <f t="array" ref="CX104">IFERROR(INDEX(#REF!,MATCH('Respuestas de formulario 1.1'!$B104,#REF!,0),MATCH('Respuestas de formulario 1.1'!CX$1,#REF!,0)),"")</f>
        <v/>
      </c>
      <c r="CY104" s="56" t="str">
        <f t="array" ref="CY104">IFERROR(INDEX(#REF!,MATCH('Respuestas de formulario 1.1'!$B104,#REF!,0),MATCH('Respuestas de formulario 1.1'!CY$1,#REF!,0)),"")</f>
        <v/>
      </c>
      <c r="CZ104" s="57" t="str">
        <f t="array" ref="CZ104">IFERROR(INDEX(#REF!,MATCH('Respuestas de formulario 1.1'!$B104,#REF!,0),MATCH('Respuestas de formulario 1.1'!CZ$1,#REF!,0)),"")</f>
        <v/>
      </c>
      <c r="DA104" s="45" t="e">
        <f t="array" ref="DA104">INDEX(#REF!,MATCH('Respuestas de formulario 1.1'!$B104,#REF!,0),MATCH('Respuestas de formulario 1.1'!DA$1,#REF!,0))</f>
        <v>#REF!</v>
      </c>
      <c r="DB104" s="45" t="e">
        <f t="array" ref="DB104">INDEX(#REF!,MATCH('Respuestas de formulario 1.1'!$B104,#REF!,0),MATCH('Respuestas de formulario 1.1'!DB$1,#REF!,0))</f>
        <v>#REF!</v>
      </c>
      <c r="DC104" s="45" t="e">
        <f t="array" ref="DC104">INDEX(#REF!,MATCH('Respuestas de formulario 1.1'!$B104,#REF!,0),MATCH('Respuestas de formulario 1.1'!DC$1,#REF!,0))</f>
        <v>#REF!</v>
      </c>
      <c r="DD104" s="45" t="e">
        <f t="array" ref="DD104">INDEX(#REF!,MATCH('Respuestas de formulario 1.1'!$B104,#REF!,0),MATCH('Respuestas de formulario 1.1'!DD$1,#REF!,0))</f>
        <v>#REF!</v>
      </c>
      <c r="DE104" s="45" t="e">
        <f t="array" ref="DE104">INDEX(#REF!,MATCH('Respuestas de formulario 1.1'!$B104,#REF!,0),MATCH('Respuestas de formulario 1.1'!DE$1,#REF!,0))</f>
        <v>#REF!</v>
      </c>
      <c r="DF104" s="45" t="e">
        <f t="array" ref="DF104">INDEX(#REF!,MATCH('Respuestas de formulario 1.1'!$B104,#REF!,0),MATCH('Respuestas de formulario 1.1'!DF$1,#REF!,0))</f>
        <v>#REF!</v>
      </c>
      <c r="DG104" s="45" t="e">
        <f t="array" ref="DG104">INDEX(#REF!,MATCH('Respuestas de formulario 1.1'!$B104,#REF!,0),MATCH('Respuestas de formulario 1.1'!DG$1,#REF!,0))</f>
        <v>#REF!</v>
      </c>
      <c r="DH104" s="45" t="e">
        <f t="array" ref="DH104">INDEX(#REF!,MATCH('Respuestas de formulario 1.1'!$B104,#REF!,0),MATCH('Respuestas de formulario 1.1'!DH$1,#REF!,0))</f>
        <v>#REF!</v>
      </c>
      <c r="DI104" s="48" t="e">
        <f>VLOOKUP(CONCATENATE($DF104," TUTO ",$DC104),#REF!,3,0)</f>
        <v>#REF!</v>
      </c>
      <c r="DJ104" s="48" t="e">
        <f t="array" ref="DJ104">IF('Respuestas de formulario 1.1'!A104="","",INDEX(#REF!,MATCH('Respuestas de formulario 1.1'!B104,#REF!,0),MATCH('Respuestas de formulario 1.1'!$DH$1,#REF!,0)))</f>
        <v>#REF!</v>
      </c>
      <c r="DK104" s="52" t="str">
        <f>CONCATENATE("http://doc.google.com/uc?id=",MID('Respuestas de formulario 1.1'!G104,34,33))</f>
        <v>http://doc.google.com/uc?id=1YgTLR9MWug5-jLDOsZpkTdMJ0_dEDt6i</v>
      </c>
      <c r="DL104" s="49" t="str">
        <f>CONCATENATE("http://doc.google.com/uc?id=",MID('Respuestas de formulario 1.1'!AH104,34,33))</f>
        <v>http://doc.google.com/uc?id=1XM31D989wr74WCj_kqDnLc9sQyh_HqKc</v>
      </c>
      <c r="DM104" s="50" t="str">
        <f>CONCATENATE("http://doc.google.com/uc?id=",MID('Respuestas de formulario 1.1'!AW104,34,33))</f>
        <v>http://doc.google.com/uc?id=1n5TxRWs6tHGx_Um6r9yPqIQo8mJ8Qoa_</v>
      </c>
      <c r="DN104" s="53" t="str">
        <f>CONCATENATE("http://doc.google.com/uc?id=",MID('Respuestas de formulario 1.1'!$BI104,34,33))</f>
        <v>http://doc.google.com/uc?id=1bihuSgUQ68lNHcrO66r8pEwdz0_liETY</v>
      </c>
      <c r="DO104" s="45" t="str">
        <f>IFERROR(VLOOKUP(CONCATENATE('Respuestas de formulario 1.1'!$B104,MID('Respuestas de formulario 1.1'!DO$1,2,1)),#REF!,12,0),"")</f>
        <v/>
      </c>
      <c r="DP104" s="45" t="str">
        <f>IFERROR(VLOOKUP(CONCATENATE('Respuestas de formulario 1.1'!$B104,MID('Respuestas de formulario 1.1'!DP$1,2,1)),#REF!,12,0),"")</f>
        <v/>
      </c>
      <c r="DQ104" s="45" t="str">
        <f>IFERROR(VLOOKUP(CONCATENATE('Respuestas de formulario 1.1'!$B104,MID('Respuestas de formulario 1.1'!DQ$1,2,1)),#REF!,12,0),"")</f>
        <v/>
      </c>
      <c r="DR104" s="45" t="str">
        <f>IFERROR(VLOOKUP(CONCATENATE('Respuestas de formulario 1.1'!$B104,MID('Respuestas de formulario 1.1'!DR$1,2,1)),#REF!,12,0),"")</f>
        <v/>
      </c>
      <c r="DS104" s="45" t="str">
        <f>IFERROR(VLOOKUP(CONCATENATE('Respuestas de formulario 1.1'!$B104,MID('Respuestas de formulario 1.1'!DS$1,2,1)),#REF!,12,0),"")</f>
        <v/>
      </c>
      <c r="DT104" s="45" t="str">
        <f>IFERROR(VLOOKUP(CONCATENATE('Respuestas de formulario 1.1'!$B104,MID('Respuestas de formulario 1.1'!DT$1,2,1)),#REF!,12,0),"")</f>
        <v/>
      </c>
      <c r="DU104" s="45" t="str">
        <f>IFERROR(VLOOKUP(CONCATENATE('Respuestas de formulario 1.1'!$B104,MID('Respuestas de formulario 1.1'!DU$1,2,1)),#REF!,12,0),"")</f>
        <v/>
      </c>
      <c r="DV104" s="45" t="str">
        <f>IFERROR(VLOOKUP(CONCATENATE('Respuestas de formulario 1.1'!$B104,MID('Respuestas de formulario 1.1'!DV$1,2,1)),#REF!,12,0),"")</f>
        <v/>
      </c>
      <c r="DW104" s="45" t="str">
        <f>IFERROR(VLOOKUP(CONCATENATE('Respuestas de formulario 1.1'!$B104,MID('Respuestas de formulario 1.1'!DW$1,2,1)),#REF!,12,0),"")</f>
        <v/>
      </c>
      <c r="DX104" s="45" t="str">
        <f>IFERROR(VLOOKUP(CONCATENATE('Respuestas de formulario 1.1'!$B104,MID('Respuestas de formulario 1.1'!DX$1,2,1)),#REF!,12,0),"")</f>
        <v/>
      </c>
      <c r="DY104" s="45" t="str">
        <f>IFERROR(VLOOKUP(CONCATENATE('Respuestas de formulario 1.1'!$B104,MID('Respuestas de formulario 1.1'!DY$1,2,1)),#REF!,12,0),"")</f>
        <v/>
      </c>
      <c r="DZ104" s="45" t="str">
        <f>IFERROR(VLOOKUP(CONCATENATE('Respuestas de formulario 1.1'!$B104,MID('Respuestas de formulario 1.1'!DZ$1,2,1)),#REF!,12,0),"")</f>
        <v/>
      </c>
      <c r="EA104" s="45" t="str">
        <f>IFERROR(VLOOKUP(CONCATENATE('Respuestas de formulario 1.1'!$B104,MID('Respuestas de formulario 1.1'!EA$1,2,1)),#REF!,12,0),"")</f>
        <v/>
      </c>
      <c r="EB104" s="45" t="str">
        <f>IFERROR(VLOOKUP(CONCATENATE('Respuestas de formulario 1.1'!$B104,MID('Respuestas de formulario 1.1'!EB$1,2,1)),#REF!,12,0),"")</f>
        <v/>
      </c>
      <c r="EC104" s="45" t="str">
        <f>IFERROR(VLOOKUP(CONCATENATE('Respuestas de formulario 1.1'!$B104,MID('Respuestas de formulario 1.1'!EC$1,2,1)),#REF!,12,0),"")</f>
        <v/>
      </c>
      <c r="ED104" s="45" t="str">
        <f>IFERROR(VLOOKUP(CONCATENATE('Respuestas de formulario 1.1'!$B104,MID('Respuestas de formulario 1.1'!ED$1,2,1)),#REF!,12,0),"")</f>
        <v/>
      </c>
      <c r="EE104" s="45" t="str">
        <f>IFERROR(VLOOKUP(CONCATENATE('Respuestas de formulario 1.1'!$B104,MID('Respuestas de formulario 1.1'!EE$1,2,1)),#REF!,12,0),"")</f>
        <v/>
      </c>
      <c r="EF104" s="45" t="str">
        <f>IFERROR(VLOOKUP(CONCATENATE('Respuestas de formulario 1.1'!$B104,MID('Respuestas de formulario 1.1'!EF$1,2,1)),#REF!,12,0),"")</f>
        <v/>
      </c>
      <c r="EG104" s="45" t="str">
        <f>IFERROR(VLOOKUP(CONCATENATE('Respuestas de formulario 1.1'!$B104,MID('Respuestas de formulario 1.1'!EG$1,2,1)),#REF!,12,0),"")</f>
        <v/>
      </c>
      <c r="EH104" s="45" t="str">
        <f>IFERROR(VLOOKUP(CONCATENATE('Respuestas de formulario 1.1'!$B104,MID('Respuestas de formulario 1.1'!EH$1,2,1)),#REF!,12,0),"")</f>
        <v/>
      </c>
      <c r="EI104" s="45" t="str">
        <f>IFERROR(VLOOKUP(CONCATENATE('Respuestas de formulario 1.1'!$B104,MID('Respuestas de formulario 1.1'!EI$1,2,1)),#REF!,12,0),"")</f>
        <v/>
      </c>
      <c r="EJ104" s="45" t="str">
        <f t="array" ref="EJ104">IF(DO104="","", INDEX(#REF!,MATCH(CONCATENATE('Respuestas de formulario 1.1'!$B104,DO104),#REF!,0),MATCH('Respuestas de formulario 1.1'!EJ$1,#REF!,0)))</f>
        <v/>
      </c>
      <c r="EK104" s="56" t="str">
        <f t="array" ref="EK104">IF(DP104="","", INDEX(#REF!,MATCH(CONCATENATE('Respuestas de formulario 1.1'!$B104,DP104),#REF!,0),MATCH('Respuestas de formulario 1.1'!EK$1,#REF!,0)))</f>
        <v/>
      </c>
      <c r="EL104" s="56" t="str">
        <f t="array" ref="EL104">IF(DQ104="","", INDEX(#REF!,MATCH(CONCATENATE('Respuestas de formulario 1.1'!$B104,DQ104),#REF!,0),MATCH('Respuestas de formulario 1.1'!EL$1,#REF!,0)))</f>
        <v/>
      </c>
      <c r="EM104" s="56" t="str">
        <f t="array" ref="EM104">IF(DR104="","", INDEX(#REF!,MATCH(CONCATENATE('Respuestas de formulario 1.1'!$B104,DR104),#REF!,0),MATCH('Respuestas de formulario 1.1'!EM$1,#REF!,0)))</f>
        <v/>
      </c>
      <c r="EN104" s="56" t="str">
        <f t="array" ref="EN104">IF(DS104="","", INDEX(#REF!,MATCH(CONCATENATE('Respuestas de formulario 1.1'!$B104,DS104),#REF!,0),MATCH('Respuestas de formulario 1.1'!EN$1,#REF!,0)))</f>
        <v/>
      </c>
      <c r="EO104" s="56" t="str">
        <f t="array" ref="EO104">IF(DT104="","", INDEX(#REF!,MATCH(CONCATENATE('Respuestas de formulario 1.1'!$B104,DT104),#REF!,0),MATCH('Respuestas de formulario 1.1'!EO$1,#REF!,0)))</f>
        <v/>
      </c>
      <c r="EP104" s="45" t="str">
        <f t="array" ref="EP104">IF(DU104="","", INDEX(#REF!,MATCH(CONCATENATE('Respuestas de formulario 1.1'!$B104,DU104),#REF!,0),MATCH('Respuestas de formulario 1.1'!EP$1,#REF!,0)))</f>
        <v/>
      </c>
      <c r="EQ104" s="45" t="str">
        <f t="array" ref="EQ104">IF(DP104="","", INDEX(#REF!,MATCH(CONCATENATE('Respuestas de formulario 1.1'!$B104,DP104),#REF!,0),MATCH('Respuestas de formulario 1.1'!EQ$1,#REF!,0)))</f>
        <v/>
      </c>
      <c r="ER104" s="56" t="str">
        <f t="array" ref="ER104">IF(DQ104="","", INDEX(#REF!,MATCH(CONCATENATE('Respuestas de formulario 1.1'!$B104,DQ104),#REF!,0),MATCH('Respuestas de formulario 1.1'!ER$1,#REF!,0)))</f>
        <v/>
      </c>
      <c r="ES104" s="56" t="str">
        <f t="array" ref="ES104">IF(DR104="","", INDEX(#REF!,MATCH(CONCATENATE('Respuestas de formulario 1.1'!$B104,DR104),#REF!,0),MATCH('Respuestas de formulario 1.1'!ES$1,#REF!,0)))</f>
        <v/>
      </c>
      <c r="ET104" s="56" t="str">
        <f t="array" ref="ET104">IF(DS104="","", INDEX(#REF!,MATCH(CONCATENATE('Respuestas de formulario 1.1'!$B104,DS104),#REF!,0),MATCH('Respuestas de formulario 1.1'!ET$1,#REF!,0)))</f>
        <v/>
      </c>
      <c r="EU104" s="56" t="str">
        <f t="array" ref="EU104">IF(DT104="","", INDEX(#REF!,MATCH(CONCATENATE('Respuestas de formulario 1.1'!$B104,DT104),#REF!,0),MATCH('Respuestas de formulario 1.1'!EU$1,#REF!,0)))</f>
        <v/>
      </c>
      <c r="EV104" s="56" t="str">
        <f t="array" ref="EV104">IF(DU104="","", INDEX(#REF!,MATCH(CONCATENATE('Respuestas de formulario 1.1'!$B104,DU104),#REF!,0),MATCH('Respuestas de formulario 1.1'!EV$1,#REF!,0)))</f>
        <v/>
      </c>
      <c r="EW104" s="45" t="str">
        <f t="array" ref="EW104">IF(DV104="","", INDEX(#REF!,MATCH(CONCATENATE('Respuestas de formulario 1.1'!$B104,DV104),#REF!,0),MATCH('Respuestas de formulario 1.1'!EW$1,#REF!,0)))</f>
        <v/>
      </c>
      <c r="EX104" s="45" t="str">
        <f t="array" ref="EX104">IF($DQ104="","", INDEX(#REF!,MATCH(CONCATENATE('Respuestas de formulario 1.1'!$B104,$DQ104),#REF!,0),MATCH('Respuestas de formulario 1.1'!EX$1,#REF!,0)))</f>
        <v/>
      </c>
      <c r="EY104" s="56" t="str">
        <f t="array" ref="EY104">IF($DQ104="","", INDEX(#REF!,MATCH(CONCATENATE('Respuestas de formulario 1.1'!$B104,$DQ104),#REF!,0),MATCH('Respuestas de formulario 1.1'!EY$1,#REF!,0)))</f>
        <v/>
      </c>
      <c r="EZ104" s="56" t="str">
        <f t="array" ref="EZ104">IF($DQ104="","", INDEX(#REF!,MATCH(CONCATENATE('Respuestas de formulario 1.1'!$B104,$DQ104),#REF!,0),MATCH('Respuestas de formulario 1.1'!EZ$1,#REF!,0)))</f>
        <v/>
      </c>
      <c r="FA104" s="56" t="str">
        <f t="array" ref="FA104">IF($DQ104="","", INDEX(#REF!,MATCH(CONCATENATE('Respuestas de formulario 1.1'!$B104,$DQ104),#REF!,0),MATCH('Respuestas de formulario 1.1'!FA$1,#REF!,0)))</f>
        <v/>
      </c>
      <c r="FB104" s="56" t="str">
        <f t="array" ref="FB104">IF($DQ104="","", INDEX(#REF!,MATCH(CONCATENATE('Respuestas de formulario 1.1'!$B104,$DQ104),#REF!,0),MATCH('Respuestas de formulario 1.1'!FB$1,#REF!,0)))</f>
        <v/>
      </c>
      <c r="FC104" s="56" t="str">
        <f t="array" ref="FC104">IF($DQ104="","", INDEX(#REF!,MATCH(CONCATENATE('Respuestas de formulario 1.1'!$B104,$DQ104),#REF!,0),MATCH('Respuestas de formulario 1.1'!FC$1,#REF!,0)))</f>
        <v/>
      </c>
      <c r="FD104" s="45" t="str">
        <f t="array" ref="FD104">IF($DQ104="","", INDEX(#REF!,MATCH(CONCATENATE('Respuestas de formulario 1.1'!$B104,$DQ104),#REF!,0),MATCH('Respuestas de formulario 1.1'!FD$1,#REF!,0)))</f>
        <v/>
      </c>
      <c r="FE104" s="45" t="str">
        <f t="array" ref="FE104">IF($DR104="","", INDEX(#REF!,MATCH(CONCATENATE(#REF!,$DR104),#REF!,0),MATCH(#REF!,#REF!,0)))</f>
        <v/>
      </c>
      <c r="FF104" s="56" t="str">
        <f t="array" ref="FF104">IF($DR104="","", INDEX(#REF!,MATCH(CONCATENATE(#REF!,$DR104),#REF!,0),MATCH(#REF!,#REF!,0)))</f>
        <v/>
      </c>
      <c r="FG104" s="56" t="str">
        <f t="array" ref="FG104">IF($DR104="","", INDEX(#REF!,MATCH(CONCATENATE(#REF!,$DR104),#REF!,0),MATCH(#REF!,#REF!,0)))</f>
        <v/>
      </c>
      <c r="FH104" s="56" t="str">
        <f t="array" ref="FH104">IF($DR104="","", INDEX(#REF!,MATCH(CONCATENATE(#REF!,$DR104),#REF!,0),MATCH(#REF!,#REF!,0)))</f>
        <v/>
      </c>
      <c r="FI104" s="56" t="str">
        <f t="array" ref="FI104">IF($DR104="","", INDEX(#REF!,MATCH(CONCATENATE(#REF!,$DR104),#REF!,0),MATCH(#REF!,#REF!,0)))</f>
        <v/>
      </c>
      <c r="FJ104" s="56" t="str">
        <f t="array" ref="FJ104">IF($DR104="","", INDEX(#REF!,MATCH(CONCATENATE(#REF!,$DR104),#REF!,0),MATCH(#REF!,#REF!,0)))</f>
        <v/>
      </c>
      <c r="FK104" s="45" t="str">
        <f t="array" ref="FK104">IF($DR104="","", INDEX(#REF!,MATCH(CONCATENATE(#REF!,$DR104),#REF!,0),MATCH(#REF!,#REF!,0)))</f>
        <v/>
      </c>
      <c r="FL104" s="45" t="str">
        <f t="array" ref="FL104">IF($DT104="","", INDEX(#REF!,MATCH(CONCATENATE('Respuestas de formulario 1.1'!$B104,$DS104),#REF!,0),MATCH('Respuestas de formulario 1.1'!FL$1,#REF!,0)))</f>
        <v/>
      </c>
      <c r="FM104" s="56" t="str">
        <f t="array" ref="FM104">IF($DT104="","", INDEX(#REF!,MATCH(CONCATENATE('Respuestas de formulario 1.1'!$B104,$DS104),#REF!,0),MATCH('Respuestas de formulario 1.1'!FM$1,#REF!,0)))</f>
        <v/>
      </c>
      <c r="FN104" s="56" t="str">
        <f t="array" ref="FN104">IF($DT104="","", INDEX(#REF!,MATCH(CONCATENATE('Respuestas de formulario 1.1'!$B104,$DS104),#REF!,0),MATCH('Respuestas de formulario 1.1'!FN$1,#REF!,0)))</f>
        <v/>
      </c>
      <c r="FO104" s="56" t="str">
        <f t="array" ref="FO104">IF($DT104="","", INDEX(#REF!,MATCH(CONCATENATE('Respuestas de formulario 1.1'!$B104,$DS104),#REF!,0),MATCH('Respuestas de formulario 1.1'!FO$1,#REF!,0)))</f>
        <v/>
      </c>
      <c r="FP104" s="56" t="str">
        <f t="array" ref="FP104">IF($DT104="","", INDEX(#REF!,MATCH(CONCATENATE('Respuestas de formulario 1.1'!$B104,$DS104),#REF!,0),MATCH('Respuestas de formulario 1.1'!FP$1,#REF!,0)))</f>
        <v/>
      </c>
      <c r="FQ104" s="56" t="str">
        <f t="array" ref="FQ104">IF($DT104="","", INDEX(#REF!,MATCH(CONCATENATE('Respuestas de formulario 1.1'!$B104,$DS104),#REF!,0),MATCH('Respuestas de formulario 1.1'!FQ$1,#REF!,0)))</f>
        <v/>
      </c>
      <c r="FR104" s="45" t="str">
        <f t="array" ref="FR104">IF($DT104="","", INDEX(#REF!,MATCH(CONCATENATE('Respuestas de formulario 1.1'!$B104,$DS104),#REF!,0),MATCH('Respuestas de formulario 1.1'!FR$1,#REF!,0)))</f>
        <v/>
      </c>
      <c r="FS104" s="45" t="str">
        <f t="array" ref="FS104">IF($DU104="","", INDEX(#REF!,MATCH(CONCATENATE('Respuestas de formulario 1.1'!$B104,$DT104),#REF!,0),MATCH('Respuestas de formulario 1.1'!FS$1,#REF!,0)))</f>
        <v/>
      </c>
      <c r="FT104" s="56" t="str">
        <f t="array" ref="FT104">IF($DU104="","", INDEX(#REF!,MATCH(CONCATENATE('Respuestas de formulario 1.1'!$B104,$DT104),#REF!,0),MATCH('Respuestas de formulario 1.1'!FT$1,#REF!,0)))</f>
        <v/>
      </c>
      <c r="FU104" s="56" t="str">
        <f t="array" ref="FU104">IF($DU104="","", INDEX(#REF!,MATCH(CONCATENATE('Respuestas de formulario 1.1'!$B104,$DT104),#REF!,0),MATCH('Respuestas de formulario 1.1'!FU$1,#REF!,0)))</f>
        <v/>
      </c>
      <c r="FV104" s="56" t="str">
        <f t="array" ref="FV104">IF($DU104="","", INDEX(#REF!,MATCH(CONCATENATE('Respuestas de formulario 1.1'!$B104,$DT104),#REF!,0),MATCH('Respuestas de formulario 1.1'!FV$1,#REF!,0)))</f>
        <v/>
      </c>
      <c r="FW104" s="56" t="str">
        <f t="array" ref="FW104">IF($DU104="","", INDEX(#REF!,MATCH(CONCATENATE('Respuestas de formulario 1.1'!$B104,$DT104),#REF!,0),MATCH('Respuestas de formulario 1.1'!FW$1,#REF!,0)))</f>
        <v/>
      </c>
      <c r="FX104" s="56" t="str">
        <f t="array" ref="FX104">IF($DU104="","", INDEX(#REF!,MATCH(CONCATENATE('Respuestas de formulario 1.1'!$B104,$DT104),#REF!,0),MATCH('Respuestas de formulario 1.1'!FX$1,#REF!,0)))</f>
        <v/>
      </c>
      <c r="FY104" s="45" t="str">
        <f t="array" ref="FY104">IF($DU104="","", INDEX(#REF!,MATCH(CONCATENATE('Respuestas de formulario 1.1'!$B104,$DT104),#REF!,0),MATCH('Respuestas de formulario 1.1'!FY$1,#REF!,0)))</f>
        <v/>
      </c>
      <c r="FZ104" s="3" t="s">
        <v>2860</v>
      </c>
      <c r="GA104" s="1" t="s">
        <v>4630</v>
      </c>
      <c r="GB104" s="5" t="s">
        <v>4631</v>
      </c>
      <c r="GC104" s="4" t="str">
        <f>HYPERLINK("https://drive.google.com/file/d/1tLFH7DwwdA3DLwj9Noyc8mj2FgU0qeZu/view?usp=drivesdk","LUNA ALVARADO JESUS ARMANDO  Formato de reinscripción y pago 2022-2")</f>
        <v>LUNA ALVARADO JESUS ARMANDO  Formato de reinscripción y pago 2022-2</v>
      </c>
      <c r="GD104" s="1" t="s">
        <v>4632</v>
      </c>
      <c r="GE104" s="1"/>
      <c r="GF104" s="1"/>
      <c r="GG104" s="1"/>
      <c r="GH104" s="1"/>
      <c r="GI104" s="1" t="s">
        <v>4633</v>
      </c>
      <c r="GJ104" s="5" t="s">
        <v>4634</v>
      </c>
      <c r="GK104" s="5" t="str">
        <f>HYPERLINK("https://drive.google.com/file/d/1D-xRfjI7ivgCuc3Dllw4q_HQ2nsUxTfe/view?usp=drivesdk","LUNA ALVARADO JESUS ARMANDO  Formato de reinscripción y pago 2022-2")</f>
        <v>LUNA ALVARADO JESUS ARMANDO  Formato de reinscripción y pago 2022-2</v>
      </c>
      <c r="GL104" s="1" t="s">
        <v>4635</v>
      </c>
    </row>
    <row r="105" spans="1:194" ht="38.25" x14ac:dyDescent="0.2">
      <c r="A105" s="2">
        <v>45141.910765763889</v>
      </c>
      <c r="B105" s="1" t="s">
        <v>2414</v>
      </c>
      <c r="C105" s="1" t="s">
        <v>252</v>
      </c>
      <c r="D105" s="1" t="s">
        <v>1781</v>
      </c>
      <c r="E105" s="1" t="s">
        <v>2415</v>
      </c>
      <c r="F105" s="1" t="s">
        <v>262</v>
      </c>
      <c r="G105" s="5" t="s">
        <v>4636</v>
      </c>
      <c r="H105" s="41">
        <v>39158</v>
      </c>
      <c r="I105" s="1">
        <v>16</v>
      </c>
      <c r="J105" s="1">
        <v>5525696643</v>
      </c>
      <c r="K105" s="1">
        <v>5556124226</v>
      </c>
      <c r="L105" s="1" t="s">
        <v>2416</v>
      </c>
      <c r="M105" s="1">
        <v>22309060570322</v>
      </c>
      <c r="N105" s="1" t="s">
        <v>562</v>
      </c>
      <c r="O105" s="1" t="s">
        <v>225</v>
      </c>
      <c r="P105" s="1" t="s">
        <v>226</v>
      </c>
      <c r="Q105" s="1" t="s">
        <v>315</v>
      </c>
      <c r="R105" s="1" t="s">
        <v>236</v>
      </c>
      <c r="S105" s="1" t="s">
        <v>228</v>
      </c>
      <c r="T105" s="1" t="s">
        <v>411</v>
      </c>
      <c r="U105" s="1" t="s">
        <v>249</v>
      </c>
      <c r="V105" s="1" t="s">
        <v>228</v>
      </c>
      <c r="W105" s="1" t="s">
        <v>4637</v>
      </c>
      <c r="X105" s="1" t="s">
        <v>249</v>
      </c>
      <c r="Y105" s="1" t="s">
        <v>498</v>
      </c>
      <c r="Z105" s="1" t="s">
        <v>240</v>
      </c>
      <c r="AA105" s="44" t="s">
        <v>492</v>
      </c>
      <c r="AB105" s="1">
        <v>331</v>
      </c>
      <c r="AC105" s="1">
        <v>2</v>
      </c>
      <c r="AD105" s="1" t="s">
        <v>2639</v>
      </c>
      <c r="AE105" s="1" t="s">
        <v>4638</v>
      </c>
      <c r="AF105" s="1" t="s">
        <v>265</v>
      </c>
      <c r="AG105" s="1">
        <v>36</v>
      </c>
      <c r="AH105" s="5" t="s">
        <v>4639</v>
      </c>
      <c r="AI105" s="1">
        <v>5583078030</v>
      </c>
      <c r="AJ105" s="1">
        <v>5556124226</v>
      </c>
      <c r="AK105" s="1" t="s">
        <v>4640</v>
      </c>
      <c r="AL105" s="1" t="s">
        <v>252</v>
      </c>
      <c r="AM105" s="1" t="s">
        <v>1562</v>
      </c>
      <c r="AN105" s="1" t="s">
        <v>282</v>
      </c>
      <c r="AO105" s="1" t="s">
        <v>435</v>
      </c>
      <c r="AP105" s="1">
        <v>44</v>
      </c>
      <c r="AQ105" s="1" t="s">
        <v>512</v>
      </c>
      <c r="AR105" s="42">
        <v>0.16666666666424135</v>
      </c>
      <c r="AS105" s="42">
        <v>0.875</v>
      </c>
      <c r="AT105" s="1">
        <v>5517838226</v>
      </c>
      <c r="AU105" s="1">
        <v>5517838226</v>
      </c>
      <c r="AV105" s="1" t="s">
        <v>4641</v>
      </c>
      <c r="AW105" s="5" t="s">
        <v>4642</v>
      </c>
      <c r="AX105" s="1" t="s">
        <v>1781</v>
      </c>
      <c r="AY105" s="1" t="s">
        <v>925</v>
      </c>
      <c r="AZ105" s="1" t="s">
        <v>1733</v>
      </c>
      <c r="BA105" s="1" t="s">
        <v>493</v>
      </c>
      <c r="BB105" s="1">
        <v>46</v>
      </c>
      <c r="BC105" s="1" t="s">
        <v>233</v>
      </c>
      <c r="BD105" s="43">
        <v>0.41666666666424135</v>
      </c>
      <c r="BE105" s="43">
        <v>0.91666666666424135</v>
      </c>
      <c r="BF105" s="1">
        <v>5612696646</v>
      </c>
      <c r="BG105" s="1">
        <v>5612696646</v>
      </c>
      <c r="BH105" s="1" t="s">
        <v>4640</v>
      </c>
      <c r="BI105" s="5" t="s">
        <v>4643</v>
      </c>
      <c r="BJ105" s="1" t="s">
        <v>236</v>
      </c>
      <c r="BL105" s="1">
        <v>170</v>
      </c>
      <c r="BM105" s="1">
        <v>60</v>
      </c>
      <c r="BN105" s="1" t="s">
        <v>228</v>
      </c>
      <c r="BO105" s="1" t="s">
        <v>228</v>
      </c>
      <c r="BQ105" s="1" t="s">
        <v>236</v>
      </c>
      <c r="BR105" s="1" t="s">
        <v>348</v>
      </c>
      <c r="BS105" s="1" t="s">
        <v>228</v>
      </c>
      <c r="BT105" s="1" t="s">
        <v>237</v>
      </c>
      <c r="BU105" s="1" t="s">
        <v>228</v>
      </c>
      <c r="BW105" s="1" t="s">
        <v>238</v>
      </c>
      <c r="BX105" s="1">
        <v>150</v>
      </c>
      <c r="BY105" s="1">
        <v>250</v>
      </c>
      <c r="BZ105" s="1" t="s">
        <v>4644</v>
      </c>
      <c r="CA105" s="1" t="s">
        <v>2212</v>
      </c>
      <c r="CB105" s="1" t="s">
        <v>231</v>
      </c>
      <c r="CC105" s="1" t="s">
        <v>300</v>
      </c>
      <c r="CD105" s="1">
        <v>300</v>
      </c>
      <c r="CE105" s="1">
        <v>550</v>
      </c>
      <c r="CF105" s="1" t="s">
        <v>236</v>
      </c>
      <c r="CG105" s="1" t="s">
        <v>242</v>
      </c>
      <c r="CH105" s="1" t="s">
        <v>243</v>
      </c>
      <c r="CI105" s="1" t="s">
        <v>243</v>
      </c>
      <c r="CJ105" s="1" t="s">
        <v>2848</v>
      </c>
      <c r="CL105" s="5" t="s">
        <v>4645</v>
      </c>
      <c r="CM105" s="44" t="s">
        <v>2417</v>
      </c>
      <c r="CN105" s="1" t="s">
        <v>236</v>
      </c>
      <c r="CO105" s="1" t="s">
        <v>3047</v>
      </c>
      <c r="CP105" s="1" t="s">
        <v>237</v>
      </c>
      <c r="CQ105" s="42">
        <v>0.41666666666424135</v>
      </c>
      <c r="CR105" s="42">
        <v>0.91666666666424135</v>
      </c>
      <c r="CT105" s="45" t="str">
        <f t="array" ref="CT105">IFERROR(INDEX(#REF!,MATCH('Respuestas de formulario 1.1'!$B105,#REF!,0),MATCH('Respuestas de formulario 1.1'!CT$1,#REF!,0)),"")</f>
        <v/>
      </c>
      <c r="CU105" s="56" t="str">
        <f t="array" ref="CU105">IFERROR(INDEX(#REF!,MATCH('Respuestas de formulario 1.1'!$B105,#REF!,0),MATCH('Respuestas de formulario 1.1'!CU$1,#REF!,0)),"")</f>
        <v/>
      </c>
      <c r="CV105" s="56" t="str">
        <f t="array" ref="CV105">IFERROR(INDEX(#REF!,MATCH('Respuestas de formulario 1.1'!$B105,#REF!,0),MATCH('Respuestas de formulario 1.1'!CV$1,#REF!,0)),"")</f>
        <v/>
      </c>
      <c r="CW105" s="56" t="str">
        <f t="array" ref="CW105">IFERROR(INDEX(#REF!,MATCH('Respuestas de formulario 1.1'!$B105,#REF!,0),MATCH('Respuestas de formulario 1.1'!CW$1,#REF!,0)),"")</f>
        <v/>
      </c>
      <c r="CX105" s="56" t="str">
        <f t="array" ref="CX105">IFERROR(INDEX(#REF!,MATCH('Respuestas de formulario 1.1'!$B105,#REF!,0),MATCH('Respuestas de formulario 1.1'!CX$1,#REF!,0)),"")</f>
        <v/>
      </c>
      <c r="CY105" s="56" t="str">
        <f t="array" ref="CY105">IFERROR(INDEX(#REF!,MATCH('Respuestas de formulario 1.1'!$B105,#REF!,0),MATCH('Respuestas de formulario 1.1'!CY$1,#REF!,0)),"")</f>
        <v/>
      </c>
      <c r="CZ105" s="57" t="str">
        <f t="array" ref="CZ105">IFERROR(INDEX(#REF!,MATCH('Respuestas de formulario 1.1'!$B105,#REF!,0),MATCH('Respuestas de formulario 1.1'!CZ$1,#REF!,0)),"")</f>
        <v/>
      </c>
      <c r="DA105" s="45" t="e">
        <f t="array" ref="DA105">INDEX(#REF!,MATCH('Respuestas de formulario 1.1'!$B105,#REF!,0),MATCH('Respuestas de formulario 1.1'!DA$1,#REF!,0))</f>
        <v>#REF!</v>
      </c>
      <c r="DB105" s="45" t="e">
        <f t="array" ref="DB105">INDEX(#REF!,MATCH('Respuestas de formulario 1.1'!$B105,#REF!,0),MATCH('Respuestas de formulario 1.1'!DB$1,#REF!,0))</f>
        <v>#REF!</v>
      </c>
      <c r="DC105" s="45" t="e">
        <f t="array" ref="DC105">INDEX(#REF!,MATCH('Respuestas de formulario 1.1'!$B105,#REF!,0),MATCH('Respuestas de formulario 1.1'!DC$1,#REF!,0))</f>
        <v>#REF!</v>
      </c>
      <c r="DD105" s="45" t="e">
        <f t="array" ref="DD105">INDEX(#REF!,MATCH('Respuestas de formulario 1.1'!$B105,#REF!,0),MATCH('Respuestas de formulario 1.1'!DD$1,#REF!,0))</f>
        <v>#REF!</v>
      </c>
      <c r="DE105" s="45" t="e">
        <f t="array" ref="DE105">INDEX(#REF!,MATCH('Respuestas de formulario 1.1'!$B105,#REF!,0),MATCH('Respuestas de formulario 1.1'!DE$1,#REF!,0))</f>
        <v>#REF!</v>
      </c>
      <c r="DF105" s="45" t="e">
        <f t="array" ref="DF105">INDEX(#REF!,MATCH('Respuestas de formulario 1.1'!$B105,#REF!,0),MATCH('Respuestas de formulario 1.1'!DF$1,#REF!,0))</f>
        <v>#REF!</v>
      </c>
      <c r="DG105" s="45" t="e">
        <f t="array" ref="DG105">INDEX(#REF!,MATCH('Respuestas de formulario 1.1'!$B105,#REF!,0),MATCH('Respuestas de formulario 1.1'!DG$1,#REF!,0))</f>
        <v>#REF!</v>
      </c>
      <c r="DH105" s="45" t="e">
        <f t="array" ref="DH105">INDEX(#REF!,MATCH('Respuestas de formulario 1.1'!$B105,#REF!,0),MATCH('Respuestas de formulario 1.1'!DH$1,#REF!,0))</f>
        <v>#REF!</v>
      </c>
      <c r="DI105" s="48" t="e">
        <f>VLOOKUP(CONCATENATE($DF105," TUTO ",$DC105),#REF!,3,0)</f>
        <v>#REF!</v>
      </c>
      <c r="DJ105" s="48" t="e">
        <f t="array" ref="DJ105">IF('Respuestas de formulario 1.1'!A105="","",INDEX(#REF!,MATCH('Respuestas de formulario 1.1'!B105,#REF!,0),MATCH('Respuestas de formulario 1.1'!$DH$1,#REF!,0)))</f>
        <v>#REF!</v>
      </c>
      <c r="DK105" s="52" t="str">
        <f>CONCATENATE("http://doc.google.com/uc?id=",MID('Respuestas de formulario 1.1'!G105,34,33))</f>
        <v>http://doc.google.com/uc?id=1JUh7iBAqh3fh_si9V0-j8AA5vTlGlIsx</v>
      </c>
      <c r="DL105" s="49" t="str">
        <f>CONCATENATE("http://doc.google.com/uc?id=",MID('Respuestas de formulario 1.1'!AH105,34,33))</f>
        <v>http://doc.google.com/uc?id=1frt_88gv8lIRXpY58m3hpa7w8yRTbtal</v>
      </c>
      <c r="DM105" s="50" t="str">
        <f>CONCATENATE("http://doc.google.com/uc?id=",MID('Respuestas de formulario 1.1'!AW105,34,33))</f>
        <v>http://doc.google.com/uc?id=1HN749Er_n3TN0ze-rQS1aLEcqsVpa-cj</v>
      </c>
      <c r="DN105" s="53" t="str">
        <f>CONCATENATE("http://doc.google.com/uc?id=",MID('Respuestas de formulario 1.1'!$BI105,34,33))</f>
        <v>http://doc.google.com/uc?id=1ipj3tj24NqYp2h2vSMdQoA4ztNtT7yPG</v>
      </c>
      <c r="DO105" s="45" t="str">
        <f>IFERROR(VLOOKUP(CONCATENATE('Respuestas de formulario 1.1'!$B105,MID('Respuestas de formulario 1.1'!DO$1,2,1)),#REF!,12,0),"")</f>
        <v/>
      </c>
      <c r="DP105" s="45" t="str">
        <f>IFERROR(VLOOKUP(CONCATENATE('Respuestas de formulario 1.1'!$B105,MID('Respuestas de formulario 1.1'!DP$1,2,1)),#REF!,12,0),"")</f>
        <v/>
      </c>
      <c r="DQ105" s="45" t="str">
        <f>IFERROR(VLOOKUP(CONCATENATE('Respuestas de formulario 1.1'!$B105,MID('Respuestas de formulario 1.1'!DQ$1,2,1)),#REF!,12,0),"")</f>
        <v/>
      </c>
      <c r="DR105" s="45" t="str">
        <f>IFERROR(VLOOKUP(CONCATENATE('Respuestas de formulario 1.1'!$B105,MID('Respuestas de formulario 1.1'!DR$1,2,1)),#REF!,12,0),"")</f>
        <v/>
      </c>
      <c r="DS105" s="45" t="str">
        <f>IFERROR(VLOOKUP(CONCATENATE('Respuestas de formulario 1.1'!$B105,MID('Respuestas de formulario 1.1'!DS$1,2,1)),#REF!,12,0),"")</f>
        <v/>
      </c>
      <c r="DT105" s="45" t="str">
        <f>IFERROR(VLOOKUP(CONCATENATE('Respuestas de formulario 1.1'!$B105,MID('Respuestas de formulario 1.1'!DT$1,2,1)),#REF!,12,0),"")</f>
        <v/>
      </c>
      <c r="DU105" s="45" t="str">
        <f>IFERROR(VLOOKUP(CONCATENATE('Respuestas de formulario 1.1'!$B105,MID('Respuestas de formulario 1.1'!DU$1,2,1)),#REF!,12,0),"")</f>
        <v/>
      </c>
      <c r="DV105" s="45" t="str">
        <f>IFERROR(VLOOKUP(CONCATENATE('Respuestas de formulario 1.1'!$B105,MID('Respuestas de formulario 1.1'!DV$1,2,1)),#REF!,12,0),"")</f>
        <v/>
      </c>
      <c r="DW105" s="45" t="str">
        <f>IFERROR(VLOOKUP(CONCATENATE('Respuestas de formulario 1.1'!$B105,MID('Respuestas de formulario 1.1'!DW$1,2,1)),#REF!,12,0),"")</f>
        <v/>
      </c>
      <c r="DX105" s="45" t="str">
        <f>IFERROR(VLOOKUP(CONCATENATE('Respuestas de formulario 1.1'!$B105,MID('Respuestas de formulario 1.1'!DX$1,2,1)),#REF!,12,0),"")</f>
        <v/>
      </c>
      <c r="DY105" s="45" t="str">
        <f>IFERROR(VLOOKUP(CONCATENATE('Respuestas de formulario 1.1'!$B105,MID('Respuestas de formulario 1.1'!DY$1,2,1)),#REF!,12,0),"")</f>
        <v/>
      </c>
      <c r="DZ105" s="45" t="str">
        <f>IFERROR(VLOOKUP(CONCATENATE('Respuestas de formulario 1.1'!$B105,MID('Respuestas de formulario 1.1'!DZ$1,2,1)),#REF!,12,0),"")</f>
        <v/>
      </c>
      <c r="EA105" s="45" t="str">
        <f>IFERROR(VLOOKUP(CONCATENATE('Respuestas de formulario 1.1'!$B105,MID('Respuestas de formulario 1.1'!EA$1,2,1)),#REF!,12,0),"")</f>
        <v/>
      </c>
      <c r="EB105" s="45" t="str">
        <f>IFERROR(VLOOKUP(CONCATENATE('Respuestas de formulario 1.1'!$B105,MID('Respuestas de formulario 1.1'!EB$1,2,1)),#REF!,12,0),"")</f>
        <v/>
      </c>
      <c r="EC105" s="45" t="str">
        <f>IFERROR(VLOOKUP(CONCATENATE('Respuestas de formulario 1.1'!$B105,MID('Respuestas de formulario 1.1'!EC$1,2,1)),#REF!,12,0),"")</f>
        <v/>
      </c>
      <c r="ED105" s="45" t="str">
        <f>IFERROR(VLOOKUP(CONCATENATE('Respuestas de formulario 1.1'!$B105,MID('Respuestas de formulario 1.1'!ED$1,2,1)),#REF!,12,0),"")</f>
        <v/>
      </c>
      <c r="EE105" s="45" t="str">
        <f>IFERROR(VLOOKUP(CONCATENATE('Respuestas de formulario 1.1'!$B105,MID('Respuestas de formulario 1.1'!EE$1,2,1)),#REF!,12,0),"")</f>
        <v/>
      </c>
      <c r="EF105" s="45" t="str">
        <f>IFERROR(VLOOKUP(CONCATENATE('Respuestas de formulario 1.1'!$B105,MID('Respuestas de formulario 1.1'!EF$1,2,1)),#REF!,12,0),"")</f>
        <v/>
      </c>
      <c r="EG105" s="45" t="str">
        <f>IFERROR(VLOOKUP(CONCATENATE('Respuestas de formulario 1.1'!$B105,MID('Respuestas de formulario 1.1'!EG$1,2,1)),#REF!,12,0),"")</f>
        <v/>
      </c>
      <c r="EH105" s="45" t="str">
        <f>IFERROR(VLOOKUP(CONCATENATE('Respuestas de formulario 1.1'!$B105,MID('Respuestas de formulario 1.1'!EH$1,2,1)),#REF!,12,0),"")</f>
        <v/>
      </c>
      <c r="EI105" s="45" t="str">
        <f>IFERROR(VLOOKUP(CONCATENATE('Respuestas de formulario 1.1'!$B105,MID('Respuestas de formulario 1.1'!EI$1,2,1)),#REF!,12,0),"")</f>
        <v/>
      </c>
      <c r="EJ105" s="45" t="str">
        <f t="array" ref="EJ105">IF(DO105="","", INDEX(#REF!,MATCH(CONCATENATE('Respuestas de formulario 1.1'!$B105,DO105),#REF!,0),MATCH('Respuestas de formulario 1.1'!EJ$1,#REF!,0)))</f>
        <v/>
      </c>
      <c r="EK105" s="56" t="str">
        <f t="array" ref="EK105">IF(DP105="","", INDEX(#REF!,MATCH(CONCATENATE('Respuestas de formulario 1.1'!$B105,DP105),#REF!,0),MATCH('Respuestas de formulario 1.1'!EK$1,#REF!,0)))</f>
        <v/>
      </c>
      <c r="EL105" s="56" t="str">
        <f t="array" ref="EL105">IF(DQ105="","", INDEX(#REF!,MATCH(CONCATENATE('Respuestas de formulario 1.1'!$B105,DQ105),#REF!,0),MATCH('Respuestas de formulario 1.1'!EL$1,#REF!,0)))</f>
        <v/>
      </c>
      <c r="EM105" s="56" t="str">
        <f t="array" ref="EM105">IF(DR105="","", INDEX(#REF!,MATCH(CONCATENATE('Respuestas de formulario 1.1'!$B105,DR105),#REF!,0),MATCH('Respuestas de formulario 1.1'!EM$1,#REF!,0)))</f>
        <v/>
      </c>
      <c r="EN105" s="56" t="str">
        <f t="array" ref="EN105">IF(DS105="","", INDEX(#REF!,MATCH(CONCATENATE('Respuestas de formulario 1.1'!$B105,DS105),#REF!,0),MATCH('Respuestas de formulario 1.1'!EN$1,#REF!,0)))</f>
        <v/>
      </c>
      <c r="EO105" s="56" t="str">
        <f t="array" ref="EO105">IF(DT105="","", INDEX(#REF!,MATCH(CONCATENATE('Respuestas de formulario 1.1'!$B105,DT105),#REF!,0),MATCH('Respuestas de formulario 1.1'!EO$1,#REF!,0)))</f>
        <v/>
      </c>
      <c r="EP105" s="45" t="str">
        <f t="array" ref="EP105">IF(DU105="","", INDEX(#REF!,MATCH(CONCATENATE('Respuestas de formulario 1.1'!$B105,DU105),#REF!,0),MATCH('Respuestas de formulario 1.1'!EP$1,#REF!,0)))</f>
        <v/>
      </c>
      <c r="EQ105" s="45" t="str">
        <f t="array" ref="EQ105">IF(DP105="","", INDEX(#REF!,MATCH(CONCATENATE('Respuestas de formulario 1.1'!$B105,DP105),#REF!,0),MATCH('Respuestas de formulario 1.1'!EQ$1,#REF!,0)))</f>
        <v/>
      </c>
      <c r="ER105" s="56" t="str">
        <f t="array" ref="ER105">IF(DQ105="","", INDEX(#REF!,MATCH(CONCATENATE('Respuestas de formulario 1.1'!$B105,DQ105),#REF!,0),MATCH('Respuestas de formulario 1.1'!ER$1,#REF!,0)))</f>
        <v/>
      </c>
      <c r="ES105" s="56" t="str">
        <f t="array" ref="ES105">IF(DR105="","", INDEX(#REF!,MATCH(CONCATENATE('Respuestas de formulario 1.1'!$B105,DR105),#REF!,0),MATCH('Respuestas de formulario 1.1'!ES$1,#REF!,0)))</f>
        <v/>
      </c>
      <c r="ET105" s="56" t="str">
        <f t="array" ref="ET105">IF(DS105="","", INDEX(#REF!,MATCH(CONCATENATE('Respuestas de formulario 1.1'!$B105,DS105),#REF!,0),MATCH('Respuestas de formulario 1.1'!ET$1,#REF!,0)))</f>
        <v/>
      </c>
      <c r="EU105" s="56" t="str">
        <f t="array" ref="EU105">IF(DT105="","", INDEX(#REF!,MATCH(CONCATENATE('Respuestas de formulario 1.1'!$B105,DT105),#REF!,0),MATCH('Respuestas de formulario 1.1'!EU$1,#REF!,0)))</f>
        <v/>
      </c>
      <c r="EV105" s="56" t="str">
        <f t="array" ref="EV105">IF(DU105="","", INDEX(#REF!,MATCH(CONCATENATE('Respuestas de formulario 1.1'!$B105,DU105),#REF!,0),MATCH('Respuestas de formulario 1.1'!EV$1,#REF!,0)))</f>
        <v/>
      </c>
      <c r="EW105" s="45" t="str">
        <f t="array" ref="EW105">IF(DV105="","", INDEX(#REF!,MATCH(CONCATENATE('Respuestas de formulario 1.1'!$B105,DV105),#REF!,0),MATCH('Respuestas de formulario 1.1'!EW$1,#REF!,0)))</f>
        <v/>
      </c>
      <c r="EX105" s="45" t="str">
        <f t="array" ref="EX105">IF($DQ105="","", INDEX(#REF!,MATCH(CONCATENATE('Respuestas de formulario 1.1'!$B105,$DQ105),#REF!,0),MATCH('Respuestas de formulario 1.1'!EX$1,#REF!,0)))</f>
        <v/>
      </c>
      <c r="EY105" s="56" t="str">
        <f t="array" ref="EY105">IF($DQ105="","", INDEX(#REF!,MATCH(CONCATENATE('Respuestas de formulario 1.1'!$B105,$DQ105),#REF!,0),MATCH('Respuestas de formulario 1.1'!EY$1,#REF!,0)))</f>
        <v/>
      </c>
      <c r="EZ105" s="56" t="str">
        <f t="array" ref="EZ105">IF($DQ105="","", INDEX(#REF!,MATCH(CONCATENATE('Respuestas de formulario 1.1'!$B105,$DQ105),#REF!,0),MATCH('Respuestas de formulario 1.1'!EZ$1,#REF!,0)))</f>
        <v/>
      </c>
      <c r="FA105" s="56" t="str">
        <f t="array" ref="FA105">IF($DQ105="","", INDEX(#REF!,MATCH(CONCATENATE('Respuestas de formulario 1.1'!$B105,$DQ105),#REF!,0),MATCH('Respuestas de formulario 1.1'!FA$1,#REF!,0)))</f>
        <v/>
      </c>
      <c r="FB105" s="56" t="str">
        <f t="array" ref="FB105">IF($DQ105="","", INDEX(#REF!,MATCH(CONCATENATE('Respuestas de formulario 1.1'!$B105,$DQ105),#REF!,0),MATCH('Respuestas de formulario 1.1'!FB$1,#REF!,0)))</f>
        <v/>
      </c>
      <c r="FC105" s="56" t="str">
        <f t="array" ref="FC105">IF($DQ105="","", INDEX(#REF!,MATCH(CONCATENATE('Respuestas de formulario 1.1'!$B105,$DQ105),#REF!,0),MATCH('Respuestas de formulario 1.1'!FC$1,#REF!,0)))</f>
        <v/>
      </c>
      <c r="FD105" s="45" t="str">
        <f t="array" ref="FD105">IF($DQ105="","", INDEX(#REF!,MATCH(CONCATENATE('Respuestas de formulario 1.1'!$B105,$DQ105),#REF!,0),MATCH('Respuestas de formulario 1.1'!FD$1,#REF!,0)))</f>
        <v/>
      </c>
      <c r="FE105" s="45" t="str">
        <f t="array" ref="FE105">IF($DR105="","", INDEX(#REF!,MATCH(CONCATENATE(#REF!,$DR105),#REF!,0),MATCH(#REF!,#REF!,0)))</f>
        <v/>
      </c>
      <c r="FF105" s="56" t="str">
        <f t="array" ref="FF105">IF($DR105="","", INDEX(#REF!,MATCH(CONCATENATE(#REF!,$DR105),#REF!,0),MATCH(#REF!,#REF!,0)))</f>
        <v/>
      </c>
      <c r="FG105" s="56" t="str">
        <f t="array" ref="FG105">IF($DR105="","", INDEX(#REF!,MATCH(CONCATENATE(#REF!,$DR105),#REF!,0),MATCH(#REF!,#REF!,0)))</f>
        <v/>
      </c>
      <c r="FH105" s="56" t="str">
        <f t="array" ref="FH105">IF($DR105="","", INDEX(#REF!,MATCH(CONCATENATE(#REF!,$DR105),#REF!,0),MATCH(#REF!,#REF!,0)))</f>
        <v/>
      </c>
      <c r="FI105" s="56" t="str">
        <f t="array" ref="FI105">IF($DR105="","", INDEX(#REF!,MATCH(CONCATENATE(#REF!,$DR105),#REF!,0),MATCH(#REF!,#REF!,0)))</f>
        <v/>
      </c>
      <c r="FJ105" s="56" t="str">
        <f t="array" ref="FJ105">IF($DR105="","", INDEX(#REF!,MATCH(CONCATENATE(#REF!,$DR105),#REF!,0),MATCH(#REF!,#REF!,0)))</f>
        <v/>
      </c>
      <c r="FK105" s="45" t="str">
        <f t="array" ref="FK105">IF($DR105="","", INDEX(#REF!,MATCH(CONCATENATE(#REF!,$DR105),#REF!,0),MATCH(#REF!,#REF!,0)))</f>
        <v/>
      </c>
      <c r="FL105" s="45" t="str">
        <f t="array" ref="FL105">IF($DT105="","", INDEX(#REF!,MATCH(CONCATENATE('Respuestas de formulario 1.1'!$B105,$DS105),#REF!,0),MATCH('Respuestas de formulario 1.1'!FL$1,#REF!,0)))</f>
        <v/>
      </c>
      <c r="FM105" s="56" t="str">
        <f t="array" ref="FM105">IF($DT105="","", INDEX(#REF!,MATCH(CONCATENATE('Respuestas de formulario 1.1'!$B105,$DS105),#REF!,0),MATCH('Respuestas de formulario 1.1'!FM$1,#REF!,0)))</f>
        <v/>
      </c>
      <c r="FN105" s="56" t="str">
        <f t="array" ref="FN105">IF($DT105="","", INDEX(#REF!,MATCH(CONCATENATE('Respuestas de formulario 1.1'!$B105,$DS105),#REF!,0),MATCH('Respuestas de formulario 1.1'!FN$1,#REF!,0)))</f>
        <v/>
      </c>
      <c r="FO105" s="56" t="str">
        <f t="array" ref="FO105">IF($DT105="","", INDEX(#REF!,MATCH(CONCATENATE('Respuestas de formulario 1.1'!$B105,$DS105),#REF!,0),MATCH('Respuestas de formulario 1.1'!FO$1,#REF!,0)))</f>
        <v/>
      </c>
      <c r="FP105" s="56" t="str">
        <f t="array" ref="FP105">IF($DT105="","", INDEX(#REF!,MATCH(CONCATENATE('Respuestas de formulario 1.1'!$B105,$DS105),#REF!,0),MATCH('Respuestas de formulario 1.1'!FP$1,#REF!,0)))</f>
        <v/>
      </c>
      <c r="FQ105" s="56" t="str">
        <f t="array" ref="FQ105">IF($DT105="","", INDEX(#REF!,MATCH(CONCATENATE('Respuestas de formulario 1.1'!$B105,$DS105),#REF!,0),MATCH('Respuestas de formulario 1.1'!FQ$1,#REF!,0)))</f>
        <v/>
      </c>
      <c r="FR105" s="45" t="str">
        <f t="array" ref="FR105">IF($DT105="","", INDEX(#REF!,MATCH(CONCATENATE('Respuestas de formulario 1.1'!$B105,$DS105),#REF!,0),MATCH('Respuestas de formulario 1.1'!FR$1,#REF!,0)))</f>
        <v/>
      </c>
      <c r="FS105" s="45" t="str">
        <f t="array" ref="FS105">IF($DU105="","", INDEX(#REF!,MATCH(CONCATENATE('Respuestas de formulario 1.1'!$B105,$DT105),#REF!,0),MATCH('Respuestas de formulario 1.1'!FS$1,#REF!,0)))</f>
        <v/>
      </c>
      <c r="FT105" s="56" t="str">
        <f t="array" ref="FT105">IF($DU105="","", INDEX(#REF!,MATCH(CONCATENATE('Respuestas de formulario 1.1'!$B105,$DT105),#REF!,0),MATCH('Respuestas de formulario 1.1'!FT$1,#REF!,0)))</f>
        <v/>
      </c>
      <c r="FU105" s="56" t="str">
        <f t="array" ref="FU105">IF($DU105="","", INDEX(#REF!,MATCH(CONCATENATE('Respuestas de formulario 1.1'!$B105,$DT105),#REF!,0),MATCH('Respuestas de formulario 1.1'!FU$1,#REF!,0)))</f>
        <v/>
      </c>
      <c r="FV105" s="56" t="str">
        <f t="array" ref="FV105">IF($DU105="","", INDEX(#REF!,MATCH(CONCATENATE('Respuestas de formulario 1.1'!$B105,$DT105),#REF!,0),MATCH('Respuestas de formulario 1.1'!FV$1,#REF!,0)))</f>
        <v/>
      </c>
      <c r="FW105" s="56" t="str">
        <f t="array" ref="FW105">IF($DU105="","", INDEX(#REF!,MATCH(CONCATENATE('Respuestas de formulario 1.1'!$B105,$DT105),#REF!,0),MATCH('Respuestas de formulario 1.1'!FW$1,#REF!,0)))</f>
        <v/>
      </c>
      <c r="FX105" s="56" t="str">
        <f t="array" ref="FX105">IF($DU105="","", INDEX(#REF!,MATCH(CONCATENATE('Respuestas de formulario 1.1'!$B105,$DT105),#REF!,0),MATCH('Respuestas de formulario 1.1'!FX$1,#REF!,0)))</f>
        <v/>
      </c>
      <c r="FY105" s="45" t="str">
        <f t="array" ref="FY105">IF($DU105="","", INDEX(#REF!,MATCH(CONCATENATE('Respuestas de formulario 1.1'!$B105,$DT105),#REF!,0),MATCH('Respuestas de formulario 1.1'!FY$1,#REF!,0)))</f>
        <v/>
      </c>
      <c r="FZ105" s="3" t="s">
        <v>2860</v>
      </c>
      <c r="GA105" s="1" t="s">
        <v>4646</v>
      </c>
      <c r="GB105" s="5" t="s">
        <v>4647</v>
      </c>
      <c r="GC105" s="4" t="str">
        <f>HYPERLINK("https://drive.google.com/file/d/1KmR2gxhPOBU5ln7s9JhfSDorHCpY-9OE/view?usp=drivesdk","PEREZ PALACIOS  MIGUEL ALI Formato de reinscripción y pago 2022-2")</f>
        <v>PEREZ PALACIOS  MIGUEL ALI Formato de reinscripción y pago 2022-2</v>
      </c>
      <c r="GD105" s="1" t="s">
        <v>4648</v>
      </c>
      <c r="GE105" s="1"/>
      <c r="GF105" s="1"/>
      <c r="GG105" s="1"/>
      <c r="GH105" s="1"/>
      <c r="GI105" s="1" t="s">
        <v>4649</v>
      </c>
      <c r="GJ105" s="5" t="s">
        <v>4650</v>
      </c>
      <c r="GK105" s="5" t="str">
        <f>HYPERLINK("https://drive.google.com/file/d/1WQxnJ_1vbPOcrhyutalqP7f0QWX6jtWD/view?usp=drivesdk","MIGUEL  PEREZ PALACIOS  Formato de reinscripción y pago 2022-2")</f>
        <v>MIGUEL  PEREZ PALACIOS  Formato de reinscripción y pago 2022-2</v>
      </c>
      <c r="GL105" s="1" t="s">
        <v>4651</v>
      </c>
    </row>
    <row r="106" spans="1:194" ht="14.25" x14ac:dyDescent="0.2">
      <c r="A106" s="2">
        <v>45139.421679884261</v>
      </c>
      <c r="B106" s="1" t="s">
        <v>1504</v>
      </c>
      <c r="C106" s="1" t="s">
        <v>734</v>
      </c>
      <c r="D106" s="1" t="s">
        <v>252</v>
      </c>
      <c r="E106" s="1" t="s">
        <v>1505</v>
      </c>
      <c r="F106" s="1" t="s">
        <v>223</v>
      </c>
      <c r="G106" s="5" t="s">
        <v>4652</v>
      </c>
      <c r="H106" s="41">
        <v>39036</v>
      </c>
      <c r="I106" s="1">
        <v>16</v>
      </c>
      <c r="J106" s="1">
        <v>5529451890</v>
      </c>
      <c r="K106" s="1">
        <v>5557420337</v>
      </c>
      <c r="L106" s="1" t="s">
        <v>4653</v>
      </c>
      <c r="M106" s="1">
        <v>21309060570821</v>
      </c>
      <c r="N106" s="1" t="s">
        <v>1108</v>
      </c>
      <c r="O106" s="1" t="s">
        <v>225</v>
      </c>
      <c r="P106" s="1" t="s">
        <v>278</v>
      </c>
      <c r="Q106" s="1" t="s">
        <v>227</v>
      </c>
      <c r="R106" s="1" t="s">
        <v>236</v>
      </c>
      <c r="S106" s="1" t="s">
        <v>228</v>
      </c>
      <c r="T106" s="1" t="s">
        <v>411</v>
      </c>
      <c r="U106" s="1" t="s">
        <v>249</v>
      </c>
      <c r="V106" s="1" t="s">
        <v>228</v>
      </c>
      <c r="W106" s="1" t="s">
        <v>4654</v>
      </c>
      <c r="X106" s="1" t="s">
        <v>264</v>
      </c>
      <c r="Y106" s="1" t="s">
        <v>4655</v>
      </c>
      <c r="Z106" s="1" t="s">
        <v>231</v>
      </c>
      <c r="AA106" s="1">
        <v>57820</v>
      </c>
      <c r="AB106" s="1">
        <v>78</v>
      </c>
      <c r="AC106" s="1">
        <v>0</v>
      </c>
      <c r="AD106" s="1" t="s">
        <v>1506</v>
      </c>
      <c r="AE106" s="1" t="s">
        <v>4656</v>
      </c>
      <c r="AF106" s="1" t="s">
        <v>420</v>
      </c>
      <c r="AG106" s="1">
        <v>41</v>
      </c>
      <c r="AH106" s="5" t="s">
        <v>4657</v>
      </c>
      <c r="AI106" s="1">
        <v>5551586270</v>
      </c>
      <c r="AJ106" s="1">
        <v>5557420337</v>
      </c>
      <c r="AK106" s="1" t="s">
        <v>1507</v>
      </c>
      <c r="AL106" s="1" t="s">
        <v>234</v>
      </c>
      <c r="AM106" s="1" t="s">
        <v>1509</v>
      </c>
      <c r="AN106" s="1" t="s">
        <v>1508</v>
      </c>
      <c r="AO106" s="1" t="s">
        <v>461</v>
      </c>
      <c r="AP106" s="1">
        <v>36</v>
      </c>
      <c r="AQ106" s="1" t="s">
        <v>294</v>
      </c>
      <c r="AR106" s="42">
        <v>0</v>
      </c>
      <c r="AS106" s="42">
        <v>0</v>
      </c>
      <c r="AT106" s="1">
        <v>5529451890</v>
      </c>
      <c r="AU106" s="1">
        <v>5557420337</v>
      </c>
      <c r="AV106" s="1" t="s">
        <v>1507</v>
      </c>
      <c r="AW106" s="5" t="s">
        <v>4658</v>
      </c>
      <c r="AX106" s="1" t="s">
        <v>369</v>
      </c>
      <c r="AY106" s="1" t="s">
        <v>788</v>
      </c>
      <c r="AZ106" s="1" t="s">
        <v>2745</v>
      </c>
      <c r="BA106" s="1" t="s">
        <v>968</v>
      </c>
      <c r="BB106" s="1">
        <v>57</v>
      </c>
      <c r="BC106" s="1" t="s">
        <v>1086</v>
      </c>
      <c r="BD106" s="43">
        <v>0.41666666666424135</v>
      </c>
      <c r="BE106" s="43">
        <v>0.375</v>
      </c>
      <c r="BF106" s="1">
        <v>5557421936</v>
      </c>
      <c r="BG106" s="1">
        <v>5557421936</v>
      </c>
      <c r="BH106" s="1" t="s">
        <v>1507</v>
      </c>
      <c r="BI106" s="5" t="s">
        <v>4659</v>
      </c>
      <c r="BJ106" s="1" t="s">
        <v>236</v>
      </c>
      <c r="BL106" s="1">
        <v>160</v>
      </c>
      <c r="BM106" s="1">
        <v>54</v>
      </c>
      <c r="BN106" s="1" t="s">
        <v>228</v>
      </c>
      <c r="BO106" s="1" t="s">
        <v>228</v>
      </c>
      <c r="BQ106" s="1" t="s">
        <v>228</v>
      </c>
      <c r="BR106" s="1" t="s">
        <v>237</v>
      </c>
      <c r="BS106" s="1" t="s">
        <v>228</v>
      </c>
      <c r="BT106" s="1" t="s">
        <v>237</v>
      </c>
      <c r="BU106" s="1" t="s">
        <v>228</v>
      </c>
      <c r="BW106" s="1" t="s">
        <v>272</v>
      </c>
      <c r="BX106" s="1">
        <v>120</v>
      </c>
      <c r="BY106" s="1">
        <v>170</v>
      </c>
      <c r="BZ106" s="1" t="s">
        <v>1973</v>
      </c>
      <c r="CA106" s="1" t="s">
        <v>343</v>
      </c>
      <c r="CB106" s="1" t="s">
        <v>240</v>
      </c>
      <c r="CC106" s="1" t="s">
        <v>4660</v>
      </c>
      <c r="CD106" s="1">
        <v>350</v>
      </c>
      <c r="CE106" s="1">
        <v>800</v>
      </c>
      <c r="CF106" s="1" t="s">
        <v>236</v>
      </c>
      <c r="CG106" s="1" t="s">
        <v>242</v>
      </c>
      <c r="CH106" s="1" t="s">
        <v>243</v>
      </c>
      <c r="CI106" s="1" t="s">
        <v>243</v>
      </c>
      <c r="CJ106" s="1" t="s">
        <v>2848</v>
      </c>
      <c r="CL106" s="5" t="s">
        <v>4661</v>
      </c>
      <c r="CM106" s="1">
        <v>13210606847</v>
      </c>
      <c r="CN106" s="1" t="s">
        <v>228</v>
      </c>
      <c r="CQ106" s="42">
        <v>0.45833333333575865</v>
      </c>
      <c r="CR106" s="42">
        <v>0.33333333333575865</v>
      </c>
      <c r="CT106" s="45" t="str">
        <f t="array" ref="CT106">IFERROR(INDEX(#REF!,MATCH('Respuestas de formulario 1.1'!$B106,#REF!,0),MATCH('Respuestas de formulario 1.1'!CT$1,#REF!,0)),"")</f>
        <v/>
      </c>
      <c r="CU106" s="56" t="str">
        <f t="array" ref="CU106">IFERROR(INDEX(#REF!,MATCH('Respuestas de formulario 1.1'!$B106,#REF!,0),MATCH('Respuestas de formulario 1.1'!CU$1,#REF!,0)),"")</f>
        <v/>
      </c>
      <c r="CV106" s="56" t="str">
        <f t="array" ref="CV106">IFERROR(INDEX(#REF!,MATCH('Respuestas de formulario 1.1'!$B106,#REF!,0),MATCH('Respuestas de formulario 1.1'!CV$1,#REF!,0)),"")</f>
        <v/>
      </c>
      <c r="CW106" s="56" t="str">
        <f t="array" ref="CW106">IFERROR(INDEX(#REF!,MATCH('Respuestas de formulario 1.1'!$B106,#REF!,0),MATCH('Respuestas de formulario 1.1'!CW$1,#REF!,0)),"")</f>
        <v/>
      </c>
      <c r="CX106" s="56" t="str">
        <f t="array" ref="CX106">IFERROR(INDEX(#REF!,MATCH('Respuestas de formulario 1.1'!$B106,#REF!,0),MATCH('Respuestas de formulario 1.1'!CX$1,#REF!,0)),"")</f>
        <v/>
      </c>
      <c r="CY106" s="56" t="str">
        <f t="array" ref="CY106">IFERROR(INDEX(#REF!,MATCH('Respuestas de formulario 1.1'!$B106,#REF!,0),MATCH('Respuestas de formulario 1.1'!CY$1,#REF!,0)),"")</f>
        <v/>
      </c>
      <c r="CZ106" s="57" t="str">
        <f t="array" ref="CZ106">IFERROR(INDEX(#REF!,MATCH('Respuestas de formulario 1.1'!$B106,#REF!,0),MATCH('Respuestas de formulario 1.1'!CZ$1,#REF!,0)),"")</f>
        <v/>
      </c>
      <c r="DA106" s="45" t="e">
        <f t="array" ref="DA106">INDEX(#REF!,MATCH('Respuestas de formulario 1.1'!$B106,#REF!,0),MATCH('Respuestas de formulario 1.1'!DA$1,#REF!,0))</f>
        <v>#REF!</v>
      </c>
      <c r="DB106" s="45" t="e">
        <f t="array" ref="DB106">INDEX(#REF!,MATCH('Respuestas de formulario 1.1'!$B106,#REF!,0),MATCH('Respuestas de formulario 1.1'!DB$1,#REF!,0))</f>
        <v>#REF!</v>
      </c>
      <c r="DC106" s="45" t="e">
        <f t="array" ref="DC106">INDEX(#REF!,MATCH('Respuestas de formulario 1.1'!$B106,#REF!,0),MATCH('Respuestas de formulario 1.1'!DC$1,#REF!,0))</f>
        <v>#REF!</v>
      </c>
      <c r="DD106" s="45" t="e">
        <f t="array" ref="DD106">INDEX(#REF!,MATCH('Respuestas de formulario 1.1'!$B106,#REF!,0),MATCH('Respuestas de formulario 1.1'!DD$1,#REF!,0))</f>
        <v>#REF!</v>
      </c>
      <c r="DE106" s="45" t="e">
        <f t="array" ref="DE106">INDEX(#REF!,MATCH('Respuestas de formulario 1.1'!$B106,#REF!,0),MATCH('Respuestas de formulario 1.1'!DE$1,#REF!,0))</f>
        <v>#REF!</v>
      </c>
      <c r="DF106" s="45" t="e">
        <f t="array" ref="DF106">INDEX(#REF!,MATCH('Respuestas de formulario 1.1'!$B106,#REF!,0),MATCH('Respuestas de formulario 1.1'!DF$1,#REF!,0))</f>
        <v>#REF!</v>
      </c>
      <c r="DG106" s="45" t="e">
        <f t="array" ref="DG106">INDEX(#REF!,MATCH('Respuestas de formulario 1.1'!$B106,#REF!,0),MATCH('Respuestas de formulario 1.1'!DG$1,#REF!,0))</f>
        <v>#REF!</v>
      </c>
      <c r="DH106" s="45" t="e">
        <f t="array" ref="DH106">INDEX(#REF!,MATCH('Respuestas de formulario 1.1'!$B106,#REF!,0),MATCH('Respuestas de formulario 1.1'!DH$1,#REF!,0))</f>
        <v>#REF!</v>
      </c>
      <c r="DI106" s="48" t="e">
        <f>VLOOKUP(CONCATENATE($DF106," TUTO ",$DC106),#REF!,3,0)</f>
        <v>#REF!</v>
      </c>
      <c r="DJ106" s="48" t="e">
        <f t="array" ref="DJ106">IF('Respuestas de formulario 1.1'!A106="","",INDEX(#REF!,MATCH('Respuestas de formulario 1.1'!B106,#REF!,0),MATCH('Respuestas de formulario 1.1'!$DH$1,#REF!,0)))</f>
        <v>#REF!</v>
      </c>
      <c r="DK106" s="52" t="str">
        <f>CONCATENATE("http://doc.google.com/uc?id=",MID('Respuestas de formulario 1.1'!G106,34,33))</f>
        <v>http://doc.google.com/uc?id=1oWlOwTaBbvgv3LVpabgp2V-sA7B_Dq__</v>
      </c>
      <c r="DL106" s="49" t="str">
        <f>CONCATENATE("http://doc.google.com/uc?id=",MID('Respuestas de formulario 1.1'!AH106,34,33))</f>
        <v>http://doc.google.com/uc?id=19KW2Vc3xV5fO_RIXlUCO-cKCiMoBZofB</v>
      </c>
      <c r="DM106" s="50" t="str">
        <f>CONCATENATE("http://doc.google.com/uc?id=",MID('Respuestas de formulario 1.1'!AW106,34,33))</f>
        <v>http://doc.google.com/uc?id=1LL-0FFqUzNnW6m4qPbxxHKloV9WA6ryR</v>
      </c>
      <c r="DN106" s="53" t="str">
        <f>CONCATENATE("http://doc.google.com/uc?id=",MID('Respuestas de formulario 1.1'!$BI106,34,33))</f>
        <v>http://doc.google.com/uc?id=1jTu55NzhM2hOvhpnM-Yt__HI7gtC2joY</v>
      </c>
      <c r="DO106" s="45" t="str">
        <f>IFERROR(VLOOKUP(CONCATENATE('Respuestas de formulario 1.1'!$B106,MID('Respuestas de formulario 1.1'!DO$1,2,1)),#REF!,12,0),"")</f>
        <v/>
      </c>
      <c r="DP106" s="45" t="str">
        <f>IFERROR(VLOOKUP(CONCATENATE('Respuestas de formulario 1.1'!$B106,MID('Respuestas de formulario 1.1'!DP$1,2,1)),#REF!,12,0),"")</f>
        <v/>
      </c>
      <c r="DQ106" s="45" t="str">
        <f>IFERROR(VLOOKUP(CONCATENATE('Respuestas de formulario 1.1'!$B106,MID('Respuestas de formulario 1.1'!DQ$1,2,1)),#REF!,12,0),"")</f>
        <v/>
      </c>
      <c r="DR106" s="45" t="str">
        <f>IFERROR(VLOOKUP(CONCATENATE('Respuestas de formulario 1.1'!$B106,MID('Respuestas de formulario 1.1'!DR$1,2,1)),#REF!,12,0),"")</f>
        <v/>
      </c>
      <c r="DS106" s="45" t="str">
        <f>IFERROR(VLOOKUP(CONCATENATE('Respuestas de formulario 1.1'!$B106,MID('Respuestas de formulario 1.1'!DS$1,2,1)),#REF!,12,0),"")</f>
        <v/>
      </c>
      <c r="DT106" s="45" t="str">
        <f>IFERROR(VLOOKUP(CONCATENATE('Respuestas de formulario 1.1'!$B106,MID('Respuestas de formulario 1.1'!DT$1,2,1)),#REF!,12,0),"")</f>
        <v/>
      </c>
      <c r="DU106" s="45" t="str">
        <f>IFERROR(VLOOKUP(CONCATENATE('Respuestas de formulario 1.1'!$B106,MID('Respuestas de formulario 1.1'!DU$1,2,1)),#REF!,12,0),"")</f>
        <v/>
      </c>
      <c r="DV106" s="45" t="str">
        <f>IFERROR(VLOOKUP(CONCATENATE('Respuestas de formulario 1.1'!$B106,MID('Respuestas de formulario 1.1'!DV$1,2,1)),#REF!,12,0),"")</f>
        <v/>
      </c>
      <c r="DW106" s="45" t="str">
        <f>IFERROR(VLOOKUP(CONCATENATE('Respuestas de formulario 1.1'!$B106,MID('Respuestas de formulario 1.1'!DW$1,2,1)),#REF!,12,0),"")</f>
        <v/>
      </c>
      <c r="DX106" s="45" t="str">
        <f>IFERROR(VLOOKUP(CONCATENATE('Respuestas de formulario 1.1'!$B106,MID('Respuestas de formulario 1.1'!DX$1,2,1)),#REF!,12,0),"")</f>
        <v/>
      </c>
      <c r="DY106" s="45" t="str">
        <f>IFERROR(VLOOKUP(CONCATENATE('Respuestas de formulario 1.1'!$B106,MID('Respuestas de formulario 1.1'!DY$1,2,1)),#REF!,12,0),"")</f>
        <v/>
      </c>
      <c r="DZ106" s="45" t="str">
        <f>IFERROR(VLOOKUP(CONCATENATE('Respuestas de formulario 1.1'!$B106,MID('Respuestas de formulario 1.1'!DZ$1,2,1)),#REF!,12,0),"")</f>
        <v/>
      </c>
      <c r="EA106" s="45" t="str">
        <f>IFERROR(VLOOKUP(CONCATENATE('Respuestas de formulario 1.1'!$B106,MID('Respuestas de formulario 1.1'!EA$1,2,1)),#REF!,12,0),"")</f>
        <v/>
      </c>
      <c r="EB106" s="45" t="str">
        <f>IFERROR(VLOOKUP(CONCATENATE('Respuestas de formulario 1.1'!$B106,MID('Respuestas de formulario 1.1'!EB$1,2,1)),#REF!,12,0),"")</f>
        <v/>
      </c>
      <c r="EC106" s="45" t="str">
        <f>IFERROR(VLOOKUP(CONCATENATE('Respuestas de formulario 1.1'!$B106,MID('Respuestas de formulario 1.1'!EC$1,2,1)),#REF!,12,0),"")</f>
        <v/>
      </c>
      <c r="ED106" s="45" t="str">
        <f>IFERROR(VLOOKUP(CONCATENATE('Respuestas de formulario 1.1'!$B106,MID('Respuestas de formulario 1.1'!ED$1,2,1)),#REF!,12,0),"")</f>
        <v/>
      </c>
      <c r="EE106" s="45" t="str">
        <f>IFERROR(VLOOKUP(CONCATENATE('Respuestas de formulario 1.1'!$B106,MID('Respuestas de formulario 1.1'!EE$1,2,1)),#REF!,12,0),"")</f>
        <v/>
      </c>
      <c r="EF106" s="45" t="str">
        <f>IFERROR(VLOOKUP(CONCATENATE('Respuestas de formulario 1.1'!$B106,MID('Respuestas de formulario 1.1'!EF$1,2,1)),#REF!,12,0),"")</f>
        <v/>
      </c>
      <c r="EG106" s="45" t="str">
        <f>IFERROR(VLOOKUP(CONCATENATE('Respuestas de formulario 1.1'!$B106,MID('Respuestas de formulario 1.1'!EG$1,2,1)),#REF!,12,0),"")</f>
        <v/>
      </c>
      <c r="EH106" s="45" t="str">
        <f>IFERROR(VLOOKUP(CONCATENATE('Respuestas de formulario 1.1'!$B106,MID('Respuestas de formulario 1.1'!EH$1,2,1)),#REF!,12,0),"")</f>
        <v/>
      </c>
      <c r="EI106" s="45" t="str">
        <f>IFERROR(VLOOKUP(CONCATENATE('Respuestas de formulario 1.1'!$B106,MID('Respuestas de formulario 1.1'!EI$1,2,1)),#REF!,12,0),"")</f>
        <v/>
      </c>
      <c r="EJ106" s="45" t="str">
        <f t="array" ref="EJ106">IF(DO106="","", INDEX(#REF!,MATCH(CONCATENATE('Respuestas de formulario 1.1'!$B106,DO106),#REF!,0),MATCH('Respuestas de formulario 1.1'!EJ$1,#REF!,0)))</f>
        <v/>
      </c>
      <c r="EK106" s="56" t="str">
        <f t="array" ref="EK106">IF(DP106="","", INDEX(#REF!,MATCH(CONCATENATE('Respuestas de formulario 1.1'!$B106,DP106),#REF!,0),MATCH('Respuestas de formulario 1.1'!EK$1,#REF!,0)))</f>
        <v/>
      </c>
      <c r="EL106" s="56" t="str">
        <f t="array" ref="EL106">IF(DQ106="","", INDEX(#REF!,MATCH(CONCATENATE('Respuestas de formulario 1.1'!$B106,DQ106),#REF!,0),MATCH('Respuestas de formulario 1.1'!EL$1,#REF!,0)))</f>
        <v/>
      </c>
      <c r="EM106" s="56" t="str">
        <f t="array" ref="EM106">IF(DR106="","", INDEX(#REF!,MATCH(CONCATENATE('Respuestas de formulario 1.1'!$B106,DR106),#REF!,0),MATCH('Respuestas de formulario 1.1'!EM$1,#REF!,0)))</f>
        <v/>
      </c>
      <c r="EN106" s="56" t="str">
        <f t="array" ref="EN106">IF(DS106="","", INDEX(#REF!,MATCH(CONCATENATE('Respuestas de formulario 1.1'!$B106,DS106),#REF!,0),MATCH('Respuestas de formulario 1.1'!EN$1,#REF!,0)))</f>
        <v/>
      </c>
      <c r="EO106" s="56" t="str">
        <f t="array" ref="EO106">IF(DT106="","", INDEX(#REF!,MATCH(CONCATENATE('Respuestas de formulario 1.1'!$B106,DT106),#REF!,0),MATCH('Respuestas de formulario 1.1'!EO$1,#REF!,0)))</f>
        <v/>
      </c>
      <c r="EP106" s="45" t="str">
        <f t="array" ref="EP106">IF(DU106="","", INDEX(#REF!,MATCH(CONCATENATE('Respuestas de formulario 1.1'!$B106,DU106),#REF!,0),MATCH('Respuestas de formulario 1.1'!EP$1,#REF!,0)))</f>
        <v/>
      </c>
      <c r="EQ106" s="45" t="str">
        <f t="array" ref="EQ106">IF(DP106="","", INDEX(#REF!,MATCH(CONCATENATE('Respuestas de formulario 1.1'!$B106,DP106),#REF!,0),MATCH('Respuestas de formulario 1.1'!EQ$1,#REF!,0)))</f>
        <v/>
      </c>
      <c r="ER106" s="56" t="str">
        <f t="array" ref="ER106">IF(DQ106="","", INDEX(#REF!,MATCH(CONCATENATE('Respuestas de formulario 1.1'!$B106,DQ106),#REF!,0),MATCH('Respuestas de formulario 1.1'!ER$1,#REF!,0)))</f>
        <v/>
      </c>
      <c r="ES106" s="56" t="str">
        <f t="array" ref="ES106">IF(DR106="","", INDEX(#REF!,MATCH(CONCATENATE('Respuestas de formulario 1.1'!$B106,DR106),#REF!,0),MATCH('Respuestas de formulario 1.1'!ES$1,#REF!,0)))</f>
        <v/>
      </c>
      <c r="ET106" s="56" t="str">
        <f t="array" ref="ET106">IF(DS106="","", INDEX(#REF!,MATCH(CONCATENATE('Respuestas de formulario 1.1'!$B106,DS106),#REF!,0),MATCH('Respuestas de formulario 1.1'!ET$1,#REF!,0)))</f>
        <v/>
      </c>
      <c r="EU106" s="56" t="str">
        <f t="array" ref="EU106">IF(DT106="","", INDEX(#REF!,MATCH(CONCATENATE('Respuestas de formulario 1.1'!$B106,DT106),#REF!,0),MATCH('Respuestas de formulario 1.1'!EU$1,#REF!,0)))</f>
        <v/>
      </c>
      <c r="EV106" s="56" t="str">
        <f t="array" ref="EV106">IF(DU106="","", INDEX(#REF!,MATCH(CONCATENATE('Respuestas de formulario 1.1'!$B106,DU106),#REF!,0),MATCH('Respuestas de formulario 1.1'!EV$1,#REF!,0)))</f>
        <v/>
      </c>
      <c r="EW106" s="45" t="str">
        <f t="array" ref="EW106">IF(DV106="","", INDEX(#REF!,MATCH(CONCATENATE('Respuestas de formulario 1.1'!$B106,DV106),#REF!,0),MATCH('Respuestas de formulario 1.1'!EW$1,#REF!,0)))</f>
        <v/>
      </c>
      <c r="EX106" s="45" t="str">
        <f t="array" ref="EX106">IF($DQ106="","", INDEX(#REF!,MATCH(CONCATENATE('Respuestas de formulario 1.1'!$B106,$DQ106),#REF!,0),MATCH('Respuestas de formulario 1.1'!EX$1,#REF!,0)))</f>
        <v/>
      </c>
      <c r="EY106" s="56" t="str">
        <f t="array" ref="EY106">IF($DQ106="","", INDEX(#REF!,MATCH(CONCATENATE('Respuestas de formulario 1.1'!$B106,$DQ106),#REF!,0),MATCH('Respuestas de formulario 1.1'!EY$1,#REF!,0)))</f>
        <v/>
      </c>
      <c r="EZ106" s="56" t="str">
        <f t="array" ref="EZ106">IF($DQ106="","", INDEX(#REF!,MATCH(CONCATENATE('Respuestas de formulario 1.1'!$B106,$DQ106),#REF!,0),MATCH('Respuestas de formulario 1.1'!EZ$1,#REF!,0)))</f>
        <v/>
      </c>
      <c r="FA106" s="56" t="str">
        <f t="array" ref="FA106">IF($DQ106="","", INDEX(#REF!,MATCH(CONCATENATE('Respuestas de formulario 1.1'!$B106,$DQ106),#REF!,0),MATCH('Respuestas de formulario 1.1'!FA$1,#REF!,0)))</f>
        <v/>
      </c>
      <c r="FB106" s="56" t="str">
        <f t="array" ref="FB106">IF($DQ106="","", INDEX(#REF!,MATCH(CONCATENATE('Respuestas de formulario 1.1'!$B106,$DQ106),#REF!,0),MATCH('Respuestas de formulario 1.1'!FB$1,#REF!,0)))</f>
        <v/>
      </c>
      <c r="FC106" s="56" t="str">
        <f t="array" ref="FC106">IF($DQ106="","", INDEX(#REF!,MATCH(CONCATENATE('Respuestas de formulario 1.1'!$B106,$DQ106),#REF!,0),MATCH('Respuestas de formulario 1.1'!FC$1,#REF!,0)))</f>
        <v/>
      </c>
      <c r="FD106" s="45" t="str">
        <f t="array" ref="FD106">IF($DQ106="","", INDEX(#REF!,MATCH(CONCATENATE('Respuestas de formulario 1.1'!$B106,$DQ106),#REF!,0),MATCH('Respuestas de formulario 1.1'!FD$1,#REF!,0)))</f>
        <v/>
      </c>
      <c r="FE106" s="45" t="str">
        <f t="array" ref="FE106">IF($DR106="","", INDEX(#REF!,MATCH(CONCATENATE(#REF!,$DR106),#REF!,0),MATCH(#REF!,#REF!,0)))</f>
        <v/>
      </c>
      <c r="FF106" s="56" t="str">
        <f t="array" ref="FF106">IF($DR106="","", INDEX(#REF!,MATCH(CONCATENATE(#REF!,$DR106),#REF!,0),MATCH(#REF!,#REF!,0)))</f>
        <v/>
      </c>
      <c r="FG106" s="56" t="str">
        <f t="array" ref="FG106">IF($DR106="","", INDEX(#REF!,MATCH(CONCATENATE(#REF!,$DR106),#REF!,0),MATCH(#REF!,#REF!,0)))</f>
        <v/>
      </c>
      <c r="FH106" s="56" t="str">
        <f t="array" ref="FH106">IF($DR106="","", INDEX(#REF!,MATCH(CONCATENATE(#REF!,$DR106),#REF!,0),MATCH(#REF!,#REF!,0)))</f>
        <v/>
      </c>
      <c r="FI106" s="56" t="str">
        <f t="array" ref="FI106">IF($DR106="","", INDEX(#REF!,MATCH(CONCATENATE(#REF!,$DR106),#REF!,0),MATCH(#REF!,#REF!,0)))</f>
        <v/>
      </c>
      <c r="FJ106" s="56" t="str">
        <f t="array" ref="FJ106">IF($DR106="","", INDEX(#REF!,MATCH(CONCATENATE(#REF!,$DR106),#REF!,0),MATCH(#REF!,#REF!,0)))</f>
        <v/>
      </c>
      <c r="FK106" s="45" t="str">
        <f t="array" ref="FK106">IF($DR106="","", INDEX(#REF!,MATCH(CONCATENATE(#REF!,$DR106),#REF!,0),MATCH(#REF!,#REF!,0)))</f>
        <v/>
      </c>
      <c r="FL106" s="45" t="str">
        <f t="array" ref="FL106">IF($DT106="","", INDEX(#REF!,MATCH(CONCATENATE('Respuestas de formulario 1.1'!$B106,$DS106),#REF!,0),MATCH('Respuestas de formulario 1.1'!FL$1,#REF!,0)))</f>
        <v/>
      </c>
      <c r="FM106" s="56" t="str">
        <f t="array" ref="FM106">IF($DT106="","", INDEX(#REF!,MATCH(CONCATENATE('Respuestas de formulario 1.1'!$B106,$DS106),#REF!,0),MATCH('Respuestas de formulario 1.1'!FM$1,#REF!,0)))</f>
        <v/>
      </c>
      <c r="FN106" s="56" t="str">
        <f t="array" ref="FN106">IF($DT106="","", INDEX(#REF!,MATCH(CONCATENATE('Respuestas de formulario 1.1'!$B106,$DS106),#REF!,0),MATCH('Respuestas de formulario 1.1'!FN$1,#REF!,0)))</f>
        <v/>
      </c>
      <c r="FO106" s="56" t="str">
        <f t="array" ref="FO106">IF($DT106="","", INDEX(#REF!,MATCH(CONCATENATE('Respuestas de formulario 1.1'!$B106,$DS106),#REF!,0),MATCH('Respuestas de formulario 1.1'!FO$1,#REF!,0)))</f>
        <v/>
      </c>
      <c r="FP106" s="56" t="str">
        <f t="array" ref="FP106">IF($DT106="","", INDEX(#REF!,MATCH(CONCATENATE('Respuestas de formulario 1.1'!$B106,$DS106),#REF!,0),MATCH('Respuestas de formulario 1.1'!FP$1,#REF!,0)))</f>
        <v/>
      </c>
      <c r="FQ106" s="56" t="str">
        <f t="array" ref="FQ106">IF($DT106="","", INDEX(#REF!,MATCH(CONCATENATE('Respuestas de formulario 1.1'!$B106,$DS106),#REF!,0),MATCH('Respuestas de formulario 1.1'!FQ$1,#REF!,0)))</f>
        <v/>
      </c>
      <c r="FR106" s="45" t="str">
        <f t="array" ref="FR106">IF($DT106="","", INDEX(#REF!,MATCH(CONCATENATE('Respuestas de formulario 1.1'!$B106,$DS106),#REF!,0),MATCH('Respuestas de formulario 1.1'!FR$1,#REF!,0)))</f>
        <v/>
      </c>
      <c r="FS106" s="45" t="str">
        <f t="array" ref="FS106">IF($DU106="","", INDEX(#REF!,MATCH(CONCATENATE('Respuestas de formulario 1.1'!$B106,$DT106),#REF!,0),MATCH('Respuestas de formulario 1.1'!FS$1,#REF!,0)))</f>
        <v/>
      </c>
      <c r="FT106" s="56" t="str">
        <f t="array" ref="FT106">IF($DU106="","", INDEX(#REF!,MATCH(CONCATENATE('Respuestas de formulario 1.1'!$B106,$DT106),#REF!,0),MATCH('Respuestas de formulario 1.1'!FT$1,#REF!,0)))</f>
        <v/>
      </c>
      <c r="FU106" s="56" t="str">
        <f t="array" ref="FU106">IF($DU106="","", INDEX(#REF!,MATCH(CONCATENATE('Respuestas de formulario 1.1'!$B106,$DT106),#REF!,0),MATCH('Respuestas de formulario 1.1'!FU$1,#REF!,0)))</f>
        <v/>
      </c>
      <c r="FV106" s="56" t="str">
        <f t="array" ref="FV106">IF($DU106="","", INDEX(#REF!,MATCH(CONCATENATE('Respuestas de formulario 1.1'!$B106,$DT106),#REF!,0),MATCH('Respuestas de formulario 1.1'!FV$1,#REF!,0)))</f>
        <v/>
      </c>
      <c r="FW106" s="56" t="str">
        <f t="array" ref="FW106">IF($DU106="","", INDEX(#REF!,MATCH(CONCATENATE('Respuestas de formulario 1.1'!$B106,$DT106),#REF!,0),MATCH('Respuestas de formulario 1.1'!FW$1,#REF!,0)))</f>
        <v/>
      </c>
      <c r="FX106" s="56" t="str">
        <f t="array" ref="FX106">IF($DU106="","", INDEX(#REF!,MATCH(CONCATENATE('Respuestas de formulario 1.1'!$B106,$DT106),#REF!,0),MATCH('Respuestas de formulario 1.1'!FX$1,#REF!,0)))</f>
        <v/>
      </c>
      <c r="FY106" s="45" t="str">
        <f t="array" ref="FY106">IF($DU106="","", INDEX(#REF!,MATCH(CONCATENATE('Respuestas de formulario 1.1'!$B106,$DT106),#REF!,0),MATCH('Respuestas de formulario 1.1'!FY$1,#REF!,0)))</f>
        <v/>
      </c>
      <c r="GA106" s="1" t="s">
        <v>4662</v>
      </c>
      <c r="GB106" s="5" t="s">
        <v>4663</v>
      </c>
      <c r="GC106" s="4" t="str">
        <f>HYPERLINK("https://drive.google.com/file/d/1LoWuMe5RqUs32GQgI0ru32GTEKrUbHxw/view?usp=drivesdk","MORENO  PEREZ EVELYN ALONDRA  Formato de reinscripción y pago 2022-2")</f>
        <v>MORENO  PEREZ EVELYN ALONDRA  Formato de reinscripción y pago 2022-2</v>
      </c>
      <c r="GD106" s="1" t="s">
        <v>4664</v>
      </c>
      <c r="GE106" s="1"/>
      <c r="GF106" s="1"/>
      <c r="GG106" s="1"/>
      <c r="GH106" s="1"/>
      <c r="GI106" s="1" t="s">
        <v>4665</v>
      </c>
      <c r="GJ106" s="5" t="s">
        <v>4666</v>
      </c>
      <c r="GK106" s="5" t="str">
        <f>HYPERLINK("https://drive.google.com/file/d/1B9nRNCseqLLm8LG85VnPh1HXTtqqjz06/view?usp=drivesdk","MORENO  PEREZ EVELYN ALONDRA  Formato de reinscripción y pago 2022-2")</f>
        <v>MORENO  PEREZ EVELYN ALONDRA  Formato de reinscripción y pago 2022-2</v>
      </c>
      <c r="GL106" s="1" t="s">
        <v>4667</v>
      </c>
    </row>
    <row r="107" spans="1:194" ht="14.25" x14ac:dyDescent="0.2">
      <c r="A107" s="2">
        <v>45139.425137002312</v>
      </c>
      <c r="B107" s="1" t="s">
        <v>2538</v>
      </c>
      <c r="C107" s="1" t="s">
        <v>1032</v>
      </c>
      <c r="D107" s="1" t="s">
        <v>308</v>
      </c>
      <c r="E107" s="1" t="s">
        <v>2460</v>
      </c>
      <c r="F107" s="1" t="s">
        <v>223</v>
      </c>
      <c r="G107" s="5" t="s">
        <v>4668</v>
      </c>
      <c r="H107" s="41">
        <v>38881</v>
      </c>
      <c r="I107" s="1">
        <v>17</v>
      </c>
      <c r="J107" s="1">
        <v>5619042087</v>
      </c>
      <c r="K107" s="1">
        <v>5518954780</v>
      </c>
      <c r="L107" s="1" t="s">
        <v>2539</v>
      </c>
      <c r="M107" s="1">
        <v>21309060570596</v>
      </c>
      <c r="N107" s="1" t="s">
        <v>1108</v>
      </c>
      <c r="O107" s="1" t="s">
        <v>247</v>
      </c>
      <c r="P107" s="1" t="s">
        <v>226</v>
      </c>
      <c r="Q107" s="1" t="s">
        <v>227</v>
      </c>
      <c r="R107" s="1" t="s">
        <v>236</v>
      </c>
      <c r="S107" s="1" t="s">
        <v>228</v>
      </c>
      <c r="T107" s="1" t="s">
        <v>411</v>
      </c>
      <c r="U107" s="1" t="s">
        <v>249</v>
      </c>
      <c r="V107" s="1" t="s">
        <v>228</v>
      </c>
      <c r="W107" s="1" t="s">
        <v>4669</v>
      </c>
      <c r="X107" s="1" t="s">
        <v>249</v>
      </c>
      <c r="Y107" s="1" t="s">
        <v>2067</v>
      </c>
      <c r="Z107" s="1" t="s">
        <v>240</v>
      </c>
      <c r="AA107" s="44" t="s">
        <v>681</v>
      </c>
      <c r="AB107" s="1" t="s">
        <v>1652</v>
      </c>
      <c r="AC107" s="1" t="s">
        <v>4670</v>
      </c>
      <c r="AD107" s="1" t="s">
        <v>4671</v>
      </c>
      <c r="AE107" s="1" t="s">
        <v>4672</v>
      </c>
      <c r="AF107" s="1" t="s">
        <v>445</v>
      </c>
      <c r="AG107" s="1">
        <v>37</v>
      </c>
      <c r="AH107" s="5" t="s">
        <v>4673</v>
      </c>
      <c r="AI107" s="1">
        <v>5518954780</v>
      </c>
      <c r="AJ107" s="1">
        <v>5518954780</v>
      </c>
      <c r="AK107" s="1" t="s">
        <v>2540</v>
      </c>
      <c r="AL107" s="1" t="s">
        <v>2572</v>
      </c>
      <c r="AM107" s="1" t="s">
        <v>1000</v>
      </c>
      <c r="AN107" s="1" t="s">
        <v>2541</v>
      </c>
      <c r="AO107" s="1" t="s">
        <v>435</v>
      </c>
      <c r="AP107" s="1">
        <v>41</v>
      </c>
      <c r="AQ107" s="1" t="s">
        <v>663</v>
      </c>
      <c r="AR107" s="42">
        <v>0.20833333333575865</v>
      </c>
      <c r="AS107" s="42">
        <v>0.41666666666424135</v>
      </c>
      <c r="AT107" s="1">
        <v>5585595189</v>
      </c>
      <c r="AU107" s="1">
        <v>5585595189</v>
      </c>
      <c r="AV107" s="1" t="s">
        <v>4674</v>
      </c>
      <c r="AW107" s="5" t="s">
        <v>4675</v>
      </c>
      <c r="AX107" s="1" t="s">
        <v>308</v>
      </c>
      <c r="AY107" s="1" t="s">
        <v>1151</v>
      </c>
      <c r="AZ107" s="1" t="s">
        <v>696</v>
      </c>
      <c r="BA107" s="1" t="s">
        <v>265</v>
      </c>
      <c r="BB107" s="1">
        <v>37</v>
      </c>
      <c r="BC107" s="1" t="s">
        <v>454</v>
      </c>
      <c r="BD107" s="43">
        <v>0.20833333333575865</v>
      </c>
      <c r="BE107" s="43">
        <v>0.29166666666424135</v>
      </c>
      <c r="BF107" s="1">
        <v>5518954780</v>
      </c>
      <c r="BG107" s="1">
        <v>5518954780</v>
      </c>
      <c r="BH107" s="1" t="s">
        <v>2540</v>
      </c>
      <c r="BI107" s="5" t="s">
        <v>4676</v>
      </c>
      <c r="BJ107" s="1" t="s">
        <v>236</v>
      </c>
      <c r="BK107" s="1" t="s">
        <v>437</v>
      </c>
      <c r="BL107" s="1">
        <v>156</v>
      </c>
      <c r="BM107" s="1">
        <v>55</v>
      </c>
      <c r="BN107" s="1" t="s">
        <v>228</v>
      </c>
      <c r="BO107" s="1" t="s">
        <v>228</v>
      </c>
      <c r="BP107" s="1" t="s">
        <v>270</v>
      </c>
      <c r="BQ107" s="1" t="s">
        <v>228</v>
      </c>
      <c r="BR107" s="1" t="s">
        <v>237</v>
      </c>
      <c r="BS107" s="1" t="s">
        <v>236</v>
      </c>
      <c r="BT107" s="1" t="s">
        <v>457</v>
      </c>
      <c r="BU107" s="1" t="s">
        <v>228</v>
      </c>
      <c r="BW107" s="1" t="s">
        <v>238</v>
      </c>
      <c r="BX107" s="1">
        <v>60</v>
      </c>
      <c r="BY107" s="1">
        <v>125</v>
      </c>
      <c r="BZ107" s="1" t="s">
        <v>1171</v>
      </c>
      <c r="CA107" s="1" t="s">
        <v>673</v>
      </c>
      <c r="CB107" s="1" t="s">
        <v>240</v>
      </c>
      <c r="CC107" s="1" t="s">
        <v>300</v>
      </c>
      <c r="CD107" s="1">
        <v>3000</v>
      </c>
      <c r="CE107" s="1">
        <v>2000</v>
      </c>
      <c r="CF107" s="1" t="s">
        <v>236</v>
      </c>
      <c r="CG107" s="1" t="s">
        <v>242</v>
      </c>
      <c r="CH107" s="1" t="s">
        <v>243</v>
      </c>
      <c r="CI107" s="1" t="s">
        <v>243</v>
      </c>
      <c r="CJ107" s="1" t="s">
        <v>2848</v>
      </c>
      <c r="CL107" s="5" t="s">
        <v>4677</v>
      </c>
      <c r="CM107" s="1">
        <v>11210661879</v>
      </c>
      <c r="CN107" s="1" t="s">
        <v>228</v>
      </c>
      <c r="CQ107" s="42">
        <v>0.20833333333575865</v>
      </c>
      <c r="CR107" s="42">
        <v>0.29166666666424135</v>
      </c>
      <c r="CT107" s="45" t="str">
        <f t="array" ref="CT107">IFERROR(INDEX(#REF!,MATCH('Respuestas de formulario 1.1'!$B107,#REF!,0),MATCH('Respuestas de formulario 1.1'!CT$1,#REF!,0)),"")</f>
        <v/>
      </c>
      <c r="CU107" s="56" t="str">
        <f t="array" ref="CU107">IFERROR(INDEX(#REF!,MATCH('Respuestas de formulario 1.1'!$B107,#REF!,0),MATCH('Respuestas de formulario 1.1'!CU$1,#REF!,0)),"")</f>
        <v/>
      </c>
      <c r="CV107" s="56" t="str">
        <f t="array" ref="CV107">IFERROR(INDEX(#REF!,MATCH('Respuestas de formulario 1.1'!$B107,#REF!,0),MATCH('Respuestas de formulario 1.1'!CV$1,#REF!,0)),"")</f>
        <v/>
      </c>
      <c r="CW107" s="56" t="str">
        <f t="array" ref="CW107">IFERROR(INDEX(#REF!,MATCH('Respuestas de formulario 1.1'!$B107,#REF!,0),MATCH('Respuestas de formulario 1.1'!CW$1,#REF!,0)),"")</f>
        <v/>
      </c>
      <c r="CX107" s="56" t="str">
        <f t="array" ref="CX107">IFERROR(INDEX(#REF!,MATCH('Respuestas de formulario 1.1'!$B107,#REF!,0),MATCH('Respuestas de formulario 1.1'!CX$1,#REF!,0)),"")</f>
        <v/>
      </c>
      <c r="CY107" s="56" t="str">
        <f t="array" ref="CY107">IFERROR(INDEX(#REF!,MATCH('Respuestas de formulario 1.1'!$B107,#REF!,0),MATCH('Respuestas de formulario 1.1'!CY$1,#REF!,0)),"")</f>
        <v/>
      </c>
      <c r="CZ107" s="57" t="str">
        <f t="array" ref="CZ107">IFERROR(INDEX(#REF!,MATCH('Respuestas de formulario 1.1'!$B107,#REF!,0),MATCH('Respuestas de formulario 1.1'!CZ$1,#REF!,0)),"")</f>
        <v/>
      </c>
      <c r="DA107" s="45" t="e">
        <f t="array" ref="DA107">INDEX(#REF!,MATCH('Respuestas de formulario 1.1'!$B107,#REF!,0),MATCH('Respuestas de formulario 1.1'!DA$1,#REF!,0))</f>
        <v>#REF!</v>
      </c>
      <c r="DB107" s="45" t="e">
        <f t="array" ref="DB107">INDEX(#REF!,MATCH('Respuestas de formulario 1.1'!$B107,#REF!,0),MATCH('Respuestas de formulario 1.1'!DB$1,#REF!,0))</f>
        <v>#REF!</v>
      </c>
      <c r="DC107" s="45" t="e">
        <f t="array" ref="DC107">INDEX(#REF!,MATCH('Respuestas de formulario 1.1'!$B107,#REF!,0),MATCH('Respuestas de formulario 1.1'!DC$1,#REF!,0))</f>
        <v>#REF!</v>
      </c>
      <c r="DD107" s="45" t="e">
        <f t="array" ref="DD107">INDEX(#REF!,MATCH('Respuestas de formulario 1.1'!$B107,#REF!,0),MATCH('Respuestas de formulario 1.1'!DD$1,#REF!,0))</f>
        <v>#REF!</v>
      </c>
      <c r="DE107" s="45" t="e">
        <f t="array" ref="DE107">INDEX(#REF!,MATCH('Respuestas de formulario 1.1'!$B107,#REF!,0),MATCH('Respuestas de formulario 1.1'!DE$1,#REF!,0))</f>
        <v>#REF!</v>
      </c>
      <c r="DF107" s="45" t="e">
        <f t="array" ref="DF107">INDEX(#REF!,MATCH('Respuestas de formulario 1.1'!$B107,#REF!,0),MATCH('Respuestas de formulario 1.1'!DF$1,#REF!,0))</f>
        <v>#REF!</v>
      </c>
      <c r="DG107" s="45" t="e">
        <f t="array" ref="DG107">INDEX(#REF!,MATCH('Respuestas de formulario 1.1'!$B107,#REF!,0),MATCH('Respuestas de formulario 1.1'!DG$1,#REF!,0))</f>
        <v>#REF!</v>
      </c>
      <c r="DH107" s="45" t="e">
        <f t="array" ref="DH107">INDEX(#REF!,MATCH('Respuestas de formulario 1.1'!$B107,#REF!,0),MATCH('Respuestas de formulario 1.1'!DH$1,#REF!,0))</f>
        <v>#REF!</v>
      </c>
      <c r="DI107" s="48" t="e">
        <f>VLOOKUP(CONCATENATE($DF107," TUTO ",$DC107),#REF!,3,0)</f>
        <v>#REF!</v>
      </c>
      <c r="DJ107" s="48" t="e">
        <f t="array" ref="DJ107">IF('Respuestas de formulario 1.1'!A107="","",INDEX(#REF!,MATCH('Respuestas de formulario 1.1'!B107,#REF!,0),MATCH('Respuestas de formulario 1.1'!$DH$1,#REF!,0)))</f>
        <v>#REF!</v>
      </c>
      <c r="DK107" s="52" t="str">
        <f>CONCATENATE("http://doc.google.com/uc?id=",MID('Respuestas de formulario 1.1'!G107,34,33))</f>
        <v>http://doc.google.com/uc?id=1uRvOGDomJVmbBb0jhTcxmMXOUwO1EwZw</v>
      </c>
      <c r="DL107" s="49" t="str">
        <f>CONCATENATE("http://doc.google.com/uc?id=",MID('Respuestas de formulario 1.1'!AH107,34,33))</f>
        <v>http://doc.google.com/uc?id=1tXdCyrIrR7MCRTT8_cXxBelV_JqAz0cf</v>
      </c>
      <c r="DM107" s="50" t="str">
        <f>CONCATENATE("http://doc.google.com/uc?id=",MID('Respuestas de formulario 1.1'!AW107,34,33))</f>
        <v>http://doc.google.com/uc?id=1_eY8_8r2B-ARTlDmfn29b6UxFvMYKQyM</v>
      </c>
      <c r="DN107" s="53" t="str">
        <f>CONCATENATE("http://doc.google.com/uc?id=",MID('Respuestas de formulario 1.1'!$BI107,34,33))</f>
        <v>http://doc.google.com/uc?id=1PRHV7X31p0E6YaPmI2fg0qzmi-06vQ8t</v>
      </c>
      <c r="DO107" s="45" t="str">
        <f>IFERROR(VLOOKUP(CONCATENATE('Respuestas de formulario 1.1'!$B107,MID('Respuestas de formulario 1.1'!DO$1,2,1)),#REF!,12,0),"")</f>
        <v/>
      </c>
      <c r="DP107" s="45" t="str">
        <f>IFERROR(VLOOKUP(CONCATENATE('Respuestas de formulario 1.1'!$B107,MID('Respuestas de formulario 1.1'!DP$1,2,1)),#REF!,12,0),"")</f>
        <v/>
      </c>
      <c r="DQ107" s="45" t="str">
        <f>IFERROR(VLOOKUP(CONCATENATE('Respuestas de formulario 1.1'!$B107,MID('Respuestas de formulario 1.1'!DQ$1,2,1)),#REF!,12,0),"")</f>
        <v/>
      </c>
      <c r="DR107" s="45" t="str">
        <f>IFERROR(VLOOKUP(CONCATENATE('Respuestas de formulario 1.1'!$B107,MID('Respuestas de formulario 1.1'!DR$1,2,1)),#REF!,12,0),"")</f>
        <v/>
      </c>
      <c r="DS107" s="45" t="str">
        <f>IFERROR(VLOOKUP(CONCATENATE('Respuestas de formulario 1.1'!$B107,MID('Respuestas de formulario 1.1'!DS$1,2,1)),#REF!,12,0),"")</f>
        <v/>
      </c>
      <c r="DT107" s="45" t="str">
        <f>IFERROR(VLOOKUP(CONCATENATE('Respuestas de formulario 1.1'!$B107,MID('Respuestas de formulario 1.1'!DT$1,2,1)),#REF!,12,0),"")</f>
        <v/>
      </c>
      <c r="DU107" s="45" t="str">
        <f>IFERROR(VLOOKUP(CONCATENATE('Respuestas de formulario 1.1'!$B107,MID('Respuestas de formulario 1.1'!DU$1,2,1)),#REF!,12,0),"")</f>
        <v/>
      </c>
      <c r="DV107" s="45" t="str">
        <f>IFERROR(VLOOKUP(CONCATENATE('Respuestas de formulario 1.1'!$B107,MID('Respuestas de formulario 1.1'!DV$1,2,1)),#REF!,12,0),"")</f>
        <v/>
      </c>
      <c r="DW107" s="45" t="str">
        <f>IFERROR(VLOOKUP(CONCATENATE('Respuestas de formulario 1.1'!$B107,MID('Respuestas de formulario 1.1'!DW$1,2,1)),#REF!,12,0),"")</f>
        <v/>
      </c>
      <c r="DX107" s="45" t="str">
        <f>IFERROR(VLOOKUP(CONCATENATE('Respuestas de formulario 1.1'!$B107,MID('Respuestas de formulario 1.1'!DX$1,2,1)),#REF!,12,0),"")</f>
        <v/>
      </c>
      <c r="DY107" s="45" t="str">
        <f>IFERROR(VLOOKUP(CONCATENATE('Respuestas de formulario 1.1'!$B107,MID('Respuestas de formulario 1.1'!DY$1,2,1)),#REF!,12,0),"")</f>
        <v/>
      </c>
      <c r="DZ107" s="45" t="str">
        <f>IFERROR(VLOOKUP(CONCATENATE('Respuestas de formulario 1.1'!$B107,MID('Respuestas de formulario 1.1'!DZ$1,2,1)),#REF!,12,0),"")</f>
        <v/>
      </c>
      <c r="EA107" s="45" t="str">
        <f>IFERROR(VLOOKUP(CONCATENATE('Respuestas de formulario 1.1'!$B107,MID('Respuestas de formulario 1.1'!EA$1,2,1)),#REF!,12,0),"")</f>
        <v/>
      </c>
      <c r="EB107" s="45" t="str">
        <f>IFERROR(VLOOKUP(CONCATENATE('Respuestas de formulario 1.1'!$B107,MID('Respuestas de formulario 1.1'!EB$1,2,1)),#REF!,12,0),"")</f>
        <v/>
      </c>
      <c r="EC107" s="45" t="str">
        <f>IFERROR(VLOOKUP(CONCATENATE('Respuestas de formulario 1.1'!$B107,MID('Respuestas de formulario 1.1'!EC$1,2,1)),#REF!,12,0),"")</f>
        <v/>
      </c>
      <c r="ED107" s="45" t="str">
        <f>IFERROR(VLOOKUP(CONCATENATE('Respuestas de formulario 1.1'!$B107,MID('Respuestas de formulario 1.1'!ED$1,2,1)),#REF!,12,0),"")</f>
        <v/>
      </c>
      <c r="EE107" s="45" t="str">
        <f>IFERROR(VLOOKUP(CONCATENATE('Respuestas de formulario 1.1'!$B107,MID('Respuestas de formulario 1.1'!EE$1,2,1)),#REF!,12,0),"")</f>
        <v/>
      </c>
      <c r="EF107" s="45" t="str">
        <f>IFERROR(VLOOKUP(CONCATENATE('Respuestas de formulario 1.1'!$B107,MID('Respuestas de formulario 1.1'!EF$1,2,1)),#REF!,12,0),"")</f>
        <v/>
      </c>
      <c r="EG107" s="45" t="str">
        <f>IFERROR(VLOOKUP(CONCATENATE('Respuestas de formulario 1.1'!$B107,MID('Respuestas de formulario 1.1'!EG$1,2,1)),#REF!,12,0),"")</f>
        <v/>
      </c>
      <c r="EH107" s="45" t="str">
        <f>IFERROR(VLOOKUP(CONCATENATE('Respuestas de formulario 1.1'!$B107,MID('Respuestas de formulario 1.1'!EH$1,2,1)),#REF!,12,0),"")</f>
        <v/>
      </c>
      <c r="EI107" s="45" t="str">
        <f>IFERROR(VLOOKUP(CONCATENATE('Respuestas de formulario 1.1'!$B107,MID('Respuestas de formulario 1.1'!EI$1,2,1)),#REF!,12,0),"")</f>
        <v/>
      </c>
      <c r="EJ107" s="45" t="str">
        <f t="array" ref="EJ107">IF(DO107="","", INDEX(#REF!,MATCH(CONCATENATE('Respuestas de formulario 1.1'!$B107,DO107),#REF!,0),MATCH('Respuestas de formulario 1.1'!EJ$1,#REF!,0)))</f>
        <v/>
      </c>
      <c r="EK107" s="56" t="str">
        <f t="array" ref="EK107">IF(DP107="","", INDEX(#REF!,MATCH(CONCATENATE('Respuestas de formulario 1.1'!$B107,DP107),#REF!,0),MATCH('Respuestas de formulario 1.1'!EK$1,#REF!,0)))</f>
        <v/>
      </c>
      <c r="EL107" s="56" t="str">
        <f t="array" ref="EL107">IF(DQ107="","", INDEX(#REF!,MATCH(CONCATENATE('Respuestas de formulario 1.1'!$B107,DQ107),#REF!,0),MATCH('Respuestas de formulario 1.1'!EL$1,#REF!,0)))</f>
        <v/>
      </c>
      <c r="EM107" s="56" t="str">
        <f t="array" ref="EM107">IF(DR107="","", INDEX(#REF!,MATCH(CONCATENATE('Respuestas de formulario 1.1'!$B107,DR107),#REF!,0),MATCH('Respuestas de formulario 1.1'!EM$1,#REF!,0)))</f>
        <v/>
      </c>
      <c r="EN107" s="56" t="str">
        <f t="array" ref="EN107">IF(DS107="","", INDEX(#REF!,MATCH(CONCATENATE('Respuestas de formulario 1.1'!$B107,DS107),#REF!,0),MATCH('Respuestas de formulario 1.1'!EN$1,#REF!,0)))</f>
        <v/>
      </c>
      <c r="EO107" s="56" t="str">
        <f t="array" ref="EO107">IF(DT107="","", INDEX(#REF!,MATCH(CONCATENATE('Respuestas de formulario 1.1'!$B107,DT107),#REF!,0),MATCH('Respuestas de formulario 1.1'!EO$1,#REF!,0)))</f>
        <v/>
      </c>
      <c r="EP107" s="45" t="str">
        <f t="array" ref="EP107">IF(DU107="","", INDEX(#REF!,MATCH(CONCATENATE('Respuestas de formulario 1.1'!$B107,DU107),#REF!,0),MATCH('Respuestas de formulario 1.1'!EP$1,#REF!,0)))</f>
        <v/>
      </c>
      <c r="EQ107" s="45" t="str">
        <f t="array" ref="EQ107">IF(DP107="","", INDEX(#REF!,MATCH(CONCATENATE('Respuestas de formulario 1.1'!$B107,DP107),#REF!,0),MATCH('Respuestas de formulario 1.1'!EQ$1,#REF!,0)))</f>
        <v/>
      </c>
      <c r="ER107" s="56" t="str">
        <f t="array" ref="ER107">IF(DQ107="","", INDEX(#REF!,MATCH(CONCATENATE('Respuestas de formulario 1.1'!$B107,DQ107),#REF!,0),MATCH('Respuestas de formulario 1.1'!ER$1,#REF!,0)))</f>
        <v/>
      </c>
      <c r="ES107" s="56" t="str">
        <f t="array" ref="ES107">IF(DR107="","", INDEX(#REF!,MATCH(CONCATENATE('Respuestas de formulario 1.1'!$B107,DR107),#REF!,0),MATCH('Respuestas de formulario 1.1'!ES$1,#REF!,0)))</f>
        <v/>
      </c>
      <c r="ET107" s="56" t="str">
        <f t="array" ref="ET107">IF(DS107="","", INDEX(#REF!,MATCH(CONCATENATE('Respuestas de formulario 1.1'!$B107,DS107),#REF!,0),MATCH('Respuestas de formulario 1.1'!ET$1,#REF!,0)))</f>
        <v/>
      </c>
      <c r="EU107" s="56" t="str">
        <f t="array" ref="EU107">IF(DT107="","", INDEX(#REF!,MATCH(CONCATENATE('Respuestas de formulario 1.1'!$B107,DT107),#REF!,0),MATCH('Respuestas de formulario 1.1'!EU$1,#REF!,0)))</f>
        <v/>
      </c>
      <c r="EV107" s="56" t="str">
        <f t="array" ref="EV107">IF(DU107="","", INDEX(#REF!,MATCH(CONCATENATE('Respuestas de formulario 1.1'!$B107,DU107),#REF!,0),MATCH('Respuestas de formulario 1.1'!EV$1,#REF!,0)))</f>
        <v/>
      </c>
      <c r="EW107" s="45" t="str">
        <f t="array" ref="EW107">IF(DV107="","", INDEX(#REF!,MATCH(CONCATENATE('Respuestas de formulario 1.1'!$B107,DV107),#REF!,0),MATCH('Respuestas de formulario 1.1'!EW$1,#REF!,0)))</f>
        <v/>
      </c>
      <c r="EX107" s="45" t="str">
        <f t="array" ref="EX107">IF($DQ107="","", INDEX(#REF!,MATCH(CONCATENATE('Respuestas de formulario 1.1'!$B107,$DQ107),#REF!,0),MATCH('Respuestas de formulario 1.1'!EX$1,#REF!,0)))</f>
        <v/>
      </c>
      <c r="EY107" s="56" t="str">
        <f t="array" ref="EY107">IF($DQ107="","", INDEX(#REF!,MATCH(CONCATENATE('Respuestas de formulario 1.1'!$B107,$DQ107),#REF!,0),MATCH('Respuestas de formulario 1.1'!EY$1,#REF!,0)))</f>
        <v/>
      </c>
      <c r="EZ107" s="56" t="str">
        <f t="array" ref="EZ107">IF($DQ107="","", INDEX(#REF!,MATCH(CONCATENATE('Respuestas de formulario 1.1'!$B107,$DQ107),#REF!,0),MATCH('Respuestas de formulario 1.1'!EZ$1,#REF!,0)))</f>
        <v/>
      </c>
      <c r="FA107" s="56" t="str">
        <f t="array" ref="FA107">IF($DQ107="","", INDEX(#REF!,MATCH(CONCATENATE('Respuestas de formulario 1.1'!$B107,$DQ107),#REF!,0),MATCH('Respuestas de formulario 1.1'!FA$1,#REF!,0)))</f>
        <v/>
      </c>
      <c r="FB107" s="56" t="str">
        <f t="array" ref="FB107">IF($DQ107="","", INDEX(#REF!,MATCH(CONCATENATE('Respuestas de formulario 1.1'!$B107,$DQ107),#REF!,0),MATCH('Respuestas de formulario 1.1'!FB$1,#REF!,0)))</f>
        <v/>
      </c>
      <c r="FC107" s="56" t="str">
        <f t="array" ref="FC107">IF($DQ107="","", INDEX(#REF!,MATCH(CONCATENATE('Respuestas de formulario 1.1'!$B107,$DQ107),#REF!,0),MATCH('Respuestas de formulario 1.1'!FC$1,#REF!,0)))</f>
        <v/>
      </c>
      <c r="FD107" s="45" t="str">
        <f t="array" ref="FD107">IF($DQ107="","", INDEX(#REF!,MATCH(CONCATENATE('Respuestas de formulario 1.1'!$B107,$DQ107),#REF!,0),MATCH('Respuestas de formulario 1.1'!FD$1,#REF!,0)))</f>
        <v/>
      </c>
      <c r="FE107" s="45" t="str">
        <f t="array" ref="FE107">IF($DR107="","", INDEX(#REF!,MATCH(CONCATENATE(#REF!,$DR107),#REF!,0),MATCH(#REF!,#REF!,0)))</f>
        <v/>
      </c>
      <c r="FF107" s="56" t="str">
        <f t="array" ref="FF107">IF($DR107="","", INDEX(#REF!,MATCH(CONCATENATE(#REF!,$DR107),#REF!,0),MATCH(#REF!,#REF!,0)))</f>
        <v/>
      </c>
      <c r="FG107" s="56" t="str">
        <f t="array" ref="FG107">IF($DR107="","", INDEX(#REF!,MATCH(CONCATENATE(#REF!,$DR107),#REF!,0),MATCH(#REF!,#REF!,0)))</f>
        <v/>
      </c>
      <c r="FH107" s="56" t="str">
        <f t="array" ref="FH107">IF($DR107="","", INDEX(#REF!,MATCH(CONCATENATE(#REF!,$DR107),#REF!,0),MATCH(#REF!,#REF!,0)))</f>
        <v/>
      </c>
      <c r="FI107" s="56" t="str">
        <f t="array" ref="FI107">IF($DR107="","", INDEX(#REF!,MATCH(CONCATENATE(#REF!,$DR107),#REF!,0),MATCH(#REF!,#REF!,0)))</f>
        <v/>
      </c>
      <c r="FJ107" s="56" t="str">
        <f t="array" ref="FJ107">IF($DR107="","", INDEX(#REF!,MATCH(CONCATENATE(#REF!,$DR107),#REF!,0),MATCH(#REF!,#REF!,0)))</f>
        <v/>
      </c>
      <c r="FK107" s="45" t="str">
        <f t="array" ref="FK107">IF($DR107="","", INDEX(#REF!,MATCH(CONCATENATE(#REF!,$DR107),#REF!,0),MATCH(#REF!,#REF!,0)))</f>
        <v/>
      </c>
      <c r="FL107" s="45" t="str">
        <f t="array" ref="FL107">IF($DT107="","", INDEX(#REF!,MATCH(CONCATENATE('Respuestas de formulario 1.1'!$B107,$DS107),#REF!,0),MATCH('Respuestas de formulario 1.1'!FL$1,#REF!,0)))</f>
        <v/>
      </c>
      <c r="FM107" s="56" t="str">
        <f t="array" ref="FM107">IF($DT107="","", INDEX(#REF!,MATCH(CONCATENATE('Respuestas de formulario 1.1'!$B107,$DS107),#REF!,0),MATCH('Respuestas de formulario 1.1'!FM$1,#REF!,0)))</f>
        <v/>
      </c>
      <c r="FN107" s="56" t="str">
        <f t="array" ref="FN107">IF($DT107="","", INDEX(#REF!,MATCH(CONCATENATE('Respuestas de formulario 1.1'!$B107,$DS107),#REF!,0),MATCH('Respuestas de formulario 1.1'!FN$1,#REF!,0)))</f>
        <v/>
      </c>
      <c r="FO107" s="56" t="str">
        <f t="array" ref="FO107">IF($DT107="","", INDEX(#REF!,MATCH(CONCATENATE('Respuestas de formulario 1.1'!$B107,$DS107),#REF!,0),MATCH('Respuestas de formulario 1.1'!FO$1,#REF!,0)))</f>
        <v/>
      </c>
      <c r="FP107" s="56" t="str">
        <f t="array" ref="FP107">IF($DT107="","", INDEX(#REF!,MATCH(CONCATENATE('Respuestas de formulario 1.1'!$B107,$DS107),#REF!,0),MATCH('Respuestas de formulario 1.1'!FP$1,#REF!,0)))</f>
        <v/>
      </c>
      <c r="FQ107" s="56" t="str">
        <f t="array" ref="FQ107">IF($DT107="","", INDEX(#REF!,MATCH(CONCATENATE('Respuestas de formulario 1.1'!$B107,$DS107),#REF!,0),MATCH('Respuestas de formulario 1.1'!FQ$1,#REF!,0)))</f>
        <v/>
      </c>
      <c r="FR107" s="45" t="str">
        <f t="array" ref="FR107">IF($DT107="","", INDEX(#REF!,MATCH(CONCATENATE('Respuestas de formulario 1.1'!$B107,$DS107),#REF!,0),MATCH('Respuestas de formulario 1.1'!FR$1,#REF!,0)))</f>
        <v/>
      </c>
      <c r="FS107" s="45" t="str">
        <f t="array" ref="FS107">IF($DU107="","", INDEX(#REF!,MATCH(CONCATENATE('Respuestas de formulario 1.1'!$B107,$DT107),#REF!,0),MATCH('Respuestas de formulario 1.1'!FS$1,#REF!,0)))</f>
        <v/>
      </c>
      <c r="FT107" s="56" t="str">
        <f t="array" ref="FT107">IF($DU107="","", INDEX(#REF!,MATCH(CONCATENATE('Respuestas de formulario 1.1'!$B107,$DT107),#REF!,0),MATCH('Respuestas de formulario 1.1'!FT$1,#REF!,0)))</f>
        <v/>
      </c>
      <c r="FU107" s="56" t="str">
        <f t="array" ref="FU107">IF($DU107="","", INDEX(#REF!,MATCH(CONCATENATE('Respuestas de formulario 1.1'!$B107,$DT107),#REF!,0),MATCH('Respuestas de formulario 1.1'!FU$1,#REF!,0)))</f>
        <v/>
      </c>
      <c r="FV107" s="56" t="str">
        <f t="array" ref="FV107">IF($DU107="","", INDEX(#REF!,MATCH(CONCATENATE('Respuestas de formulario 1.1'!$B107,$DT107),#REF!,0),MATCH('Respuestas de formulario 1.1'!FV$1,#REF!,0)))</f>
        <v/>
      </c>
      <c r="FW107" s="56" t="str">
        <f t="array" ref="FW107">IF($DU107="","", INDEX(#REF!,MATCH(CONCATENATE('Respuestas de formulario 1.1'!$B107,$DT107),#REF!,0),MATCH('Respuestas de formulario 1.1'!FW$1,#REF!,0)))</f>
        <v/>
      </c>
      <c r="FX107" s="56" t="str">
        <f t="array" ref="FX107">IF($DU107="","", INDEX(#REF!,MATCH(CONCATENATE('Respuestas de formulario 1.1'!$B107,$DT107),#REF!,0),MATCH('Respuestas de formulario 1.1'!FX$1,#REF!,0)))</f>
        <v/>
      </c>
      <c r="FY107" s="45" t="str">
        <f t="array" ref="FY107">IF($DU107="","", INDEX(#REF!,MATCH(CONCATENATE('Respuestas de formulario 1.1'!$B107,$DT107),#REF!,0),MATCH('Respuestas de formulario 1.1'!FY$1,#REF!,0)))</f>
        <v/>
      </c>
      <c r="GA107" s="1" t="s">
        <v>4678</v>
      </c>
      <c r="GB107" s="5" t="s">
        <v>4679</v>
      </c>
      <c r="GC107" s="4" t="str">
        <f>HYPERLINK("https://drive.google.com/file/d/1JGIW13YYdpR4umLEo41z7aVZewoGyO8p/view?usp=drivesdk","LOZANO LOPEZ  ALONDRA  Formato de reinscripción y pago 2022-2")</f>
        <v>LOZANO LOPEZ  ALONDRA  Formato de reinscripción y pago 2022-2</v>
      </c>
      <c r="GD107" s="1" t="s">
        <v>4680</v>
      </c>
      <c r="GE107" s="1"/>
      <c r="GF107" s="1"/>
      <c r="GG107" s="1"/>
      <c r="GH107" s="1"/>
      <c r="GI107" s="1" t="s">
        <v>4681</v>
      </c>
      <c r="GJ107" s="5" t="s">
        <v>4682</v>
      </c>
      <c r="GK107" s="5" t="str">
        <f>HYPERLINK("https://drive.google.com/file/d/1KUj0lKyCdxFrqKWQyLwakRZidnw86n12/view?usp=drivesdk","LOZANO LOPEZ  ALONDRA  Formato de reinscripción y pago 2022-2")</f>
        <v>LOZANO LOPEZ  ALONDRA  Formato de reinscripción y pago 2022-2</v>
      </c>
      <c r="GL107" s="1" t="s">
        <v>4683</v>
      </c>
    </row>
    <row r="108" spans="1:194" ht="38.25" x14ac:dyDescent="0.2">
      <c r="A108" s="2">
        <v>45141.661793946754</v>
      </c>
      <c r="B108" s="1" t="s">
        <v>2078</v>
      </c>
      <c r="C108" s="1" t="s">
        <v>1476</v>
      </c>
      <c r="D108" s="1" t="s">
        <v>666</v>
      </c>
      <c r="E108" s="1" t="s">
        <v>2079</v>
      </c>
      <c r="F108" s="1" t="s">
        <v>223</v>
      </c>
      <c r="G108" s="5" t="s">
        <v>4684</v>
      </c>
      <c r="H108" s="41">
        <v>45145</v>
      </c>
      <c r="I108" s="1">
        <v>17</v>
      </c>
      <c r="J108" s="1">
        <v>5625861006</v>
      </c>
      <c r="K108" s="1">
        <v>5625861005</v>
      </c>
      <c r="L108" s="1" t="s">
        <v>2080</v>
      </c>
      <c r="M108" s="1">
        <v>21309060570871</v>
      </c>
      <c r="N108" s="1" t="s">
        <v>1108</v>
      </c>
      <c r="O108" s="1" t="s">
        <v>225</v>
      </c>
      <c r="P108" s="1" t="s">
        <v>226</v>
      </c>
      <c r="Q108" s="1" t="s">
        <v>248</v>
      </c>
      <c r="R108" s="1" t="s">
        <v>236</v>
      </c>
      <c r="S108" s="1" t="s">
        <v>236</v>
      </c>
      <c r="T108" s="1" t="s">
        <v>411</v>
      </c>
      <c r="U108" s="1" t="s">
        <v>481</v>
      </c>
      <c r="V108" s="1" t="s">
        <v>228</v>
      </c>
      <c r="W108" s="1" t="s">
        <v>4685</v>
      </c>
      <c r="X108" s="1" t="s">
        <v>471</v>
      </c>
      <c r="Y108" s="1" t="s">
        <v>1081</v>
      </c>
      <c r="Z108" s="1" t="s">
        <v>240</v>
      </c>
      <c r="AA108" s="1">
        <v>16300</v>
      </c>
      <c r="AB108" s="1">
        <v>2</v>
      </c>
      <c r="AC108" s="1">
        <v>2</v>
      </c>
      <c r="AD108" s="1" t="s">
        <v>4686</v>
      </c>
      <c r="AE108" s="1" t="s">
        <v>4687</v>
      </c>
      <c r="AF108" s="1" t="s">
        <v>265</v>
      </c>
      <c r="AG108" s="1">
        <v>40</v>
      </c>
      <c r="AH108" s="5" t="s">
        <v>4688</v>
      </c>
      <c r="AI108" s="1">
        <v>5523142328</v>
      </c>
      <c r="AJ108" s="1">
        <v>5523142328</v>
      </c>
      <c r="AK108" s="1" t="s">
        <v>2081</v>
      </c>
      <c r="AL108" s="1" t="s">
        <v>1476</v>
      </c>
      <c r="AM108" s="1" t="s">
        <v>1064</v>
      </c>
      <c r="AN108" s="1" t="s">
        <v>2082</v>
      </c>
      <c r="AO108" s="1" t="s">
        <v>435</v>
      </c>
      <c r="AP108" s="1">
        <v>37</v>
      </c>
      <c r="AQ108" s="1" t="s">
        <v>2238</v>
      </c>
      <c r="AR108" s="42">
        <v>0.16666666666424135</v>
      </c>
      <c r="AS108" s="42">
        <v>0.25</v>
      </c>
      <c r="AT108" s="1">
        <v>5569733157</v>
      </c>
      <c r="AU108" s="1">
        <v>5523142328</v>
      </c>
      <c r="AV108" s="1" t="s">
        <v>4689</v>
      </c>
      <c r="AW108" s="5" t="s">
        <v>4690</v>
      </c>
      <c r="AX108" s="1" t="s">
        <v>695</v>
      </c>
      <c r="AY108" s="1" t="s">
        <v>587</v>
      </c>
      <c r="AZ108" s="1" t="s">
        <v>2204</v>
      </c>
      <c r="BA108" s="1" t="s">
        <v>359</v>
      </c>
      <c r="BB108" s="1">
        <v>56</v>
      </c>
      <c r="BC108" s="1" t="s">
        <v>328</v>
      </c>
      <c r="BD108" s="43">
        <v>0.25</v>
      </c>
      <c r="BE108" s="43">
        <v>0.33333333333575865</v>
      </c>
      <c r="BF108" s="1">
        <v>5584848528</v>
      </c>
      <c r="BG108" s="1">
        <v>5521560847</v>
      </c>
      <c r="BH108" s="1" t="s">
        <v>4689</v>
      </c>
      <c r="BI108" s="5" t="s">
        <v>4691</v>
      </c>
      <c r="BJ108" s="1" t="s">
        <v>236</v>
      </c>
      <c r="BL108" s="1">
        <v>1.6</v>
      </c>
      <c r="BM108" s="1">
        <v>63</v>
      </c>
      <c r="BN108" s="1" t="s">
        <v>228</v>
      </c>
      <c r="BO108" s="1" t="s">
        <v>236</v>
      </c>
      <c r="BQ108" s="1" t="s">
        <v>228</v>
      </c>
      <c r="BR108" s="1" t="s">
        <v>237</v>
      </c>
      <c r="BS108" s="1" t="s">
        <v>228</v>
      </c>
      <c r="BT108" s="1" t="s">
        <v>237</v>
      </c>
      <c r="BU108" s="1" t="s">
        <v>228</v>
      </c>
      <c r="BW108" s="1" t="s">
        <v>349</v>
      </c>
      <c r="BX108" s="1">
        <v>4</v>
      </c>
      <c r="BY108" s="1">
        <v>30</v>
      </c>
      <c r="BZ108" s="1" t="s">
        <v>2045</v>
      </c>
      <c r="CA108" s="1" t="s">
        <v>299</v>
      </c>
      <c r="CB108" s="1" t="s">
        <v>231</v>
      </c>
      <c r="CC108" s="1" t="s">
        <v>1516</v>
      </c>
      <c r="CD108" s="1">
        <v>2000</v>
      </c>
      <c r="CE108" s="1">
        <v>3000</v>
      </c>
      <c r="CF108" s="1" t="s">
        <v>236</v>
      </c>
      <c r="CG108" s="1" t="s">
        <v>242</v>
      </c>
      <c r="CH108" s="1" t="s">
        <v>243</v>
      </c>
      <c r="CI108" s="1" t="s">
        <v>243</v>
      </c>
      <c r="CJ108" s="1" t="s">
        <v>2848</v>
      </c>
      <c r="CL108" s="5" t="s">
        <v>4692</v>
      </c>
      <c r="CM108" s="1">
        <v>15210649438</v>
      </c>
      <c r="CN108" s="1" t="s">
        <v>228</v>
      </c>
      <c r="CQ108" s="42">
        <v>0.16666666666424135</v>
      </c>
      <c r="CR108" s="42">
        <v>0.25</v>
      </c>
      <c r="CT108" s="45" t="str">
        <f t="array" ref="CT108">IFERROR(INDEX(#REF!,MATCH('Respuestas de formulario 1.1'!$B108,#REF!,0),MATCH('Respuestas de formulario 1.1'!CT$1,#REF!,0)),"")</f>
        <v/>
      </c>
      <c r="CU108" s="56" t="str">
        <f t="array" ref="CU108">IFERROR(INDEX(#REF!,MATCH('Respuestas de formulario 1.1'!$B108,#REF!,0),MATCH('Respuestas de formulario 1.1'!CU$1,#REF!,0)),"")</f>
        <v/>
      </c>
      <c r="CV108" s="56" t="str">
        <f t="array" ref="CV108">IFERROR(INDEX(#REF!,MATCH('Respuestas de formulario 1.1'!$B108,#REF!,0),MATCH('Respuestas de formulario 1.1'!CV$1,#REF!,0)),"")</f>
        <v/>
      </c>
      <c r="CW108" s="56" t="str">
        <f t="array" ref="CW108">IFERROR(INDEX(#REF!,MATCH('Respuestas de formulario 1.1'!$B108,#REF!,0),MATCH('Respuestas de formulario 1.1'!CW$1,#REF!,0)),"")</f>
        <v/>
      </c>
      <c r="CX108" s="56" t="str">
        <f t="array" ref="CX108">IFERROR(INDEX(#REF!,MATCH('Respuestas de formulario 1.1'!$B108,#REF!,0),MATCH('Respuestas de formulario 1.1'!CX$1,#REF!,0)),"")</f>
        <v/>
      </c>
      <c r="CY108" s="56" t="str">
        <f t="array" ref="CY108">IFERROR(INDEX(#REF!,MATCH('Respuestas de formulario 1.1'!$B108,#REF!,0),MATCH('Respuestas de formulario 1.1'!CY$1,#REF!,0)),"")</f>
        <v/>
      </c>
      <c r="CZ108" s="57" t="str">
        <f t="array" ref="CZ108">IFERROR(INDEX(#REF!,MATCH('Respuestas de formulario 1.1'!$B108,#REF!,0),MATCH('Respuestas de formulario 1.1'!CZ$1,#REF!,0)),"")</f>
        <v/>
      </c>
      <c r="DA108" s="45" t="e">
        <f t="array" ref="DA108">INDEX(#REF!,MATCH('Respuestas de formulario 1.1'!$B108,#REF!,0),MATCH('Respuestas de formulario 1.1'!DA$1,#REF!,0))</f>
        <v>#REF!</v>
      </c>
      <c r="DB108" s="45" t="e">
        <f t="array" ref="DB108">INDEX(#REF!,MATCH('Respuestas de formulario 1.1'!$B108,#REF!,0),MATCH('Respuestas de formulario 1.1'!DB$1,#REF!,0))</f>
        <v>#REF!</v>
      </c>
      <c r="DC108" s="45" t="e">
        <f t="array" ref="DC108">INDEX(#REF!,MATCH('Respuestas de formulario 1.1'!$B108,#REF!,0),MATCH('Respuestas de formulario 1.1'!DC$1,#REF!,0))</f>
        <v>#REF!</v>
      </c>
      <c r="DD108" s="45" t="e">
        <f t="array" ref="DD108">INDEX(#REF!,MATCH('Respuestas de formulario 1.1'!$B108,#REF!,0),MATCH('Respuestas de formulario 1.1'!DD$1,#REF!,0))</f>
        <v>#REF!</v>
      </c>
      <c r="DE108" s="45" t="e">
        <f t="array" ref="DE108">INDEX(#REF!,MATCH('Respuestas de formulario 1.1'!$B108,#REF!,0),MATCH('Respuestas de formulario 1.1'!DE$1,#REF!,0))</f>
        <v>#REF!</v>
      </c>
      <c r="DF108" s="45" t="e">
        <f t="array" ref="DF108">INDEX(#REF!,MATCH('Respuestas de formulario 1.1'!$B108,#REF!,0),MATCH('Respuestas de formulario 1.1'!DF$1,#REF!,0))</f>
        <v>#REF!</v>
      </c>
      <c r="DG108" s="45" t="e">
        <f t="array" ref="DG108">INDEX(#REF!,MATCH('Respuestas de formulario 1.1'!$B108,#REF!,0),MATCH('Respuestas de formulario 1.1'!DG$1,#REF!,0))</f>
        <v>#REF!</v>
      </c>
      <c r="DH108" s="45" t="e">
        <f t="array" ref="DH108">INDEX(#REF!,MATCH('Respuestas de formulario 1.1'!$B108,#REF!,0),MATCH('Respuestas de formulario 1.1'!DH$1,#REF!,0))</f>
        <v>#REF!</v>
      </c>
      <c r="DI108" s="48" t="e">
        <f>VLOOKUP(CONCATENATE($DF108," TUTO ",$DC108),#REF!,3,0)</f>
        <v>#REF!</v>
      </c>
      <c r="DJ108" s="48" t="e">
        <f t="array" ref="DJ108">IF('Respuestas de formulario 1.1'!A108="","",INDEX(#REF!,MATCH('Respuestas de formulario 1.1'!B108,#REF!,0),MATCH('Respuestas de formulario 1.1'!$DH$1,#REF!,0)))</f>
        <v>#REF!</v>
      </c>
      <c r="DK108" s="52" t="str">
        <f>CONCATENATE("http://doc.google.com/uc?id=",MID('Respuestas de formulario 1.1'!G108,34,33))</f>
        <v>http://doc.google.com/uc?id=1gk9tbx13rI5emo5pOFmDahK35HRO34Vj</v>
      </c>
      <c r="DL108" s="49" t="str">
        <f>CONCATENATE("http://doc.google.com/uc?id=",MID('Respuestas de formulario 1.1'!AH108,34,33))</f>
        <v>http://doc.google.com/uc?id=1s3dKD34DPo6l38zmRJA6w1Y5w20ZNUtK</v>
      </c>
      <c r="DM108" s="50" t="str">
        <f>CONCATENATE("http://doc.google.com/uc?id=",MID('Respuestas de formulario 1.1'!AW108,34,33))</f>
        <v>http://doc.google.com/uc?id=1HjXpBeiNKUdF79doZyTcr4PnzYWcTKT9</v>
      </c>
      <c r="DN108" s="53" t="str">
        <f>CONCATENATE("http://doc.google.com/uc?id=",MID('Respuestas de formulario 1.1'!$BI108,34,33))</f>
        <v>http://doc.google.com/uc?id=1ihcqFajYIXyBsBiYP2JvvQZOb0cOQ_of</v>
      </c>
      <c r="DO108" s="45" t="str">
        <f>IFERROR(VLOOKUP(CONCATENATE('Respuestas de formulario 1.1'!$B108,MID('Respuestas de formulario 1.1'!DO$1,2,1)),#REF!,12,0),"")</f>
        <v/>
      </c>
      <c r="DP108" s="45" t="str">
        <f>IFERROR(VLOOKUP(CONCATENATE('Respuestas de formulario 1.1'!$B108,MID('Respuestas de formulario 1.1'!DP$1,2,1)),#REF!,12,0),"")</f>
        <v/>
      </c>
      <c r="DQ108" s="45" t="str">
        <f>IFERROR(VLOOKUP(CONCATENATE('Respuestas de formulario 1.1'!$B108,MID('Respuestas de formulario 1.1'!DQ$1,2,1)),#REF!,12,0),"")</f>
        <v/>
      </c>
      <c r="DR108" s="45" t="str">
        <f>IFERROR(VLOOKUP(CONCATENATE('Respuestas de formulario 1.1'!$B108,MID('Respuestas de formulario 1.1'!DR$1,2,1)),#REF!,12,0),"")</f>
        <v/>
      </c>
      <c r="DS108" s="45" t="str">
        <f>IFERROR(VLOOKUP(CONCATENATE('Respuestas de formulario 1.1'!$B108,MID('Respuestas de formulario 1.1'!DS$1,2,1)),#REF!,12,0),"")</f>
        <v/>
      </c>
      <c r="DT108" s="45" t="str">
        <f>IFERROR(VLOOKUP(CONCATENATE('Respuestas de formulario 1.1'!$B108,MID('Respuestas de formulario 1.1'!DT$1,2,1)),#REF!,12,0),"")</f>
        <v/>
      </c>
      <c r="DU108" s="45" t="str">
        <f>IFERROR(VLOOKUP(CONCATENATE('Respuestas de formulario 1.1'!$B108,MID('Respuestas de formulario 1.1'!DU$1,2,1)),#REF!,12,0),"")</f>
        <v/>
      </c>
      <c r="DV108" s="45" t="str">
        <f>IFERROR(VLOOKUP(CONCATENATE('Respuestas de formulario 1.1'!$B108,MID('Respuestas de formulario 1.1'!DV$1,2,1)),#REF!,12,0),"")</f>
        <v/>
      </c>
      <c r="DW108" s="45" t="str">
        <f>IFERROR(VLOOKUP(CONCATENATE('Respuestas de formulario 1.1'!$B108,MID('Respuestas de formulario 1.1'!DW$1,2,1)),#REF!,12,0),"")</f>
        <v/>
      </c>
      <c r="DX108" s="45" t="str">
        <f>IFERROR(VLOOKUP(CONCATENATE('Respuestas de formulario 1.1'!$B108,MID('Respuestas de formulario 1.1'!DX$1,2,1)),#REF!,12,0),"")</f>
        <v/>
      </c>
      <c r="DY108" s="45" t="str">
        <f>IFERROR(VLOOKUP(CONCATENATE('Respuestas de formulario 1.1'!$B108,MID('Respuestas de formulario 1.1'!DY$1,2,1)),#REF!,12,0),"")</f>
        <v/>
      </c>
      <c r="DZ108" s="45" t="str">
        <f>IFERROR(VLOOKUP(CONCATENATE('Respuestas de formulario 1.1'!$B108,MID('Respuestas de formulario 1.1'!DZ$1,2,1)),#REF!,12,0),"")</f>
        <v/>
      </c>
      <c r="EA108" s="45" t="str">
        <f>IFERROR(VLOOKUP(CONCATENATE('Respuestas de formulario 1.1'!$B108,MID('Respuestas de formulario 1.1'!EA$1,2,1)),#REF!,12,0),"")</f>
        <v/>
      </c>
      <c r="EB108" s="45" t="str">
        <f>IFERROR(VLOOKUP(CONCATENATE('Respuestas de formulario 1.1'!$B108,MID('Respuestas de formulario 1.1'!EB$1,2,1)),#REF!,12,0),"")</f>
        <v/>
      </c>
      <c r="EC108" s="45" t="str">
        <f>IFERROR(VLOOKUP(CONCATENATE('Respuestas de formulario 1.1'!$B108,MID('Respuestas de formulario 1.1'!EC$1,2,1)),#REF!,12,0),"")</f>
        <v/>
      </c>
      <c r="ED108" s="45" t="str">
        <f>IFERROR(VLOOKUP(CONCATENATE('Respuestas de formulario 1.1'!$B108,MID('Respuestas de formulario 1.1'!ED$1,2,1)),#REF!,12,0),"")</f>
        <v/>
      </c>
      <c r="EE108" s="45" t="str">
        <f>IFERROR(VLOOKUP(CONCATENATE('Respuestas de formulario 1.1'!$B108,MID('Respuestas de formulario 1.1'!EE$1,2,1)),#REF!,12,0),"")</f>
        <v/>
      </c>
      <c r="EF108" s="45" t="str">
        <f>IFERROR(VLOOKUP(CONCATENATE('Respuestas de formulario 1.1'!$B108,MID('Respuestas de formulario 1.1'!EF$1,2,1)),#REF!,12,0),"")</f>
        <v/>
      </c>
      <c r="EG108" s="45" t="str">
        <f>IFERROR(VLOOKUP(CONCATENATE('Respuestas de formulario 1.1'!$B108,MID('Respuestas de formulario 1.1'!EG$1,2,1)),#REF!,12,0),"")</f>
        <v/>
      </c>
      <c r="EH108" s="45" t="str">
        <f>IFERROR(VLOOKUP(CONCATENATE('Respuestas de formulario 1.1'!$B108,MID('Respuestas de formulario 1.1'!EH$1,2,1)),#REF!,12,0),"")</f>
        <v/>
      </c>
      <c r="EI108" s="45" t="str">
        <f>IFERROR(VLOOKUP(CONCATENATE('Respuestas de formulario 1.1'!$B108,MID('Respuestas de formulario 1.1'!EI$1,2,1)),#REF!,12,0),"")</f>
        <v/>
      </c>
      <c r="EJ108" s="45" t="str">
        <f t="array" ref="EJ108">IF(DO108="","", INDEX(#REF!,MATCH(CONCATENATE('Respuestas de formulario 1.1'!$B108,DO108),#REF!,0),MATCH('Respuestas de formulario 1.1'!EJ$1,#REF!,0)))</f>
        <v/>
      </c>
      <c r="EK108" s="56" t="str">
        <f t="array" ref="EK108">IF(DP108="","", INDEX(#REF!,MATCH(CONCATENATE('Respuestas de formulario 1.1'!$B108,DP108),#REF!,0),MATCH('Respuestas de formulario 1.1'!EK$1,#REF!,0)))</f>
        <v/>
      </c>
      <c r="EL108" s="56" t="str">
        <f t="array" ref="EL108">IF(DQ108="","", INDEX(#REF!,MATCH(CONCATENATE('Respuestas de formulario 1.1'!$B108,DQ108),#REF!,0),MATCH('Respuestas de formulario 1.1'!EL$1,#REF!,0)))</f>
        <v/>
      </c>
      <c r="EM108" s="56" t="str">
        <f t="array" ref="EM108">IF(DR108="","", INDEX(#REF!,MATCH(CONCATENATE('Respuestas de formulario 1.1'!$B108,DR108),#REF!,0),MATCH('Respuestas de formulario 1.1'!EM$1,#REF!,0)))</f>
        <v/>
      </c>
      <c r="EN108" s="56" t="str">
        <f t="array" ref="EN108">IF(DS108="","", INDEX(#REF!,MATCH(CONCATENATE('Respuestas de formulario 1.1'!$B108,DS108),#REF!,0),MATCH('Respuestas de formulario 1.1'!EN$1,#REF!,0)))</f>
        <v/>
      </c>
      <c r="EO108" s="56" t="str">
        <f t="array" ref="EO108">IF(DT108="","", INDEX(#REF!,MATCH(CONCATENATE('Respuestas de formulario 1.1'!$B108,DT108),#REF!,0),MATCH('Respuestas de formulario 1.1'!EO$1,#REF!,0)))</f>
        <v/>
      </c>
      <c r="EP108" s="45" t="str">
        <f t="array" ref="EP108">IF(DU108="","", INDEX(#REF!,MATCH(CONCATENATE('Respuestas de formulario 1.1'!$B108,DU108),#REF!,0),MATCH('Respuestas de formulario 1.1'!EP$1,#REF!,0)))</f>
        <v/>
      </c>
      <c r="EQ108" s="45" t="str">
        <f t="array" ref="EQ108">IF(DP108="","", INDEX(#REF!,MATCH(CONCATENATE('Respuestas de formulario 1.1'!$B108,DP108),#REF!,0),MATCH('Respuestas de formulario 1.1'!EQ$1,#REF!,0)))</f>
        <v/>
      </c>
      <c r="ER108" s="56" t="str">
        <f t="array" ref="ER108">IF(DQ108="","", INDEX(#REF!,MATCH(CONCATENATE('Respuestas de formulario 1.1'!$B108,DQ108),#REF!,0),MATCH('Respuestas de formulario 1.1'!ER$1,#REF!,0)))</f>
        <v/>
      </c>
      <c r="ES108" s="56" t="str">
        <f t="array" ref="ES108">IF(DR108="","", INDEX(#REF!,MATCH(CONCATENATE('Respuestas de formulario 1.1'!$B108,DR108),#REF!,0),MATCH('Respuestas de formulario 1.1'!ES$1,#REF!,0)))</f>
        <v/>
      </c>
      <c r="ET108" s="56" t="str">
        <f t="array" ref="ET108">IF(DS108="","", INDEX(#REF!,MATCH(CONCATENATE('Respuestas de formulario 1.1'!$B108,DS108),#REF!,0),MATCH('Respuestas de formulario 1.1'!ET$1,#REF!,0)))</f>
        <v/>
      </c>
      <c r="EU108" s="56" t="str">
        <f t="array" ref="EU108">IF(DT108="","", INDEX(#REF!,MATCH(CONCATENATE('Respuestas de formulario 1.1'!$B108,DT108),#REF!,0),MATCH('Respuestas de formulario 1.1'!EU$1,#REF!,0)))</f>
        <v/>
      </c>
      <c r="EV108" s="56" t="str">
        <f t="array" ref="EV108">IF(DU108="","", INDEX(#REF!,MATCH(CONCATENATE('Respuestas de formulario 1.1'!$B108,DU108),#REF!,0),MATCH('Respuestas de formulario 1.1'!EV$1,#REF!,0)))</f>
        <v/>
      </c>
      <c r="EW108" s="45" t="str">
        <f t="array" ref="EW108">IF(DV108="","", INDEX(#REF!,MATCH(CONCATENATE('Respuestas de formulario 1.1'!$B108,DV108),#REF!,0),MATCH('Respuestas de formulario 1.1'!EW$1,#REF!,0)))</f>
        <v/>
      </c>
      <c r="EX108" s="45" t="str">
        <f t="array" ref="EX108">IF($DQ108="","", INDEX(#REF!,MATCH(CONCATENATE('Respuestas de formulario 1.1'!$B108,$DQ108),#REF!,0),MATCH('Respuestas de formulario 1.1'!EX$1,#REF!,0)))</f>
        <v/>
      </c>
      <c r="EY108" s="56" t="str">
        <f t="array" ref="EY108">IF($DQ108="","", INDEX(#REF!,MATCH(CONCATENATE('Respuestas de formulario 1.1'!$B108,$DQ108),#REF!,0),MATCH('Respuestas de formulario 1.1'!EY$1,#REF!,0)))</f>
        <v/>
      </c>
      <c r="EZ108" s="56" t="str">
        <f t="array" ref="EZ108">IF($DQ108="","", INDEX(#REF!,MATCH(CONCATENATE('Respuestas de formulario 1.1'!$B108,$DQ108),#REF!,0),MATCH('Respuestas de formulario 1.1'!EZ$1,#REF!,0)))</f>
        <v/>
      </c>
      <c r="FA108" s="56" t="str">
        <f t="array" ref="FA108">IF($DQ108="","", INDEX(#REF!,MATCH(CONCATENATE('Respuestas de formulario 1.1'!$B108,$DQ108),#REF!,0),MATCH('Respuestas de formulario 1.1'!FA$1,#REF!,0)))</f>
        <v/>
      </c>
      <c r="FB108" s="56" t="str">
        <f t="array" ref="FB108">IF($DQ108="","", INDEX(#REF!,MATCH(CONCATENATE('Respuestas de formulario 1.1'!$B108,$DQ108),#REF!,0),MATCH('Respuestas de formulario 1.1'!FB$1,#REF!,0)))</f>
        <v/>
      </c>
      <c r="FC108" s="56" t="str">
        <f t="array" ref="FC108">IF($DQ108="","", INDEX(#REF!,MATCH(CONCATENATE('Respuestas de formulario 1.1'!$B108,$DQ108),#REF!,0),MATCH('Respuestas de formulario 1.1'!FC$1,#REF!,0)))</f>
        <v/>
      </c>
      <c r="FD108" s="45" t="str">
        <f t="array" ref="FD108">IF($DQ108="","", INDEX(#REF!,MATCH(CONCATENATE('Respuestas de formulario 1.1'!$B108,$DQ108),#REF!,0),MATCH('Respuestas de formulario 1.1'!FD$1,#REF!,0)))</f>
        <v/>
      </c>
      <c r="FE108" s="45" t="str">
        <f t="array" ref="FE108">IF($DR108="","", INDEX(#REF!,MATCH(CONCATENATE(#REF!,$DR108),#REF!,0),MATCH(#REF!,#REF!,0)))</f>
        <v/>
      </c>
      <c r="FF108" s="56" t="str">
        <f t="array" ref="FF108">IF($DR108="","", INDEX(#REF!,MATCH(CONCATENATE(#REF!,$DR108),#REF!,0),MATCH(#REF!,#REF!,0)))</f>
        <v/>
      </c>
      <c r="FG108" s="56" t="str">
        <f t="array" ref="FG108">IF($DR108="","", INDEX(#REF!,MATCH(CONCATENATE(#REF!,$DR108),#REF!,0),MATCH(#REF!,#REF!,0)))</f>
        <v/>
      </c>
      <c r="FH108" s="56" t="str">
        <f t="array" ref="FH108">IF($DR108="","", INDEX(#REF!,MATCH(CONCATENATE(#REF!,$DR108),#REF!,0),MATCH(#REF!,#REF!,0)))</f>
        <v/>
      </c>
      <c r="FI108" s="56" t="str">
        <f t="array" ref="FI108">IF($DR108="","", INDEX(#REF!,MATCH(CONCATENATE(#REF!,$DR108),#REF!,0),MATCH(#REF!,#REF!,0)))</f>
        <v/>
      </c>
      <c r="FJ108" s="56" t="str">
        <f t="array" ref="FJ108">IF($DR108="","", INDEX(#REF!,MATCH(CONCATENATE(#REF!,$DR108),#REF!,0),MATCH(#REF!,#REF!,0)))</f>
        <v/>
      </c>
      <c r="FK108" s="45" t="str">
        <f t="array" ref="FK108">IF($DR108="","", INDEX(#REF!,MATCH(CONCATENATE(#REF!,$DR108),#REF!,0),MATCH(#REF!,#REF!,0)))</f>
        <v/>
      </c>
      <c r="FL108" s="45" t="str">
        <f t="array" ref="FL108">IF($DT108="","", INDEX(#REF!,MATCH(CONCATENATE('Respuestas de formulario 1.1'!$B108,$DS108),#REF!,0),MATCH('Respuestas de formulario 1.1'!FL$1,#REF!,0)))</f>
        <v/>
      </c>
      <c r="FM108" s="56" t="str">
        <f t="array" ref="FM108">IF($DT108="","", INDEX(#REF!,MATCH(CONCATENATE('Respuestas de formulario 1.1'!$B108,$DS108),#REF!,0),MATCH('Respuestas de formulario 1.1'!FM$1,#REF!,0)))</f>
        <v/>
      </c>
      <c r="FN108" s="56" t="str">
        <f t="array" ref="FN108">IF($DT108="","", INDEX(#REF!,MATCH(CONCATENATE('Respuestas de formulario 1.1'!$B108,$DS108),#REF!,0),MATCH('Respuestas de formulario 1.1'!FN$1,#REF!,0)))</f>
        <v/>
      </c>
      <c r="FO108" s="56" t="str">
        <f t="array" ref="FO108">IF($DT108="","", INDEX(#REF!,MATCH(CONCATENATE('Respuestas de formulario 1.1'!$B108,$DS108),#REF!,0),MATCH('Respuestas de formulario 1.1'!FO$1,#REF!,0)))</f>
        <v/>
      </c>
      <c r="FP108" s="56" t="str">
        <f t="array" ref="FP108">IF($DT108="","", INDEX(#REF!,MATCH(CONCATENATE('Respuestas de formulario 1.1'!$B108,$DS108),#REF!,0),MATCH('Respuestas de formulario 1.1'!FP$1,#REF!,0)))</f>
        <v/>
      </c>
      <c r="FQ108" s="56" t="str">
        <f t="array" ref="FQ108">IF($DT108="","", INDEX(#REF!,MATCH(CONCATENATE('Respuestas de formulario 1.1'!$B108,$DS108),#REF!,0),MATCH('Respuestas de formulario 1.1'!FQ$1,#REF!,0)))</f>
        <v/>
      </c>
      <c r="FR108" s="45" t="str">
        <f t="array" ref="FR108">IF($DT108="","", INDEX(#REF!,MATCH(CONCATENATE('Respuestas de formulario 1.1'!$B108,$DS108),#REF!,0),MATCH('Respuestas de formulario 1.1'!FR$1,#REF!,0)))</f>
        <v/>
      </c>
      <c r="FS108" s="45" t="str">
        <f t="array" ref="FS108">IF($DU108="","", INDEX(#REF!,MATCH(CONCATENATE('Respuestas de formulario 1.1'!$B108,$DT108),#REF!,0),MATCH('Respuestas de formulario 1.1'!FS$1,#REF!,0)))</f>
        <v/>
      </c>
      <c r="FT108" s="56" t="str">
        <f t="array" ref="FT108">IF($DU108="","", INDEX(#REF!,MATCH(CONCATENATE('Respuestas de formulario 1.1'!$B108,$DT108),#REF!,0),MATCH('Respuestas de formulario 1.1'!FT$1,#REF!,0)))</f>
        <v/>
      </c>
      <c r="FU108" s="56" t="str">
        <f t="array" ref="FU108">IF($DU108="","", INDEX(#REF!,MATCH(CONCATENATE('Respuestas de formulario 1.1'!$B108,$DT108),#REF!,0),MATCH('Respuestas de formulario 1.1'!FU$1,#REF!,0)))</f>
        <v/>
      </c>
      <c r="FV108" s="56" t="str">
        <f t="array" ref="FV108">IF($DU108="","", INDEX(#REF!,MATCH(CONCATENATE('Respuestas de formulario 1.1'!$B108,$DT108),#REF!,0),MATCH('Respuestas de formulario 1.1'!FV$1,#REF!,0)))</f>
        <v/>
      </c>
      <c r="FW108" s="56" t="str">
        <f t="array" ref="FW108">IF($DU108="","", INDEX(#REF!,MATCH(CONCATENATE('Respuestas de formulario 1.1'!$B108,$DT108),#REF!,0),MATCH('Respuestas de formulario 1.1'!FW$1,#REF!,0)))</f>
        <v/>
      </c>
      <c r="FX108" s="56" t="str">
        <f t="array" ref="FX108">IF($DU108="","", INDEX(#REF!,MATCH(CONCATENATE('Respuestas de formulario 1.1'!$B108,$DT108),#REF!,0),MATCH('Respuestas de formulario 1.1'!FX$1,#REF!,0)))</f>
        <v/>
      </c>
      <c r="FY108" s="45" t="str">
        <f t="array" ref="FY108">IF($DU108="","", INDEX(#REF!,MATCH(CONCATENATE('Respuestas de formulario 1.1'!$B108,$DT108),#REF!,0),MATCH('Respuestas de formulario 1.1'!FY$1,#REF!,0)))</f>
        <v/>
      </c>
      <c r="FZ108" s="3" t="s">
        <v>2860</v>
      </c>
      <c r="GA108" s="1" t="s">
        <v>4693</v>
      </c>
      <c r="GB108" s="5" t="s">
        <v>4694</v>
      </c>
      <c r="GC108" s="4" t="str">
        <f>HYPERLINK("https://drive.google.com/file/d/1S-Ir73vTY-S3TEtuF-dKXGrtXOrE9jRU/view?usp=drivesdk","RUEDA FAJARDO  HELENN MASSIEL  Formato de reinscripción y pago 2022-2")</f>
        <v>RUEDA FAJARDO  HELENN MASSIEL  Formato de reinscripción y pago 2022-2</v>
      </c>
      <c r="GD108" s="1" t="s">
        <v>4695</v>
      </c>
      <c r="GF108" s="1"/>
      <c r="GG108" s="1"/>
      <c r="GH108" s="1"/>
      <c r="GI108" s="1" t="s">
        <v>4696</v>
      </c>
      <c r="GJ108" s="5" t="s">
        <v>4697</v>
      </c>
      <c r="GK108" s="5" t="str">
        <f>HYPERLINK("https://drive.google.com/file/d/1B2DxZuvW2Tehl6oYy5zuFsAuq3Gr8MJn/view?usp=drivesdk","RUEDA FAJARDO  HELENN MASSIEL  Formato de reinscripción y pago 2022-2")</f>
        <v>RUEDA FAJARDO  HELENN MASSIEL  Formato de reinscripción y pago 2022-2</v>
      </c>
      <c r="GL108" s="1" t="s">
        <v>4698</v>
      </c>
    </row>
    <row r="109" spans="1:194" ht="38.25" x14ac:dyDescent="0.2">
      <c r="A109" s="2">
        <v>45139.42927547454</v>
      </c>
      <c r="B109" s="1" t="s">
        <v>1595</v>
      </c>
      <c r="C109" s="1" t="s">
        <v>304</v>
      </c>
      <c r="D109" s="1" t="s">
        <v>531</v>
      </c>
      <c r="E109" s="1" t="s">
        <v>1596</v>
      </c>
      <c r="F109" s="1" t="s">
        <v>223</v>
      </c>
      <c r="G109" s="5" t="s">
        <v>4699</v>
      </c>
      <c r="H109" s="41">
        <v>38739</v>
      </c>
      <c r="I109" s="1">
        <v>17</v>
      </c>
      <c r="J109" s="1">
        <v>5579147985</v>
      </c>
      <c r="K109" s="1">
        <v>5526136066</v>
      </c>
      <c r="L109" s="1" t="s">
        <v>1597</v>
      </c>
      <c r="M109" s="1">
        <v>21309060570266</v>
      </c>
      <c r="N109" s="1" t="s">
        <v>1108</v>
      </c>
      <c r="O109" s="1" t="s">
        <v>247</v>
      </c>
      <c r="P109" s="1" t="s">
        <v>226</v>
      </c>
      <c r="Q109" s="1" t="s">
        <v>248</v>
      </c>
      <c r="R109" s="1" t="s">
        <v>236</v>
      </c>
      <c r="S109" s="1" t="s">
        <v>228</v>
      </c>
      <c r="T109" s="1" t="s">
        <v>229</v>
      </c>
      <c r="U109" s="1" t="s">
        <v>394</v>
      </c>
      <c r="V109" s="1" t="s">
        <v>228</v>
      </c>
      <c r="W109" s="1" t="s">
        <v>4700</v>
      </c>
      <c r="X109" s="1" t="s">
        <v>394</v>
      </c>
      <c r="Y109" s="1" t="s">
        <v>4701</v>
      </c>
      <c r="Z109" s="1" t="s">
        <v>231</v>
      </c>
      <c r="AA109" s="1">
        <v>56507</v>
      </c>
      <c r="AB109" s="1">
        <v>25</v>
      </c>
      <c r="AC109" s="1">
        <v>8</v>
      </c>
      <c r="AD109" s="1" t="s">
        <v>4702</v>
      </c>
      <c r="AE109" s="1" t="s">
        <v>4703</v>
      </c>
      <c r="AF109" s="1" t="s">
        <v>758</v>
      </c>
      <c r="AG109" s="1">
        <v>23</v>
      </c>
      <c r="AH109" s="5" t="s">
        <v>4704</v>
      </c>
      <c r="AI109" s="1">
        <v>5587330595</v>
      </c>
      <c r="AJ109" s="1">
        <v>5525826717</v>
      </c>
      <c r="AK109" s="1" t="s">
        <v>1598</v>
      </c>
      <c r="AL109" s="1" t="s">
        <v>627</v>
      </c>
      <c r="AM109" s="1" t="s">
        <v>396</v>
      </c>
      <c r="AN109" s="1" t="s">
        <v>1599</v>
      </c>
      <c r="AO109" s="1" t="s">
        <v>265</v>
      </c>
      <c r="AP109" s="1">
        <v>44</v>
      </c>
      <c r="AQ109" s="1" t="s">
        <v>556</v>
      </c>
      <c r="AR109" s="42">
        <v>0.29166666666424135</v>
      </c>
      <c r="AS109" s="42">
        <v>0.79166666666424135</v>
      </c>
      <c r="AT109" s="1">
        <v>5519645072</v>
      </c>
      <c r="AU109" s="1">
        <v>5526136066</v>
      </c>
      <c r="AV109" s="1" t="s">
        <v>1600</v>
      </c>
      <c r="AW109" s="5" t="s">
        <v>4705</v>
      </c>
      <c r="AX109" s="1" t="s">
        <v>304</v>
      </c>
      <c r="AY109" s="1" t="s">
        <v>806</v>
      </c>
      <c r="AZ109" s="1" t="s">
        <v>1401</v>
      </c>
      <c r="BA109" s="1" t="s">
        <v>435</v>
      </c>
      <c r="BB109" s="1">
        <v>51</v>
      </c>
      <c r="BC109" s="1" t="s">
        <v>2238</v>
      </c>
      <c r="BD109" s="43">
        <v>0.29166666666424135</v>
      </c>
      <c r="BE109" s="43">
        <v>0.29166666666424135</v>
      </c>
      <c r="BF109" s="1">
        <v>8112135107</v>
      </c>
      <c r="BG109" s="1">
        <v>5526136066</v>
      </c>
      <c r="BH109" s="1" t="s">
        <v>1601</v>
      </c>
      <c r="BI109" s="5" t="s">
        <v>4706</v>
      </c>
      <c r="BJ109" s="1" t="s">
        <v>236</v>
      </c>
      <c r="BL109" s="1">
        <v>1.5</v>
      </c>
      <c r="BM109" s="1">
        <v>39</v>
      </c>
      <c r="BN109" s="1" t="s">
        <v>236</v>
      </c>
      <c r="BO109" s="1" t="s">
        <v>228</v>
      </c>
      <c r="BQ109" s="1" t="s">
        <v>228</v>
      </c>
      <c r="BR109" s="1" t="s">
        <v>237</v>
      </c>
      <c r="BS109" s="1" t="s">
        <v>228</v>
      </c>
      <c r="BT109" s="1" t="s">
        <v>237</v>
      </c>
      <c r="BU109" s="1" t="s">
        <v>228</v>
      </c>
      <c r="BW109" s="1" t="s">
        <v>238</v>
      </c>
      <c r="BX109" s="1">
        <v>60</v>
      </c>
      <c r="BY109" s="1">
        <v>262.5</v>
      </c>
      <c r="BZ109" s="1" t="s">
        <v>253</v>
      </c>
      <c r="CA109" s="1" t="s">
        <v>468</v>
      </c>
      <c r="CB109" s="1" t="s">
        <v>240</v>
      </c>
      <c r="CC109" s="1" t="s">
        <v>255</v>
      </c>
      <c r="CD109" s="1">
        <v>250</v>
      </c>
      <c r="CE109" s="1">
        <v>300</v>
      </c>
      <c r="CF109" s="1" t="s">
        <v>236</v>
      </c>
      <c r="CG109" s="1" t="s">
        <v>242</v>
      </c>
      <c r="CH109" s="1" t="s">
        <v>243</v>
      </c>
      <c r="CI109" s="1" t="s">
        <v>243</v>
      </c>
      <c r="CJ109" s="1" t="s">
        <v>2848</v>
      </c>
      <c r="CL109" s="5" t="s">
        <v>4707</v>
      </c>
      <c r="CM109" s="1">
        <v>57210604823</v>
      </c>
      <c r="CN109" s="1" t="s">
        <v>228</v>
      </c>
      <c r="CQ109" s="42">
        <v>0.58333333333575865</v>
      </c>
      <c r="CR109" s="42">
        <v>0.875</v>
      </c>
      <c r="CT109" s="45" t="str">
        <f t="array" ref="CT109">IFERROR(INDEX(#REF!,MATCH('Respuestas de formulario 1.1'!$B109,#REF!,0),MATCH('Respuestas de formulario 1.1'!CT$1,#REF!,0)),"")</f>
        <v/>
      </c>
      <c r="CU109" s="56" t="str">
        <f t="array" ref="CU109">IFERROR(INDEX(#REF!,MATCH('Respuestas de formulario 1.1'!$B109,#REF!,0),MATCH('Respuestas de formulario 1.1'!CU$1,#REF!,0)),"")</f>
        <v/>
      </c>
      <c r="CV109" s="56" t="str">
        <f t="array" ref="CV109">IFERROR(INDEX(#REF!,MATCH('Respuestas de formulario 1.1'!$B109,#REF!,0),MATCH('Respuestas de formulario 1.1'!CV$1,#REF!,0)),"")</f>
        <v/>
      </c>
      <c r="CW109" s="56" t="str">
        <f t="array" ref="CW109">IFERROR(INDEX(#REF!,MATCH('Respuestas de formulario 1.1'!$B109,#REF!,0),MATCH('Respuestas de formulario 1.1'!CW$1,#REF!,0)),"")</f>
        <v/>
      </c>
      <c r="CX109" s="56" t="str">
        <f t="array" ref="CX109">IFERROR(INDEX(#REF!,MATCH('Respuestas de formulario 1.1'!$B109,#REF!,0),MATCH('Respuestas de formulario 1.1'!CX$1,#REF!,0)),"")</f>
        <v/>
      </c>
      <c r="CY109" s="56" t="str">
        <f t="array" ref="CY109">IFERROR(INDEX(#REF!,MATCH('Respuestas de formulario 1.1'!$B109,#REF!,0),MATCH('Respuestas de formulario 1.1'!CY$1,#REF!,0)),"")</f>
        <v/>
      </c>
      <c r="CZ109" s="57" t="str">
        <f t="array" ref="CZ109">IFERROR(INDEX(#REF!,MATCH('Respuestas de formulario 1.1'!$B109,#REF!,0),MATCH('Respuestas de formulario 1.1'!CZ$1,#REF!,0)),"")</f>
        <v/>
      </c>
      <c r="DA109" s="45" t="e">
        <f t="array" ref="DA109">INDEX(#REF!,MATCH('Respuestas de formulario 1.1'!$B109,#REF!,0),MATCH('Respuestas de formulario 1.1'!DA$1,#REF!,0))</f>
        <v>#REF!</v>
      </c>
      <c r="DB109" s="45" t="e">
        <f t="array" ref="DB109">INDEX(#REF!,MATCH('Respuestas de formulario 1.1'!$B109,#REF!,0),MATCH('Respuestas de formulario 1.1'!DB$1,#REF!,0))</f>
        <v>#REF!</v>
      </c>
      <c r="DC109" s="45" t="e">
        <f t="array" ref="DC109">INDEX(#REF!,MATCH('Respuestas de formulario 1.1'!$B109,#REF!,0),MATCH('Respuestas de formulario 1.1'!DC$1,#REF!,0))</f>
        <v>#REF!</v>
      </c>
      <c r="DD109" s="45" t="e">
        <f t="array" ref="DD109">INDEX(#REF!,MATCH('Respuestas de formulario 1.1'!$B109,#REF!,0),MATCH('Respuestas de formulario 1.1'!DD$1,#REF!,0))</f>
        <v>#REF!</v>
      </c>
      <c r="DE109" s="45" t="e">
        <f t="array" ref="DE109">INDEX(#REF!,MATCH('Respuestas de formulario 1.1'!$B109,#REF!,0),MATCH('Respuestas de formulario 1.1'!DE$1,#REF!,0))</f>
        <v>#REF!</v>
      </c>
      <c r="DF109" s="45" t="e">
        <f t="array" ref="DF109">INDEX(#REF!,MATCH('Respuestas de formulario 1.1'!$B109,#REF!,0),MATCH('Respuestas de formulario 1.1'!DF$1,#REF!,0))</f>
        <v>#REF!</v>
      </c>
      <c r="DG109" s="45" t="e">
        <f t="array" ref="DG109">INDEX(#REF!,MATCH('Respuestas de formulario 1.1'!$B109,#REF!,0),MATCH('Respuestas de formulario 1.1'!DG$1,#REF!,0))</f>
        <v>#REF!</v>
      </c>
      <c r="DH109" s="45" t="e">
        <f t="array" ref="DH109">INDEX(#REF!,MATCH('Respuestas de formulario 1.1'!$B109,#REF!,0),MATCH('Respuestas de formulario 1.1'!DH$1,#REF!,0))</f>
        <v>#REF!</v>
      </c>
      <c r="DI109" s="48" t="e">
        <f>VLOOKUP(CONCATENATE($DF109," TUTO ",$DC109),#REF!,3,0)</f>
        <v>#REF!</v>
      </c>
      <c r="DJ109" s="48" t="e">
        <f t="array" ref="DJ109">IF('Respuestas de formulario 1.1'!A109="","",INDEX(#REF!,MATCH('Respuestas de formulario 1.1'!B109,#REF!,0),MATCH('Respuestas de formulario 1.1'!$DH$1,#REF!,0)))</f>
        <v>#REF!</v>
      </c>
      <c r="DK109" s="52" t="str">
        <f>CONCATENATE("http://doc.google.com/uc?id=",MID('Respuestas de formulario 1.1'!G109,34,33))</f>
        <v>http://doc.google.com/uc?id=1XR7S2-_nVAvbpJno4Ag2zJKuSKnaruw4</v>
      </c>
      <c r="DL109" s="49" t="str">
        <f>CONCATENATE("http://doc.google.com/uc?id=",MID('Respuestas de formulario 1.1'!AH109,34,33))</f>
        <v>http://doc.google.com/uc?id=1LEHLPq9P790joBo3g9uFq31olwNkFhe4</v>
      </c>
      <c r="DM109" s="50" t="str">
        <f>CONCATENATE("http://doc.google.com/uc?id=",MID('Respuestas de formulario 1.1'!AW109,34,33))</f>
        <v>http://doc.google.com/uc?id=19rdm4J-i8bQ4V4Vm3znaGnAx3pKlSVTJ</v>
      </c>
      <c r="DN109" s="53" t="str">
        <f>CONCATENATE("http://doc.google.com/uc?id=",MID('Respuestas de formulario 1.1'!$BI109,34,33))</f>
        <v>http://doc.google.com/uc?id=1gYEnK2Vi2Qb2oxKcPGcxuJpk1qGFF9Cl</v>
      </c>
      <c r="DO109" s="45" t="str">
        <f>IFERROR(VLOOKUP(CONCATENATE('Respuestas de formulario 1.1'!$B109,MID('Respuestas de formulario 1.1'!DO$1,2,1)),#REF!,12,0),"")</f>
        <v/>
      </c>
      <c r="DP109" s="45" t="str">
        <f>IFERROR(VLOOKUP(CONCATENATE('Respuestas de formulario 1.1'!$B109,MID('Respuestas de formulario 1.1'!DP$1,2,1)),#REF!,12,0),"")</f>
        <v/>
      </c>
      <c r="DQ109" s="45" t="str">
        <f>IFERROR(VLOOKUP(CONCATENATE('Respuestas de formulario 1.1'!$B109,MID('Respuestas de formulario 1.1'!DQ$1,2,1)),#REF!,12,0),"")</f>
        <v/>
      </c>
      <c r="DR109" s="45" t="str">
        <f>IFERROR(VLOOKUP(CONCATENATE('Respuestas de formulario 1.1'!$B109,MID('Respuestas de formulario 1.1'!DR$1,2,1)),#REF!,12,0),"")</f>
        <v/>
      </c>
      <c r="DS109" s="45" t="str">
        <f>IFERROR(VLOOKUP(CONCATENATE('Respuestas de formulario 1.1'!$B109,MID('Respuestas de formulario 1.1'!DS$1,2,1)),#REF!,12,0),"")</f>
        <v/>
      </c>
      <c r="DT109" s="45" t="str">
        <f>IFERROR(VLOOKUP(CONCATENATE('Respuestas de formulario 1.1'!$B109,MID('Respuestas de formulario 1.1'!DT$1,2,1)),#REF!,12,0),"")</f>
        <v/>
      </c>
      <c r="DU109" s="45" t="str">
        <f>IFERROR(VLOOKUP(CONCATENATE('Respuestas de formulario 1.1'!$B109,MID('Respuestas de formulario 1.1'!DU$1,2,1)),#REF!,12,0),"")</f>
        <v/>
      </c>
      <c r="DV109" s="45" t="str">
        <f>IFERROR(VLOOKUP(CONCATENATE('Respuestas de formulario 1.1'!$B109,MID('Respuestas de formulario 1.1'!DV$1,2,1)),#REF!,12,0),"")</f>
        <v/>
      </c>
      <c r="DW109" s="45" t="str">
        <f>IFERROR(VLOOKUP(CONCATENATE('Respuestas de formulario 1.1'!$B109,MID('Respuestas de formulario 1.1'!DW$1,2,1)),#REF!,12,0),"")</f>
        <v/>
      </c>
      <c r="DX109" s="45" t="str">
        <f>IFERROR(VLOOKUP(CONCATENATE('Respuestas de formulario 1.1'!$B109,MID('Respuestas de formulario 1.1'!DX$1,2,1)),#REF!,12,0),"")</f>
        <v/>
      </c>
      <c r="DY109" s="45" t="str">
        <f>IFERROR(VLOOKUP(CONCATENATE('Respuestas de formulario 1.1'!$B109,MID('Respuestas de formulario 1.1'!DY$1,2,1)),#REF!,12,0),"")</f>
        <v/>
      </c>
      <c r="DZ109" s="45" t="str">
        <f>IFERROR(VLOOKUP(CONCATENATE('Respuestas de formulario 1.1'!$B109,MID('Respuestas de formulario 1.1'!DZ$1,2,1)),#REF!,12,0),"")</f>
        <v/>
      </c>
      <c r="EA109" s="45" t="str">
        <f>IFERROR(VLOOKUP(CONCATENATE('Respuestas de formulario 1.1'!$B109,MID('Respuestas de formulario 1.1'!EA$1,2,1)),#REF!,12,0),"")</f>
        <v/>
      </c>
      <c r="EB109" s="45" t="str">
        <f>IFERROR(VLOOKUP(CONCATENATE('Respuestas de formulario 1.1'!$B109,MID('Respuestas de formulario 1.1'!EB$1,2,1)),#REF!,12,0),"")</f>
        <v/>
      </c>
      <c r="EC109" s="45" t="str">
        <f>IFERROR(VLOOKUP(CONCATENATE('Respuestas de formulario 1.1'!$B109,MID('Respuestas de formulario 1.1'!EC$1,2,1)),#REF!,12,0),"")</f>
        <v/>
      </c>
      <c r="ED109" s="45" t="str">
        <f>IFERROR(VLOOKUP(CONCATENATE('Respuestas de formulario 1.1'!$B109,MID('Respuestas de formulario 1.1'!ED$1,2,1)),#REF!,12,0),"")</f>
        <v/>
      </c>
      <c r="EE109" s="45" t="str">
        <f>IFERROR(VLOOKUP(CONCATENATE('Respuestas de formulario 1.1'!$B109,MID('Respuestas de formulario 1.1'!EE$1,2,1)),#REF!,12,0),"")</f>
        <v/>
      </c>
      <c r="EF109" s="45" t="str">
        <f>IFERROR(VLOOKUP(CONCATENATE('Respuestas de formulario 1.1'!$B109,MID('Respuestas de formulario 1.1'!EF$1,2,1)),#REF!,12,0),"")</f>
        <v/>
      </c>
      <c r="EG109" s="45" t="str">
        <f>IFERROR(VLOOKUP(CONCATENATE('Respuestas de formulario 1.1'!$B109,MID('Respuestas de formulario 1.1'!EG$1,2,1)),#REF!,12,0),"")</f>
        <v/>
      </c>
      <c r="EH109" s="45" t="str">
        <f>IFERROR(VLOOKUP(CONCATENATE('Respuestas de formulario 1.1'!$B109,MID('Respuestas de formulario 1.1'!EH$1,2,1)),#REF!,12,0),"")</f>
        <v/>
      </c>
      <c r="EI109" s="45" t="str">
        <f>IFERROR(VLOOKUP(CONCATENATE('Respuestas de formulario 1.1'!$B109,MID('Respuestas de formulario 1.1'!EI$1,2,1)),#REF!,12,0),"")</f>
        <v/>
      </c>
      <c r="EJ109" s="45" t="str">
        <f t="array" ref="EJ109">IF(DO109="","", INDEX(#REF!,MATCH(CONCATENATE('Respuestas de formulario 1.1'!$B109,DO109),#REF!,0),MATCH('Respuestas de formulario 1.1'!EJ$1,#REF!,0)))</f>
        <v/>
      </c>
      <c r="EK109" s="56" t="str">
        <f t="array" ref="EK109">IF(DP109="","", INDEX(#REF!,MATCH(CONCATENATE('Respuestas de formulario 1.1'!$B109,DP109),#REF!,0),MATCH('Respuestas de formulario 1.1'!EK$1,#REF!,0)))</f>
        <v/>
      </c>
      <c r="EL109" s="56" t="str">
        <f t="array" ref="EL109">IF(DQ109="","", INDEX(#REF!,MATCH(CONCATENATE('Respuestas de formulario 1.1'!$B109,DQ109),#REF!,0),MATCH('Respuestas de formulario 1.1'!EL$1,#REF!,0)))</f>
        <v/>
      </c>
      <c r="EM109" s="56" t="str">
        <f t="array" ref="EM109">IF(DR109="","", INDEX(#REF!,MATCH(CONCATENATE('Respuestas de formulario 1.1'!$B109,DR109),#REF!,0),MATCH('Respuestas de formulario 1.1'!EM$1,#REF!,0)))</f>
        <v/>
      </c>
      <c r="EN109" s="56" t="str">
        <f t="array" ref="EN109">IF(DS109="","", INDEX(#REF!,MATCH(CONCATENATE('Respuestas de formulario 1.1'!$B109,DS109),#REF!,0),MATCH('Respuestas de formulario 1.1'!EN$1,#REF!,0)))</f>
        <v/>
      </c>
      <c r="EO109" s="56" t="str">
        <f t="array" ref="EO109">IF(DT109="","", INDEX(#REF!,MATCH(CONCATENATE('Respuestas de formulario 1.1'!$B109,DT109),#REF!,0),MATCH('Respuestas de formulario 1.1'!EO$1,#REF!,0)))</f>
        <v/>
      </c>
      <c r="EP109" s="45" t="str">
        <f t="array" ref="EP109">IF(DU109="","", INDEX(#REF!,MATCH(CONCATENATE('Respuestas de formulario 1.1'!$B109,DU109),#REF!,0),MATCH('Respuestas de formulario 1.1'!EP$1,#REF!,0)))</f>
        <v/>
      </c>
      <c r="EQ109" s="45" t="str">
        <f t="array" ref="EQ109">IF(DP109="","", INDEX(#REF!,MATCH(CONCATENATE('Respuestas de formulario 1.1'!$B109,DP109),#REF!,0),MATCH('Respuestas de formulario 1.1'!EQ$1,#REF!,0)))</f>
        <v/>
      </c>
      <c r="ER109" s="56" t="str">
        <f t="array" ref="ER109">IF(DQ109="","", INDEX(#REF!,MATCH(CONCATENATE('Respuestas de formulario 1.1'!$B109,DQ109),#REF!,0),MATCH('Respuestas de formulario 1.1'!ER$1,#REF!,0)))</f>
        <v/>
      </c>
      <c r="ES109" s="56" t="str">
        <f t="array" ref="ES109">IF(DR109="","", INDEX(#REF!,MATCH(CONCATENATE('Respuestas de formulario 1.1'!$B109,DR109),#REF!,0),MATCH('Respuestas de formulario 1.1'!ES$1,#REF!,0)))</f>
        <v/>
      </c>
      <c r="ET109" s="56" t="str">
        <f t="array" ref="ET109">IF(DS109="","", INDEX(#REF!,MATCH(CONCATENATE('Respuestas de formulario 1.1'!$B109,DS109),#REF!,0),MATCH('Respuestas de formulario 1.1'!ET$1,#REF!,0)))</f>
        <v/>
      </c>
      <c r="EU109" s="56" t="str">
        <f t="array" ref="EU109">IF(DT109="","", INDEX(#REF!,MATCH(CONCATENATE('Respuestas de formulario 1.1'!$B109,DT109),#REF!,0),MATCH('Respuestas de formulario 1.1'!EU$1,#REF!,0)))</f>
        <v/>
      </c>
      <c r="EV109" s="56" t="str">
        <f t="array" ref="EV109">IF(DU109="","", INDEX(#REF!,MATCH(CONCATENATE('Respuestas de formulario 1.1'!$B109,DU109),#REF!,0),MATCH('Respuestas de formulario 1.1'!EV$1,#REF!,0)))</f>
        <v/>
      </c>
      <c r="EW109" s="45" t="str">
        <f t="array" ref="EW109">IF(DV109="","", INDEX(#REF!,MATCH(CONCATENATE('Respuestas de formulario 1.1'!$B109,DV109),#REF!,0),MATCH('Respuestas de formulario 1.1'!EW$1,#REF!,0)))</f>
        <v/>
      </c>
      <c r="EX109" s="45" t="str">
        <f t="array" ref="EX109">IF($DQ109="","", INDEX(#REF!,MATCH(CONCATENATE('Respuestas de formulario 1.1'!$B109,$DQ109),#REF!,0),MATCH('Respuestas de formulario 1.1'!EX$1,#REF!,0)))</f>
        <v/>
      </c>
      <c r="EY109" s="56" t="str">
        <f t="array" ref="EY109">IF($DQ109="","", INDEX(#REF!,MATCH(CONCATENATE('Respuestas de formulario 1.1'!$B109,$DQ109),#REF!,0),MATCH('Respuestas de formulario 1.1'!EY$1,#REF!,0)))</f>
        <v/>
      </c>
      <c r="EZ109" s="56" t="str">
        <f t="array" ref="EZ109">IF($DQ109="","", INDEX(#REF!,MATCH(CONCATENATE('Respuestas de formulario 1.1'!$B109,$DQ109),#REF!,0),MATCH('Respuestas de formulario 1.1'!EZ$1,#REF!,0)))</f>
        <v/>
      </c>
      <c r="FA109" s="56" t="str">
        <f t="array" ref="FA109">IF($DQ109="","", INDEX(#REF!,MATCH(CONCATENATE('Respuestas de formulario 1.1'!$B109,$DQ109),#REF!,0),MATCH('Respuestas de formulario 1.1'!FA$1,#REF!,0)))</f>
        <v/>
      </c>
      <c r="FB109" s="56" t="str">
        <f t="array" ref="FB109">IF($DQ109="","", INDEX(#REF!,MATCH(CONCATENATE('Respuestas de formulario 1.1'!$B109,$DQ109),#REF!,0),MATCH('Respuestas de formulario 1.1'!FB$1,#REF!,0)))</f>
        <v/>
      </c>
      <c r="FC109" s="56" t="str">
        <f t="array" ref="FC109">IF($DQ109="","", INDEX(#REF!,MATCH(CONCATENATE('Respuestas de formulario 1.1'!$B109,$DQ109),#REF!,0),MATCH('Respuestas de formulario 1.1'!FC$1,#REF!,0)))</f>
        <v/>
      </c>
      <c r="FD109" s="45" t="str">
        <f t="array" ref="FD109">IF($DQ109="","", INDEX(#REF!,MATCH(CONCATENATE('Respuestas de formulario 1.1'!$B109,$DQ109),#REF!,0),MATCH('Respuestas de formulario 1.1'!FD$1,#REF!,0)))</f>
        <v/>
      </c>
      <c r="FE109" s="45" t="str">
        <f t="array" ref="FE109">IF($DR109="","", INDEX(#REF!,MATCH(CONCATENATE(#REF!,$DR109),#REF!,0),MATCH(#REF!,#REF!,0)))</f>
        <v/>
      </c>
      <c r="FF109" s="56" t="str">
        <f t="array" ref="FF109">IF($DR109="","", INDEX(#REF!,MATCH(CONCATENATE(#REF!,$DR109),#REF!,0),MATCH(#REF!,#REF!,0)))</f>
        <v/>
      </c>
      <c r="FG109" s="56" t="str">
        <f t="array" ref="FG109">IF($DR109="","", INDEX(#REF!,MATCH(CONCATENATE(#REF!,$DR109),#REF!,0),MATCH(#REF!,#REF!,0)))</f>
        <v/>
      </c>
      <c r="FH109" s="56" t="str">
        <f t="array" ref="FH109">IF($DR109="","", INDEX(#REF!,MATCH(CONCATENATE(#REF!,$DR109),#REF!,0),MATCH(#REF!,#REF!,0)))</f>
        <v/>
      </c>
      <c r="FI109" s="56" t="str">
        <f t="array" ref="FI109">IF($DR109="","", INDEX(#REF!,MATCH(CONCATENATE(#REF!,$DR109),#REF!,0),MATCH(#REF!,#REF!,0)))</f>
        <v/>
      </c>
      <c r="FJ109" s="56" t="str">
        <f t="array" ref="FJ109">IF($DR109="","", INDEX(#REF!,MATCH(CONCATENATE(#REF!,$DR109),#REF!,0),MATCH(#REF!,#REF!,0)))</f>
        <v/>
      </c>
      <c r="FK109" s="45" t="str">
        <f t="array" ref="FK109">IF($DR109="","", INDEX(#REF!,MATCH(CONCATENATE(#REF!,$DR109),#REF!,0),MATCH(#REF!,#REF!,0)))</f>
        <v/>
      </c>
      <c r="FL109" s="45" t="str">
        <f t="array" ref="FL109">IF($DT109="","", INDEX(#REF!,MATCH(CONCATENATE('Respuestas de formulario 1.1'!$B109,$DS109),#REF!,0),MATCH('Respuestas de formulario 1.1'!FL$1,#REF!,0)))</f>
        <v/>
      </c>
      <c r="FM109" s="56" t="str">
        <f t="array" ref="FM109">IF($DT109="","", INDEX(#REF!,MATCH(CONCATENATE('Respuestas de formulario 1.1'!$B109,$DS109),#REF!,0),MATCH('Respuestas de formulario 1.1'!FM$1,#REF!,0)))</f>
        <v/>
      </c>
      <c r="FN109" s="56" t="str">
        <f t="array" ref="FN109">IF($DT109="","", INDEX(#REF!,MATCH(CONCATENATE('Respuestas de formulario 1.1'!$B109,$DS109),#REF!,0),MATCH('Respuestas de formulario 1.1'!FN$1,#REF!,0)))</f>
        <v/>
      </c>
      <c r="FO109" s="56" t="str">
        <f t="array" ref="FO109">IF($DT109="","", INDEX(#REF!,MATCH(CONCATENATE('Respuestas de formulario 1.1'!$B109,$DS109),#REF!,0),MATCH('Respuestas de formulario 1.1'!FO$1,#REF!,0)))</f>
        <v/>
      </c>
      <c r="FP109" s="56" t="str">
        <f t="array" ref="FP109">IF($DT109="","", INDEX(#REF!,MATCH(CONCATENATE('Respuestas de formulario 1.1'!$B109,$DS109),#REF!,0),MATCH('Respuestas de formulario 1.1'!FP$1,#REF!,0)))</f>
        <v/>
      </c>
      <c r="FQ109" s="56" t="str">
        <f t="array" ref="FQ109">IF($DT109="","", INDEX(#REF!,MATCH(CONCATENATE('Respuestas de formulario 1.1'!$B109,$DS109),#REF!,0),MATCH('Respuestas de formulario 1.1'!FQ$1,#REF!,0)))</f>
        <v/>
      </c>
      <c r="FR109" s="45" t="str">
        <f t="array" ref="FR109">IF($DT109="","", INDEX(#REF!,MATCH(CONCATENATE('Respuestas de formulario 1.1'!$B109,$DS109),#REF!,0),MATCH('Respuestas de formulario 1.1'!FR$1,#REF!,0)))</f>
        <v/>
      </c>
      <c r="FS109" s="45" t="str">
        <f t="array" ref="FS109">IF($DU109="","", INDEX(#REF!,MATCH(CONCATENATE('Respuestas de formulario 1.1'!$B109,$DT109),#REF!,0),MATCH('Respuestas de formulario 1.1'!FS$1,#REF!,0)))</f>
        <v/>
      </c>
      <c r="FT109" s="56" t="str">
        <f t="array" ref="FT109">IF($DU109="","", INDEX(#REF!,MATCH(CONCATENATE('Respuestas de formulario 1.1'!$B109,$DT109),#REF!,0),MATCH('Respuestas de formulario 1.1'!FT$1,#REF!,0)))</f>
        <v/>
      </c>
      <c r="FU109" s="56" t="str">
        <f t="array" ref="FU109">IF($DU109="","", INDEX(#REF!,MATCH(CONCATENATE('Respuestas de formulario 1.1'!$B109,$DT109),#REF!,0),MATCH('Respuestas de formulario 1.1'!FU$1,#REF!,0)))</f>
        <v/>
      </c>
      <c r="FV109" s="56" t="str">
        <f t="array" ref="FV109">IF($DU109="","", INDEX(#REF!,MATCH(CONCATENATE('Respuestas de formulario 1.1'!$B109,$DT109),#REF!,0),MATCH('Respuestas de formulario 1.1'!FV$1,#REF!,0)))</f>
        <v/>
      </c>
      <c r="FW109" s="56" t="str">
        <f t="array" ref="FW109">IF($DU109="","", INDEX(#REF!,MATCH(CONCATENATE('Respuestas de formulario 1.1'!$B109,$DT109),#REF!,0),MATCH('Respuestas de formulario 1.1'!FW$1,#REF!,0)))</f>
        <v/>
      </c>
      <c r="FX109" s="56" t="str">
        <f t="array" ref="FX109">IF($DU109="","", INDEX(#REF!,MATCH(CONCATENATE('Respuestas de formulario 1.1'!$B109,$DT109),#REF!,0),MATCH('Respuestas de formulario 1.1'!FX$1,#REF!,0)))</f>
        <v/>
      </c>
      <c r="FY109" s="45" t="str">
        <f t="array" ref="FY109">IF($DU109="","", INDEX(#REF!,MATCH(CONCATENATE('Respuestas de formulario 1.1'!$B109,$DT109),#REF!,0),MATCH('Respuestas de formulario 1.1'!FY$1,#REF!,0)))</f>
        <v/>
      </c>
      <c r="FZ109" s="3" t="s">
        <v>2860</v>
      </c>
      <c r="GA109" s="1" t="s">
        <v>4708</v>
      </c>
      <c r="GB109" s="5" t="s">
        <v>4709</v>
      </c>
      <c r="GC109" s="4" t="str">
        <f>HYPERLINK("https://drive.google.com/file/d/1eFxclqZT6nPEf5lPWDWGALmalUSRRKFm/view?usp=drivesdk","GARCIA MEDINA MARIA ELENA  Formato de reinscripción y pago 2022-2")</f>
        <v>GARCIA MEDINA MARIA ELENA  Formato de reinscripción y pago 2022-2</v>
      </c>
      <c r="GD109" s="1" t="s">
        <v>4710</v>
      </c>
      <c r="GE109" s="1"/>
      <c r="GF109" s="1"/>
      <c r="GG109" s="1"/>
      <c r="GH109" s="1"/>
      <c r="GI109" s="1" t="s">
        <v>4711</v>
      </c>
      <c r="GJ109" s="5" t="s">
        <v>4712</v>
      </c>
      <c r="GK109" s="5" t="str">
        <f>HYPERLINK("https://drive.google.com/file/d/1PFpRHmRr9jqu-DW3_GKGTfcxK00rGxB4/view?usp=drivesdk","GARCIA MEDINA MARIA ELENA  Formato de reinscripción y pago 2022-2")</f>
        <v>GARCIA MEDINA MARIA ELENA  Formato de reinscripción y pago 2022-2</v>
      </c>
      <c r="GL109" s="1" t="s">
        <v>4713</v>
      </c>
    </row>
    <row r="110" spans="1:194" ht="38.25" x14ac:dyDescent="0.2">
      <c r="A110" s="2">
        <v>45139.430150706015</v>
      </c>
      <c r="B110" s="1" t="s">
        <v>6</v>
      </c>
      <c r="C110" s="1" t="s">
        <v>259</v>
      </c>
      <c r="D110" s="1" t="s">
        <v>2020</v>
      </c>
      <c r="E110" s="1" t="s">
        <v>4714</v>
      </c>
      <c r="F110" s="1" t="s">
        <v>223</v>
      </c>
      <c r="G110" s="5" t="s">
        <v>4715</v>
      </c>
      <c r="H110" s="41">
        <v>39095</v>
      </c>
      <c r="I110" s="1">
        <v>16</v>
      </c>
      <c r="J110" s="1">
        <v>5579384645</v>
      </c>
      <c r="K110" s="1">
        <v>5559747439</v>
      </c>
      <c r="L110" s="1" t="s">
        <v>4716</v>
      </c>
      <c r="M110" s="1">
        <v>22309060570560</v>
      </c>
      <c r="N110" s="1" t="s">
        <v>562</v>
      </c>
      <c r="O110" s="1" t="s">
        <v>247</v>
      </c>
      <c r="P110" s="1" t="s">
        <v>278</v>
      </c>
      <c r="Q110" s="1" t="s">
        <v>227</v>
      </c>
      <c r="R110" s="1" t="s">
        <v>236</v>
      </c>
      <c r="S110" s="1" t="s">
        <v>228</v>
      </c>
      <c r="T110" s="1" t="s">
        <v>345</v>
      </c>
      <c r="U110" s="1" t="s">
        <v>289</v>
      </c>
      <c r="V110" s="1" t="s">
        <v>228</v>
      </c>
      <c r="W110" s="1" t="s">
        <v>4717</v>
      </c>
      <c r="X110" s="1" t="s">
        <v>289</v>
      </c>
      <c r="Y110" s="1" t="s">
        <v>2228</v>
      </c>
      <c r="Z110" s="1" t="s">
        <v>231</v>
      </c>
      <c r="AA110" s="1">
        <v>56560</v>
      </c>
      <c r="AB110" s="1" t="s">
        <v>520</v>
      </c>
      <c r="AC110" s="1">
        <v>15</v>
      </c>
      <c r="AD110" s="1" t="s">
        <v>4718</v>
      </c>
      <c r="AE110" s="1" t="s">
        <v>4719</v>
      </c>
      <c r="AF110" s="1" t="s">
        <v>420</v>
      </c>
      <c r="AG110" s="1">
        <v>74</v>
      </c>
      <c r="AH110" s="5" t="s">
        <v>4720</v>
      </c>
      <c r="AI110" s="1">
        <v>5520905654</v>
      </c>
      <c r="AJ110" s="1">
        <v>5559747439</v>
      </c>
      <c r="AK110" s="1" t="s">
        <v>2227</v>
      </c>
      <c r="AL110" s="1" t="s">
        <v>2135</v>
      </c>
      <c r="AM110" s="1" t="s">
        <v>252</v>
      </c>
      <c r="AN110" s="1" t="s">
        <v>2459</v>
      </c>
      <c r="AO110" s="1" t="s">
        <v>461</v>
      </c>
      <c r="AP110" s="1">
        <v>58</v>
      </c>
      <c r="AQ110" s="1" t="s">
        <v>328</v>
      </c>
      <c r="AR110" s="42">
        <v>0</v>
      </c>
      <c r="AS110" s="42">
        <v>0</v>
      </c>
      <c r="AT110" s="1">
        <v>5513315639</v>
      </c>
      <c r="AU110" s="1">
        <v>5559747439</v>
      </c>
      <c r="AV110" s="1" t="s">
        <v>2227</v>
      </c>
      <c r="AW110" s="5" t="s">
        <v>4721</v>
      </c>
      <c r="AX110" s="1" t="s">
        <v>433</v>
      </c>
      <c r="AY110" s="1" t="s">
        <v>2020</v>
      </c>
      <c r="AZ110" s="1" t="s">
        <v>1170</v>
      </c>
      <c r="BA110" s="1" t="s">
        <v>488</v>
      </c>
      <c r="BB110" s="1">
        <v>33</v>
      </c>
      <c r="BC110" s="1" t="s">
        <v>1355</v>
      </c>
      <c r="BD110" s="43">
        <v>0.29166666666424135</v>
      </c>
      <c r="BE110" s="43">
        <v>0.625</v>
      </c>
      <c r="BF110" s="1">
        <v>5519590416</v>
      </c>
      <c r="BG110" s="1">
        <v>5519590416</v>
      </c>
      <c r="BH110" s="1" t="s">
        <v>4722</v>
      </c>
      <c r="BI110" s="5" t="s">
        <v>4723</v>
      </c>
      <c r="BJ110" s="1" t="s">
        <v>236</v>
      </c>
      <c r="BL110" s="1">
        <v>156</v>
      </c>
      <c r="BM110" s="1">
        <v>48</v>
      </c>
      <c r="BN110" s="1" t="s">
        <v>236</v>
      </c>
      <c r="BO110" s="1" t="s">
        <v>228</v>
      </c>
      <c r="BQ110" s="1" t="s">
        <v>228</v>
      </c>
      <c r="BR110" s="1" t="s">
        <v>237</v>
      </c>
      <c r="BS110" s="1" t="s">
        <v>236</v>
      </c>
      <c r="BT110" s="1" t="s">
        <v>457</v>
      </c>
      <c r="BU110" s="1" t="s">
        <v>228</v>
      </c>
      <c r="BW110" s="1" t="s">
        <v>657</v>
      </c>
      <c r="BX110" s="1">
        <v>60</v>
      </c>
      <c r="BY110" s="1">
        <v>0</v>
      </c>
      <c r="BZ110" s="1" t="s">
        <v>518</v>
      </c>
      <c r="CA110" s="1" t="s">
        <v>343</v>
      </c>
      <c r="CB110" s="1" t="s">
        <v>240</v>
      </c>
      <c r="CC110" s="1" t="s">
        <v>322</v>
      </c>
      <c r="CD110" s="1">
        <v>3000</v>
      </c>
      <c r="CE110" s="1">
        <v>2000</v>
      </c>
      <c r="CF110" s="1" t="s">
        <v>236</v>
      </c>
      <c r="CG110" s="1" t="s">
        <v>323</v>
      </c>
      <c r="CH110" s="1" t="s">
        <v>243</v>
      </c>
      <c r="CI110" s="1" t="s">
        <v>243</v>
      </c>
      <c r="CJ110" s="1" t="s">
        <v>2848</v>
      </c>
      <c r="CL110" s="5" t="s">
        <v>4724</v>
      </c>
      <c r="CM110" s="44" t="s">
        <v>4725</v>
      </c>
      <c r="CN110" s="1" t="s">
        <v>228</v>
      </c>
      <c r="CQ110" s="42">
        <v>0</v>
      </c>
      <c r="CR110" s="42">
        <v>0</v>
      </c>
      <c r="CT110" s="45" t="str">
        <f t="array" ref="CT110">IFERROR(INDEX(#REF!,MATCH('Respuestas de formulario 1.1'!$B110,#REF!,0),MATCH('Respuestas de formulario 1.1'!CT$1,#REF!,0)),"")</f>
        <v/>
      </c>
      <c r="CU110" s="56" t="str">
        <f t="array" ref="CU110">IFERROR(INDEX(#REF!,MATCH('Respuestas de formulario 1.1'!$B110,#REF!,0),MATCH('Respuestas de formulario 1.1'!CU$1,#REF!,0)),"")</f>
        <v/>
      </c>
      <c r="CV110" s="56" t="str">
        <f t="array" ref="CV110">IFERROR(INDEX(#REF!,MATCH('Respuestas de formulario 1.1'!$B110,#REF!,0),MATCH('Respuestas de formulario 1.1'!CV$1,#REF!,0)),"")</f>
        <v/>
      </c>
      <c r="CW110" s="56" t="str">
        <f t="array" ref="CW110">IFERROR(INDEX(#REF!,MATCH('Respuestas de formulario 1.1'!$B110,#REF!,0),MATCH('Respuestas de formulario 1.1'!CW$1,#REF!,0)),"")</f>
        <v/>
      </c>
      <c r="CX110" s="56" t="str">
        <f t="array" ref="CX110">IFERROR(INDEX(#REF!,MATCH('Respuestas de formulario 1.1'!$B110,#REF!,0),MATCH('Respuestas de formulario 1.1'!CX$1,#REF!,0)),"")</f>
        <v/>
      </c>
      <c r="CY110" s="56" t="str">
        <f t="array" ref="CY110">IFERROR(INDEX(#REF!,MATCH('Respuestas de formulario 1.1'!$B110,#REF!,0),MATCH('Respuestas de formulario 1.1'!CY$1,#REF!,0)),"")</f>
        <v/>
      </c>
      <c r="CZ110" s="57" t="str">
        <f t="array" ref="CZ110">IFERROR(INDEX(#REF!,MATCH('Respuestas de formulario 1.1'!$B110,#REF!,0),MATCH('Respuestas de formulario 1.1'!CZ$1,#REF!,0)),"")</f>
        <v/>
      </c>
      <c r="DA110" s="45" t="e">
        <f t="array" ref="DA110">INDEX(#REF!,MATCH('Respuestas de formulario 1.1'!$B110,#REF!,0),MATCH('Respuestas de formulario 1.1'!DA$1,#REF!,0))</f>
        <v>#REF!</v>
      </c>
      <c r="DB110" s="45" t="e">
        <f t="array" ref="DB110">INDEX(#REF!,MATCH('Respuestas de formulario 1.1'!$B110,#REF!,0),MATCH('Respuestas de formulario 1.1'!DB$1,#REF!,0))</f>
        <v>#REF!</v>
      </c>
      <c r="DC110" s="45" t="e">
        <f t="array" ref="DC110">INDEX(#REF!,MATCH('Respuestas de formulario 1.1'!$B110,#REF!,0),MATCH('Respuestas de formulario 1.1'!DC$1,#REF!,0))</f>
        <v>#REF!</v>
      </c>
      <c r="DD110" s="45" t="e">
        <f t="array" ref="DD110">INDEX(#REF!,MATCH('Respuestas de formulario 1.1'!$B110,#REF!,0),MATCH('Respuestas de formulario 1.1'!DD$1,#REF!,0))</f>
        <v>#REF!</v>
      </c>
      <c r="DE110" s="45" t="e">
        <f t="array" ref="DE110">INDEX(#REF!,MATCH('Respuestas de formulario 1.1'!$B110,#REF!,0),MATCH('Respuestas de formulario 1.1'!DE$1,#REF!,0))</f>
        <v>#REF!</v>
      </c>
      <c r="DF110" s="45" t="e">
        <f t="array" ref="DF110">INDEX(#REF!,MATCH('Respuestas de formulario 1.1'!$B110,#REF!,0),MATCH('Respuestas de formulario 1.1'!DF$1,#REF!,0))</f>
        <v>#REF!</v>
      </c>
      <c r="DG110" s="45" t="e">
        <f t="array" ref="DG110">INDEX(#REF!,MATCH('Respuestas de formulario 1.1'!$B110,#REF!,0),MATCH('Respuestas de formulario 1.1'!DG$1,#REF!,0))</f>
        <v>#REF!</v>
      </c>
      <c r="DH110" s="45" t="e">
        <f t="array" ref="DH110">INDEX(#REF!,MATCH('Respuestas de formulario 1.1'!$B110,#REF!,0),MATCH('Respuestas de formulario 1.1'!DH$1,#REF!,0))</f>
        <v>#REF!</v>
      </c>
      <c r="DI110" s="48" t="e">
        <f>VLOOKUP(CONCATENATE($DF110," TUTO ",$DC110),#REF!,3,0)</f>
        <v>#REF!</v>
      </c>
      <c r="DJ110" s="48" t="e">
        <f t="array" ref="DJ110">IF('Respuestas de formulario 1.1'!A110="","",INDEX(#REF!,MATCH('Respuestas de formulario 1.1'!B110,#REF!,0),MATCH('Respuestas de formulario 1.1'!$DH$1,#REF!,0)))</f>
        <v>#REF!</v>
      </c>
      <c r="DK110" s="52" t="str">
        <f>CONCATENATE("http://doc.google.com/uc?id=",MID('Respuestas de formulario 1.1'!G110,34,33))</f>
        <v>http://doc.google.com/uc?id=1JjcCARp3uWnTG8wM4l_u1XJImWR5MAzy</v>
      </c>
      <c r="DL110" s="49" t="str">
        <f>CONCATENATE("http://doc.google.com/uc?id=",MID('Respuestas de formulario 1.1'!AH110,34,33))</f>
        <v>http://doc.google.com/uc?id=1nJW8LBo6AvFofWc1mPtP2Vfx6dHgeAmc</v>
      </c>
      <c r="DM110" s="50" t="str">
        <f>CONCATENATE("http://doc.google.com/uc?id=",MID('Respuestas de formulario 1.1'!AW110,34,33))</f>
        <v>http://doc.google.com/uc?id=1qBtSxCNgLBdw202c7qwRyov3HlyQFeXi</v>
      </c>
      <c r="DN110" s="53" t="str">
        <f>CONCATENATE("http://doc.google.com/uc?id=",MID('Respuestas de formulario 1.1'!$BI110,34,33))</f>
        <v>http://doc.google.com/uc?id=10wL_f4YgHfQEzD9H5HvOtYrU29Mhw8RT</v>
      </c>
      <c r="DO110" s="45" t="str">
        <f>IFERROR(VLOOKUP(CONCATENATE('Respuestas de formulario 1.1'!$B110,MID('Respuestas de formulario 1.1'!DO$1,2,1)),#REF!,12,0),"")</f>
        <v/>
      </c>
      <c r="DP110" s="45" t="str">
        <f>IFERROR(VLOOKUP(CONCATENATE('Respuestas de formulario 1.1'!$B110,MID('Respuestas de formulario 1.1'!DP$1,2,1)),#REF!,12,0),"")</f>
        <v/>
      </c>
      <c r="DQ110" s="45" t="str">
        <f>IFERROR(VLOOKUP(CONCATENATE('Respuestas de formulario 1.1'!$B110,MID('Respuestas de formulario 1.1'!DQ$1,2,1)),#REF!,12,0),"")</f>
        <v/>
      </c>
      <c r="DR110" s="45" t="str">
        <f>IFERROR(VLOOKUP(CONCATENATE('Respuestas de formulario 1.1'!$B110,MID('Respuestas de formulario 1.1'!DR$1,2,1)),#REF!,12,0),"")</f>
        <v/>
      </c>
      <c r="DS110" s="45" t="str">
        <f>IFERROR(VLOOKUP(CONCATENATE('Respuestas de formulario 1.1'!$B110,MID('Respuestas de formulario 1.1'!DS$1,2,1)),#REF!,12,0),"")</f>
        <v/>
      </c>
      <c r="DT110" s="45" t="str">
        <f>IFERROR(VLOOKUP(CONCATENATE('Respuestas de formulario 1.1'!$B110,MID('Respuestas de formulario 1.1'!DT$1,2,1)),#REF!,12,0),"")</f>
        <v/>
      </c>
      <c r="DU110" s="45" t="str">
        <f>IFERROR(VLOOKUP(CONCATENATE('Respuestas de formulario 1.1'!$B110,MID('Respuestas de formulario 1.1'!DU$1,2,1)),#REF!,12,0),"")</f>
        <v/>
      </c>
      <c r="DV110" s="45" t="str">
        <f>IFERROR(VLOOKUP(CONCATENATE('Respuestas de formulario 1.1'!$B110,MID('Respuestas de formulario 1.1'!DV$1,2,1)),#REF!,12,0),"")</f>
        <v/>
      </c>
      <c r="DW110" s="45" t="str">
        <f>IFERROR(VLOOKUP(CONCATENATE('Respuestas de formulario 1.1'!$B110,MID('Respuestas de formulario 1.1'!DW$1,2,1)),#REF!,12,0),"")</f>
        <v/>
      </c>
      <c r="DX110" s="45" t="str">
        <f>IFERROR(VLOOKUP(CONCATENATE('Respuestas de formulario 1.1'!$B110,MID('Respuestas de formulario 1.1'!DX$1,2,1)),#REF!,12,0),"")</f>
        <v/>
      </c>
      <c r="DY110" s="45" t="str">
        <f>IFERROR(VLOOKUP(CONCATENATE('Respuestas de formulario 1.1'!$B110,MID('Respuestas de formulario 1.1'!DY$1,2,1)),#REF!,12,0),"")</f>
        <v/>
      </c>
      <c r="DZ110" s="45" t="str">
        <f>IFERROR(VLOOKUP(CONCATENATE('Respuestas de formulario 1.1'!$B110,MID('Respuestas de formulario 1.1'!DZ$1,2,1)),#REF!,12,0),"")</f>
        <v/>
      </c>
      <c r="EA110" s="45" t="str">
        <f>IFERROR(VLOOKUP(CONCATENATE('Respuestas de formulario 1.1'!$B110,MID('Respuestas de formulario 1.1'!EA$1,2,1)),#REF!,12,0),"")</f>
        <v/>
      </c>
      <c r="EB110" s="45" t="str">
        <f>IFERROR(VLOOKUP(CONCATENATE('Respuestas de formulario 1.1'!$B110,MID('Respuestas de formulario 1.1'!EB$1,2,1)),#REF!,12,0),"")</f>
        <v/>
      </c>
      <c r="EC110" s="45" t="str">
        <f>IFERROR(VLOOKUP(CONCATENATE('Respuestas de formulario 1.1'!$B110,MID('Respuestas de formulario 1.1'!EC$1,2,1)),#REF!,12,0),"")</f>
        <v/>
      </c>
      <c r="ED110" s="45" t="str">
        <f>IFERROR(VLOOKUP(CONCATENATE('Respuestas de formulario 1.1'!$B110,MID('Respuestas de formulario 1.1'!ED$1,2,1)),#REF!,12,0),"")</f>
        <v/>
      </c>
      <c r="EE110" s="45" t="str">
        <f>IFERROR(VLOOKUP(CONCATENATE('Respuestas de formulario 1.1'!$B110,MID('Respuestas de formulario 1.1'!EE$1,2,1)),#REF!,12,0),"")</f>
        <v/>
      </c>
      <c r="EF110" s="45" t="str">
        <f>IFERROR(VLOOKUP(CONCATENATE('Respuestas de formulario 1.1'!$B110,MID('Respuestas de formulario 1.1'!EF$1,2,1)),#REF!,12,0),"")</f>
        <v/>
      </c>
      <c r="EG110" s="45" t="str">
        <f>IFERROR(VLOOKUP(CONCATENATE('Respuestas de formulario 1.1'!$B110,MID('Respuestas de formulario 1.1'!EG$1,2,1)),#REF!,12,0),"")</f>
        <v/>
      </c>
      <c r="EH110" s="45" t="str">
        <f>IFERROR(VLOOKUP(CONCATENATE('Respuestas de formulario 1.1'!$B110,MID('Respuestas de formulario 1.1'!EH$1,2,1)),#REF!,12,0),"")</f>
        <v/>
      </c>
      <c r="EI110" s="45" t="str">
        <f>IFERROR(VLOOKUP(CONCATENATE('Respuestas de formulario 1.1'!$B110,MID('Respuestas de formulario 1.1'!EI$1,2,1)),#REF!,12,0),"")</f>
        <v/>
      </c>
      <c r="EJ110" s="45" t="str">
        <f t="array" ref="EJ110">IF(DO110="","", INDEX(#REF!,MATCH(CONCATENATE('Respuestas de formulario 1.1'!$B110,DO110),#REF!,0),MATCH('Respuestas de formulario 1.1'!EJ$1,#REF!,0)))</f>
        <v/>
      </c>
      <c r="EK110" s="56" t="str">
        <f t="array" ref="EK110">IF(DP110="","", INDEX(#REF!,MATCH(CONCATENATE('Respuestas de formulario 1.1'!$B110,DP110),#REF!,0),MATCH('Respuestas de formulario 1.1'!EK$1,#REF!,0)))</f>
        <v/>
      </c>
      <c r="EL110" s="56" t="str">
        <f t="array" ref="EL110">IF(DQ110="","", INDEX(#REF!,MATCH(CONCATENATE('Respuestas de formulario 1.1'!$B110,DQ110),#REF!,0),MATCH('Respuestas de formulario 1.1'!EL$1,#REF!,0)))</f>
        <v/>
      </c>
      <c r="EM110" s="56" t="str">
        <f t="array" ref="EM110">IF(DR110="","", INDEX(#REF!,MATCH(CONCATENATE('Respuestas de formulario 1.1'!$B110,DR110),#REF!,0),MATCH('Respuestas de formulario 1.1'!EM$1,#REF!,0)))</f>
        <v/>
      </c>
      <c r="EN110" s="56" t="str">
        <f t="array" ref="EN110">IF(DS110="","", INDEX(#REF!,MATCH(CONCATENATE('Respuestas de formulario 1.1'!$B110,DS110),#REF!,0),MATCH('Respuestas de formulario 1.1'!EN$1,#REF!,0)))</f>
        <v/>
      </c>
      <c r="EO110" s="56" t="str">
        <f t="array" ref="EO110">IF(DT110="","", INDEX(#REF!,MATCH(CONCATENATE('Respuestas de formulario 1.1'!$B110,DT110),#REF!,0),MATCH('Respuestas de formulario 1.1'!EO$1,#REF!,0)))</f>
        <v/>
      </c>
      <c r="EP110" s="45" t="str">
        <f t="array" ref="EP110">IF(DU110="","", INDEX(#REF!,MATCH(CONCATENATE('Respuestas de formulario 1.1'!$B110,DU110),#REF!,0),MATCH('Respuestas de formulario 1.1'!EP$1,#REF!,0)))</f>
        <v/>
      </c>
      <c r="EQ110" s="45" t="str">
        <f t="array" ref="EQ110">IF(DP110="","", INDEX(#REF!,MATCH(CONCATENATE('Respuestas de formulario 1.1'!$B110,DP110),#REF!,0),MATCH('Respuestas de formulario 1.1'!EQ$1,#REF!,0)))</f>
        <v/>
      </c>
      <c r="ER110" s="56" t="str">
        <f t="array" ref="ER110">IF(DQ110="","", INDEX(#REF!,MATCH(CONCATENATE('Respuestas de formulario 1.1'!$B110,DQ110),#REF!,0),MATCH('Respuestas de formulario 1.1'!ER$1,#REF!,0)))</f>
        <v/>
      </c>
      <c r="ES110" s="56" t="str">
        <f t="array" ref="ES110">IF(DR110="","", INDEX(#REF!,MATCH(CONCATENATE('Respuestas de formulario 1.1'!$B110,DR110),#REF!,0),MATCH('Respuestas de formulario 1.1'!ES$1,#REF!,0)))</f>
        <v/>
      </c>
      <c r="ET110" s="56" t="str">
        <f t="array" ref="ET110">IF(DS110="","", INDEX(#REF!,MATCH(CONCATENATE('Respuestas de formulario 1.1'!$B110,DS110),#REF!,0),MATCH('Respuestas de formulario 1.1'!ET$1,#REF!,0)))</f>
        <v/>
      </c>
      <c r="EU110" s="56" t="str">
        <f t="array" ref="EU110">IF(DT110="","", INDEX(#REF!,MATCH(CONCATENATE('Respuestas de formulario 1.1'!$B110,DT110),#REF!,0),MATCH('Respuestas de formulario 1.1'!EU$1,#REF!,0)))</f>
        <v/>
      </c>
      <c r="EV110" s="56" t="str">
        <f t="array" ref="EV110">IF(DU110="","", INDEX(#REF!,MATCH(CONCATENATE('Respuestas de formulario 1.1'!$B110,DU110),#REF!,0),MATCH('Respuestas de formulario 1.1'!EV$1,#REF!,0)))</f>
        <v/>
      </c>
      <c r="EW110" s="45" t="str">
        <f t="array" ref="EW110">IF(DV110="","", INDEX(#REF!,MATCH(CONCATENATE('Respuestas de formulario 1.1'!$B110,DV110),#REF!,0),MATCH('Respuestas de formulario 1.1'!EW$1,#REF!,0)))</f>
        <v/>
      </c>
      <c r="EX110" s="45" t="str">
        <f t="array" ref="EX110">IF($DQ110="","", INDEX(#REF!,MATCH(CONCATENATE('Respuestas de formulario 1.1'!$B110,$DQ110),#REF!,0),MATCH('Respuestas de formulario 1.1'!EX$1,#REF!,0)))</f>
        <v/>
      </c>
      <c r="EY110" s="56" t="str">
        <f t="array" ref="EY110">IF($DQ110="","", INDEX(#REF!,MATCH(CONCATENATE('Respuestas de formulario 1.1'!$B110,$DQ110),#REF!,0),MATCH('Respuestas de formulario 1.1'!EY$1,#REF!,0)))</f>
        <v/>
      </c>
      <c r="EZ110" s="56" t="str">
        <f t="array" ref="EZ110">IF($DQ110="","", INDEX(#REF!,MATCH(CONCATENATE('Respuestas de formulario 1.1'!$B110,$DQ110),#REF!,0),MATCH('Respuestas de formulario 1.1'!EZ$1,#REF!,0)))</f>
        <v/>
      </c>
      <c r="FA110" s="56" t="str">
        <f t="array" ref="FA110">IF($DQ110="","", INDEX(#REF!,MATCH(CONCATENATE('Respuestas de formulario 1.1'!$B110,$DQ110),#REF!,0),MATCH('Respuestas de formulario 1.1'!FA$1,#REF!,0)))</f>
        <v/>
      </c>
      <c r="FB110" s="56" t="str">
        <f t="array" ref="FB110">IF($DQ110="","", INDEX(#REF!,MATCH(CONCATENATE('Respuestas de formulario 1.1'!$B110,$DQ110),#REF!,0),MATCH('Respuestas de formulario 1.1'!FB$1,#REF!,0)))</f>
        <v/>
      </c>
      <c r="FC110" s="56" t="str">
        <f t="array" ref="FC110">IF($DQ110="","", INDEX(#REF!,MATCH(CONCATENATE('Respuestas de formulario 1.1'!$B110,$DQ110),#REF!,0),MATCH('Respuestas de formulario 1.1'!FC$1,#REF!,0)))</f>
        <v/>
      </c>
      <c r="FD110" s="45" t="str">
        <f t="array" ref="FD110">IF($DQ110="","", INDEX(#REF!,MATCH(CONCATENATE('Respuestas de formulario 1.1'!$B110,$DQ110),#REF!,0),MATCH('Respuestas de formulario 1.1'!FD$1,#REF!,0)))</f>
        <v/>
      </c>
      <c r="FE110" s="45" t="str">
        <f t="array" ref="FE110">IF($DR110="","", INDEX(#REF!,MATCH(CONCATENATE(#REF!,$DR110),#REF!,0),MATCH(#REF!,#REF!,0)))</f>
        <v/>
      </c>
      <c r="FF110" s="56" t="str">
        <f t="array" ref="FF110">IF($DR110="","", INDEX(#REF!,MATCH(CONCATENATE(#REF!,$DR110),#REF!,0),MATCH(#REF!,#REF!,0)))</f>
        <v/>
      </c>
      <c r="FG110" s="56" t="str">
        <f t="array" ref="FG110">IF($DR110="","", INDEX(#REF!,MATCH(CONCATENATE(#REF!,$DR110),#REF!,0),MATCH(#REF!,#REF!,0)))</f>
        <v/>
      </c>
      <c r="FH110" s="56" t="str">
        <f t="array" ref="FH110">IF($DR110="","", INDEX(#REF!,MATCH(CONCATENATE(#REF!,$DR110),#REF!,0),MATCH(#REF!,#REF!,0)))</f>
        <v/>
      </c>
      <c r="FI110" s="56" t="str">
        <f t="array" ref="FI110">IF($DR110="","", INDEX(#REF!,MATCH(CONCATENATE(#REF!,$DR110),#REF!,0),MATCH(#REF!,#REF!,0)))</f>
        <v/>
      </c>
      <c r="FJ110" s="56" t="str">
        <f t="array" ref="FJ110">IF($DR110="","", INDEX(#REF!,MATCH(CONCATENATE(#REF!,$DR110),#REF!,0),MATCH(#REF!,#REF!,0)))</f>
        <v/>
      </c>
      <c r="FK110" s="45" t="str">
        <f t="array" ref="FK110">IF($DR110="","", INDEX(#REF!,MATCH(CONCATENATE(#REF!,$DR110),#REF!,0),MATCH(#REF!,#REF!,0)))</f>
        <v/>
      </c>
      <c r="FL110" s="45" t="str">
        <f t="array" ref="FL110">IF($DT110="","", INDEX(#REF!,MATCH(CONCATENATE('Respuestas de formulario 1.1'!$B110,$DS110),#REF!,0),MATCH('Respuestas de formulario 1.1'!FL$1,#REF!,0)))</f>
        <v/>
      </c>
      <c r="FM110" s="56" t="str">
        <f t="array" ref="FM110">IF($DT110="","", INDEX(#REF!,MATCH(CONCATENATE('Respuestas de formulario 1.1'!$B110,$DS110),#REF!,0),MATCH('Respuestas de formulario 1.1'!FM$1,#REF!,0)))</f>
        <v/>
      </c>
      <c r="FN110" s="56" t="str">
        <f t="array" ref="FN110">IF($DT110="","", INDEX(#REF!,MATCH(CONCATENATE('Respuestas de formulario 1.1'!$B110,$DS110),#REF!,0),MATCH('Respuestas de formulario 1.1'!FN$1,#REF!,0)))</f>
        <v/>
      </c>
      <c r="FO110" s="56" t="str">
        <f t="array" ref="FO110">IF($DT110="","", INDEX(#REF!,MATCH(CONCATENATE('Respuestas de formulario 1.1'!$B110,$DS110),#REF!,0),MATCH('Respuestas de formulario 1.1'!FO$1,#REF!,0)))</f>
        <v/>
      </c>
      <c r="FP110" s="56" t="str">
        <f t="array" ref="FP110">IF($DT110="","", INDEX(#REF!,MATCH(CONCATENATE('Respuestas de formulario 1.1'!$B110,$DS110),#REF!,0),MATCH('Respuestas de formulario 1.1'!FP$1,#REF!,0)))</f>
        <v/>
      </c>
      <c r="FQ110" s="56" t="str">
        <f t="array" ref="FQ110">IF($DT110="","", INDEX(#REF!,MATCH(CONCATENATE('Respuestas de formulario 1.1'!$B110,$DS110),#REF!,0),MATCH('Respuestas de formulario 1.1'!FQ$1,#REF!,0)))</f>
        <v/>
      </c>
      <c r="FR110" s="45" t="str">
        <f t="array" ref="FR110">IF($DT110="","", INDEX(#REF!,MATCH(CONCATENATE('Respuestas de formulario 1.1'!$B110,$DS110),#REF!,0),MATCH('Respuestas de formulario 1.1'!FR$1,#REF!,0)))</f>
        <v/>
      </c>
      <c r="FS110" s="45" t="str">
        <f t="array" ref="FS110">IF($DU110="","", INDEX(#REF!,MATCH(CONCATENATE('Respuestas de formulario 1.1'!$B110,$DT110),#REF!,0),MATCH('Respuestas de formulario 1.1'!FS$1,#REF!,0)))</f>
        <v/>
      </c>
      <c r="FT110" s="56" t="str">
        <f t="array" ref="FT110">IF($DU110="","", INDEX(#REF!,MATCH(CONCATENATE('Respuestas de formulario 1.1'!$B110,$DT110),#REF!,0),MATCH('Respuestas de formulario 1.1'!FT$1,#REF!,0)))</f>
        <v/>
      </c>
      <c r="FU110" s="56" t="str">
        <f t="array" ref="FU110">IF($DU110="","", INDEX(#REF!,MATCH(CONCATENATE('Respuestas de formulario 1.1'!$B110,$DT110),#REF!,0),MATCH('Respuestas de formulario 1.1'!FU$1,#REF!,0)))</f>
        <v/>
      </c>
      <c r="FV110" s="56" t="str">
        <f t="array" ref="FV110">IF($DU110="","", INDEX(#REF!,MATCH(CONCATENATE('Respuestas de formulario 1.1'!$B110,$DT110),#REF!,0),MATCH('Respuestas de formulario 1.1'!FV$1,#REF!,0)))</f>
        <v/>
      </c>
      <c r="FW110" s="56" t="str">
        <f t="array" ref="FW110">IF($DU110="","", INDEX(#REF!,MATCH(CONCATENATE('Respuestas de formulario 1.1'!$B110,$DT110),#REF!,0),MATCH('Respuestas de formulario 1.1'!FW$1,#REF!,0)))</f>
        <v/>
      </c>
      <c r="FX110" s="56" t="str">
        <f t="array" ref="FX110">IF($DU110="","", INDEX(#REF!,MATCH(CONCATENATE('Respuestas de formulario 1.1'!$B110,$DT110),#REF!,0),MATCH('Respuestas de formulario 1.1'!FX$1,#REF!,0)))</f>
        <v/>
      </c>
      <c r="FY110" s="45" t="str">
        <f t="array" ref="FY110">IF($DU110="","", INDEX(#REF!,MATCH(CONCATENATE('Respuestas de formulario 1.1'!$B110,$DT110),#REF!,0),MATCH('Respuestas de formulario 1.1'!FY$1,#REF!,0)))</f>
        <v/>
      </c>
      <c r="FZ110" s="3" t="s">
        <v>2860</v>
      </c>
      <c r="GA110" s="1" t="s">
        <v>4726</v>
      </c>
      <c r="GB110" s="5" t="s">
        <v>4727</v>
      </c>
      <c r="GC110" s="4" t="str">
        <f>HYPERLINK("https://drive.google.com/file/d/1TfZ6cIEaJaNfIzUzkCUaFyUJhCNWuLbh/view?usp=drivesdk","MARTINEZ  ROCHA ZOE ANGELICA Formato de reinscripción y pago 2022-2")</f>
        <v>MARTINEZ  ROCHA ZOE ANGELICA Formato de reinscripción y pago 2022-2</v>
      </c>
      <c r="GD110" s="1" t="s">
        <v>4728</v>
      </c>
      <c r="GE110" s="1"/>
      <c r="GF110" s="1"/>
      <c r="GG110" s="1"/>
      <c r="GH110" s="1"/>
      <c r="GI110" s="1" t="s">
        <v>4729</v>
      </c>
      <c r="GJ110" s="5" t="s">
        <v>4730</v>
      </c>
      <c r="GK110" s="5" t="str">
        <f>HYPERLINK("https://drive.google.com/file/d/11dVScgionCbCHQPMerMlBo2DHZM2FCin/view?usp=drivesdk","MARTINEZ  ROCHA ZOE ANGELICA Formato de reinscripción y pago 2022-2")</f>
        <v>MARTINEZ  ROCHA ZOE ANGELICA Formato de reinscripción y pago 2022-2</v>
      </c>
      <c r="GL110" s="1" t="s">
        <v>4731</v>
      </c>
    </row>
    <row r="111" spans="1:194" ht="38.25" x14ac:dyDescent="0.2">
      <c r="A111" s="2">
        <v>45139.43125652778</v>
      </c>
      <c r="B111" s="1" t="s">
        <v>1467</v>
      </c>
      <c r="C111" s="1" t="s">
        <v>1468</v>
      </c>
      <c r="D111" s="1" t="s">
        <v>489</v>
      </c>
      <c r="E111" s="1" t="s">
        <v>4732</v>
      </c>
      <c r="F111" s="1" t="s">
        <v>223</v>
      </c>
      <c r="G111" s="5" t="s">
        <v>4733</v>
      </c>
      <c r="H111" s="41">
        <v>39365</v>
      </c>
      <c r="I111" s="1">
        <v>15</v>
      </c>
      <c r="J111" s="1">
        <v>5646932080</v>
      </c>
      <c r="K111" s="1">
        <v>5589463848</v>
      </c>
      <c r="L111" s="1" t="s">
        <v>1469</v>
      </c>
      <c r="M111" s="1">
        <v>22309060570756</v>
      </c>
      <c r="N111" s="1" t="s">
        <v>562</v>
      </c>
      <c r="O111" s="1" t="s">
        <v>247</v>
      </c>
      <c r="P111" s="1" t="s">
        <v>278</v>
      </c>
      <c r="Q111" s="1" t="s">
        <v>227</v>
      </c>
      <c r="R111" s="1" t="s">
        <v>236</v>
      </c>
      <c r="S111" s="1" t="s">
        <v>228</v>
      </c>
      <c r="T111" s="1" t="s">
        <v>229</v>
      </c>
      <c r="U111" s="1" t="s">
        <v>289</v>
      </c>
      <c r="V111" s="1" t="s">
        <v>228</v>
      </c>
      <c r="W111" s="1" t="s">
        <v>4734</v>
      </c>
      <c r="X111" s="1" t="s">
        <v>289</v>
      </c>
      <c r="Y111" s="1" t="s">
        <v>4735</v>
      </c>
      <c r="Z111" s="1" t="s">
        <v>231</v>
      </c>
      <c r="AA111" s="1">
        <v>56530</v>
      </c>
      <c r="AB111" s="1" t="s">
        <v>732</v>
      </c>
      <c r="AC111" s="1">
        <v>29</v>
      </c>
      <c r="AD111" s="1" t="s">
        <v>4736</v>
      </c>
      <c r="AE111" s="1" t="s">
        <v>4737</v>
      </c>
      <c r="AF111" s="1" t="s">
        <v>359</v>
      </c>
      <c r="AG111" s="1">
        <v>62</v>
      </c>
      <c r="AH111" s="5" t="s">
        <v>4738</v>
      </c>
      <c r="AI111" s="1">
        <v>5518192276</v>
      </c>
      <c r="AJ111" s="1">
        <v>5518192276</v>
      </c>
      <c r="AK111" s="1" t="s">
        <v>4739</v>
      </c>
      <c r="AL111" s="1" t="s">
        <v>489</v>
      </c>
      <c r="AM111" s="1" t="s">
        <v>433</v>
      </c>
      <c r="AN111" s="1" t="s">
        <v>1470</v>
      </c>
      <c r="AO111" s="1" t="s">
        <v>265</v>
      </c>
      <c r="AP111" s="1">
        <v>37</v>
      </c>
      <c r="AQ111" s="1" t="s">
        <v>4740</v>
      </c>
      <c r="AR111" s="42">
        <v>0.27083333333575865</v>
      </c>
      <c r="AS111" s="42">
        <v>0.10416666666424135</v>
      </c>
      <c r="AT111" s="1">
        <v>5539624766</v>
      </c>
      <c r="AU111" s="1">
        <v>5539624766</v>
      </c>
      <c r="AV111" s="1" t="s">
        <v>1471</v>
      </c>
      <c r="AW111" s="5" t="s">
        <v>4741</v>
      </c>
      <c r="AX111" s="1" t="s">
        <v>489</v>
      </c>
      <c r="AY111" s="1" t="s">
        <v>433</v>
      </c>
      <c r="AZ111" s="1" t="s">
        <v>4742</v>
      </c>
      <c r="BA111" s="1" t="s">
        <v>265</v>
      </c>
      <c r="BB111" s="1">
        <v>37</v>
      </c>
      <c r="BC111" s="1" t="s">
        <v>4740</v>
      </c>
      <c r="BD111" s="43">
        <v>0.27083333333575865</v>
      </c>
      <c r="BE111" s="43">
        <v>0.10416666666424135</v>
      </c>
      <c r="BF111" s="1">
        <v>5539624766</v>
      </c>
      <c r="BG111" s="1">
        <v>5539624766</v>
      </c>
      <c r="BH111" s="1" t="s">
        <v>1471</v>
      </c>
      <c r="BI111" s="5" t="s">
        <v>4743</v>
      </c>
      <c r="BJ111" s="1" t="s">
        <v>236</v>
      </c>
      <c r="BL111" s="1">
        <v>1.5</v>
      </c>
      <c r="BM111" s="1">
        <v>52</v>
      </c>
      <c r="BN111" s="1" t="s">
        <v>236</v>
      </c>
      <c r="BO111" s="1" t="s">
        <v>228</v>
      </c>
      <c r="BQ111" s="1" t="s">
        <v>228</v>
      </c>
      <c r="BR111" s="1" t="s">
        <v>237</v>
      </c>
      <c r="BS111" s="1" t="s">
        <v>228</v>
      </c>
      <c r="BT111" s="1" t="s">
        <v>237</v>
      </c>
      <c r="BU111" s="1" t="s">
        <v>228</v>
      </c>
      <c r="BV111" s="4" t="s">
        <v>4744</v>
      </c>
      <c r="BW111" s="1" t="s">
        <v>238</v>
      </c>
      <c r="BX111" s="1">
        <v>180</v>
      </c>
      <c r="BY111" s="1">
        <v>250</v>
      </c>
      <c r="BZ111" s="1" t="s">
        <v>253</v>
      </c>
      <c r="CA111" s="1" t="s">
        <v>343</v>
      </c>
      <c r="CB111" s="1" t="s">
        <v>240</v>
      </c>
      <c r="CC111" s="1" t="s">
        <v>274</v>
      </c>
      <c r="CD111" s="1">
        <v>2000</v>
      </c>
      <c r="CE111" s="1">
        <v>2000</v>
      </c>
      <c r="CF111" s="1" t="s">
        <v>236</v>
      </c>
      <c r="CG111" s="1" t="s">
        <v>323</v>
      </c>
      <c r="CH111" s="1" t="s">
        <v>243</v>
      </c>
      <c r="CI111" s="1" t="s">
        <v>243</v>
      </c>
      <c r="CJ111" s="1" t="s">
        <v>2848</v>
      </c>
      <c r="CL111" s="5" t="s">
        <v>4745</v>
      </c>
      <c r="CM111" s="1">
        <v>9606851388</v>
      </c>
      <c r="CN111" s="1" t="s">
        <v>228</v>
      </c>
      <c r="CQ111" s="42">
        <v>0</v>
      </c>
      <c r="CR111" s="42">
        <v>0</v>
      </c>
      <c r="CT111" s="45" t="str">
        <f t="array" ref="CT111">IFERROR(INDEX(#REF!,MATCH('Respuestas de formulario 1.1'!$B111,#REF!,0),MATCH('Respuestas de formulario 1.1'!CT$1,#REF!,0)),"")</f>
        <v/>
      </c>
      <c r="CU111" s="56" t="str">
        <f t="array" ref="CU111">IFERROR(INDEX(#REF!,MATCH('Respuestas de formulario 1.1'!$B111,#REF!,0),MATCH('Respuestas de formulario 1.1'!CU$1,#REF!,0)),"")</f>
        <v/>
      </c>
      <c r="CV111" s="56" t="str">
        <f t="array" ref="CV111">IFERROR(INDEX(#REF!,MATCH('Respuestas de formulario 1.1'!$B111,#REF!,0),MATCH('Respuestas de formulario 1.1'!CV$1,#REF!,0)),"")</f>
        <v/>
      </c>
      <c r="CW111" s="56" t="str">
        <f t="array" ref="CW111">IFERROR(INDEX(#REF!,MATCH('Respuestas de formulario 1.1'!$B111,#REF!,0),MATCH('Respuestas de formulario 1.1'!CW$1,#REF!,0)),"")</f>
        <v/>
      </c>
      <c r="CX111" s="56" t="str">
        <f t="array" ref="CX111">IFERROR(INDEX(#REF!,MATCH('Respuestas de formulario 1.1'!$B111,#REF!,0),MATCH('Respuestas de formulario 1.1'!CX$1,#REF!,0)),"")</f>
        <v/>
      </c>
      <c r="CY111" s="56" t="str">
        <f t="array" ref="CY111">IFERROR(INDEX(#REF!,MATCH('Respuestas de formulario 1.1'!$B111,#REF!,0),MATCH('Respuestas de formulario 1.1'!CY$1,#REF!,0)),"")</f>
        <v/>
      </c>
      <c r="CZ111" s="57" t="str">
        <f t="array" ref="CZ111">IFERROR(INDEX(#REF!,MATCH('Respuestas de formulario 1.1'!$B111,#REF!,0),MATCH('Respuestas de formulario 1.1'!CZ$1,#REF!,0)),"")</f>
        <v/>
      </c>
      <c r="DA111" s="45" t="e">
        <f t="array" ref="DA111">INDEX(#REF!,MATCH('Respuestas de formulario 1.1'!$B111,#REF!,0),MATCH('Respuestas de formulario 1.1'!DA$1,#REF!,0))</f>
        <v>#REF!</v>
      </c>
      <c r="DB111" s="45" t="e">
        <f t="array" ref="DB111">INDEX(#REF!,MATCH('Respuestas de formulario 1.1'!$B111,#REF!,0),MATCH('Respuestas de formulario 1.1'!DB$1,#REF!,0))</f>
        <v>#REF!</v>
      </c>
      <c r="DC111" s="45" t="e">
        <f t="array" ref="DC111">INDEX(#REF!,MATCH('Respuestas de formulario 1.1'!$B111,#REF!,0),MATCH('Respuestas de formulario 1.1'!DC$1,#REF!,0))</f>
        <v>#REF!</v>
      </c>
      <c r="DD111" s="45" t="e">
        <f t="array" ref="DD111">INDEX(#REF!,MATCH('Respuestas de formulario 1.1'!$B111,#REF!,0),MATCH('Respuestas de formulario 1.1'!DD$1,#REF!,0))</f>
        <v>#REF!</v>
      </c>
      <c r="DE111" s="45" t="e">
        <f t="array" ref="DE111">INDEX(#REF!,MATCH('Respuestas de formulario 1.1'!$B111,#REF!,0),MATCH('Respuestas de formulario 1.1'!DE$1,#REF!,0))</f>
        <v>#REF!</v>
      </c>
      <c r="DF111" s="45" t="e">
        <f t="array" ref="DF111">INDEX(#REF!,MATCH('Respuestas de formulario 1.1'!$B111,#REF!,0),MATCH('Respuestas de formulario 1.1'!DF$1,#REF!,0))</f>
        <v>#REF!</v>
      </c>
      <c r="DG111" s="45" t="e">
        <f t="array" ref="DG111">INDEX(#REF!,MATCH('Respuestas de formulario 1.1'!$B111,#REF!,0),MATCH('Respuestas de formulario 1.1'!DG$1,#REF!,0))</f>
        <v>#REF!</v>
      </c>
      <c r="DH111" s="45" t="e">
        <f t="array" ref="DH111">INDEX(#REF!,MATCH('Respuestas de formulario 1.1'!$B111,#REF!,0),MATCH('Respuestas de formulario 1.1'!DH$1,#REF!,0))</f>
        <v>#REF!</v>
      </c>
      <c r="DI111" s="48" t="e">
        <f>VLOOKUP(CONCATENATE($DF111," TUTO ",$DC111),#REF!,3,0)</f>
        <v>#REF!</v>
      </c>
      <c r="DJ111" s="48" t="e">
        <f t="array" ref="DJ111">IF('Respuestas de formulario 1.1'!A111="","",INDEX(#REF!,MATCH('Respuestas de formulario 1.1'!B111,#REF!,0),MATCH('Respuestas de formulario 1.1'!$DH$1,#REF!,0)))</f>
        <v>#REF!</v>
      </c>
      <c r="DK111" s="52" t="str">
        <f>CONCATENATE("http://doc.google.com/uc?id=",MID('Respuestas de formulario 1.1'!G111,34,33))</f>
        <v>http://doc.google.com/uc?id=1p1jRuXtMf-h8H_XgNNPvR3M-Hgzk9fca</v>
      </c>
      <c r="DL111" s="49" t="str">
        <f>CONCATENATE("http://doc.google.com/uc?id=",MID('Respuestas de formulario 1.1'!AH111,34,33))</f>
        <v>http://doc.google.com/uc?id=1-25vCtfZu41xAQg_CR1C3-jbGRBUqYOb</v>
      </c>
      <c r="DM111" s="50" t="str">
        <f>CONCATENATE("http://doc.google.com/uc?id=",MID('Respuestas de formulario 1.1'!AW111,34,33))</f>
        <v>http://doc.google.com/uc?id=10Wsu_Z_qBcnD7x1_Oq59xw1MZGlNWKZS</v>
      </c>
      <c r="DN111" s="53" t="str">
        <f>CONCATENATE("http://doc.google.com/uc?id=",MID('Respuestas de formulario 1.1'!$BI111,34,33))</f>
        <v>http://doc.google.com/uc?id=1IDSq9UoS6aUwoxohmpGDb-mQH52nF7K8</v>
      </c>
      <c r="DO111" s="45" t="str">
        <f>IFERROR(VLOOKUP(CONCATENATE('Respuestas de formulario 1.1'!$B111,MID('Respuestas de formulario 1.1'!DO$1,2,1)),#REF!,12,0),"")</f>
        <v/>
      </c>
      <c r="DP111" s="45" t="str">
        <f>IFERROR(VLOOKUP(CONCATENATE('Respuestas de formulario 1.1'!$B111,MID('Respuestas de formulario 1.1'!DP$1,2,1)),#REF!,12,0),"")</f>
        <v/>
      </c>
      <c r="DQ111" s="45" t="str">
        <f>IFERROR(VLOOKUP(CONCATENATE('Respuestas de formulario 1.1'!$B111,MID('Respuestas de formulario 1.1'!DQ$1,2,1)),#REF!,12,0),"")</f>
        <v/>
      </c>
      <c r="DR111" s="45" t="str">
        <f>IFERROR(VLOOKUP(CONCATENATE('Respuestas de formulario 1.1'!$B111,MID('Respuestas de formulario 1.1'!DR$1,2,1)),#REF!,12,0),"")</f>
        <v/>
      </c>
      <c r="DS111" s="45" t="str">
        <f>IFERROR(VLOOKUP(CONCATENATE('Respuestas de formulario 1.1'!$B111,MID('Respuestas de formulario 1.1'!DS$1,2,1)),#REF!,12,0),"")</f>
        <v/>
      </c>
      <c r="DT111" s="45" t="str">
        <f>IFERROR(VLOOKUP(CONCATENATE('Respuestas de formulario 1.1'!$B111,MID('Respuestas de formulario 1.1'!DT$1,2,1)),#REF!,12,0),"")</f>
        <v/>
      </c>
      <c r="DU111" s="45" t="str">
        <f>IFERROR(VLOOKUP(CONCATENATE('Respuestas de formulario 1.1'!$B111,MID('Respuestas de formulario 1.1'!DU$1,2,1)),#REF!,12,0),"")</f>
        <v/>
      </c>
      <c r="DV111" s="45" t="str">
        <f>IFERROR(VLOOKUP(CONCATENATE('Respuestas de formulario 1.1'!$B111,MID('Respuestas de formulario 1.1'!DV$1,2,1)),#REF!,12,0),"")</f>
        <v/>
      </c>
      <c r="DW111" s="45" t="str">
        <f>IFERROR(VLOOKUP(CONCATENATE('Respuestas de formulario 1.1'!$B111,MID('Respuestas de formulario 1.1'!DW$1,2,1)),#REF!,12,0),"")</f>
        <v/>
      </c>
      <c r="DX111" s="45" t="str">
        <f>IFERROR(VLOOKUP(CONCATENATE('Respuestas de formulario 1.1'!$B111,MID('Respuestas de formulario 1.1'!DX$1,2,1)),#REF!,12,0),"")</f>
        <v/>
      </c>
      <c r="DY111" s="45" t="str">
        <f>IFERROR(VLOOKUP(CONCATENATE('Respuestas de formulario 1.1'!$B111,MID('Respuestas de formulario 1.1'!DY$1,2,1)),#REF!,12,0),"")</f>
        <v/>
      </c>
      <c r="DZ111" s="45" t="str">
        <f>IFERROR(VLOOKUP(CONCATENATE('Respuestas de formulario 1.1'!$B111,MID('Respuestas de formulario 1.1'!DZ$1,2,1)),#REF!,12,0),"")</f>
        <v/>
      </c>
      <c r="EA111" s="45" t="str">
        <f>IFERROR(VLOOKUP(CONCATENATE('Respuestas de formulario 1.1'!$B111,MID('Respuestas de formulario 1.1'!EA$1,2,1)),#REF!,12,0),"")</f>
        <v/>
      </c>
      <c r="EB111" s="45" t="str">
        <f>IFERROR(VLOOKUP(CONCATENATE('Respuestas de formulario 1.1'!$B111,MID('Respuestas de formulario 1.1'!EB$1,2,1)),#REF!,12,0),"")</f>
        <v/>
      </c>
      <c r="EC111" s="45" t="str">
        <f>IFERROR(VLOOKUP(CONCATENATE('Respuestas de formulario 1.1'!$B111,MID('Respuestas de formulario 1.1'!EC$1,2,1)),#REF!,12,0),"")</f>
        <v/>
      </c>
      <c r="ED111" s="45" t="str">
        <f>IFERROR(VLOOKUP(CONCATENATE('Respuestas de formulario 1.1'!$B111,MID('Respuestas de formulario 1.1'!ED$1,2,1)),#REF!,12,0),"")</f>
        <v/>
      </c>
      <c r="EE111" s="45" t="str">
        <f>IFERROR(VLOOKUP(CONCATENATE('Respuestas de formulario 1.1'!$B111,MID('Respuestas de formulario 1.1'!EE$1,2,1)),#REF!,12,0),"")</f>
        <v/>
      </c>
      <c r="EF111" s="45" t="str">
        <f>IFERROR(VLOOKUP(CONCATENATE('Respuestas de formulario 1.1'!$B111,MID('Respuestas de formulario 1.1'!EF$1,2,1)),#REF!,12,0),"")</f>
        <v/>
      </c>
      <c r="EG111" s="45" t="str">
        <f>IFERROR(VLOOKUP(CONCATENATE('Respuestas de formulario 1.1'!$B111,MID('Respuestas de formulario 1.1'!EG$1,2,1)),#REF!,12,0),"")</f>
        <v/>
      </c>
      <c r="EH111" s="45" t="str">
        <f>IFERROR(VLOOKUP(CONCATENATE('Respuestas de formulario 1.1'!$B111,MID('Respuestas de formulario 1.1'!EH$1,2,1)),#REF!,12,0),"")</f>
        <v/>
      </c>
      <c r="EI111" s="45" t="str">
        <f>IFERROR(VLOOKUP(CONCATENATE('Respuestas de formulario 1.1'!$B111,MID('Respuestas de formulario 1.1'!EI$1,2,1)),#REF!,12,0),"")</f>
        <v/>
      </c>
      <c r="EJ111" s="45" t="str">
        <f t="array" ref="EJ111">IF(DO111="","", INDEX(#REF!,MATCH(CONCATENATE('Respuestas de formulario 1.1'!$B111,DO111),#REF!,0),MATCH('Respuestas de formulario 1.1'!EJ$1,#REF!,0)))</f>
        <v/>
      </c>
      <c r="EK111" s="56" t="str">
        <f t="array" ref="EK111">IF(DP111="","", INDEX(#REF!,MATCH(CONCATENATE('Respuestas de formulario 1.1'!$B111,DP111),#REF!,0),MATCH('Respuestas de formulario 1.1'!EK$1,#REF!,0)))</f>
        <v/>
      </c>
      <c r="EL111" s="56" t="str">
        <f t="array" ref="EL111">IF(DQ111="","", INDEX(#REF!,MATCH(CONCATENATE('Respuestas de formulario 1.1'!$B111,DQ111),#REF!,0),MATCH('Respuestas de formulario 1.1'!EL$1,#REF!,0)))</f>
        <v/>
      </c>
      <c r="EM111" s="56" t="str">
        <f t="array" ref="EM111">IF(DR111="","", INDEX(#REF!,MATCH(CONCATENATE('Respuestas de formulario 1.1'!$B111,DR111),#REF!,0),MATCH('Respuestas de formulario 1.1'!EM$1,#REF!,0)))</f>
        <v/>
      </c>
      <c r="EN111" s="56" t="str">
        <f t="array" ref="EN111">IF(DS111="","", INDEX(#REF!,MATCH(CONCATENATE('Respuestas de formulario 1.1'!$B111,DS111),#REF!,0),MATCH('Respuestas de formulario 1.1'!EN$1,#REF!,0)))</f>
        <v/>
      </c>
      <c r="EO111" s="56" t="str">
        <f t="array" ref="EO111">IF(DT111="","", INDEX(#REF!,MATCH(CONCATENATE('Respuestas de formulario 1.1'!$B111,DT111),#REF!,0),MATCH('Respuestas de formulario 1.1'!EO$1,#REF!,0)))</f>
        <v/>
      </c>
      <c r="EP111" s="45" t="str">
        <f t="array" ref="EP111">IF(DU111="","", INDEX(#REF!,MATCH(CONCATENATE('Respuestas de formulario 1.1'!$B111,DU111),#REF!,0),MATCH('Respuestas de formulario 1.1'!EP$1,#REF!,0)))</f>
        <v/>
      </c>
      <c r="EQ111" s="45" t="str">
        <f t="array" ref="EQ111">IF(DP111="","", INDEX(#REF!,MATCH(CONCATENATE('Respuestas de formulario 1.1'!$B111,DP111),#REF!,0),MATCH('Respuestas de formulario 1.1'!EQ$1,#REF!,0)))</f>
        <v/>
      </c>
      <c r="ER111" s="56" t="str">
        <f t="array" ref="ER111">IF(DQ111="","", INDEX(#REF!,MATCH(CONCATENATE('Respuestas de formulario 1.1'!$B111,DQ111),#REF!,0),MATCH('Respuestas de formulario 1.1'!ER$1,#REF!,0)))</f>
        <v/>
      </c>
      <c r="ES111" s="56" t="str">
        <f t="array" ref="ES111">IF(DR111="","", INDEX(#REF!,MATCH(CONCATENATE('Respuestas de formulario 1.1'!$B111,DR111),#REF!,0),MATCH('Respuestas de formulario 1.1'!ES$1,#REF!,0)))</f>
        <v/>
      </c>
      <c r="ET111" s="56" t="str">
        <f t="array" ref="ET111">IF(DS111="","", INDEX(#REF!,MATCH(CONCATENATE('Respuestas de formulario 1.1'!$B111,DS111),#REF!,0),MATCH('Respuestas de formulario 1.1'!ET$1,#REF!,0)))</f>
        <v/>
      </c>
      <c r="EU111" s="56" t="str">
        <f t="array" ref="EU111">IF(DT111="","", INDEX(#REF!,MATCH(CONCATENATE('Respuestas de formulario 1.1'!$B111,DT111),#REF!,0),MATCH('Respuestas de formulario 1.1'!EU$1,#REF!,0)))</f>
        <v/>
      </c>
      <c r="EV111" s="56" t="str">
        <f t="array" ref="EV111">IF(DU111="","", INDEX(#REF!,MATCH(CONCATENATE('Respuestas de formulario 1.1'!$B111,DU111),#REF!,0),MATCH('Respuestas de formulario 1.1'!EV$1,#REF!,0)))</f>
        <v/>
      </c>
      <c r="EW111" s="45" t="str">
        <f t="array" ref="EW111">IF(DV111="","", INDEX(#REF!,MATCH(CONCATENATE('Respuestas de formulario 1.1'!$B111,DV111),#REF!,0),MATCH('Respuestas de formulario 1.1'!EW$1,#REF!,0)))</f>
        <v/>
      </c>
      <c r="EX111" s="45" t="str">
        <f t="array" ref="EX111">IF($DQ111="","", INDEX(#REF!,MATCH(CONCATENATE('Respuestas de formulario 1.1'!$B111,$DQ111),#REF!,0),MATCH('Respuestas de formulario 1.1'!EX$1,#REF!,0)))</f>
        <v/>
      </c>
      <c r="EY111" s="56" t="str">
        <f t="array" ref="EY111">IF($DQ111="","", INDEX(#REF!,MATCH(CONCATENATE('Respuestas de formulario 1.1'!$B111,$DQ111),#REF!,0),MATCH('Respuestas de formulario 1.1'!EY$1,#REF!,0)))</f>
        <v/>
      </c>
      <c r="EZ111" s="56" t="str">
        <f t="array" ref="EZ111">IF($DQ111="","", INDEX(#REF!,MATCH(CONCATENATE('Respuestas de formulario 1.1'!$B111,$DQ111),#REF!,0),MATCH('Respuestas de formulario 1.1'!EZ$1,#REF!,0)))</f>
        <v/>
      </c>
      <c r="FA111" s="56" t="str">
        <f t="array" ref="FA111">IF($DQ111="","", INDEX(#REF!,MATCH(CONCATENATE('Respuestas de formulario 1.1'!$B111,$DQ111),#REF!,0),MATCH('Respuestas de formulario 1.1'!FA$1,#REF!,0)))</f>
        <v/>
      </c>
      <c r="FB111" s="56" t="str">
        <f t="array" ref="FB111">IF($DQ111="","", INDEX(#REF!,MATCH(CONCATENATE('Respuestas de formulario 1.1'!$B111,$DQ111),#REF!,0),MATCH('Respuestas de formulario 1.1'!FB$1,#REF!,0)))</f>
        <v/>
      </c>
      <c r="FC111" s="56" t="str">
        <f t="array" ref="FC111">IF($DQ111="","", INDEX(#REF!,MATCH(CONCATENATE('Respuestas de formulario 1.1'!$B111,$DQ111),#REF!,0),MATCH('Respuestas de formulario 1.1'!FC$1,#REF!,0)))</f>
        <v/>
      </c>
      <c r="FD111" s="45" t="str">
        <f t="array" ref="FD111">IF($DQ111="","", INDEX(#REF!,MATCH(CONCATENATE('Respuestas de formulario 1.1'!$B111,$DQ111),#REF!,0),MATCH('Respuestas de formulario 1.1'!FD$1,#REF!,0)))</f>
        <v/>
      </c>
      <c r="FE111" s="45" t="str">
        <f t="array" ref="FE111">IF($DR111="","", INDEX(#REF!,MATCH(CONCATENATE(#REF!,$DR111),#REF!,0),MATCH(#REF!,#REF!,0)))</f>
        <v/>
      </c>
      <c r="FF111" s="56" t="str">
        <f t="array" ref="FF111">IF($DR111="","", INDEX(#REF!,MATCH(CONCATENATE(#REF!,$DR111),#REF!,0),MATCH(#REF!,#REF!,0)))</f>
        <v/>
      </c>
      <c r="FG111" s="56" t="str">
        <f t="array" ref="FG111">IF($DR111="","", INDEX(#REF!,MATCH(CONCATENATE(#REF!,$DR111),#REF!,0),MATCH(#REF!,#REF!,0)))</f>
        <v/>
      </c>
      <c r="FH111" s="56" t="str">
        <f t="array" ref="FH111">IF($DR111="","", INDEX(#REF!,MATCH(CONCATENATE(#REF!,$DR111),#REF!,0),MATCH(#REF!,#REF!,0)))</f>
        <v/>
      </c>
      <c r="FI111" s="56" t="str">
        <f t="array" ref="FI111">IF($DR111="","", INDEX(#REF!,MATCH(CONCATENATE(#REF!,$DR111),#REF!,0),MATCH(#REF!,#REF!,0)))</f>
        <v/>
      </c>
      <c r="FJ111" s="56" t="str">
        <f t="array" ref="FJ111">IF($DR111="","", INDEX(#REF!,MATCH(CONCATENATE(#REF!,$DR111),#REF!,0),MATCH(#REF!,#REF!,0)))</f>
        <v/>
      </c>
      <c r="FK111" s="45" t="str">
        <f t="array" ref="FK111">IF($DR111="","", INDEX(#REF!,MATCH(CONCATENATE(#REF!,$DR111),#REF!,0),MATCH(#REF!,#REF!,0)))</f>
        <v/>
      </c>
      <c r="FL111" s="45" t="str">
        <f t="array" ref="FL111">IF($DT111="","", INDEX(#REF!,MATCH(CONCATENATE('Respuestas de formulario 1.1'!$B111,$DS111),#REF!,0),MATCH('Respuestas de formulario 1.1'!FL$1,#REF!,0)))</f>
        <v/>
      </c>
      <c r="FM111" s="56" t="str">
        <f t="array" ref="FM111">IF($DT111="","", INDEX(#REF!,MATCH(CONCATENATE('Respuestas de formulario 1.1'!$B111,$DS111),#REF!,0),MATCH('Respuestas de formulario 1.1'!FM$1,#REF!,0)))</f>
        <v/>
      </c>
      <c r="FN111" s="56" t="str">
        <f t="array" ref="FN111">IF($DT111="","", INDEX(#REF!,MATCH(CONCATENATE('Respuestas de formulario 1.1'!$B111,$DS111),#REF!,0),MATCH('Respuestas de formulario 1.1'!FN$1,#REF!,0)))</f>
        <v/>
      </c>
      <c r="FO111" s="56" t="str">
        <f t="array" ref="FO111">IF($DT111="","", INDEX(#REF!,MATCH(CONCATENATE('Respuestas de formulario 1.1'!$B111,$DS111),#REF!,0),MATCH('Respuestas de formulario 1.1'!FO$1,#REF!,0)))</f>
        <v/>
      </c>
      <c r="FP111" s="56" t="str">
        <f t="array" ref="FP111">IF($DT111="","", INDEX(#REF!,MATCH(CONCATENATE('Respuestas de formulario 1.1'!$B111,$DS111),#REF!,0),MATCH('Respuestas de formulario 1.1'!FP$1,#REF!,0)))</f>
        <v/>
      </c>
      <c r="FQ111" s="56" t="str">
        <f t="array" ref="FQ111">IF($DT111="","", INDEX(#REF!,MATCH(CONCATENATE('Respuestas de formulario 1.1'!$B111,$DS111),#REF!,0),MATCH('Respuestas de formulario 1.1'!FQ$1,#REF!,0)))</f>
        <v/>
      </c>
      <c r="FR111" s="45" t="str">
        <f t="array" ref="FR111">IF($DT111="","", INDEX(#REF!,MATCH(CONCATENATE('Respuestas de formulario 1.1'!$B111,$DS111),#REF!,0),MATCH('Respuestas de formulario 1.1'!FR$1,#REF!,0)))</f>
        <v/>
      </c>
      <c r="FS111" s="45" t="str">
        <f t="array" ref="FS111">IF($DU111="","", INDEX(#REF!,MATCH(CONCATENATE('Respuestas de formulario 1.1'!$B111,$DT111),#REF!,0),MATCH('Respuestas de formulario 1.1'!FS$1,#REF!,0)))</f>
        <v/>
      </c>
      <c r="FT111" s="56" t="str">
        <f t="array" ref="FT111">IF($DU111="","", INDEX(#REF!,MATCH(CONCATENATE('Respuestas de formulario 1.1'!$B111,$DT111),#REF!,0),MATCH('Respuestas de formulario 1.1'!FT$1,#REF!,0)))</f>
        <v/>
      </c>
      <c r="FU111" s="56" t="str">
        <f t="array" ref="FU111">IF($DU111="","", INDEX(#REF!,MATCH(CONCATENATE('Respuestas de formulario 1.1'!$B111,$DT111),#REF!,0),MATCH('Respuestas de formulario 1.1'!FU$1,#REF!,0)))</f>
        <v/>
      </c>
      <c r="FV111" s="56" t="str">
        <f t="array" ref="FV111">IF($DU111="","", INDEX(#REF!,MATCH(CONCATENATE('Respuestas de formulario 1.1'!$B111,$DT111),#REF!,0),MATCH('Respuestas de formulario 1.1'!FV$1,#REF!,0)))</f>
        <v/>
      </c>
      <c r="FW111" s="56" t="str">
        <f t="array" ref="FW111">IF($DU111="","", INDEX(#REF!,MATCH(CONCATENATE('Respuestas de formulario 1.1'!$B111,$DT111),#REF!,0),MATCH('Respuestas de formulario 1.1'!FW$1,#REF!,0)))</f>
        <v/>
      </c>
      <c r="FX111" s="56" t="str">
        <f t="array" ref="FX111">IF($DU111="","", INDEX(#REF!,MATCH(CONCATENATE('Respuestas de formulario 1.1'!$B111,$DT111),#REF!,0),MATCH('Respuestas de formulario 1.1'!FX$1,#REF!,0)))</f>
        <v/>
      </c>
      <c r="FY111" s="45" t="str">
        <f t="array" ref="FY111">IF($DU111="","", INDEX(#REF!,MATCH(CONCATENATE('Respuestas de formulario 1.1'!$B111,$DT111),#REF!,0),MATCH('Respuestas de formulario 1.1'!FY$1,#REF!,0)))</f>
        <v/>
      </c>
      <c r="FZ111" s="3" t="s">
        <v>2860</v>
      </c>
      <c r="GA111" s="1" t="s">
        <v>4746</v>
      </c>
      <c r="GB111" s="5" t="s">
        <v>4747</v>
      </c>
      <c r="GC111" s="4" t="str">
        <f>HYPERLINK("https://drive.google.com/file/d/1gS3uveg2HqQS-lajOYzVuJvg7WC6lYn6/view?usp=drivesdk","ZARATE RODRIGUEZ KAROLGUADALUPE Formato de reinscripción y pago 2022-2")</f>
        <v>ZARATE RODRIGUEZ KAROLGUADALUPE Formato de reinscripción y pago 2022-2</v>
      </c>
      <c r="GD111" s="1" t="s">
        <v>4748</v>
      </c>
      <c r="GE111" s="1"/>
      <c r="GF111" s="1"/>
      <c r="GG111" s="1"/>
      <c r="GH111" s="1"/>
      <c r="GI111" s="1" t="s">
        <v>4749</v>
      </c>
      <c r="GJ111" s="5" t="s">
        <v>4750</v>
      </c>
      <c r="GK111" s="5" t="str">
        <f>HYPERLINK("https://drive.google.com/file/d/13LjRCRyWw6TCA6u5L6af6maPnzbom_iu/view?usp=drivesdk","ZARATE RODRIGUEZ KAROLGUADALUPE Formato de reinscripción y pago 2022-2")</f>
        <v>ZARATE RODRIGUEZ KAROLGUADALUPE Formato de reinscripción y pago 2022-2</v>
      </c>
      <c r="GL111" s="1" t="s">
        <v>4751</v>
      </c>
    </row>
    <row r="112" spans="1:194" ht="38.25" x14ac:dyDescent="0.2">
      <c r="A112" s="2">
        <v>45139.431552013892</v>
      </c>
      <c r="B112" s="1" t="s">
        <v>558</v>
      </c>
      <c r="C112" s="1" t="s">
        <v>559</v>
      </c>
      <c r="D112" s="1" t="s">
        <v>560</v>
      </c>
      <c r="E112" s="1" t="s">
        <v>561</v>
      </c>
      <c r="F112" s="1" t="s">
        <v>223</v>
      </c>
      <c r="G112" s="5" t="s">
        <v>4752</v>
      </c>
      <c r="H112" s="41">
        <v>39270</v>
      </c>
      <c r="I112" s="1">
        <v>16</v>
      </c>
      <c r="J112" s="1">
        <v>5614446084</v>
      </c>
      <c r="K112" s="1">
        <v>5557386500</v>
      </c>
      <c r="L112" s="1" t="s">
        <v>4753</v>
      </c>
      <c r="M112" s="1">
        <v>22309060570639</v>
      </c>
      <c r="N112" s="1" t="s">
        <v>562</v>
      </c>
      <c r="O112" s="1" t="s">
        <v>247</v>
      </c>
      <c r="P112" s="1" t="s">
        <v>278</v>
      </c>
      <c r="Q112" s="1" t="s">
        <v>227</v>
      </c>
      <c r="R112" s="1" t="s">
        <v>236</v>
      </c>
      <c r="S112" s="1" t="s">
        <v>228</v>
      </c>
      <c r="T112" s="1" t="s">
        <v>229</v>
      </c>
      <c r="U112" s="1" t="s">
        <v>249</v>
      </c>
      <c r="V112" s="1" t="s">
        <v>228</v>
      </c>
      <c r="W112" s="1" t="s">
        <v>4754</v>
      </c>
      <c r="X112" s="1" t="s">
        <v>249</v>
      </c>
      <c r="Y112" s="1" t="s">
        <v>1835</v>
      </c>
      <c r="Z112" s="1" t="s">
        <v>240</v>
      </c>
      <c r="AA112" s="44" t="s">
        <v>563</v>
      </c>
      <c r="AB112" s="1">
        <v>12</v>
      </c>
      <c r="AC112" s="1">
        <v>3</v>
      </c>
      <c r="AD112" s="1" t="s">
        <v>564</v>
      </c>
      <c r="AE112" s="1" t="s">
        <v>4755</v>
      </c>
      <c r="AF112" s="1" t="s">
        <v>265</v>
      </c>
      <c r="AG112" s="1">
        <v>45</v>
      </c>
      <c r="AH112" s="5" t="s">
        <v>4756</v>
      </c>
      <c r="AI112" s="1">
        <v>5578851618</v>
      </c>
      <c r="AJ112" s="1">
        <v>5557386500</v>
      </c>
      <c r="AK112" s="1" t="s">
        <v>4757</v>
      </c>
      <c r="AL112" s="1" t="s">
        <v>2102</v>
      </c>
      <c r="AM112" s="1" t="s">
        <v>2674</v>
      </c>
      <c r="AN112" s="1" t="s">
        <v>2245</v>
      </c>
      <c r="AO112" s="1" t="s">
        <v>435</v>
      </c>
      <c r="AP112" s="1">
        <v>45</v>
      </c>
      <c r="AQ112" s="1" t="s">
        <v>306</v>
      </c>
      <c r="AR112" s="42">
        <v>0.25</v>
      </c>
      <c r="AS112" s="42">
        <v>0.25</v>
      </c>
      <c r="AT112" s="1">
        <v>5530072190</v>
      </c>
      <c r="AU112" s="1">
        <v>5557586500</v>
      </c>
      <c r="AV112" s="1" t="s">
        <v>565</v>
      </c>
      <c r="AW112" s="5" t="s">
        <v>4758</v>
      </c>
      <c r="AX112" s="1" t="s">
        <v>2102</v>
      </c>
      <c r="AY112" s="1" t="s">
        <v>2674</v>
      </c>
      <c r="AZ112" s="1" t="s">
        <v>2307</v>
      </c>
      <c r="BA112" s="1" t="s">
        <v>493</v>
      </c>
      <c r="BB112" s="1">
        <v>51</v>
      </c>
      <c r="BC112" s="1" t="s">
        <v>267</v>
      </c>
      <c r="BD112" s="43">
        <v>0.20833333333575865</v>
      </c>
      <c r="BE112" s="43">
        <v>0.4375</v>
      </c>
      <c r="BF112" s="1">
        <v>5511405064</v>
      </c>
      <c r="BG112" s="1">
        <v>5557586500</v>
      </c>
      <c r="BH112" s="1" t="s">
        <v>4759</v>
      </c>
      <c r="BI112" s="5" t="s">
        <v>4760</v>
      </c>
      <c r="BJ112" s="1" t="s">
        <v>236</v>
      </c>
      <c r="BK112" s="1" t="s">
        <v>1338</v>
      </c>
      <c r="BL112" s="1">
        <v>166</v>
      </c>
      <c r="BM112" s="1">
        <v>68</v>
      </c>
      <c r="BN112" s="1" t="s">
        <v>236</v>
      </c>
      <c r="BO112" s="1" t="s">
        <v>228</v>
      </c>
      <c r="BP112" s="1" t="s">
        <v>310</v>
      </c>
      <c r="BQ112" s="1" t="s">
        <v>228</v>
      </c>
      <c r="BR112" s="1" t="s">
        <v>237</v>
      </c>
      <c r="BS112" s="1" t="s">
        <v>228</v>
      </c>
      <c r="BT112" s="1" t="s">
        <v>237</v>
      </c>
      <c r="BU112" s="1" t="s">
        <v>228</v>
      </c>
      <c r="BW112" s="1" t="s">
        <v>272</v>
      </c>
      <c r="BX112" s="1">
        <v>40</v>
      </c>
      <c r="BY112" s="1">
        <v>250</v>
      </c>
      <c r="BZ112" s="1" t="s">
        <v>310</v>
      </c>
      <c r="CA112" s="1" t="s">
        <v>343</v>
      </c>
      <c r="CB112" s="1" t="s">
        <v>231</v>
      </c>
      <c r="CC112" s="1" t="s">
        <v>310</v>
      </c>
      <c r="CD112" s="1">
        <v>2500</v>
      </c>
      <c r="CE112" s="1">
        <v>2500</v>
      </c>
      <c r="CF112" s="1" t="s">
        <v>236</v>
      </c>
      <c r="CG112" s="1" t="s">
        <v>323</v>
      </c>
      <c r="CH112" s="1" t="s">
        <v>243</v>
      </c>
      <c r="CI112" s="1" t="s">
        <v>243</v>
      </c>
      <c r="CJ112" s="1" t="s">
        <v>2848</v>
      </c>
      <c r="CL112" s="5" t="s">
        <v>4761</v>
      </c>
      <c r="CM112" s="1">
        <v>6892773144</v>
      </c>
      <c r="CN112" s="1" t="s">
        <v>228</v>
      </c>
      <c r="CQ112" s="42">
        <v>0.20833333333575865</v>
      </c>
      <c r="CR112" s="42">
        <v>0.41666666666424135</v>
      </c>
      <c r="CT112" s="45" t="str">
        <f t="array" ref="CT112">IFERROR(INDEX(#REF!,MATCH('Respuestas de formulario 1.1'!$B112,#REF!,0),MATCH('Respuestas de formulario 1.1'!CT$1,#REF!,0)),"")</f>
        <v/>
      </c>
      <c r="CU112" s="56" t="str">
        <f t="array" ref="CU112">IFERROR(INDEX(#REF!,MATCH('Respuestas de formulario 1.1'!$B112,#REF!,0),MATCH('Respuestas de formulario 1.1'!CU$1,#REF!,0)),"")</f>
        <v/>
      </c>
      <c r="CV112" s="56" t="str">
        <f t="array" ref="CV112">IFERROR(INDEX(#REF!,MATCH('Respuestas de formulario 1.1'!$B112,#REF!,0),MATCH('Respuestas de formulario 1.1'!CV$1,#REF!,0)),"")</f>
        <v/>
      </c>
      <c r="CW112" s="56" t="str">
        <f t="array" ref="CW112">IFERROR(INDEX(#REF!,MATCH('Respuestas de formulario 1.1'!$B112,#REF!,0),MATCH('Respuestas de formulario 1.1'!CW$1,#REF!,0)),"")</f>
        <v/>
      </c>
      <c r="CX112" s="56" t="str">
        <f t="array" ref="CX112">IFERROR(INDEX(#REF!,MATCH('Respuestas de formulario 1.1'!$B112,#REF!,0),MATCH('Respuestas de formulario 1.1'!CX$1,#REF!,0)),"")</f>
        <v/>
      </c>
      <c r="CY112" s="56" t="str">
        <f t="array" ref="CY112">IFERROR(INDEX(#REF!,MATCH('Respuestas de formulario 1.1'!$B112,#REF!,0),MATCH('Respuestas de formulario 1.1'!CY$1,#REF!,0)),"")</f>
        <v/>
      </c>
      <c r="CZ112" s="57" t="str">
        <f t="array" ref="CZ112">IFERROR(INDEX(#REF!,MATCH('Respuestas de formulario 1.1'!$B112,#REF!,0),MATCH('Respuestas de formulario 1.1'!CZ$1,#REF!,0)),"")</f>
        <v/>
      </c>
      <c r="DA112" s="45" t="e">
        <f t="array" ref="DA112">INDEX(#REF!,MATCH('Respuestas de formulario 1.1'!$B112,#REF!,0),MATCH('Respuestas de formulario 1.1'!DA$1,#REF!,0))</f>
        <v>#REF!</v>
      </c>
      <c r="DB112" s="45" t="e">
        <f t="array" ref="DB112">INDEX(#REF!,MATCH('Respuestas de formulario 1.1'!$B112,#REF!,0),MATCH('Respuestas de formulario 1.1'!DB$1,#REF!,0))</f>
        <v>#REF!</v>
      </c>
      <c r="DC112" s="45" t="e">
        <f t="array" ref="DC112">INDEX(#REF!,MATCH('Respuestas de formulario 1.1'!$B112,#REF!,0),MATCH('Respuestas de formulario 1.1'!DC$1,#REF!,0))</f>
        <v>#REF!</v>
      </c>
      <c r="DD112" s="45" t="e">
        <f t="array" ref="DD112">INDEX(#REF!,MATCH('Respuestas de formulario 1.1'!$B112,#REF!,0),MATCH('Respuestas de formulario 1.1'!DD$1,#REF!,0))</f>
        <v>#REF!</v>
      </c>
      <c r="DE112" s="45" t="e">
        <f t="array" ref="DE112">INDEX(#REF!,MATCH('Respuestas de formulario 1.1'!$B112,#REF!,0),MATCH('Respuestas de formulario 1.1'!DE$1,#REF!,0))</f>
        <v>#REF!</v>
      </c>
      <c r="DF112" s="45" t="e">
        <f t="array" ref="DF112">INDEX(#REF!,MATCH('Respuestas de formulario 1.1'!$B112,#REF!,0),MATCH('Respuestas de formulario 1.1'!DF$1,#REF!,0))</f>
        <v>#REF!</v>
      </c>
      <c r="DG112" s="45" t="e">
        <f t="array" ref="DG112">INDEX(#REF!,MATCH('Respuestas de formulario 1.1'!$B112,#REF!,0),MATCH('Respuestas de formulario 1.1'!DG$1,#REF!,0))</f>
        <v>#REF!</v>
      </c>
      <c r="DH112" s="45" t="e">
        <f t="array" ref="DH112">INDEX(#REF!,MATCH('Respuestas de formulario 1.1'!$B112,#REF!,0),MATCH('Respuestas de formulario 1.1'!DH$1,#REF!,0))</f>
        <v>#REF!</v>
      </c>
      <c r="DI112" s="48" t="e">
        <f>VLOOKUP(CONCATENATE($DF112," TUTO ",$DC112),#REF!,3,0)</f>
        <v>#REF!</v>
      </c>
      <c r="DJ112" s="48" t="e">
        <f t="array" ref="DJ112">IF('Respuestas de formulario 1.1'!A112="","",INDEX(#REF!,MATCH('Respuestas de formulario 1.1'!B112,#REF!,0),MATCH('Respuestas de formulario 1.1'!$DH$1,#REF!,0)))</f>
        <v>#REF!</v>
      </c>
      <c r="DK112" s="52" t="str">
        <f>CONCATENATE("http://doc.google.com/uc?id=",MID('Respuestas de formulario 1.1'!G112,34,33))</f>
        <v>http://doc.google.com/uc?id=1u0w00DxI0uVAwLbfZfslbtWNToJNpZGh</v>
      </c>
      <c r="DL112" s="49" t="str">
        <f>CONCATENATE("http://doc.google.com/uc?id=",MID('Respuestas de formulario 1.1'!AH112,34,33))</f>
        <v>http://doc.google.com/uc?id=1yb7VUnbMa04x2jY4dtW_-0g1t100tS3D</v>
      </c>
      <c r="DM112" s="50" t="str">
        <f>CONCATENATE("http://doc.google.com/uc?id=",MID('Respuestas de formulario 1.1'!AW112,34,33))</f>
        <v>http://doc.google.com/uc?id=1RJ3Duz5nswbs9FtluL8nyeBSIlkyE2bZ</v>
      </c>
      <c r="DN112" s="53" t="str">
        <f>CONCATENATE("http://doc.google.com/uc?id=",MID('Respuestas de formulario 1.1'!$BI112,34,33))</f>
        <v>http://doc.google.com/uc?id=1YzR4V7qWJyju07nAGcjrz0XcJ0tYXXXV</v>
      </c>
      <c r="DO112" s="45" t="str">
        <f>IFERROR(VLOOKUP(CONCATENATE('Respuestas de formulario 1.1'!$B112,MID('Respuestas de formulario 1.1'!DO$1,2,1)),#REF!,12,0),"")</f>
        <v/>
      </c>
      <c r="DP112" s="45" t="str">
        <f>IFERROR(VLOOKUP(CONCATENATE('Respuestas de formulario 1.1'!$B112,MID('Respuestas de formulario 1.1'!DP$1,2,1)),#REF!,12,0),"")</f>
        <v/>
      </c>
      <c r="DQ112" s="45" t="str">
        <f>IFERROR(VLOOKUP(CONCATENATE('Respuestas de formulario 1.1'!$B112,MID('Respuestas de formulario 1.1'!DQ$1,2,1)),#REF!,12,0),"")</f>
        <v/>
      </c>
      <c r="DR112" s="45" t="str">
        <f>IFERROR(VLOOKUP(CONCATENATE('Respuestas de formulario 1.1'!$B112,MID('Respuestas de formulario 1.1'!DR$1,2,1)),#REF!,12,0),"")</f>
        <v/>
      </c>
      <c r="DS112" s="45" t="str">
        <f>IFERROR(VLOOKUP(CONCATENATE('Respuestas de formulario 1.1'!$B112,MID('Respuestas de formulario 1.1'!DS$1,2,1)),#REF!,12,0),"")</f>
        <v/>
      </c>
      <c r="DT112" s="45" t="str">
        <f>IFERROR(VLOOKUP(CONCATENATE('Respuestas de formulario 1.1'!$B112,MID('Respuestas de formulario 1.1'!DT$1,2,1)),#REF!,12,0),"")</f>
        <v/>
      </c>
      <c r="DU112" s="45" t="str">
        <f>IFERROR(VLOOKUP(CONCATENATE('Respuestas de formulario 1.1'!$B112,MID('Respuestas de formulario 1.1'!DU$1,2,1)),#REF!,12,0),"")</f>
        <v/>
      </c>
      <c r="DV112" s="45" t="str">
        <f>IFERROR(VLOOKUP(CONCATENATE('Respuestas de formulario 1.1'!$B112,MID('Respuestas de formulario 1.1'!DV$1,2,1)),#REF!,12,0),"")</f>
        <v/>
      </c>
      <c r="DW112" s="45" t="str">
        <f>IFERROR(VLOOKUP(CONCATENATE('Respuestas de formulario 1.1'!$B112,MID('Respuestas de formulario 1.1'!DW$1,2,1)),#REF!,12,0),"")</f>
        <v/>
      </c>
      <c r="DX112" s="45" t="str">
        <f>IFERROR(VLOOKUP(CONCATENATE('Respuestas de formulario 1.1'!$B112,MID('Respuestas de formulario 1.1'!DX$1,2,1)),#REF!,12,0),"")</f>
        <v/>
      </c>
      <c r="DY112" s="45" t="str">
        <f>IFERROR(VLOOKUP(CONCATENATE('Respuestas de formulario 1.1'!$B112,MID('Respuestas de formulario 1.1'!DY$1,2,1)),#REF!,12,0),"")</f>
        <v/>
      </c>
      <c r="DZ112" s="45" t="str">
        <f>IFERROR(VLOOKUP(CONCATENATE('Respuestas de formulario 1.1'!$B112,MID('Respuestas de formulario 1.1'!DZ$1,2,1)),#REF!,12,0),"")</f>
        <v/>
      </c>
      <c r="EA112" s="45" t="str">
        <f>IFERROR(VLOOKUP(CONCATENATE('Respuestas de formulario 1.1'!$B112,MID('Respuestas de formulario 1.1'!EA$1,2,1)),#REF!,12,0),"")</f>
        <v/>
      </c>
      <c r="EB112" s="45" t="str">
        <f>IFERROR(VLOOKUP(CONCATENATE('Respuestas de formulario 1.1'!$B112,MID('Respuestas de formulario 1.1'!EB$1,2,1)),#REF!,12,0),"")</f>
        <v/>
      </c>
      <c r="EC112" s="45" t="str">
        <f>IFERROR(VLOOKUP(CONCATENATE('Respuestas de formulario 1.1'!$B112,MID('Respuestas de formulario 1.1'!EC$1,2,1)),#REF!,12,0),"")</f>
        <v/>
      </c>
      <c r="ED112" s="45" t="str">
        <f>IFERROR(VLOOKUP(CONCATENATE('Respuestas de formulario 1.1'!$B112,MID('Respuestas de formulario 1.1'!ED$1,2,1)),#REF!,12,0),"")</f>
        <v/>
      </c>
      <c r="EE112" s="45" t="str">
        <f>IFERROR(VLOOKUP(CONCATENATE('Respuestas de formulario 1.1'!$B112,MID('Respuestas de formulario 1.1'!EE$1,2,1)),#REF!,12,0),"")</f>
        <v/>
      </c>
      <c r="EF112" s="45" t="str">
        <f>IFERROR(VLOOKUP(CONCATENATE('Respuestas de formulario 1.1'!$B112,MID('Respuestas de formulario 1.1'!EF$1,2,1)),#REF!,12,0),"")</f>
        <v/>
      </c>
      <c r="EG112" s="45" t="str">
        <f>IFERROR(VLOOKUP(CONCATENATE('Respuestas de formulario 1.1'!$B112,MID('Respuestas de formulario 1.1'!EG$1,2,1)),#REF!,12,0),"")</f>
        <v/>
      </c>
      <c r="EH112" s="45" t="str">
        <f>IFERROR(VLOOKUP(CONCATENATE('Respuestas de formulario 1.1'!$B112,MID('Respuestas de formulario 1.1'!EH$1,2,1)),#REF!,12,0),"")</f>
        <v/>
      </c>
      <c r="EI112" s="45" t="str">
        <f>IFERROR(VLOOKUP(CONCATENATE('Respuestas de formulario 1.1'!$B112,MID('Respuestas de formulario 1.1'!EI$1,2,1)),#REF!,12,0),"")</f>
        <v/>
      </c>
      <c r="EJ112" s="45" t="str">
        <f t="array" ref="EJ112">IF(DO112="","", INDEX(#REF!,MATCH(CONCATENATE('Respuestas de formulario 1.1'!$B112,DO112),#REF!,0),MATCH('Respuestas de formulario 1.1'!EJ$1,#REF!,0)))</f>
        <v/>
      </c>
      <c r="EK112" s="56" t="str">
        <f t="array" ref="EK112">IF(DP112="","", INDEX(#REF!,MATCH(CONCATENATE('Respuestas de formulario 1.1'!$B112,DP112),#REF!,0),MATCH('Respuestas de formulario 1.1'!EK$1,#REF!,0)))</f>
        <v/>
      </c>
      <c r="EL112" s="56" t="str">
        <f t="array" ref="EL112">IF(DQ112="","", INDEX(#REF!,MATCH(CONCATENATE('Respuestas de formulario 1.1'!$B112,DQ112),#REF!,0),MATCH('Respuestas de formulario 1.1'!EL$1,#REF!,0)))</f>
        <v/>
      </c>
      <c r="EM112" s="56" t="str">
        <f t="array" ref="EM112">IF(DR112="","", INDEX(#REF!,MATCH(CONCATENATE('Respuestas de formulario 1.1'!$B112,DR112),#REF!,0),MATCH('Respuestas de formulario 1.1'!EM$1,#REF!,0)))</f>
        <v/>
      </c>
      <c r="EN112" s="56" t="str">
        <f t="array" ref="EN112">IF(DS112="","", INDEX(#REF!,MATCH(CONCATENATE('Respuestas de formulario 1.1'!$B112,DS112),#REF!,0),MATCH('Respuestas de formulario 1.1'!EN$1,#REF!,0)))</f>
        <v/>
      </c>
      <c r="EO112" s="56" t="str">
        <f t="array" ref="EO112">IF(DT112="","", INDEX(#REF!,MATCH(CONCATENATE('Respuestas de formulario 1.1'!$B112,DT112),#REF!,0),MATCH('Respuestas de formulario 1.1'!EO$1,#REF!,0)))</f>
        <v/>
      </c>
      <c r="EP112" s="45" t="str">
        <f t="array" ref="EP112">IF(DU112="","", INDEX(#REF!,MATCH(CONCATENATE('Respuestas de formulario 1.1'!$B112,DU112),#REF!,0),MATCH('Respuestas de formulario 1.1'!EP$1,#REF!,0)))</f>
        <v/>
      </c>
      <c r="EQ112" s="45" t="str">
        <f t="array" ref="EQ112">IF(DP112="","", INDEX(#REF!,MATCH(CONCATENATE('Respuestas de formulario 1.1'!$B112,DP112),#REF!,0),MATCH('Respuestas de formulario 1.1'!EQ$1,#REF!,0)))</f>
        <v/>
      </c>
      <c r="ER112" s="56" t="str">
        <f t="array" ref="ER112">IF(DQ112="","", INDEX(#REF!,MATCH(CONCATENATE('Respuestas de formulario 1.1'!$B112,DQ112),#REF!,0),MATCH('Respuestas de formulario 1.1'!ER$1,#REF!,0)))</f>
        <v/>
      </c>
      <c r="ES112" s="56" t="str">
        <f t="array" ref="ES112">IF(DR112="","", INDEX(#REF!,MATCH(CONCATENATE('Respuestas de formulario 1.1'!$B112,DR112),#REF!,0),MATCH('Respuestas de formulario 1.1'!ES$1,#REF!,0)))</f>
        <v/>
      </c>
      <c r="ET112" s="56" t="str">
        <f t="array" ref="ET112">IF(DS112="","", INDEX(#REF!,MATCH(CONCATENATE('Respuestas de formulario 1.1'!$B112,DS112),#REF!,0),MATCH('Respuestas de formulario 1.1'!ET$1,#REF!,0)))</f>
        <v/>
      </c>
      <c r="EU112" s="56" t="str">
        <f t="array" ref="EU112">IF(DT112="","", INDEX(#REF!,MATCH(CONCATENATE('Respuestas de formulario 1.1'!$B112,DT112),#REF!,0),MATCH('Respuestas de formulario 1.1'!EU$1,#REF!,0)))</f>
        <v/>
      </c>
      <c r="EV112" s="56" t="str">
        <f t="array" ref="EV112">IF(DU112="","", INDEX(#REF!,MATCH(CONCATENATE('Respuestas de formulario 1.1'!$B112,DU112),#REF!,0),MATCH('Respuestas de formulario 1.1'!EV$1,#REF!,0)))</f>
        <v/>
      </c>
      <c r="EW112" s="45" t="str">
        <f t="array" ref="EW112">IF(DV112="","", INDEX(#REF!,MATCH(CONCATENATE('Respuestas de formulario 1.1'!$B112,DV112),#REF!,0),MATCH('Respuestas de formulario 1.1'!EW$1,#REF!,0)))</f>
        <v/>
      </c>
      <c r="EX112" s="45" t="str">
        <f t="array" ref="EX112">IF($DQ112="","", INDEX(#REF!,MATCH(CONCATENATE('Respuestas de formulario 1.1'!$B112,$DQ112),#REF!,0),MATCH('Respuestas de formulario 1.1'!EX$1,#REF!,0)))</f>
        <v/>
      </c>
      <c r="EY112" s="56" t="str">
        <f t="array" ref="EY112">IF($DQ112="","", INDEX(#REF!,MATCH(CONCATENATE('Respuestas de formulario 1.1'!$B112,$DQ112),#REF!,0),MATCH('Respuestas de formulario 1.1'!EY$1,#REF!,0)))</f>
        <v/>
      </c>
      <c r="EZ112" s="56" t="str">
        <f t="array" ref="EZ112">IF($DQ112="","", INDEX(#REF!,MATCH(CONCATENATE('Respuestas de formulario 1.1'!$B112,$DQ112),#REF!,0),MATCH('Respuestas de formulario 1.1'!EZ$1,#REF!,0)))</f>
        <v/>
      </c>
      <c r="FA112" s="56" t="str">
        <f t="array" ref="FA112">IF($DQ112="","", INDEX(#REF!,MATCH(CONCATENATE('Respuestas de formulario 1.1'!$B112,$DQ112),#REF!,0),MATCH('Respuestas de formulario 1.1'!FA$1,#REF!,0)))</f>
        <v/>
      </c>
      <c r="FB112" s="56" t="str">
        <f t="array" ref="FB112">IF($DQ112="","", INDEX(#REF!,MATCH(CONCATENATE('Respuestas de formulario 1.1'!$B112,$DQ112),#REF!,0),MATCH('Respuestas de formulario 1.1'!FB$1,#REF!,0)))</f>
        <v/>
      </c>
      <c r="FC112" s="56" t="str">
        <f t="array" ref="FC112">IF($DQ112="","", INDEX(#REF!,MATCH(CONCATENATE('Respuestas de formulario 1.1'!$B112,$DQ112),#REF!,0),MATCH('Respuestas de formulario 1.1'!FC$1,#REF!,0)))</f>
        <v/>
      </c>
      <c r="FD112" s="45" t="str">
        <f t="array" ref="FD112">IF($DQ112="","", INDEX(#REF!,MATCH(CONCATENATE('Respuestas de formulario 1.1'!$B112,$DQ112),#REF!,0),MATCH('Respuestas de formulario 1.1'!FD$1,#REF!,0)))</f>
        <v/>
      </c>
      <c r="FE112" s="45" t="str">
        <f t="array" ref="FE112">IF($DR112="","", INDEX(#REF!,MATCH(CONCATENATE(#REF!,$DR112),#REF!,0),MATCH(#REF!,#REF!,0)))</f>
        <v/>
      </c>
      <c r="FF112" s="56" t="str">
        <f t="array" ref="FF112">IF($DR112="","", INDEX(#REF!,MATCH(CONCATENATE(#REF!,$DR112),#REF!,0),MATCH(#REF!,#REF!,0)))</f>
        <v/>
      </c>
      <c r="FG112" s="56" t="str">
        <f t="array" ref="FG112">IF($DR112="","", INDEX(#REF!,MATCH(CONCATENATE(#REF!,$DR112),#REF!,0),MATCH(#REF!,#REF!,0)))</f>
        <v/>
      </c>
      <c r="FH112" s="56" t="str">
        <f t="array" ref="FH112">IF($DR112="","", INDEX(#REF!,MATCH(CONCATENATE(#REF!,$DR112),#REF!,0),MATCH(#REF!,#REF!,0)))</f>
        <v/>
      </c>
      <c r="FI112" s="56" t="str">
        <f t="array" ref="FI112">IF($DR112="","", INDEX(#REF!,MATCH(CONCATENATE(#REF!,$DR112),#REF!,0),MATCH(#REF!,#REF!,0)))</f>
        <v/>
      </c>
      <c r="FJ112" s="56" t="str">
        <f t="array" ref="FJ112">IF($DR112="","", INDEX(#REF!,MATCH(CONCATENATE(#REF!,$DR112),#REF!,0),MATCH(#REF!,#REF!,0)))</f>
        <v/>
      </c>
      <c r="FK112" s="45" t="str">
        <f t="array" ref="FK112">IF($DR112="","", INDEX(#REF!,MATCH(CONCATENATE(#REF!,$DR112),#REF!,0),MATCH(#REF!,#REF!,0)))</f>
        <v/>
      </c>
      <c r="FL112" s="45" t="str">
        <f t="array" ref="FL112">IF($DT112="","", INDEX(#REF!,MATCH(CONCATENATE('Respuestas de formulario 1.1'!$B112,$DS112),#REF!,0),MATCH('Respuestas de formulario 1.1'!FL$1,#REF!,0)))</f>
        <v/>
      </c>
      <c r="FM112" s="56" t="str">
        <f t="array" ref="FM112">IF($DT112="","", INDEX(#REF!,MATCH(CONCATENATE('Respuestas de formulario 1.1'!$B112,$DS112),#REF!,0),MATCH('Respuestas de formulario 1.1'!FM$1,#REF!,0)))</f>
        <v/>
      </c>
      <c r="FN112" s="56" t="str">
        <f t="array" ref="FN112">IF($DT112="","", INDEX(#REF!,MATCH(CONCATENATE('Respuestas de formulario 1.1'!$B112,$DS112),#REF!,0),MATCH('Respuestas de formulario 1.1'!FN$1,#REF!,0)))</f>
        <v/>
      </c>
      <c r="FO112" s="56" t="str">
        <f t="array" ref="FO112">IF($DT112="","", INDEX(#REF!,MATCH(CONCATENATE('Respuestas de formulario 1.1'!$B112,$DS112),#REF!,0),MATCH('Respuestas de formulario 1.1'!FO$1,#REF!,0)))</f>
        <v/>
      </c>
      <c r="FP112" s="56" t="str">
        <f t="array" ref="FP112">IF($DT112="","", INDEX(#REF!,MATCH(CONCATENATE('Respuestas de formulario 1.1'!$B112,$DS112),#REF!,0),MATCH('Respuestas de formulario 1.1'!FP$1,#REF!,0)))</f>
        <v/>
      </c>
      <c r="FQ112" s="56" t="str">
        <f t="array" ref="FQ112">IF($DT112="","", INDEX(#REF!,MATCH(CONCATENATE('Respuestas de formulario 1.1'!$B112,$DS112),#REF!,0),MATCH('Respuestas de formulario 1.1'!FQ$1,#REF!,0)))</f>
        <v/>
      </c>
      <c r="FR112" s="45" t="str">
        <f t="array" ref="FR112">IF($DT112="","", INDEX(#REF!,MATCH(CONCATENATE('Respuestas de formulario 1.1'!$B112,$DS112),#REF!,0),MATCH('Respuestas de formulario 1.1'!FR$1,#REF!,0)))</f>
        <v/>
      </c>
      <c r="FS112" s="45" t="str">
        <f t="array" ref="FS112">IF($DU112="","", INDEX(#REF!,MATCH(CONCATENATE('Respuestas de formulario 1.1'!$B112,$DT112),#REF!,0),MATCH('Respuestas de formulario 1.1'!FS$1,#REF!,0)))</f>
        <v/>
      </c>
      <c r="FT112" s="56" t="str">
        <f t="array" ref="FT112">IF($DU112="","", INDEX(#REF!,MATCH(CONCATENATE('Respuestas de formulario 1.1'!$B112,$DT112),#REF!,0),MATCH('Respuestas de formulario 1.1'!FT$1,#REF!,0)))</f>
        <v/>
      </c>
      <c r="FU112" s="56" t="str">
        <f t="array" ref="FU112">IF($DU112="","", INDEX(#REF!,MATCH(CONCATENATE('Respuestas de formulario 1.1'!$B112,$DT112),#REF!,0),MATCH('Respuestas de formulario 1.1'!FU$1,#REF!,0)))</f>
        <v/>
      </c>
      <c r="FV112" s="56" t="str">
        <f t="array" ref="FV112">IF($DU112="","", INDEX(#REF!,MATCH(CONCATENATE('Respuestas de formulario 1.1'!$B112,$DT112),#REF!,0),MATCH('Respuestas de formulario 1.1'!FV$1,#REF!,0)))</f>
        <v/>
      </c>
      <c r="FW112" s="56" t="str">
        <f t="array" ref="FW112">IF($DU112="","", INDEX(#REF!,MATCH(CONCATENATE('Respuestas de formulario 1.1'!$B112,$DT112),#REF!,0),MATCH('Respuestas de formulario 1.1'!FW$1,#REF!,0)))</f>
        <v/>
      </c>
      <c r="FX112" s="56" t="str">
        <f t="array" ref="FX112">IF($DU112="","", INDEX(#REF!,MATCH(CONCATENATE('Respuestas de formulario 1.1'!$B112,$DT112),#REF!,0),MATCH('Respuestas de formulario 1.1'!FX$1,#REF!,0)))</f>
        <v/>
      </c>
      <c r="FY112" s="45" t="str">
        <f t="array" ref="FY112">IF($DU112="","", INDEX(#REF!,MATCH(CONCATENATE('Respuestas de formulario 1.1'!$B112,$DT112),#REF!,0),MATCH('Respuestas de formulario 1.1'!FY$1,#REF!,0)))</f>
        <v/>
      </c>
      <c r="FZ112" s="3" t="s">
        <v>2860</v>
      </c>
      <c r="GA112" s="1" t="s">
        <v>4762</v>
      </c>
      <c r="GB112" s="5" t="s">
        <v>4763</v>
      </c>
      <c r="GC112" s="4" t="str">
        <f>HYPERLINK("https://drive.google.com/file/d/1nu1Locf6swBL9_NPbdlRjj7h-PzRgSKA/view?usp=drivesdk","SIERRA  GONZALEZ  PERLA FABIOLA  Formato de reinscripción y pago 2022-2")</f>
        <v>SIERRA  GONZALEZ  PERLA FABIOLA  Formato de reinscripción y pago 2022-2</v>
      </c>
      <c r="GD112" s="1" t="s">
        <v>4764</v>
      </c>
      <c r="GE112" s="1"/>
      <c r="GF112" s="1"/>
      <c r="GG112" s="1"/>
      <c r="GH112" s="1"/>
      <c r="GI112" s="1" t="s">
        <v>4765</v>
      </c>
      <c r="GJ112" s="5" t="s">
        <v>4766</v>
      </c>
      <c r="GK112" s="5" t="str">
        <f>HYPERLINK("https://drive.google.com/file/d/1YW3JG2KmZGCZG2yF8e2y2rBDEdod5fL_/view?usp=drivesdk","SIERRA  GONZALEZ  PERLA FABIOLA  Formato de reinscripción y pago 2022-2")</f>
        <v>SIERRA  GONZALEZ  PERLA FABIOLA  Formato de reinscripción y pago 2022-2</v>
      </c>
      <c r="GL112" s="1" t="s">
        <v>4767</v>
      </c>
    </row>
    <row r="113" spans="1:194" ht="14.25" x14ac:dyDescent="0.2">
      <c r="A113" s="2">
        <v>45139.432446701394</v>
      </c>
      <c r="B113" s="1" t="s">
        <v>5</v>
      </c>
      <c r="C113" s="1" t="s">
        <v>1195</v>
      </c>
      <c r="D113" s="1" t="s">
        <v>433</v>
      </c>
      <c r="E113" s="1" t="s">
        <v>1196</v>
      </c>
      <c r="F113" s="1" t="s">
        <v>223</v>
      </c>
      <c r="G113" s="5" t="s">
        <v>4768</v>
      </c>
      <c r="H113" s="41">
        <v>39399</v>
      </c>
      <c r="I113" s="1">
        <v>15</v>
      </c>
      <c r="J113" s="1">
        <v>5539510001</v>
      </c>
      <c r="K113" s="1">
        <v>5584947108</v>
      </c>
      <c r="L113" s="1" t="s">
        <v>1197</v>
      </c>
      <c r="M113" s="1">
        <v>22309060570905</v>
      </c>
      <c r="N113" s="1" t="s">
        <v>562</v>
      </c>
      <c r="O113" s="1" t="s">
        <v>225</v>
      </c>
      <c r="P113" s="1" t="s">
        <v>278</v>
      </c>
      <c r="Q113" s="1" t="s">
        <v>227</v>
      </c>
      <c r="R113" s="1" t="s">
        <v>236</v>
      </c>
      <c r="S113" s="1" t="s">
        <v>228</v>
      </c>
      <c r="T113" s="1" t="s">
        <v>229</v>
      </c>
      <c r="U113" s="1" t="s">
        <v>249</v>
      </c>
      <c r="V113" s="1" t="s">
        <v>228</v>
      </c>
      <c r="W113" s="1" t="s">
        <v>4769</v>
      </c>
      <c r="X113" s="1" t="s">
        <v>249</v>
      </c>
      <c r="Y113" s="1" t="s">
        <v>1835</v>
      </c>
      <c r="Z113" s="1" t="s">
        <v>240</v>
      </c>
      <c r="AA113" s="44" t="s">
        <v>563</v>
      </c>
      <c r="AB113" s="1" t="s">
        <v>4770</v>
      </c>
      <c r="AC113" s="1" t="s">
        <v>4771</v>
      </c>
      <c r="AD113" s="1" t="s">
        <v>4772</v>
      </c>
      <c r="AE113" s="1" t="s">
        <v>4773</v>
      </c>
      <c r="AF113" s="1" t="s">
        <v>279</v>
      </c>
      <c r="AG113" s="1">
        <v>50</v>
      </c>
      <c r="AH113" s="5" t="s">
        <v>4774</v>
      </c>
      <c r="AI113" s="1">
        <v>5532690346</v>
      </c>
      <c r="AJ113" s="1">
        <v>5584947108</v>
      </c>
      <c r="AK113" s="1" t="s">
        <v>1201</v>
      </c>
      <c r="AL113" s="1" t="s">
        <v>4775</v>
      </c>
      <c r="AM113" s="1" t="s">
        <v>1074</v>
      </c>
      <c r="AN113" s="1" t="s">
        <v>4776</v>
      </c>
      <c r="AO113" s="1" t="s">
        <v>493</v>
      </c>
      <c r="AP113" s="1">
        <v>32</v>
      </c>
      <c r="AQ113" s="1" t="s">
        <v>546</v>
      </c>
      <c r="AR113" s="42">
        <v>0.375</v>
      </c>
      <c r="AS113" s="42">
        <v>0.125</v>
      </c>
      <c r="AT113" s="1">
        <v>5626154181</v>
      </c>
      <c r="AU113" s="1">
        <v>5584947108</v>
      </c>
      <c r="AV113" s="1" t="s">
        <v>1198</v>
      </c>
      <c r="AW113" s="5" t="s">
        <v>4777</v>
      </c>
      <c r="AX113" s="1" t="s">
        <v>259</v>
      </c>
      <c r="AY113" s="1" t="s">
        <v>4778</v>
      </c>
      <c r="AZ113" s="1" t="s">
        <v>1199</v>
      </c>
      <c r="BA113" s="1" t="s">
        <v>265</v>
      </c>
      <c r="BB113" s="1">
        <v>30</v>
      </c>
      <c r="BC113" s="1" t="s">
        <v>2328</v>
      </c>
      <c r="BD113" s="43">
        <v>0.33333333333575865</v>
      </c>
      <c r="BE113" s="43">
        <v>0.20833333333575865</v>
      </c>
      <c r="BF113" s="1">
        <v>5527714093</v>
      </c>
      <c r="BG113" s="1">
        <v>5584947108</v>
      </c>
      <c r="BH113" s="1" t="s">
        <v>4779</v>
      </c>
      <c r="BI113" s="5" t="s">
        <v>4780</v>
      </c>
      <c r="BJ113" s="1" t="s">
        <v>236</v>
      </c>
      <c r="BL113" s="1">
        <v>166</v>
      </c>
      <c r="BM113" s="1">
        <v>47</v>
      </c>
      <c r="BN113" s="1" t="s">
        <v>236</v>
      </c>
      <c r="BO113" s="1" t="s">
        <v>228</v>
      </c>
      <c r="BQ113" s="1" t="s">
        <v>228</v>
      </c>
      <c r="BR113" s="1" t="s">
        <v>237</v>
      </c>
      <c r="BS113" s="1" t="s">
        <v>236</v>
      </c>
      <c r="BT113" s="1" t="s">
        <v>457</v>
      </c>
      <c r="BU113" s="1" t="s">
        <v>228</v>
      </c>
      <c r="BW113" s="1" t="s">
        <v>272</v>
      </c>
      <c r="BX113" s="1">
        <v>80</v>
      </c>
      <c r="BY113" s="1">
        <v>250</v>
      </c>
      <c r="BZ113" s="1" t="s">
        <v>253</v>
      </c>
      <c r="CA113" s="1" t="s">
        <v>615</v>
      </c>
      <c r="CB113" s="1" t="s">
        <v>240</v>
      </c>
      <c r="CC113" s="1" t="s">
        <v>1335</v>
      </c>
      <c r="CD113" s="1">
        <v>2500</v>
      </c>
      <c r="CE113" s="1">
        <v>3000</v>
      </c>
      <c r="CF113" s="1" t="s">
        <v>236</v>
      </c>
      <c r="CG113" s="1" t="s">
        <v>242</v>
      </c>
      <c r="CH113" s="1" t="s">
        <v>243</v>
      </c>
      <c r="CI113" s="1" t="s">
        <v>243</v>
      </c>
      <c r="CJ113" s="1" t="s">
        <v>2848</v>
      </c>
      <c r="CL113" s="5" t="s">
        <v>4781</v>
      </c>
      <c r="CM113" s="44" t="s">
        <v>1202</v>
      </c>
      <c r="CN113" s="1" t="s">
        <v>228</v>
      </c>
      <c r="CQ113" s="42">
        <v>0.33333333333575865</v>
      </c>
      <c r="CR113" s="42">
        <v>0.16666666666424135</v>
      </c>
      <c r="CT113" s="45" t="str">
        <f t="array" ref="CT113">IFERROR(INDEX(#REF!,MATCH('Respuestas de formulario 1.1'!$B113,#REF!,0),MATCH('Respuestas de formulario 1.1'!CT$1,#REF!,0)),"")</f>
        <v/>
      </c>
      <c r="CU113" s="56" t="str">
        <f t="array" ref="CU113">IFERROR(INDEX(#REF!,MATCH('Respuestas de formulario 1.1'!$B113,#REF!,0),MATCH('Respuestas de formulario 1.1'!CU$1,#REF!,0)),"")</f>
        <v/>
      </c>
      <c r="CV113" s="56" t="str">
        <f t="array" ref="CV113">IFERROR(INDEX(#REF!,MATCH('Respuestas de formulario 1.1'!$B113,#REF!,0),MATCH('Respuestas de formulario 1.1'!CV$1,#REF!,0)),"")</f>
        <v/>
      </c>
      <c r="CW113" s="56" t="str">
        <f t="array" ref="CW113">IFERROR(INDEX(#REF!,MATCH('Respuestas de formulario 1.1'!$B113,#REF!,0),MATCH('Respuestas de formulario 1.1'!CW$1,#REF!,0)),"")</f>
        <v/>
      </c>
      <c r="CX113" s="56" t="str">
        <f t="array" ref="CX113">IFERROR(INDEX(#REF!,MATCH('Respuestas de formulario 1.1'!$B113,#REF!,0),MATCH('Respuestas de formulario 1.1'!CX$1,#REF!,0)),"")</f>
        <v/>
      </c>
      <c r="CY113" s="56" t="str">
        <f t="array" ref="CY113">IFERROR(INDEX(#REF!,MATCH('Respuestas de formulario 1.1'!$B113,#REF!,0),MATCH('Respuestas de formulario 1.1'!CY$1,#REF!,0)),"")</f>
        <v/>
      </c>
      <c r="CZ113" s="57" t="str">
        <f t="array" ref="CZ113">IFERROR(INDEX(#REF!,MATCH('Respuestas de formulario 1.1'!$B113,#REF!,0),MATCH('Respuestas de formulario 1.1'!CZ$1,#REF!,0)),"")</f>
        <v/>
      </c>
      <c r="DA113" s="45" t="e">
        <f t="array" ref="DA113">INDEX(#REF!,MATCH('Respuestas de formulario 1.1'!$B113,#REF!,0),MATCH('Respuestas de formulario 1.1'!DA$1,#REF!,0))</f>
        <v>#REF!</v>
      </c>
      <c r="DB113" s="45" t="e">
        <f t="array" ref="DB113">INDEX(#REF!,MATCH('Respuestas de formulario 1.1'!$B113,#REF!,0),MATCH('Respuestas de formulario 1.1'!DB$1,#REF!,0))</f>
        <v>#REF!</v>
      </c>
      <c r="DC113" s="45" t="e">
        <f t="array" ref="DC113">INDEX(#REF!,MATCH('Respuestas de formulario 1.1'!$B113,#REF!,0),MATCH('Respuestas de formulario 1.1'!DC$1,#REF!,0))</f>
        <v>#REF!</v>
      </c>
      <c r="DD113" s="45" t="e">
        <f t="array" ref="DD113">INDEX(#REF!,MATCH('Respuestas de formulario 1.1'!$B113,#REF!,0),MATCH('Respuestas de formulario 1.1'!DD$1,#REF!,0))</f>
        <v>#REF!</v>
      </c>
      <c r="DE113" s="45" t="e">
        <f t="array" ref="DE113">INDEX(#REF!,MATCH('Respuestas de formulario 1.1'!$B113,#REF!,0),MATCH('Respuestas de formulario 1.1'!DE$1,#REF!,0))</f>
        <v>#REF!</v>
      </c>
      <c r="DF113" s="45" t="e">
        <f t="array" ref="DF113">INDEX(#REF!,MATCH('Respuestas de formulario 1.1'!$B113,#REF!,0),MATCH('Respuestas de formulario 1.1'!DF$1,#REF!,0))</f>
        <v>#REF!</v>
      </c>
      <c r="DG113" s="45" t="e">
        <f t="array" ref="DG113">INDEX(#REF!,MATCH('Respuestas de formulario 1.1'!$B113,#REF!,0),MATCH('Respuestas de formulario 1.1'!DG$1,#REF!,0))</f>
        <v>#REF!</v>
      </c>
      <c r="DH113" s="45" t="e">
        <f t="array" ref="DH113">INDEX(#REF!,MATCH('Respuestas de formulario 1.1'!$B113,#REF!,0),MATCH('Respuestas de formulario 1.1'!DH$1,#REF!,0))</f>
        <v>#REF!</v>
      </c>
      <c r="DI113" s="48" t="e">
        <f>VLOOKUP(CONCATENATE($DF113," TUTO ",$DC113),#REF!,3,0)</f>
        <v>#REF!</v>
      </c>
      <c r="DJ113" s="48" t="e">
        <f t="array" ref="DJ113">IF('Respuestas de formulario 1.1'!A113="","",INDEX(#REF!,MATCH('Respuestas de formulario 1.1'!B113,#REF!,0),MATCH('Respuestas de formulario 1.1'!$DH$1,#REF!,0)))</f>
        <v>#REF!</v>
      </c>
      <c r="DK113" s="52" t="str">
        <f>CONCATENATE("http://doc.google.com/uc?id=",MID('Respuestas de formulario 1.1'!G113,34,33))</f>
        <v>http://doc.google.com/uc?id=1JPow4AS4PftuibcXiZbm-27c6AGWxX8a</v>
      </c>
      <c r="DL113" s="49" t="str">
        <f>CONCATENATE("http://doc.google.com/uc?id=",MID('Respuestas de formulario 1.1'!AH113,34,33))</f>
        <v>http://doc.google.com/uc?id=1LTaOr4F9-mcx3X3ZsKy_HdXcQ_Hga3eq</v>
      </c>
      <c r="DM113" s="50" t="str">
        <f>CONCATENATE("http://doc.google.com/uc?id=",MID('Respuestas de formulario 1.1'!AW113,34,33))</f>
        <v>http://doc.google.com/uc?id=1w_q7eT4i70hKpgiYT2WXM63l4BjEvA3H</v>
      </c>
      <c r="DN113" s="53" t="str">
        <f>CONCATENATE("http://doc.google.com/uc?id=",MID('Respuestas de formulario 1.1'!$BI113,34,33))</f>
        <v>http://doc.google.com/uc?id=1l6dHEDTAqeZRVfWZRI-Y5iUseJikrpT9</v>
      </c>
      <c r="DO113" s="45" t="str">
        <f>IFERROR(VLOOKUP(CONCATENATE('Respuestas de formulario 1.1'!$B113,MID('Respuestas de formulario 1.1'!DO$1,2,1)),#REF!,12,0),"")</f>
        <v/>
      </c>
      <c r="DP113" s="45" t="str">
        <f>IFERROR(VLOOKUP(CONCATENATE('Respuestas de formulario 1.1'!$B113,MID('Respuestas de formulario 1.1'!DP$1,2,1)),#REF!,12,0),"")</f>
        <v/>
      </c>
      <c r="DQ113" s="45" t="str">
        <f>IFERROR(VLOOKUP(CONCATENATE('Respuestas de formulario 1.1'!$B113,MID('Respuestas de formulario 1.1'!DQ$1,2,1)),#REF!,12,0),"")</f>
        <v/>
      </c>
      <c r="DR113" s="45" t="str">
        <f>IFERROR(VLOOKUP(CONCATENATE('Respuestas de formulario 1.1'!$B113,MID('Respuestas de formulario 1.1'!DR$1,2,1)),#REF!,12,0),"")</f>
        <v/>
      </c>
      <c r="DS113" s="45" t="str">
        <f>IFERROR(VLOOKUP(CONCATENATE('Respuestas de formulario 1.1'!$B113,MID('Respuestas de formulario 1.1'!DS$1,2,1)),#REF!,12,0),"")</f>
        <v/>
      </c>
      <c r="DT113" s="45" t="str">
        <f>IFERROR(VLOOKUP(CONCATENATE('Respuestas de formulario 1.1'!$B113,MID('Respuestas de formulario 1.1'!DT$1,2,1)),#REF!,12,0),"")</f>
        <v/>
      </c>
      <c r="DU113" s="45" t="str">
        <f>IFERROR(VLOOKUP(CONCATENATE('Respuestas de formulario 1.1'!$B113,MID('Respuestas de formulario 1.1'!DU$1,2,1)),#REF!,12,0),"")</f>
        <v/>
      </c>
      <c r="DV113" s="45" t="str">
        <f>IFERROR(VLOOKUP(CONCATENATE('Respuestas de formulario 1.1'!$B113,MID('Respuestas de formulario 1.1'!DV$1,2,1)),#REF!,12,0),"")</f>
        <v/>
      </c>
      <c r="DW113" s="45" t="str">
        <f>IFERROR(VLOOKUP(CONCATENATE('Respuestas de formulario 1.1'!$B113,MID('Respuestas de formulario 1.1'!DW$1,2,1)),#REF!,12,0),"")</f>
        <v/>
      </c>
      <c r="DX113" s="45" t="str">
        <f>IFERROR(VLOOKUP(CONCATENATE('Respuestas de formulario 1.1'!$B113,MID('Respuestas de formulario 1.1'!DX$1,2,1)),#REF!,12,0),"")</f>
        <v/>
      </c>
      <c r="DY113" s="45" t="str">
        <f>IFERROR(VLOOKUP(CONCATENATE('Respuestas de formulario 1.1'!$B113,MID('Respuestas de formulario 1.1'!DY$1,2,1)),#REF!,12,0),"")</f>
        <v/>
      </c>
      <c r="DZ113" s="45" t="str">
        <f>IFERROR(VLOOKUP(CONCATENATE('Respuestas de formulario 1.1'!$B113,MID('Respuestas de formulario 1.1'!DZ$1,2,1)),#REF!,12,0),"")</f>
        <v/>
      </c>
      <c r="EA113" s="45" t="str">
        <f>IFERROR(VLOOKUP(CONCATENATE('Respuestas de formulario 1.1'!$B113,MID('Respuestas de formulario 1.1'!EA$1,2,1)),#REF!,12,0),"")</f>
        <v/>
      </c>
      <c r="EB113" s="45" t="str">
        <f>IFERROR(VLOOKUP(CONCATENATE('Respuestas de formulario 1.1'!$B113,MID('Respuestas de formulario 1.1'!EB$1,2,1)),#REF!,12,0),"")</f>
        <v/>
      </c>
      <c r="EC113" s="45" t="str">
        <f>IFERROR(VLOOKUP(CONCATENATE('Respuestas de formulario 1.1'!$B113,MID('Respuestas de formulario 1.1'!EC$1,2,1)),#REF!,12,0),"")</f>
        <v/>
      </c>
      <c r="ED113" s="45" t="str">
        <f>IFERROR(VLOOKUP(CONCATENATE('Respuestas de formulario 1.1'!$B113,MID('Respuestas de formulario 1.1'!ED$1,2,1)),#REF!,12,0),"")</f>
        <v/>
      </c>
      <c r="EE113" s="45" t="str">
        <f>IFERROR(VLOOKUP(CONCATENATE('Respuestas de formulario 1.1'!$B113,MID('Respuestas de formulario 1.1'!EE$1,2,1)),#REF!,12,0),"")</f>
        <v/>
      </c>
      <c r="EF113" s="45" t="str">
        <f>IFERROR(VLOOKUP(CONCATENATE('Respuestas de formulario 1.1'!$B113,MID('Respuestas de formulario 1.1'!EF$1,2,1)),#REF!,12,0),"")</f>
        <v/>
      </c>
      <c r="EG113" s="45" t="str">
        <f>IFERROR(VLOOKUP(CONCATENATE('Respuestas de formulario 1.1'!$B113,MID('Respuestas de formulario 1.1'!EG$1,2,1)),#REF!,12,0),"")</f>
        <v/>
      </c>
      <c r="EH113" s="45" t="str">
        <f>IFERROR(VLOOKUP(CONCATENATE('Respuestas de formulario 1.1'!$B113,MID('Respuestas de formulario 1.1'!EH$1,2,1)),#REF!,12,0),"")</f>
        <v/>
      </c>
      <c r="EI113" s="45" t="str">
        <f>IFERROR(VLOOKUP(CONCATENATE('Respuestas de formulario 1.1'!$B113,MID('Respuestas de formulario 1.1'!EI$1,2,1)),#REF!,12,0),"")</f>
        <v/>
      </c>
      <c r="EJ113" s="45" t="str">
        <f t="array" ref="EJ113">IF(DO113="","", INDEX(#REF!,MATCH(CONCATENATE('Respuestas de formulario 1.1'!$B113,DO113),#REF!,0),MATCH('Respuestas de formulario 1.1'!EJ$1,#REF!,0)))</f>
        <v/>
      </c>
      <c r="EK113" s="56" t="str">
        <f t="array" ref="EK113">IF(DP113="","", INDEX(#REF!,MATCH(CONCATENATE('Respuestas de formulario 1.1'!$B113,DP113),#REF!,0),MATCH('Respuestas de formulario 1.1'!EK$1,#REF!,0)))</f>
        <v/>
      </c>
      <c r="EL113" s="56" t="str">
        <f t="array" ref="EL113">IF(DQ113="","", INDEX(#REF!,MATCH(CONCATENATE('Respuestas de formulario 1.1'!$B113,DQ113),#REF!,0),MATCH('Respuestas de formulario 1.1'!EL$1,#REF!,0)))</f>
        <v/>
      </c>
      <c r="EM113" s="56" t="str">
        <f t="array" ref="EM113">IF(DR113="","", INDEX(#REF!,MATCH(CONCATENATE('Respuestas de formulario 1.1'!$B113,DR113),#REF!,0),MATCH('Respuestas de formulario 1.1'!EM$1,#REF!,0)))</f>
        <v/>
      </c>
      <c r="EN113" s="56" t="str">
        <f t="array" ref="EN113">IF(DS113="","", INDEX(#REF!,MATCH(CONCATENATE('Respuestas de formulario 1.1'!$B113,DS113),#REF!,0),MATCH('Respuestas de formulario 1.1'!EN$1,#REF!,0)))</f>
        <v/>
      </c>
      <c r="EO113" s="56" t="str">
        <f t="array" ref="EO113">IF(DT113="","", INDEX(#REF!,MATCH(CONCATENATE('Respuestas de formulario 1.1'!$B113,DT113),#REF!,0),MATCH('Respuestas de formulario 1.1'!EO$1,#REF!,0)))</f>
        <v/>
      </c>
      <c r="EP113" s="45" t="str">
        <f t="array" ref="EP113">IF(DU113="","", INDEX(#REF!,MATCH(CONCATENATE('Respuestas de formulario 1.1'!$B113,DU113),#REF!,0),MATCH('Respuestas de formulario 1.1'!EP$1,#REF!,0)))</f>
        <v/>
      </c>
      <c r="EQ113" s="45" t="str">
        <f t="array" ref="EQ113">IF(DP113="","", INDEX(#REF!,MATCH(CONCATENATE('Respuestas de formulario 1.1'!$B113,DP113),#REF!,0),MATCH('Respuestas de formulario 1.1'!EQ$1,#REF!,0)))</f>
        <v/>
      </c>
      <c r="ER113" s="56" t="str">
        <f t="array" ref="ER113">IF(DQ113="","", INDEX(#REF!,MATCH(CONCATENATE('Respuestas de formulario 1.1'!$B113,DQ113),#REF!,0),MATCH('Respuestas de formulario 1.1'!ER$1,#REF!,0)))</f>
        <v/>
      </c>
      <c r="ES113" s="56" t="str">
        <f t="array" ref="ES113">IF(DR113="","", INDEX(#REF!,MATCH(CONCATENATE('Respuestas de formulario 1.1'!$B113,DR113),#REF!,0),MATCH('Respuestas de formulario 1.1'!ES$1,#REF!,0)))</f>
        <v/>
      </c>
      <c r="ET113" s="56" t="str">
        <f t="array" ref="ET113">IF(DS113="","", INDEX(#REF!,MATCH(CONCATENATE('Respuestas de formulario 1.1'!$B113,DS113),#REF!,0),MATCH('Respuestas de formulario 1.1'!ET$1,#REF!,0)))</f>
        <v/>
      </c>
      <c r="EU113" s="56" t="str">
        <f t="array" ref="EU113">IF(DT113="","", INDEX(#REF!,MATCH(CONCATENATE('Respuestas de formulario 1.1'!$B113,DT113),#REF!,0),MATCH('Respuestas de formulario 1.1'!EU$1,#REF!,0)))</f>
        <v/>
      </c>
      <c r="EV113" s="56" t="str">
        <f t="array" ref="EV113">IF(DU113="","", INDEX(#REF!,MATCH(CONCATENATE('Respuestas de formulario 1.1'!$B113,DU113),#REF!,0),MATCH('Respuestas de formulario 1.1'!EV$1,#REF!,0)))</f>
        <v/>
      </c>
      <c r="EW113" s="45" t="str">
        <f t="array" ref="EW113">IF(DV113="","", INDEX(#REF!,MATCH(CONCATENATE('Respuestas de formulario 1.1'!$B113,DV113),#REF!,0),MATCH('Respuestas de formulario 1.1'!EW$1,#REF!,0)))</f>
        <v/>
      </c>
      <c r="EX113" s="45" t="str">
        <f t="array" ref="EX113">IF($DQ113="","", INDEX(#REF!,MATCH(CONCATENATE('Respuestas de formulario 1.1'!$B113,$DQ113),#REF!,0),MATCH('Respuestas de formulario 1.1'!EX$1,#REF!,0)))</f>
        <v/>
      </c>
      <c r="EY113" s="56" t="str">
        <f t="array" ref="EY113">IF($DQ113="","", INDEX(#REF!,MATCH(CONCATENATE('Respuestas de formulario 1.1'!$B113,$DQ113),#REF!,0),MATCH('Respuestas de formulario 1.1'!EY$1,#REF!,0)))</f>
        <v/>
      </c>
      <c r="EZ113" s="56" t="str">
        <f t="array" ref="EZ113">IF($DQ113="","", INDEX(#REF!,MATCH(CONCATENATE('Respuestas de formulario 1.1'!$B113,$DQ113),#REF!,0),MATCH('Respuestas de formulario 1.1'!EZ$1,#REF!,0)))</f>
        <v/>
      </c>
      <c r="FA113" s="56" t="str">
        <f t="array" ref="FA113">IF($DQ113="","", INDEX(#REF!,MATCH(CONCATENATE('Respuestas de formulario 1.1'!$B113,$DQ113),#REF!,0),MATCH('Respuestas de formulario 1.1'!FA$1,#REF!,0)))</f>
        <v/>
      </c>
      <c r="FB113" s="56" t="str">
        <f t="array" ref="FB113">IF($DQ113="","", INDEX(#REF!,MATCH(CONCATENATE('Respuestas de formulario 1.1'!$B113,$DQ113),#REF!,0),MATCH('Respuestas de formulario 1.1'!FB$1,#REF!,0)))</f>
        <v/>
      </c>
      <c r="FC113" s="56" t="str">
        <f t="array" ref="FC113">IF($DQ113="","", INDEX(#REF!,MATCH(CONCATENATE('Respuestas de formulario 1.1'!$B113,$DQ113),#REF!,0),MATCH('Respuestas de formulario 1.1'!FC$1,#REF!,0)))</f>
        <v/>
      </c>
      <c r="FD113" s="45" t="str">
        <f t="array" ref="FD113">IF($DQ113="","", INDEX(#REF!,MATCH(CONCATENATE('Respuestas de formulario 1.1'!$B113,$DQ113),#REF!,0),MATCH('Respuestas de formulario 1.1'!FD$1,#REF!,0)))</f>
        <v/>
      </c>
      <c r="FE113" s="45" t="str">
        <f t="array" ref="FE113">IF($DR113="","", INDEX(#REF!,MATCH(CONCATENATE(#REF!,$DR113),#REF!,0),MATCH(#REF!,#REF!,0)))</f>
        <v/>
      </c>
      <c r="FF113" s="56" t="str">
        <f t="array" ref="FF113">IF($DR113="","", INDEX(#REF!,MATCH(CONCATENATE(#REF!,$DR113),#REF!,0),MATCH(#REF!,#REF!,0)))</f>
        <v/>
      </c>
      <c r="FG113" s="56" t="str">
        <f t="array" ref="FG113">IF($DR113="","", INDEX(#REF!,MATCH(CONCATENATE(#REF!,$DR113),#REF!,0),MATCH(#REF!,#REF!,0)))</f>
        <v/>
      </c>
      <c r="FH113" s="56" t="str">
        <f t="array" ref="FH113">IF($DR113="","", INDEX(#REF!,MATCH(CONCATENATE(#REF!,$DR113),#REF!,0),MATCH(#REF!,#REF!,0)))</f>
        <v/>
      </c>
      <c r="FI113" s="56" t="str">
        <f t="array" ref="FI113">IF($DR113="","", INDEX(#REF!,MATCH(CONCATENATE(#REF!,$DR113),#REF!,0),MATCH(#REF!,#REF!,0)))</f>
        <v/>
      </c>
      <c r="FJ113" s="56" t="str">
        <f t="array" ref="FJ113">IF($DR113="","", INDEX(#REF!,MATCH(CONCATENATE(#REF!,$DR113),#REF!,0),MATCH(#REF!,#REF!,0)))</f>
        <v/>
      </c>
      <c r="FK113" s="45" t="str">
        <f t="array" ref="FK113">IF($DR113="","", INDEX(#REF!,MATCH(CONCATENATE(#REF!,$DR113),#REF!,0),MATCH(#REF!,#REF!,0)))</f>
        <v/>
      </c>
      <c r="FL113" s="45" t="str">
        <f t="array" ref="FL113">IF($DT113="","", INDEX(#REF!,MATCH(CONCATENATE('Respuestas de formulario 1.1'!$B113,$DS113),#REF!,0),MATCH('Respuestas de formulario 1.1'!FL$1,#REF!,0)))</f>
        <v/>
      </c>
      <c r="FM113" s="56" t="str">
        <f t="array" ref="FM113">IF($DT113="","", INDEX(#REF!,MATCH(CONCATENATE('Respuestas de formulario 1.1'!$B113,$DS113),#REF!,0),MATCH('Respuestas de formulario 1.1'!FM$1,#REF!,0)))</f>
        <v/>
      </c>
      <c r="FN113" s="56" t="str">
        <f t="array" ref="FN113">IF($DT113="","", INDEX(#REF!,MATCH(CONCATENATE('Respuestas de formulario 1.1'!$B113,$DS113),#REF!,0),MATCH('Respuestas de formulario 1.1'!FN$1,#REF!,0)))</f>
        <v/>
      </c>
      <c r="FO113" s="56" t="str">
        <f t="array" ref="FO113">IF($DT113="","", INDEX(#REF!,MATCH(CONCATENATE('Respuestas de formulario 1.1'!$B113,$DS113),#REF!,0),MATCH('Respuestas de formulario 1.1'!FO$1,#REF!,0)))</f>
        <v/>
      </c>
      <c r="FP113" s="56" t="str">
        <f t="array" ref="FP113">IF($DT113="","", INDEX(#REF!,MATCH(CONCATENATE('Respuestas de formulario 1.1'!$B113,$DS113),#REF!,0),MATCH('Respuestas de formulario 1.1'!FP$1,#REF!,0)))</f>
        <v/>
      </c>
      <c r="FQ113" s="56" t="str">
        <f t="array" ref="FQ113">IF($DT113="","", INDEX(#REF!,MATCH(CONCATENATE('Respuestas de formulario 1.1'!$B113,$DS113),#REF!,0),MATCH('Respuestas de formulario 1.1'!FQ$1,#REF!,0)))</f>
        <v/>
      </c>
      <c r="FR113" s="45" t="str">
        <f t="array" ref="FR113">IF($DT113="","", INDEX(#REF!,MATCH(CONCATENATE('Respuestas de formulario 1.1'!$B113,$DS113),#REF!,0),MATCH('Respuestas de formulario 1.1'!FR$1,#REF!,0)))</f>
        <v/>
      </c>
      <c r="FS113" s="45" t="str">
        <f t="array" ref="FS113">IF($DU113="","", INDEX(#REF!,MATCH(CONCATENATE('Respuestas de formulario 1.1'!$B113,$DT113),#REF!,0),MATCH('Respuestas de formulario 1.1'!FS$1,#REF!,0)))</f>
        <v/>
      </c>
      <c r="FT113" s="56" t="str">
        <f t="array" ref="FT113">IF($DU113="","", INDEX(#REF!,MATCH(CONCATENATE('Respuestas de formulario 1.1'!$B113,$DT113),#REF!,0),MATCH('Respuestas de formulario 1.1'!FT$1,#REF!,0)))</f>
        <v/>
      </c>
      <c r="FU113" s="56" t="str">
        <f t="array" ref="FU113">IF($DU113="","", INDEX(#REF!,MATCH(CONCATENATE('Respuestas de formulario 1.1'!$B113,$DT113),#REF!,0),MATCH('Respuestas de formulario 1.1'!FU$1,#REF!,0)))</f>
        <v/>
      </c>
      <c r="FV113" s="56" t="str">
        <f t="array" ref="FV113">IF($DU113="","", INDEX(#REF!,MATCH(CONCATENATE('Respuestas de formulario 1.1'!$B113,$DT113),#REF!,0),MATCH('Respuestas de formulario 1.1'!FV$1,#REF!,0)))</f>
        <v/>
      </c>
      <c r="FW113" s="56" t="str">
        <f t="array" ref="FW113">IF($DU113="","", INDEX(#REF!,MATCH(CONCATENATE('Respuestas de formulario 1.1'!$B113,$DT113),#REF!,0),MATCH('Respuestas de formulario 1.1'!FW$1,#REF!,0)))</f>
        <v/>
      </c>
      <c r="FX113" s="56" t="str">
        <f t="array" ref="FX113">IF($DU113="","", INDEX(#REF!,MATCH(CONCATENATE('Respuestas de formulario 1.1'!$B113,$DT113),#REF!,0),MATCH('Respuestas de formulario 1.1'!FX$1,#REF!,0)))</f>
        <v/>
      </c>
      <c r="FY113" s="45" t="str">
        <f t="array" ref="FY113">IF($DU113="","", INDEX(#REF!,MATCH(CONCATENATE('Respuestas de formulario 1.1'!$B113,$DT113),#REF!,0),MATCH('Respuestas de formulario 1.1'!FY$1,#REF!,0)))</f>
        <v/>
      </c>
      <c r="GA113" s="1" t="s">
        <v>4782</v>
      </c>
      <c r="GB113" s="5" t="s">
        <v>4783</v>
      </c>
      <c r="GC113" s="4" t="str">
        <f>HYPERLINK("https://drive.google.com/file/d/1NCP21owptJt3lE7nhc1wtVBMMbhSkp1C/view?usp=drivesdk","MOGUEL MARTINEZ KEREN BERENICE Formato de reinscripción y pago 2022-2")</f>
        <v>MOGUEL MARTINEZ KEREN BERENICE Formato de reinscripción y pago 2022-2</v>
      </c>
      <c r="GD113" s="1" t="s">
        <v>4784</v>
      </c>
      <c r="GE113" s="1"/>
      <c r="GF113" s="1"/>
      <c r="GG113" s="1"/>
      <c r="GH113" s="1"/>
      <c r="GI113" s="1" t="s">
        <v>4785</v>
      </c>
      <c r="GJ113" s="5" t="s">
        <v>4786</v>
      </c>
      <c r="GK113" s="5" t="str">
        <f>HYPERLINK("https://drive.google.com/file/d/1Rrntd-p5G6j2glV33qHowLmzt0lha-7d/view?usp=drivesdk","MOGUEL MARTINEZ KEREN BERENICE Formato de reinscripción y pago 2022-2")</f>
        <v>MOGUEL MARTINEZ KEREN BERENICE Formato de reinscripción y pago 2022-2</v>
      </c>
      <c r="GL113" s="1" t="s">
        <v>4787</v>
      </c>
    </row>
    <row r="114" spans="1:194" ht="38.25" x14ac:dyDescent="0.2">
      <c r="A114" s="2">
        <v>45140.683085300931</v>
      </c>
      <c r="B114" s="1" t="s">
        <v>1977</v>
      </c>
      <c r="C114" s="1" t="s">
        <v>286</v>
      </c>
      <c r="D114" s="1" t="s">
        <v>259</v>
      </c>
      <c r="E114" s="1" t="s">
        <v>1978</v>
      </c>
      <c r="F114" s="1" t="s">
        <v>262</v>
      </c>
      <c r="G114" s="5" t="s">
        <v>4788</v>
      </c>
      <c r="H114" s="41">
        <v>38920</v>
      </c>
      <c r="I114" s="1">
        <v>17</v>
      </c>
      <c r="J114" s="1">
        <v>5625579290</v>
      </c>
      <c r="K114" s="1">
        <v>5581890141</v>
      </c>
      <c r="L114" s="1" t="s">
        <v>1979</v>
      </c>
      <c r="M114" s="1">
        <v>21309060570831</v>
      </c>
      <c r="N114" s="1" t="s">
        <v>1108</v>
      </c>
      <c r="O114" s="1" t="s">
        <v>225</v>
      </c>
      <c r="P114" s="1" t="s">
        <v>226</v>
      </c>
      <c r="Q114" s="1" t="s">
        <v>227</v>
      </c>
      <c r="R114" s="1" t="s">
        <v>236</v>
      </c>
      <c r="S114" s="1" t="s">
        <v>228</v>
      </c>
      <c r="T114" s="1" t="s">
        <v>411</v>
      </c>
      <c r="U114" s="1" t="s">
        <v>393</v>
      </c>
      <c r="V114" s="1" t="s">
        <v>228</v>
      </c>
      <c r="W114" s="1" t="s">
        <v>4789</v>
      </c>
      <c r="X114" s="1" t="s">
        <v>264</v>
      </c>
      <c r="Y114" s="1" t="s">
        <v>665</v>
      </c>
      <c r="Z114" s="1" t="s">
        <v>231</v>
      </c>
      <c r="AA114" s="1">
        <v>57500</v>
      </c>
      <c r="AB114" s="1">
        <v>39</v>
      </c>
      <c r="AC114" s="1">
        <v>2</v>
      </c>
      <c r="AD114" s="1" t="s">
        <v>4790</v>
      </c>
      <c r="AE114" s="1" t="s">
        <v>4791</v>
      </c>
      <c r="AF114" s="1" t="s">
        <v>650</v>
      </c>
      <c r="AG114" s="1">
        <v>43</v>
      </c>
      <c r="AH114" s="5" t="s">
        <v>4792</v>
      </c>
      <c r="AI114" s="1">
        <v>5522572306</v>
      </c>
      <c r="AJ114" s="1">
        <v>5581890141</v>
      </c>
      <c r="AK114" s="1" t="s">
        <v>1982</v>
      </c>
      <c r="AL114" s="1" t="s">
        <v>259</v>
      </c>
      <c r="AM114" s="1" t="s">
        <v>3632</v>
      </c>
      <c r="AN114" s="1" t="s">
        <v>4793</v>
      </c>
      <c r="AO114" s="1" t="s">
        <v>445</v>
      </c>
      <c r="AP114" s="1">
        <v>43</v>
      </c>
      <c r="AQ114" s="1" t="s">
        <v>739</v>
      </c>
      <c r="AR114" s="42">
        <v>0.60416666666424135</v>
      </c>
      <c r="AS114" s="42">
        <v>0.91666666666424135</v>
      </c>
      <c r="AT114" s="1">
        <v>5520860882</v>
      </c>
      <c r="AU114" s="1">
        <v>5581890141</v>
      </c>
      <c r="AV114" s="1" t="s">
        <v>1981</v>
      </c>
      <c r="AW114" s="5" t="s">
        <v>4794</v>
      </c>
      <c r="AX114" s="1" t="s">
        <v>3632</v>
      </c>
      <c r="AY114" s="1" t="s">
        <v>308</v>
      </c>
      <c r="AZ114" s="1" t="s">
        <v>4795</v>
      </c>
      <c r="BA114" s="1" t="s">
        <v>359</v>
      </c>
      <c r="BB114" s="1">
        <v>63</v>
      </c>
      <c r="BC114" s="1" t="s">
        <v>2062</v>
      </c>
      <c r="BD114" s="43">
        <v>0</v>
      </c>
      <c r="BE114" s="43">
        <v>0</v>
      </c>
      <c r="BF114" s="1">
        <v>5576736303</v>
      </c>
      <c r="BG114" s="1">
        <v>5581890141</v>
      </c>
      <c r="BH114" s="1" t="s">
        <v>1980</v>
      </c>
      <c r="BI114" s="5" t="s">
        <v>4796</v>
      </c>
      <c r="BJ114" s="1" t="s">
        <v>236</v>
      </c>
      <c r="BL114" s="1">
        <v>182</v>
      </c>
      <c r="BM114" s="1">
        <v>76.5</v>
      </c>
      <c r="BN114" s="1" t="s">
        <v>236</v>
      </c>
      <c r="BO114" s="1" t="s">
        <v>228</v>
      </c>
      <c r="BQ114" s="1" t="s">
        <v>228</v>
      </c>
      <c r="BR114" s="1" t="s">
        <v>237</v>
      </c>
      <c r="BS114" s="1" t="s">
        <v>236</v>
      </c>
      <c r="BT114" s="1" t="s">
        <v>331</v>
      </c>
      <c r="BU114" s="1" t="s">
        <v>228</v>
      </c>
      <c r="BW114" s="1" t="s">
        <v>238</v>
      </c>
      <c r="BX114" s="1">
        <v>90</v>
      </c>
      <c r="BY114" s="1">
        <v>250</v>
      </c>
      <c r="BZ114" s="1" t="s">
        <v>284</v>
      </c>
      <c r="CA114" s="1" t="s">
        <v>4797</v>
      </c>
      <c r="CB114" s="1" t="s">
        <v>240</v>
      </c>
      <c r="CC114" s="1" t="s">
        <v>274</v>
      </c>
      <c r="CD114" s="1">
        <v>1200</v>
      </c>
      <c r="CE114" s="1">
        <v>1500</v>
      </c>
      <c r="CF114" s="1" t="s">
        <v>236</v>
      </c>
      <c r="CG114" s="1" t="s">
        <v>323</v>
      </c>
      <c r="CH114" s="1" t="s">
        <v>243</v>
      </c>
      <c r="CI114" s="1" t="s">
        <v>243</v>
      </c>
      <c r="CJ114" s="1" t="s">
        <v>2848</v>
      </c>
      <c r="CL114" s="5" t="s">
        <v>4798</v>
      </c>
      <c r="CM114" s="1">
        <v>68210616824</v>
      </c>
      <c r="CN114" s="1" t="s">
        <v>228</v>
      </c>
      <c r="CQ114" s="42">
        <v>0.29166666666424135</v>
      </c>
      <c r="CR114" s="42">
        <v>0.66666666666424135</v>
      </c>
      <c r="CT114" s="45" t="str">
        <f t="array" ref="CT114">IFERROR(INDEX(#REF!,MATCH('Respuestas de formulario 1.1'!$B114,#REF!,0),MATCH('Respuestas de formulario 1.1'!CT$1,#REF!,0)),"")</f>
        <v/>
      </c>
      <c r="CU114" s="56" t="str">
        <f t="array" ref="CU114">IFERROR(INDEX(#REF!,MATCH('Respuestas de formulario 1.1'!$B114,#REF!,0),MATCH('Respuestas de formulario 1.1'!CU$1,#REF!,0)),"")</f>
        <v/>
      </c>
      <c r="CV114" s="56" t="str">
        <f t="array" ref="CV114">IFERROR(INDEX(#REF!,MATCH('Respuestas de formulario 1.1'!$B114,#REF!,0),MATCH('Respuestas de formulario 1.1'!CV$1,#REF!,0)),"")</f>
        <v/>
      </c>
      <c r="CW114" s="56" t="str">
        <f t="array" ref="CW114">IFERROR(INDEX(#REF!,MATCH('Respuestas de formulario 1.1'!$B114,#REF!,0),MATCH('Respuestas de formulario 1.1'!CW$1,#REF!,0)),"")</f>
        <v/>
      </c>
      <c r="CX114" s="56" t="str">
        <f t="array" ref="CX114">IFERROR(INDEX(#REF!,MATCH('Respuestas de formulario 1.1'!$B114,#REF!,0),MATCH('Respuestas de formulario 1.1'!CX$1,#REF!,0)),"")</f>
        <v/>
      </c>
      <c r="CY114" s="56" t="str">
        <f t="array" ref="CY114">IFERROR(INDEX(#REF!,MATCH('Respuestas de formulario 1.1'!$B114,#REF!,0),MATCH('Respuestas de formulario 1.1'!CY$1,#REF!,0)),"")</f>
        <v/>
      </c>
      <c r="CZ114" s="57" t="str">
        <f t="array" ref="CZ114">IFERROR(INDEX(#REF!,MATCH('Respuestas de formulario 1.1'!$B114,#REF!,0),MATCH('Respuestas de formulario 1.1'!CZ$1,#REF!,0)),"")</f>
        <v/>
      </c>
      <c r="DA114" s="45" t="e">
        <f t="array" ref="DA114">INDEX(#REF!,MATCH('Respuestas de formulario 1.1'!$B114,#REF!,0),MATCH('Respuestas de formulario 1.1'!DA$1,#REF!,0))</f>
        <v>#REF!</v>
      </c>
      <c r="DB114" s="45" t="e">
        <f t="array" ref="DB114">INDEX(#REF!,MATCH('Respuestas de formulario 1.1'!$B114,#REF!,0),MATCH('Respuestas de formulario 1.1'!DB$1,#REF!,0))</f>
        <v>#REF!</v>
      </c>
      <c r="DC114" s="45" t="e">
        <f t="array" ref="DC114">INDEX(#REF!,MATCH('Respuestas de formulario 1.1'!$B114,#REF!,0),MATCH('Respuestas de formulario 1.1'!DC$1,#REF!,0))</f>
        <v>#REF!</v>
      </c>
      <c r="DD114" s="45" t="e">
        <f t="array" ref="DD114">INDEX(#REF!,MATCH('Respuestas de formulario 1.1'!$B114,#REF!,0),MATCH('Respuestas de formulario 1.1'!DD$1,#REF!,0))</f>
        <v>#REF!</v>
      </c>
      <c r="DE114" s="45" t="e">
        <f t="array" ref="DE114">INDEX(#REF!,MATCH('Respuestas de formulario 1.1'!$B114,#REF!,0),MATCH('Respuestas de formulario 1.1'!DE$1,#REF!,0))</f>
        <v>#REF!</v>
      </c>
      <c r="DF114" s="45" t="e">
        <f t="array" ref="DF114">INDEX(#REF!,MATCH('Respuestas de formulario 1.1'!$B114,#REF!,0),MATCH('Respuestas de formulario 1.1'!DF$1,#REF!,0))</f>
        <v>#REF!</v>
      </c>
      <c r="DG114" s="45" t="e">
        <f t="array" ref="DG114">INDEX(#REF!,MATCH('Respuestas de formulario 1.1'!$B114,#REF!,0),MATCH('Respuestas de formulario 1.1'!DG$1,#REF!,0))</f>
        <v>#REF!</v>
      </c>
      <c r="DH114" s="45" t="e">
        <f t="array" ref="DH114">INDEX(#REF!,MATCH('Respuestas de formulario 1.1'!$B114,#REF!,0),MATCH('Respuestas de formulario 1.1'!DH$1,#REF!,0))</f>
        <v>#REF!</v>
      </c>
      <c r="DI114" s="48" t="e">
        <f>VLOOKUP(CONCATENATE($DF114," TUTO ",$DC114),#REF!,3,0)</f>
        <v>#REF!</v>
      </c>
      <c r="DJ114" s="48" t="e">
        <f t="array" ref="DJ114">IF('Respuestas de formulario 1.1'!A114="","",INDEX(#REF!,MATCH('Respuestas de formulario 1.1'!B114,#REF!,0),MATCH('Respuestas de formulario 1.1'!$DH$1,#REF!,0)))</f>
        <v>#REF!</v>
      </c>
      <c r="DK114" s="52" t="str">
        <f>CONCATENATE("http://doc.google.com/uc?id=",MID('Respuestas de formulario 1.1'!G114,34,33))</f>
        <v>http://doc.google.com/uc?id=1KnDfmBkK43NhFtSM3xZl2124691PCJAv</v>
      </c>
      <c r="DL114" s="49" t="str">
        <f>CONCATENATE("http://doc.google.com/uc?id=",MID('Respuestas de formulario 1.1'!AH114,34,33))</f>
        <v>http://doc.google.com/uc?id=1PoU-_ObI5HysSXMD75NpENyULH8YD4mw</v>
      </c>
      <c r="DM114" s="50" t="str">
        <f>CONCATENATE("http://doc.google.com/uc?id=",MID('Respuestas de formulario 1.1'!AW114,34,33))</f>
        <v>http://doc.google.com/uc?id=1xdTY6x6BDyPNdwcs2ofS0ApTkkmgfMcw</v>
      </c>
      <c r="DN114" s="53" t="str">
        <f>CONCATENATE("http://doc.google.com/uc?id=",MID('Respuestas de formulario 1.1'!$BI114,34,33))</f>
        <v>http://doc.google.com/uc?id=1Nvr4MTgCsPAid4z-YIIqXXLqx8UEM5p3</v>
      </c>
      <c r="DO114" s="45" t="str">
        <f>IFERROR(VLOOKUP(CONCATENATE('Respuestas de formulario 1.1'!$B114,MID('Respuestas de formulario 1.1'!DO$1,2,1)),#REF!,12,0),"")</f>
        <v/>
      </c>
      <c r="DP114" s="45" t="str">
        <f>IFERROR(VLOOKUP(CONCATENATE('Respuestas de formulario 1.1'!$B114,MID('Respuestas de formulario 1.1'!DP$1,2,1)),#REF!,12,0),"")</f>
        <v/>
      </c>
      <c r="DQ114" s="45" t="str">
        <f>IFERROR(VLOOKUP(CONCATENATE('Respuestas de formulario 1.1'!$B114,MID('Respuestas de formulario 1.1'!DQ$1,2,1)),#REF!,12,0),"")</f>
        <v/>
      </c>
      <c r="DR114" s="45" t="str">
        <f>IFERROR(VLOOKUP(CONCATENATE('Respuestas de formulario 1.1'!$B114,MID('Respuestas de formulario 1.1'!DR$1,2,1)),#REF!,12,0),"")</f>
        <v/>
      </c>
      <c r="DS114" s="45" t="str">
        <f>IFERROR(VLOOKUP(CONCATENATE('Respuestas de formulario 1.1'!$B114,MID('Respuestas de formulario 1.1'!DS$1,2,1)),#REF!,12,0),"")</f>
        <v/>
      </c>
      <c r="DT114" s="45" t="str">
        <f>IFERROR(VLOOKUP(CONCATENATE('Respuestas de formulario 1.1'!$B114,MID('Respuestas de formulario 1.1'!DT$1,2,1)),#REF!,12,0),"")</f>
        <v/>
      </c>
      <c r="DU114" s="45" t="str">
        <f>IFERROR(VLOOKUP(CONCATENATE('Respuestas de formulario 1.1'!$B114,MID('Respuestas de formulario 1.1'!DU$1,2,1)),#REF!,12,0),"")</f>
        <v/>
      </c>
      <c r="DV114" s="45" t="str">
        <f>IFERROR(VLOOKUP(CONCATENATE('Respuestas de formulario 1.1'!$B114,MID('Respuestas de formulario 1.1'!DV$1,2,1)),#REF!,12,0),"")</f>
        <v/>
      </c>
      <c r="DW114" s="45" t="str">
        <f>IFERROR(VLOOKUP(CONCATENATE('Respuestas de formulario 1.1'!$B114,MID('Respuestas de formulario 1.1'!DW$1,2,1)),#REF!,12,0),"")</f>
        <v/>
      </c>
      <c r="DX114" s="45" t="str">
        <f>IFERROR(VLOOKUP(CONCATENATE('Respuestas de formulario 1.1'!$B114,MID('Respuestas de formulario 1.1'!DX$1,2,1)),#REF!,12,0),"")</f>
        <v/>
      </c>
      <c r="DY114" s="45" t="str">
        <f>IFERROR(VLOOKUP(CONCATENATE('Respuestas de formulario 1.1'!$B114,MID('Respuestas de formulario 1.1'!DY$1,2,1)),#REF!,12,0),"")</f>
        <v/>
      </c>
      <c r="DZ114" s="45" t="str">
        <f>IFERROR(VLOOKUP(CONCATENATE('Respuestas de formulario 1.1'!$B114,MID('Respuestas de formulario 1.1'!DZ$1,2,1)),#REF!,12,0),"")</f>
        <v/>
      </c>
      <c r="EA114" s="45" t="str">
        <f>IFERROR(VLOOKUP(CONCATENATE('Respuestas de formulario 1.1'!$B114,MID('Respuestas de formulario 1.1'!EA$1,2,1)),#REF!,12,0),"")</f>
        <v/>
      </c>
      <c r="EB114" s="45" t="str">
        <f>IFERROR(VLOOKUP(CONCATENATE('Respuestas de formulario 1.1'!$B114,MID('Respuestas de formulario 1.1'!EB$1,2,1)),#REF!,12,0),"")</f>
        <v/>
      </c>
      <c r="EC114" s="45" t="str">
        <f>IFERROR(VLOOKUP(CONCATENATE('Respuestas de formulario 1.1'!$B114,MID('Respuestas de formulario 1.1'!EC$1,2,1)),#REF!,12,0),"")</f>
        <v/>
      </c>
      <c r="ED114" s="45" t="str">
        <f>IFERROR(VLOOKUP(CONCATENATE('Respuestas de formulario 1.1'!$B114,MID('Respuestas de formulario 1.1'!ED$1,2,1)),#REF!,12,0),"")</f>
        <v/>
      </c>
      <c r="EE114" s="45" t="str">
        <f>IFERROR(VLOOKUP(CONCATENATE('Respuestas de formulario 1.1'!$B114,MID('Respuestas de formulario 1.1'!EE$1,2,1)),#REF!,12,0),"")</f>
        <v/>
      </c>
      <c r="EF114" s="45" t="str">
        <f>IFERROR(VLOOKUP(CONCATENATE('Respuestas de formulario 1.1'!$B114,MID('Respuestas de formulario 1.1'!EF$1,2,1)),#REF!,12,0),"")</f>
        <v/>
      </c>
      <c r="EG114" s="45" t="str">
        <f>IFERROR(VLOOKUP(CONCATENATE('Respuestas de formulario 1.1'!$B114,MID('Respuestas de formulario 1.1'!EG$1,2,1)),#REF!,12,0),"")</f>
        <v/>
      </c>
      <c r="EH114" s="45" t="str">
        <f>IFERROR(VLOOKUP(CONCATENATE('Respuestas de formulario 1.1'!$B114,MID('Respuestas de formulario 1.1'!EH$1,2,1)),#REF!,12,0),"")</f>
        <v/>
      </c>
      <c r="EI114" s="45" t="str">
        <f>IFERROR(VLOOKUP(CONCATENATE('Respuestas de formulario 1.1'!$B114,MID('Respuestas de formulario 1.1'!EI$1,2,1)),#REF!,12,0),"")</f>
        <v/>
      </c>
      <c r="EJ114" s="45" t="str">
        <f t="array" ref="EJ114">IF(DO114="","", INDEX(#REF!,MATCH(CONCATENATE('Respuestas de formulario 1.1'!$B114,DO114),#REF!,0),MATCH('Respuestas de formulario 1.1'!EJ$1,#REF!,0)))</f>
        <v/>
      </c>
      <c r="EK114" s="56" t="str">
        <f t="array" ref="EK114">IF(DP114="","", INDEX(#REF!,MATCH(CONCATENATE('Respuestas de formulario 1.1'!$B114,DP114),#REF!,0),MATCH('Respuestas de formulario 1.1'!EK$1,#REF!,0)))</f>
        <v/>
      </c>
      <c r="EL114" s="56" t="str">
        <f t="array" ref="EL114">IF(DQ114="","", INDEX(#REF!,MATCH(CONCATENATE('Respuestas de formulario 1.1'!$B114,DQ114),#REF!,0),MATCH('Respuestas de formulario 1.1'!EL$1,#REF!,0)))</f>
        <v/>
      </c>
      <c r="EM114" s="56" t="str">
        <f t="array" ref="EM114">IF(DR114="","", INDEX(#REF!,MATCH(CONCATENATE('Respuestas de formulario 1.1'!$B114,DR114),#REF!,0),MATCH('Respuestas de formulario 1.1'!EM$1,#REF!,0)))</f>
        <v/>
      </c>
      <c r="EN114" s="56" t="str">
        <f t="array" ref="EN114">IF(DS114="","", INDEX(#REF!,MATCH(CONCATENATE('Respuestas de formulario 1.1'!$B114,DS114),#REF!,0),MATCH('Respuestas de formulario 1.1'!EN$1,#REF!,0)))</f>
        <v/>
      </c>
      <c r="EO114" s="56" t="str">
        <f t="array" ref="EO114">IF(DT114="","", INDEX(#REF!,MATCH(CONCATENATE('Respuestas de formulario 1.1'!$B114,DT114),#REF!,0),MATCH('Respuestas de formulario 1.1'!EO$1,#REF!,0)))</f>
        <v/>
      </c>
      <c r="EP114" s="45" t="str">
        <f t="array" ref="EP114">IF(DU114="","", INDEX(#REF!,MATCH(CONCATENATE('Respuestas de formulario 1.1'!$B114,DU114),#REF!,0),MATCH('Respuestas de formulario 1.1'!EP$1,#REF!,0)))</f>
        <v/>
      </c>
      <c r="EQ114" s="45" t="str">
        <f t="array" ref="EQ114">IF(DP114="","", INDEX(#REF!,MATCH(CONCATENATE('Respuestas de formulario 1.1'!$B114,DP114),#REF!,0),MATCH('Respuestas de formulario 1.1'!EQ$1,#REF!,0)))</f>
        <v/>
      </c>
      <c r="ER114" s="56" t="str">
        <f t="array" ref="ER114">IF(DQ114="","", INDEX(#REF!,MATCH(CONCATENATE('Respuestas de formulario 1.1'!$B114,DQ114),#REF!,0),MATCH('Respuestas de formulario 1.1'!ER$1,#REF!,0)))</f>
        <v/>
      </c>
      <c r="ES114" s="56" t="str">
        <f t="array" ref="ES114">IF(DR114="","", INDEX(#REF!,MATCH(CONCATENATE('Respuestas de formulario 1.1'!$B114,DR114),#REF!,0),MATCH('Respuestas de formulario 1.1'!ES$1,#REF!,0)))</f>
        <v/>
      </c>
      <c r="ET114" s="56" t="str">
        <f t="array" ref="ET114">IF(DS114="","", INDEX(#REF!,MATCH(CONCATENATE('Respuestas de formulario 1.1'!$B114,DS114),#REF!,0),MATCH('Respuestas de formulario 1.1'!ET$1,#REF!,0)))</f>
        <v/>
      </c>
      <c r="EU114" s="56" t="str">
        <f t="array" ref="EU114">IF(DT114="","", INDEX(#REF!,MATCH(CONCATENATE('Respuestas de formulario 1.1'!$B114,DT114),#REF!,0),MATCH('Respuestas de formulario 1.1'!EU$1,#REF!,0)))</f>
        <v/>
      </c>
      <c r="EV114" s="56" t="str">
        <f t="array" ref="EV114">IF(DU114="","", INDEX(#REF!,MATCH(CONCATENATE('Respuestas de formulario 1.1'!$B114,DU114),#REF!,0),MATCH('Respuestas de formulario 1.1'!EV$1,#REF!,0)))</f>
        <v/>
      </c>
      <c r="EW114" s="45" t="str">
        <f t="array" ref="EW114">IF(DV114="","", INDEX(#REF!,MATCH(CONCATENATE('Respuestas de formulario 1.1'!$B114,DV114),#REF!,0),MATCH('Respuestas de formulario 1.1'!EW$1,#REF!,0)))</f>
        <v/>
      </c>
      <c r="EX114" s="45" t="str">
        <f t="array" ref="EX114">IF($DQ114="","", INDEX(#REF!,MATCH(CONCATENATE('Respuestas de formulario 1.1'!$B114,$DQ114),#REF!,0),MATCH('Respuestas de formulario 1.1'!EX$1,#REF!,0)))</f>
        <v/>
      </c>
      <c r="EY114" s="56" t="str">
        <f t="array" ref="EY114">IF($DQ114="","", INDEX(#REF!,MATCH(CONCATENATE('Respuestas de formulario 1.1'!$B114,$DQ114),#REF!,0),MATCH('Respuestas de formulario 1.1'!EY$1,#REF!,0)))</f>
        <v/>
      </c>
      <c r="EZ114" s="56" t="str">
        <f t="array" ref="EZ114">IF($DQ114="","", INDEX(#REF!,MATCH(CONCATENATE('Respuestas de formulario 1.1'!$B114,$DQ114),#REF!,0),MATCH('Respuestas de formulario 1.1'!EZ$1,#REF!,0)))</f>
        <v/>
      </c>
      <c r="FA114" s="56" t="str">
        <f t="array" ref="FA114">IF($DQ114="","", INDEX(#REF!,MATCH(CONCATENATE('Respuestas de formulario 1.1'!$B114,$DQ114),#REF!,0),MATCH('Respuestas de formulario 1.1'!FA$1,#REF!,0)))</f>
        <v/>
      </c>
      <c r="FB114" s="56" t="str">
        <f t="array" ref="FB114">IF($DQ114="","", INDEX(#REF!,MATCH(CONCATENATE('Respuestas de formulario 1.1'!$B114,$DQ114),#REF!,0),MATCH('Respuestas de formulario 1.1'!FB$1,#REF!,0)))</f>
        <v/>
      </c>
      <c r="FC114" s="56" t="str">
        <f t="array" ref="FC114">IF($DQ114="","", INDEX(#REF!,MATCH(CONCATENATE('Respuestas de formulario 1.1'!$B114,$DQ114),#REF!,0),MATCH('Respuestas de formulario 1.1'!FC$1,#REF!,0)))</f>
        <v/>
      </c>
      <c r="FD114" s="45" t="str">
        <f t="array" ref="FD114">IF($DQ114="","", INDEX(#REF!,MATCH(CONCATENATE('Respuestas de formulario 1.1'!$B114,$DQ114),#REF!,0),MATCH('Respuestas de formulario 1.1'!FD$1,#REF!,0)))</f>
        <v/>
      </c>
      <c r="FE114" s="45" t="str">
        <f t="array" ref="FE114">IF($DR114="","", INDEX(#REF!,MATCH(CONCATENATE(#REF!,$DR114),#REF!,0),MATCH(#REF!,#REF!,0)))</f>
        <v/>
      </c>
      <c r="FF114" s="56" t="str">
        <f t="array" ref="FF114">IF($DR114="","", INDEX(#REF!,MATCH(CONCATENATE(#REF!,$DR114),#REF!,0),MATCH(#REF!,#REF!,0)))</f>
        <v/>
      </c>
      <c r="FG114" s="56" t="str">
        <f t="array" ref="FG114">IF($DR114="","", INDEX(#REF!,MATCH(CONCATENATE(#REF!,$DR114),#REF!,0),MATCH(#REF!,#REF!,0)))</f>
        <v/>
      </c>
      <c r="FH114" s="56" t="str">
        <f t="array" ref="FH114">IF($DR114="","", INDEX(#REF!,MATCH(CONCATENATE(#REF!,$DR114),#REF!,0),MATCH(#REF!,#REF!,0)))</f>
        <v/>
      </c>
      <c r="FI114" s="56" t="str">
        <f t="array" ref="FI114">IF($DR114="","", INDEX(#REF!,MATCH(CONCATENATE(#REF!,$DR114),#REF!,0),MATCH(#REF!,#REF!,0)))</f>
        <v/>
      </c>
      <c r="FJ114" s="56" t="str">
        <f t="array" ref="FJ114">IF($DR114="","", INDEX(#REF!,MATCH(CONCATENATE(#REF!,$DR114),#REF!,0),MATCH(#REF!,#REF!,0)))</f>
        <v/>
      </c>
      <c r="FK114" s="45" t="str">
        <f t="array" ref="FK114">IF($DR114="","", INDEX(#REF!,MATCH(CONCATENATE(#REF!,$DR114),#REF!,0),MATCH(#REF!,#REF!,0)))</f>
        <v/>
      </c>
      <c r="FL114" s="45" t="str">
        <f t="array" ref="FL114">IF($DT114="","", INDEX(#REF!,MATCH(CONCATENATE('Respuestas de formulario 1.1'!$B114,$DS114),#REF!,0),MATCH('Respuestas de formulario 1.1'!FL$1,#REF!,0)))</f>
        <v/>
      </c>
      <c r="FM114" s="56" t="str">
        <f t="array" ref="FM114">IF($DT114="","", INDEX(#REF!,MATCH(CONCATENATE('Respuestas de formulario 1.1'!$B114,$DS114),#REF!,0),MATCH('Respuestas de formulario 1.1'!FM$1,#REF!,0)))</f>
        <v/>
      </c>
      <c r="FN114" s="56" t="str">
        <f t="array" ref="FN114">IF($DT114="","", INDEX(#REF!,MATCH(CONCATENATE('Respuestas de formulario 1.1'!$B114,$DS114),#REF!,0),MATCH('Respuestas de formulario 1.1'!FN$1,#REF!,0)))</f>
        <v/>
      </c>
      <c r="FO114" s="56" t="str">
        <f t="array" ref="FO114">IF($DT114="","", INDEX(#REF!,MATCH(CONCATENATE('Respuestas de formulario 1.1'!$B114,$DS114),#REF!,0),MATCH('Respuestas de formulario 1.1'!FO$1,#REF!,0)))</f>
        <v/>
      </c>
      <c r="FP114" s="56" t="str">
        <f t="array" ref="FP114">IF($DT114="","", INDEX(#REF!,MATCH(CONCATENATE('Respuestas de formulario 1.1'!$B114,$DS114),#REF!,0),MATCH('Respuestas de formulario 1.1'!FP$1,#REF!,0)))</f>
        <v/>
      </c>
      <c r="FQ114" s="56" t="str">
        <f t="array" ref="FQ114">IF($DT114="","", INDEX(#REF!,MATCH(CONCATENATE('Respuestas de formulario 1.1'!$B114,$DS114),#REF!,0),MATCH('Respuestas de formulario 1.1'!FQ$1,#REF!,0)))</f>
        <v/>
      </c>
      <c r="FR114" s="45" t="str">
        <f t="array" ref="FR114">IF($DT114="","", INDEX(#REF!,MATCH(CONCATENATE('Respuestas de formulario 1.1'!$B114,$DS114),#REF!,0),MATCH('Respuestas de formulario 1.1'!FR$1,#REF!,0)))</f>
        <v/>
      </c>
      <c r="FS114" s="45" t="str">
        <f t="array" ref="FS114">IF($DU114="","", INDEX(#REF!,MATCH(CONCATENATE('Respuestas de formulario 1.1'!$B114,$DT114),#REF!,0),MATCH('Respuestas de formulario 1.1'!FS$1,#REF!,0)))</f>
        <v/>
      </c>
      <c r="FT114" s="56" t="str">
        <f t="array" ref="FT114">IF($DU114="","", INDEX(#REF!,MATCH(CONCATENATE('Respuestas de formulario 1.1'!$B114,$DT114),#REF!,0),MATCH('Respuestas de formulario 1.1'!FT$1,#REF!,0)))</f>
        <v/>
      </c>
      <c r="FU114" s="56" t="str">
        <f t="array" ref="FU114">IF($DU114="","", INDEX(#REF!,MATCH(CONCATENATE('Respuestas de formulario 1.1'!$B114,$DT114),#REF!,0),MATCH('Respuestas de formulario 1.1'!FU$1,#REF!,0)))</f>
        <v/>
      </c>
      <c r="FV114" s="56" t="str">
        <f t="array" ref="FV114">IF($DU114="","", INDEX(#REF!,MATCH(CONCATENATE('Respuestas de formulario 1.1'!$B114,$DT114),#REF!,0),MATCH('Respuestas de formulario 1.1'!FV$1,#REF!,0)))</f>
        <v/>
      </c>
      <c r="FW114" s="56" t="str">
        <f t="array" ref="FW114">IF($DU114="","", INDEX(#REF!,MATCH(CONCATENATE('Respuestas de formulario 1.1'!$B114,$DT114),#REF!,0),MATCH('Respuestas de formulario 1.1'!FW$1,#REF!,0)))</f>
        <v/>
      </c>
      <c r="FX114" s="56" t="str">
        <f t="array" ref="FX114">IF($DU114="","", INDEX(#REF!,MATCH(CONCATENATE('Respuestas de formulario 1.1'!$B114,$DT114),#REF!,0),MATCH('Respuestas de formulario 1.1'!FX$1,#REF!,0)))</f>
        <v/>
      </c>
      <c r="FY114" s="45" t="str">
        <f t="array" ref="FY114">IF($DU114="","", INDEX(#REF!,MATCH(CONCATENATE('Respuestas de formulario 1.1'!$B114,$DT114),#REF!,0),MATCH('Respuestas de formulario 1.1'!FY$1,#REF!,0)))</f>
        <v/>
      </c>
      <c r="FZ114" s="3" t="s">
        <v>2860</v>
      </c>
      <c r="GA114" s="1" t="s">
        <v>4799</v>
      </c>
      <c r="GB114" s="5" t="s">
        <v>4800</v>
      </c>
      <c r="GC114" s="4" t="str">
        <f>HYPERLINK("https://drive.google.com/file/d/1U38T9C-Fs86WtwLVnPFBbDWAnRsCut44/view?usp=drivesdk","RAMIREZ  MARTINEZ  JOSE ALFREDO  Formato de reinscripción y pago 2022-2")</f>
        <v>RAMIREZ  MARTINEZ  JOSE ALFREDO  Formato de reinscripción y pago 2022-2</v>
      </c>
      <c r="GD114" s="1" t="s">
        <v>4801</v>
      </c>
      <c r="GE114" s="1"/>
      <c r="GF114" s="1"/>
      <c r="GG114" s="1"/>
      <c r="GH114" s="1"/>
      <c r="GI114" s="1" t="s">
        <v>4802</v>
      </c>
      <c r="GJ114" s="5" t="s">
        <v>4803</v>
      </c>
      <c r="GK114" s="5" t="str">
        <f>HYPERLINK("https://drive.google.com/file/d/1uDj9WedGSMgHXbu7wqfM4PAEfELd3aXd/view?usp=drivesdk","RAMIREZ  MARTINEZ  JOSE ALFREDO  Formato de reinscripción y pago 2022-2")</f>
        <v>RAMIREZ  MARTINEZ  JOSE ALFREDO  Formato de reinscripción y pago 2022-2</v>
      </c>
      <c r="GL114" s="1" t="s">
        <v>4804</v>
      </c>
    </row>
    <row r="115" spans="1:194" ht="38.25" x14ac:dyDescent="0.2">
      <c r="A115" s="2">
        <v>45139.433749722222</v>
      </c>
      <c r="B115" s="1" t="s">
        <v>17</v>
      </c>
      <c r="C115" s="1" t="s">
        <v>655</v>
      </c>
      <c r="D115" s="1" t="s">
        <v>1110</v>
      </c>
      <c r="E115" s="1" t="s">
        <v>1111</v>
      </c>
      <c r="F115" s="1" t="s">
        <v>223</v>
      </c>
      <c r="G115" s="5" t="s">
        <v>4805</v>
      </c>
      <c r="H115" s="41">
        <v>39075</v>
      </c>
      <c r="I115" s="1">
        <v>16</v>
      </c>
      <c r="J115" s="1">
        <v>5611644346</v>
      </c>
      <c r="K115" s="1">
        <v>5532217236</v>
      </c>
      <c r="L115" s="1" t="s">
        <v>1112</v>
      </c>
      <c r="M115" s="1">
        <v>21309060570155</v>
      </c>
      <c r="N115" s="1" t="s">
        <v>1108</v>
      </c>
      <c r="O115" s="1" t="s">
        <v>247</v>
      </c>
      <c r="P115" s="1" t="s">
        <v>226</v>
      </c>
      <c r="Q115" s="1" t="s">
        <v>248</v>
      </c>
      <c r="R115" s="1" t="s">
        <v>236</v>
      </c>
      <c r="S115" s="1" t="s">
        <v>228</v>
      </c>
      <c r="T115" s="1" t="s">
        <v>686</v>
      </c>
      <c r="U115" s="1" t="s">
        <v>1113</v>
      </c>
      <c r="V115" s="1" t="s">
        <v>228</v>
      </c>
      <c r="W115" s="1" t="s">
        <v>4806</v>
      </c>
      <c r="X115" s="1" t="s">
        <v>481</v>
      </c>
      <c r="Y115" s="1" t="s">
        <v>4807</v>
      </c>
      <c r="Z115" s="1" t="s">
        <v>240</v>
      </c>
      <c r="AA115" s="1">
        <v>13230</v>
      </c>
      <c r="AB115" s="1" t="s">
        <v>4808</v>
      </c>
      <c r="AC115" s="1" t="s">
        <v>1352</v>
      </c>
      <c r="AD115" s="1" t="s">
        <v>4809</v>
      </c>
      <c r="AE115" s="1" t="s">
        <v>4810</v>
      </c>
      <c r="AF115" s="1" t="s">
        <v>265</v>
      </c>
      <c r="AG115" s="1">
        <v>46</v>
      </c>
      <c r="AH115" s="5" t="s">
        <v>4811</v>
      </c>
      <c r="AI115" s="1">
        <v>5532217236</v>
      </c>
      <c r="AJ115" s="1">
        <v>5532217236</v>
      </c>
      <c r="AK115" s="1" t="s">
        <v>1114</v>
      </c>
      <c r="AL115" s="1" t="s">
        <v>1110</v>
      </c>
      <c r="AM115" s="1" t="s">
        <v>1115</v>
      </c>
      <c r="AN115" s="1" t="s">
        <v>1116</v>
      </c>
      <c r="AO115" s="1" t="s">
        <v>265</v>
      </c>
      <c r="AP115" s="1">
        <v>46</v>
      </c>
      <c r="AQ115" s="1" t="s">
        <v>237</v>
      </c>
      <c r="AR115" s="42">
        <v>0.50833333333139308</v>
      </c>
      <c r="AS115" s="42">
        <v>0.50833333333139308</v>
      </c>
      <c r="AT115" s="1">
        <v>5532217236</v>
      </c>
      <c r="AU115" s="1">
        <v>5532217236</v>
      </c>
      <c r="AV115" s="1" t="s">
        <v>1114</v>
      </c>
      <c r="AW115" s="5" t="s">
        <v>4812</v>
      </c>
      <c r="AX115" s="1" t="s">
        <v>1110</v>
      </c>
      <c r="AY115" s="1" t="s">
        <v>1115</v>
      </c>
      <c r="AZ115" s="1" t="s">
        <v>1116</v>
      </c>
      <c r="BA115" s="1" t="s">
        <v>265</v>
      </c>
      <c r="BB115" s="1">
        <v>46</v>
      </c>
      <c r="BC115" s="1" t="s">
        <v>237</v>
      </c>
      <c r="BD115" s="43">
        <v>0.50775462963065365</v>
      </c>
      <c r="BE115" s="43">
        <v>0.50775462963065365</v>
      </c>
      <c r="BF115" s="1">
        <v>5532217236</v>
      </c>
      <c r="BG115" s="1">
        <v>5532217236</v>
      </c>
      <c r="BH115" s="1" t="s">
        <v>1114</v>
      </c>
      <c r="BI115" s="5" t="s">
        <v>4813</v>
      </c>
      <c r="BJ115" s="1" t="s">
        <v>236</v>
      </c>
      <c r="BL115" s="1">
        <v>1.56</v>
      </c>
      <c r="BM115" s="1">
        <v>39</v>
      </c>
      <c r="BN115" s="1" t="s">
        <v>236</v>
      </c>
      <c r="BO115" s="1" t="s">
        <v>228</v>
      </c>
      <c r="BQ115" s="1" t="s">
        <v>228</v>
      </c>
      <c r="BR115" s="1" t="s">
        <v>237</v>
      </c>
      <c r="BS115" s="1" t="s">
        <v>228</v>
      </c>
      <c r="BT115" s="1" t="s">
        <v>237</v>
      </c>
      <c r="BU115" s="1" t="s">
        <v>228</v>
      </c>
      <c r="BW115" s="1" t="s">
        <v>349</v>
      </c>
      <c r="BX115" s="1">
        <v>120</v>
      </c>
      <c r="BY115" s="1">
        <v>1000</v>
      </c>
      <c r="BZ115" s="1" t="s">
        <v>814</v>
      </c>
      <c r="CA115" s="1" t="s">
        <v>1792</v>
      </c>
      <c r="CB115" s="1" t="s">
        <v>240</v>
      </c>
      <c r="CC115" s="1" t="s">
        <v>274</v>
      </c>
      <c r="CD115" s="1">
        <v>1000</v>
      </c>
      <c r="CE115" s="1">
        <v>1000</v>
      </c>
      <c r="CF115" s="1" t="s">
        <v>236</v>
      </c>
      <c r="CG115" s="1" t="s">
        <v>323</v>
      </c>
      <c r="CH115" s="1" t="s">
        <v>243</v>
      </c>
      <c r="CI115" s="1" t="s">
        <v>243</v>
      </c>
      <c r="CJ115" s="1" t="s">
        <v>2848</v>
      </c>
      <c r="CL115" s="5" t="s">
        <v>4814</v>
      </c>
      <c r="CM115" s="1">
        <v>26220615848</v>
      </c>
      <c r="CN115" s="1" t="s">
        <v>228</v>
      </c>
      <c r="CQ115" s="42">
        <v>0.50833333333139308</v>
      </c>
      <c r="CR115" s="42">
        <v>0.50833333333139308</v>
      </c>
      <c r="CT115" s="45" t="str">
        <f t="array" ref="CT115">IFERROR(INDEX(#REF!,MATCH('Respuestas de formulario 1.1'!$B115,#REF!,0),MATCH('Respuestas de formulario 1.1'!CT$1,#REF!,0)),"")</f>
        <v/>
      </c>
      <c r="CU115" s="56" t="str">
        <f t="array" ref="CU115">IFERROR(INDEX(#REF!,MATCH('Respuestas de formulario 1.1'!$B115,#REF!,0),MATCH('Respuestas de formulario 1.1'!CU$1,#REF!,0)),"")</f>
        <v/>
      </c>
      <c r="CV115" s="56" t="str">
        <f t="array" ref="CV115">IFERROR(INDEX(#REF!,MATCH('Respuestas de formulario 1.1'!$B115,#REF!,0),MATCH('Respuestas de formulario 1.1'!CV$1,#REF!,0)),"")</f>
        <v/>
      </c>
      <c r="CW115" s="56" t="str">
        <f t="array" ref="CW115">IFERROR(INDEX(#REF!,MATCH('Respuestas de formulario 1.1'!$B115,#REF!,0),MATCH('Respuestas de formulario 1.1'!CW$1,#REF!,0)),"")</f>
        <v/>
      </c>
      <c r="CX115" s="56" t="str">
        <f t="array" ref="CX115">IFERROR(INDEX(#REF!,MATCH('Respuestas de formulario 1.1'!$B115,#REF!,0),MATCH('Respuestas de formulario 1.1'!CX$1,#REF!,0)),"")</f>
        <v/>
      </c>
      <c r="CY115" s="56" t="str">
        <f t="array" ref="CY115">IFERROR(INDEX(#REF!,MATCH('Respuestas de formulario 1.1'!$B115,#REF!,0),MATCH('Respuestas de formulario 1.1'!CY$1,#REF!,0)),"")</f>
        <v/>
      </c>
      <c r="CZ115" s="57" t="str">
        <f t="array" ref="CZ115">IFERROR(INDEX(#REF!,MATCH('Respuestas de formulario 1.1'!$B115,#REF!,0),MATCH('Respuestas de formulario 1.1'!CZ$1,#REF!,0)),"")</f>
        <v/>
      </c>
      <c r="DA115" s="45" t="e">
        <f t="array" ref="DA115">INDEX(#REF!,MATCH('Respuestas de formulario 1.1'!$B115,#REF!,0),MATCH('Respuestas de formulario 1.1'!DA$1,#REF!,0))</f>
        <v>#REF!</v>
      </c>
      <c r="DB115" s="45" t="e">
        <f t="array" ref="DB115">INDEX(#REF!,MATCH('Respuestas de formulario 1.1'!$B115,#REF!,0),MATCH('Respuestas de formulario 1.1'!DB$1,#REF!,0))</f>
        <v>#REF!</v>
      </c>
      <c r="DC115" s="45" t="e">
        <f t="array" ref="DC115">INDEX(#REF!,MATCH('Respuestas de formulario 1.1'!$B115,#REF!,0),MATCH('Respuestas de formulario 1.1'!DC$1,#REF!,0))</f>
        <v>#REF!</v>
      </c>
      <c r="DD115" s="45" t="e">
        <f t="array" ref="DD115">INDEX(#REF!,MATCH('Respuestas de formulario 1.1'!$B115,#REF!,0),MATCH('Respuestas de formulario 1.1'!DD$1,#REF!,0))</f>
        <v>#REF!</v>
      </c>
      <c r="DE115" s="45" t="e">
        <f t="array" ref="DE115">INDEX(#REF!,MATCH('Respuestas de formulario 1.1'!$B115,#REF!,0),MATCH('Respuestas de formulario 1.1'!DE$1,#REF!,0))</f>
        <v>#REF!</v>
      </c>
      <c r="DF115" s="45" t="e">
        <f t="array" ref="DF115">INDEX(#REF!,MATCH('Respuestas de formulario 1.1'!$B115,#REF!,0),MATCH('Respuestas de formulario 1.1'!DF$1,#REF!,0))</f>
        <v>#REF!</v>
      </c>
      <c r="DG115" s="45" t="e">
        <f t="array" ref="DG115">INDEX(#REF!,MATCH('Respuestas de formulario 1.1'!$B115,#REF!,0),MATCH('Respuestas de formulario 1.1'!DG$1,#REF!,0))</f>
        <v>#REF!</v>
      </c>
      <c r="DH115" s="45" t="e">
        <f t="array" ref="DH115">INDEX(#REF!,MATCH('Respuestas de formulario 1.1'!$B115,#REF!,0),MATCH('Respuestas de formulario 1.1'!DH$1,#REF!,0))</f>
        <v>#REF!</v>
      </c>
      <c r="DI115" s="48" t="e">
        <f>VLOOKUP(CONCATENATE($DF115," TUTO ",$DC115),#REF!,3,0)</f>
        <v>#REF!</v>
      </c>
      <c r="DJ115" s="48" t="e">
        <f t="array" ref="DJ115">IF('Respuestas de formulario 1.1'!A115="","",INDEX(#REF!,MATCH('Respuestas de formulario 1.1'!B115,#REF!,0),MATCH('Respuestas de formulario 1.1'!$DH$1,#REF!,0)))</f>
        <v>#REF!</v>
      </c>
      <c r="DK115" s="52" t="str">
        <f>CONCATENATE("http://doc.google.com/uc?id=",MID('Respuestas de formulario 1.1'!G115,34,33))</f>
        <v>http://doc.google.com/uc?id=1BbyIAlWwDmONke3zcECQVhd3jj04M8Ee</v>
      </c>
      <c r="DL115" s="49" t="str">
        <f>CONCATENATE("http://doc.google.com/uc?id=",MID('Respuestas de formulario 1.1'!AH115,34,33))</f>
        <v>http://doc.google.com/uc?id=1bowFcLmzdAia3Bwa4sMFNc8FBGneHv7k</v>
      </c>
      <c r="DM115" s="50" t="str">
        <f>CONCATENATE("http://doc.google.com/uc?id=",MID('Respuestas de formulario 1.1'!AW115,34,33))</f>
        <v>http://doc.google.com/uc?id=1uzTnb3cezEAc_YnBvLXFjHLOIdSNw1IK</v>
      </c>
      <c r="DN115" s="53" t="str">
        <f>CONCATENATE("http://doc.google.com/uc?id=",MID('Respuestas de formulario 1.1'!$BI115,34,33))</f>
        <v>http://doc.google.com/uc?id=1aQHJf1N27vV_cIVwEVW_p0X9cy0nRyrG</v>
      </c>
      <c r="DO115" s="45" t="str">
        <f>IFERROR(VLOOKUP(CONCATENATE('Respuestas de formulario 1.1'!$B115,MID('Respuestas de formulario 1.1'!DO$1,2,1)),#REF!,12,0),"")</f>
        <v/>
      </c>
      <c r="DP115" s="45" t="str">
        <f>IFERROR(VLOOKUP(CONCATENATE('Respuestas de formulario 1.1'!$B115,MID('Respuestas de formulario 1.1'!DP$1,2,1)),#REF!,12,0),"")</f>
        <v/>
      </c>
      <c r="DQ115" s="45" t="str">
        <f>IFERROR(VLOOKUP(CONCATENATE('Respuestas de formulario 1.1'!$B115,MID('Respuestas de formulario 1.1'!DQ$1,2,1)),#REF!,12,0),"")</f>
        <v/>
      </c>
      <c r="DR115" s="45" t="str">
        <f>IFERROR(VLOOKUP(CONCATENATE('Respuestas de formulario 1.1'!$B115,MID('Respuestas de formulario 1.1'!DR$1,2,1)),#REF!,12,0),"")</f>
        <v/>
      </c>
      <c r="DS115" s="45" t="str">
        <f>IFERROR(VLOOKUP(CONCATENATE('Respuestas de formulario 1.1'!$B115,MID('Respuestas de formulario 1.1'!DS$1,2,1)),#REF!,12,0),"")</f>
        <v/>
      </c>
      <c r="DT115" s="45" t="str">
        <f>IFERROR(VLOOKUP(CONCATENATE('Respuestas de formulario 1.1'!$B115,MID('Respuestas de formulario 1.1'!DT$1,2,1)),#REF!,12,0),"")</f>
        <v/>
      </c>
      <c r="DU115" s="45" t="str">
        <f>IFERROR(VLOOKUP(CONCATENATE('Respuestas de formulario 1.1'!$B115,MID('Respuestas de formulario 1.1'!DU$1,2,1)),#REF!,12,0),"")</f>
        <v/>
      </c>
      <c r="DV115" s="45" t="str">
        <f>IFERROR(VLOOKUP(CONCATENATE('Respuestas de formulario 1.1'!$B115,MID('Respuestas de formulario 1.1'!DV$1,2,1)),#REF!,12,0),"")</f>
        <v/>
      </c>
      <c r="DW115" s="45" t="str">
        <f>IFERROR(VLOOKUP(CONCATENATE('Respuestas de formulario 1.1'!$B115,MID('Respuestas de formulario 1.1'!DW$1,2,1)),#REF!,12,0),"")</f>
        <v/>
      </c>
      <c r="DX115" s="45" t="str">
        <f>IFERROR(VLOOKUP(CONCATENATE('Respuestas de formulario 1.1'!$B115,MID('Respuestas de formulario 1.1'!DX$1,2,1)),#REF!,12,0),"")</f>
        <v/>
      </c>
      <c r="DY115" s="45" t="str">
        <f>IFERROR(VLOOKUP(CONCATENATE('Respuestas de formulario 1.1'!$B115,MID('Respuestas de formulario 1.1'!DY$1,2,1)),#REF!,12,0),"")</f>
        <v/>
      </c>
      <c r="DZ115" s="45" t="str">
        <f>IFERROR(VLOOKUP(CONCATENATE('Respuestas de formulario 1.1'!$B115,MID('Respuestas de formulario 1.1'!DZ$1,2,1)),#REF!,12,0),"")</f>
        <v/>
      </c>
      <c r="EA115" s="45" t="str">
        <f>IFERROR(VLOOKUP(CONCATENATE('Respuestas de formulario 1.1'!$B115,MID('Respuestas de formulario 1.1'!EA$1,2,1)),#REF!,12,0),"")</f>
        <v/>
      </c>
      <c r="EB115" s="45" t="str">
        <f>IFERROR(VLOOKUP(CONCATENATE('Respuestas de formulario 1.1'!$B115,MID('Respuestas de formulario 1.1'!EB$1,2,1)),#REF!,12,0),"")</f>
        <v/>
      </c>
      <c r="EC115" s="45" t="str">
        <f>IFERROR(VLOOKUP(CONCATENATE('Respuestas de formulario 1.1'!$B115,MID('Respuestas de formulario 1.1'!EC$1,2,1)),#REF!,12,0),"")</f>
        <v/>
      </c>
      <c r="ED115" s="45" t="str">
        <f>IFERROR(VLOOKUP(CONCATENATE('Respuestas de formulario 1.1'!$B115,MID('Respuestas de formulario 1.1'!ED$1,2,1)),#REF!,12,0),"")</f>
        <v/>
      </c>
      <c r="EE115" s="45" t="str">
        <f>IFERROR(VLOOKUP(CONCATENATE('Respuestas de formulario 1.1'!$B115,MID('Respuestas de formulario 1.1'!EE$1,2,1)),#REF!,12,0),"")</f>
        <v/>
      </c>
      <c r="EF115" s="45" t="str">
        <f>IFERROR(VLOOKUP(CONCATENATE('Respuestas de formulario 1.1'!$B115,MID('Respuestas de formulario 1.1'!EF$1,2,1)),#REF!,12,0),"")</f>
        <v/>
      </c>
      <c r="EG115" s="45" t="str">
        <f>IFERROR(VLOOKUP(CONCATENATE('Respuestas de formulario 1.1'!$B115,MID('Respuestas de formulario 1.1'!EG$1,2,1)),#REF!,12,0),"")</f>
        <v/>
      </c>
      <c r="EH115" s="45" t="str">
        <f>IFERROR(VLOOKUP(CONCATENATE('Respuestas de formulario 1.1'!$B115,MID('Respuestas de formulario 1.1'!EH$1,2,1)),#REF!,12,0),"")</f>
        <v/>
      </c>
      <c r="EI115" s="45" t="str">
        <f>IFERROR(VLOOKUP(CONCATENATE('Respuestas de formulario 1.1'!$B115,MID('Respuestas de formulario 1.1'!EI$1,2,1)),#REF!,12,0),"")</f>
        <v/>
      </c>
      <c r="EJ115" s="45" t="str">
        <f t="array" ref="EJ115">IF(DO115="","", INDEX(#REF!,MATCH(CONCATENATE('Respuestas de formulario 1.1'!$B115,DO115),#REF!,0),MATCH('Respuestas de formulario 1.1'!EJ$1,#REF!,0)))</f>
        <v/>
      </c>
      <c r="EK115" s="56" t="str">
        <f t="array" ref="EK115">IF(DP115="","", INDEX(#REF!,MATCH(CONCATENATE('Respuestas de formulario 1.1'!$B115,DP115),#REF!,0),MATCH('Respuestas de formulario 1.1'!EK$1,#REF!,0)))</f>
        <v/>
      </c>
      <c r="EL115" s="56" t="str">
        <f t="array" ref="EL115">IF(DQ115="","", INDEX(#REF!,MATCH(CONCATENATE('Respuestas de formulario 1.1'!$B115,DQ115),#REF!,0),MATCH('Respuestas de formulario 1.1'!EL$1,#REF!,0)))</f>
        <v/>
      </c>
      <c r="EM115" s="56" t="str">
        <f t="array" ref="EM115">IF(DR115="","", INDEX(#REF!,MATCH(CONCATENATE('Respuestas de formulario 1.1'!$B115,DR115),#REF!,0),MATCH('Respuestas de formulario 1.1'!EM$1,#REF!,0)))</f>
        <v/>
      </c>
      <c r="EN115" s="56" t="str">
        <f t="array" ref="EN115">IF(DS115="","", INDEX(#REF!,MATCH(CONCATENATE('Respuestas de formulario 1.1'!$B115,DS115),#REF!,0),MATCH('Respuestas de formulario 1.1'!EN$1,#REF!,0)))</f>
        <v/>
      </c>
      <c r="EO115" s="56" t="str">
        <f t="array" ref="EO115">IF(DT115="","", INDEX(#REF!,MATCH(CONCATENATE('Respuestas de formulario 1.1'!$B115,DT115),#REF!,0),MATCH('Respuestas de formulario 1.1'!EO$1,#REF!,0)))</f>
        <v/>
      </c>
      <c r="EP115" s="45" t="str">
        <f t="array" ref="EP115">IF(DU115="","", INDEX(#REF!,MATCH(CONCATENATE('Respuestas de formulario 1.1'!$B115,DU115),#REF!,0),MATCH('Respuestas de formulario 1.1'!EP$1,#REF!,0)))</f>
        <v/>
      </c>
      <c r="EQ115" s="45" t="str">
        <f t="array" ref="EQ115">IF(DP115="","", INDEX(#REF!,MATCH(CONCATENATE('Respuestas de formulario 1.1'!$B115,DP115),#REF!,0),MATCH('Respuestas de formulario 1.1'!EQ$1,#REF!,0)))</f>
        <v/>
      </c>
      <c r="ER115" s="56" t="str">
        <f t="array" ref="ER115">IF(DQ115="","", INDEX(#REF!,MATCH(CONCATENATE('Respuestas de formulario 1.1'!$B115,DQ115),#REF!,0),MATCH('Respuestas de formulario 1.1'!ER$1,#REF!,0)))</f>
        <v/>
      </c>
      <c r="ES115" s="56" t="str">
        <f t="array" ref="ES115">IF(DR115="","", INDEX(#REF!,MATCH(CONCATENATE('Respuestas de formulario 1.1'!$B115,DR115),#REF!,0),MATCH('Respuestas de formulario 1.1'!ES$1,#REF!,0)))</f>
        <v/>
      </c>
      <c r="ET115" s="56" t="str">
        <f t="array" ref="ET115">IF(DS115="","", INDEX(#REF!,MATCH(CONCATENATE('Respuestas de formulario 1.1'!$B115,DS115),#REF!,0),MATCH('Respuestas de formulario 1.1'!ET$1,#REF!,0)))</f>
        <v/>
      </c>
      <c r="EU115" s="56" t="str">
        <f t="array" ref="EU115">IF(DT115="","", INDEX(#REF!,MATCH(CONCATENATE('Respuestas de formulario 1.1'!$B115,DT115),#REF!,0),MATCH('Respuestas de formulario 1.1'!EU$1,#REF!,0)))</f>
        <v/>
      </c>
      <c r="EV115" s="56" t="str">
        <f t="array" ref="EV115">IF(DU115="","", INDEX(#REF!,MATCH(CONCATENATE('Respuestas de formulario 1.1'!$B115,DU115),#REF!,0),MATCH('Respuestas de formulario 1.1'!EV$1,#REF!,0)))</f>
        <v/>
      </c>
      <c r="EW115" s="45" t="str">
        <f t="array" ref="EW115">IF(DV115="","", INDEX(#REF!,MATCH(CONCATENATE('Respuestas de formulario 1.1'!$B115,DV115),#REF!,0),MATCH('Respuestas de formulario 1.1'!EW$1,#REF!,0)))</f>
        <v/>
      </c>
      <c r="EX115" s="45" t="str">
        <f t="array" ref="EX115">IF($DQ115="","", INDEX(#REF!,MATCH(CONCATENATE('Respuestas de formulario 1.1'!$B115,$DQ115),#REF!,0),MATCH('Respuestas de formulario 1.1'!EX$1,#REF!,0)))</f>
        <v/>
      </c>
      <c r="EY115" s="56" t="str">
        <f t="array" ref="EY115">IF($DQ115="","", INDEX(#REF!,MATCH(CONCATENATE('Respuestas de formulario 1.1'!$B115,$DQ115),#REF!,0),MATCH('Respuestas de formulario 1.1'!EY$1,#REF!,0)))</f>
        <v/>
      </c>
      <c r="EZ115" s="56" t="str">
        <f t="array" ref="EZ115">IF($DQ115="","", INDEX(#REF!,MATCH(CONCATENATE('Respuestas de formulario 1.1'!$B115,$DQ115),#REF!,0),MATCH('Respuestas de formulario 1.1'!EZ$1,#REF!,0)))</f>
        <v/>
      </c>
      <c r="FA115" s="56" t="str">
        <f t="array" ref="FA115">IF($DQ115="","", INDEX(#REF!,MATCH(CONCATENATE('Respuestas de formulario 1.1'!$B115,$DQ115),#REF!,0),MATCH('Respuestas de formulario 1.1'!FA$1,#REF!,0)))</f>
        <v/>
      </c>
      <c r="FB115" s="56" t="str">
        <f t="array" ref="FB115">IF($DQ115="","", INDEX(#REF!,MATCH(CONCATENATE('Respuestas de formulario 1.1'!$B115,$DQ115),#REF!,0),MATCH('Respuestas de formulario 1.1'!FB$1,#REF!,0)))</f>
        <v/>
      </c>
      <c r="FC115" s="56" t="str">
        <f t="array" ref="FC115">IF($DQ115="","", INDEX(#REF!,MATCH(CONCATENATE('Respuestas de formulario 1.1'!$B115,$DQ115),#REF!,0),MATCH('Respuestas de formulario 1.1'!FC$1,#REF!,0)))</f>
        <v/>
      </c>
      <c r="FD115" s="45" t="str">
        <f t="array" ref="FD115">IF($DQ115="","", INDEX(#REF!,MATCH(CONCATENATE('Respuestas de formulario 1.1'!$B115,$DQ115),#REF!,0),MATCH('Respuestas de formulario 1.1'!FD$1,#REF!,0)))</f>
        <v/>
      </c>
      <c r="FE115" s="45" t="str">
        <f t="array" ref="FE115">IF($DR115="","", INDEX(#REF!,MATCH(CONCATENATE(#REF!,$DR115),#REF!,0),MATCH(#REF!,#REF!,0)))</f>
        <v/>
      </c>
      <c r="FF115" s="56" t="str">
        <f t="array" ref="FF115">IF($DR115="","", INDEX(#REF!,MATCH(CONCATENATE(#REF!,$DR115),#REF!,0),MATCH(#REF!,#REF!,0)))</f>
        <v/>
      </c>
      <c r="FG115" s="56" t="str">
        <f t="array" ref="FG115">IF($DR115="","", INDEX(#REF!,MATCH(CONCATENATE(#REF!,$DR115),#REF!,0),MATCH(#REF!,#REF!,0)))</f>
        <v/>
      </c>
      <c r="FH115" s="56" t="str">
        <f t="array" ref="FH115">IF($DR115="","", INDEX(#REF!,MATCH(CONCATENATE(#REF!,$DR115),#REF!,0),MATCH(#REF!,#REF!,0)))</f>
        <v/>
      </c>
      <c r="FI115" s="56" t="str">
        <f t="array" ref="FI115">IF($DR115="","", INDEX(#REF!,MATCH(CONCATENATE(#REF!,$DR115),#REF!,0),MATCH(#REF!,#REF!,0)))</f>
        <v/>
      </c>
      <c r="FJ115" s="56" t="str">
        <f t="array" ref="FJ115">IF($DR115="","", INDEX(#REF!,MATCH(CONCATENATE(#REF!,$DR115),#REF!,0),MATCH(#REF!,#REF!,0)))</f>
        <v/>
      </c>
      <c r="FK115" s="45" t="str">
        <f t="array" ref="FK115">IF($DR115="","", INDEX(#REF!,MATCH(CONCATENATE(#REF!,$DR115),#REF!,0),MATCH(#REF!,#REF!,0)))</f>
        <v/>
      </c>
      <c r="FL115" s="45" t="str">
        <f t="array" ref="FL115">IF($DT115="","", INDEX(#REF!,MATCH(CONCATENATE('Respuestas de formulario 1.1'!$B115,$DS115),#REF!,0),MATCH('Respuestas de formulario 1.1'!FL$1,#REF!,0)))</f>
        <v/>
      </c>
      <c r="FM115" s="56" t="str">
        <f t="array" ref="FM115">IF($DT115="","", INDEX(#REF!,MATCH(CONCATENATE('Respuestas de formulario 1.1'!$B115,$DS115),#REF!,0),MATCH('Respuestas de formulario 1.1'!FM$1,#REF!,0)))</f>
        <v/>
      </c>
      <c r="FN115" s="56" t="str">
        <f t="array" ref="FN115">IF($DT115="","", INDEX(#REF!,MATCH(CONCATENATE('Respuestas de formulario 1.1'!$B115,$DS115),#REF!,0),MATCH('Respuestas de formulario 1.1'!FN$1,#REF!,0)))</f>
        <v/>
      </c>
      <c r="FO115" s="56" t="str">
        <f t="array" ref="FO115">IF($DT115="","", INDEX(#REF!,MATCH(CONCATENATE('Respuestas de formulario 1.1'!$B115,$DS115),#REF!,0),MATCH('Respuestas de formulario 1.1'!FO$1,#REF!,0)))</f>
        <v/>
      </c>
      <c r="FP115" s="56" t="str">
        <f t="array" ref="FP115">IF($DT115="","", INDEX(#REF!,MATCH(CONCATENATE('Respuestas de formulario 1.1'!$B115,$DS115),#REF!,0),MATCH('Respuestas de formulario 1.1'!FP$1,#REF!,0)))</f>
        <v/>
      </c>
      <c r="FQ115" s="56" t="str">
        <f t="array" ref="FQ115">IF($DT115="","", INDEX(#REF!,MATCH(CONCATENATE('Respuestas de formulario 1.1'!$B115,$DS115),#REF!,0),MATCH('Respuestas de formulario 1.1'!FQ$1,#REF!,0)))</f>
        <v/>
      </c>
      <c r="FR115" s="45" t="str">
        <f t="array" ref="FR115">IF($DT115="","", INDEX(#REF!,MATCH(CONCATENATE('Respuestas de formulario 1.1'!$B115,$DS115),#REF!,0),MATCH('Respuestas de formulario 1.1'!FR$1,#REF!,0)))</f>
        <v/>
      </c>
      <c r="FS115" s="45" t="str">
        <f t="array" ref="FS115">IF($DU115="","", INDEX(#REF!,MATCH(CONCATENATE('Respuestas de formulario 1.1'!$B115,$DT115),#REF!,0),MATCH('Respuestas de formulario 1.1'!FS$1,#REF!,0)))</f>
        <v/>
      </c>
      <c r="FT115" s="56" t="str">
        <f t="array" ref="FT115">IF($DU115="","", INDEX(#REF!,MATCH(CONCATENATE('Respuestas de formulario 1.1'!$B115,$DT115),#REF!,0),MATCH('Respuestas de formulario 1.1'!FT$1,#REF!,0)))</f>
        <v/>
      </c>
      <c r="FU115" s="56" t="str">
        <f t="array" ref="FU115">IF($DU115="","", INDEX(#REF!,MATCH(CONCATENATE('Respuestas de formulario 1.1'!$B115,$DT115),#REF!,0),MATCH('Respuestas de formulario 1.1'!FU$1,#REF!,0)))</f>
        <v/>
      </c>
      <c r="FV115" s="56" t="str">
        <f t="array" ref="FV115">IF($DU115="","", INDEX(#REF!,MATCH(CONCATENATE('Respuestas de formulario 1.1'!$B115,$DT115),#REF!,0),MATCH('Respuestas de formulario 1.1'!FV$1,#REF!,0)))</f>
        <v/>
      </c>
      <c r="FW115" s="56" t="str">
        <f t="array" ref="FW115">IF($DU115="","", INDEX(#REF!,MATCH(CONCATENATE('Respuestas de formulario 1.1'!$B115,$DT115),#REF!,0),MATCH('Respuestas de formulario 1.1'!FW$1,#REF!,0)))</f>
        <v/>
      </c>
      <c r="FX115" s="56" t="str">
        <f t="array" ref="FX115">IF($DU115="","", INDEX(#REF!,MATCH(CONCATENATE('Respuestas de formulario 1.1'!$B115,$DT115),#REF!,0),MATCH('Respuestas de formulario 1.1'!FX$1,#REF!,0)))</f>
        <v/>
      </c>
      <c r="FY115" s="45" t="str">
        <f t="array" ref="FY115">IF($DU115="","", INDEX(#REF!,MATCH(CONCATENATE('Respuestas de formulario 1.1'!$B115,$DT115),#REF!,0),MATCH('Respuestas de formulario 1.1'!FY$1,#REF!,0)))</f>
        <v/>
      </c>
      <c r="FZ115" s="3" t="s">
        <v>2860</v>
      </c>
      <c r="GA115" s="1" t="s">
        <v>4815</v>
      </c>
      <c r="GB115" s="5" t="s">
        <v>4816</v>
      </c>
      <c r="GC115" s="4" t="str">
        <f>HYPERLINK("https://drive.google.com/file/d/17GKheTKsKFegF7CksxW5kv85INBhxGSr/view?usp=drivesdk","GALLEGOS FARIAS STEPHANIE Formato de reinscripción y pago 2022-2")</f>
        <v>GALLEGOS FARIAS STEPHANIE Formato de reinscripción y pago 2022-2</v>
      </c>
      <c r="GD115" s="1" t="s">
        <v>4817</v>
      </c>
      <c r="GE115" s="1"/>
      <c r="GF115" s="1"/>
      <c r="GG115" s="1"/>
      <c r="GH115" s="1"/>
      <c r="GI115" s="1" t="s">
        <v>4818</v>
      </c>
      <c r="GJ115" s="5" t="s">
        <v>4819</v>
      </c>
      <c r="GK115" s="5" t="str">
        <f>HYPERLINK("https://drive.google.com/file/d/10m31NKVyvMd4_q1J4hyP2hpdNrPRAWKH/view?usp=drivesdk","GALLEGOS FARIAS STEPHANIE Formato de reinscripción y pago 2022-2")</f>
        <v>GALLEGOS FARIAS STEPHANIE Formato de reinscripción y pago 2022-2</v>
      </c>
      <c r="GL115" s="1" t="s">
        <v>4820</v>
      </c>
    </row>
    <row r="116" spans="1:194" ht="38.25" x14ac:dyDescent="0.2">
      <c r="A116" s="2">
        <v>45139.434585949071</v>
      </c>
      <c r="B116" s="1" t="s">
        <v>8</v>
      </c>
      <c r="C116" s="1" t="s">
        <v>1219</v>
      </c>
      <c r="D116" s="1" t="s">
        <v>304</v>
      </c>
      <c r="E116" s="1" t="s">
        <v>1616</v>
      </c>
      <c r="F116" s="1" t="s">
        <v>262</v>
      </c>
      <c r="G116" s="5" t="s">
        <v>4821</v>
      </c>
      <c r="H116" s="41">
        <v>39127</v>
      </c>
      <c r="I116" s="1">
        <v>16</v>
      </c>
      <c r="J116" s="1">
        <v>5617458559</v>
      </c>
      <c r="K116" s="1">
        <v>5557387949</v>
      </c>
      <c r="L116" s="1" t="s">
        <v>1617</v>
      </c>
      <c r="M116" s="1">
        <v>22309060570525</v>
      </c>
      <c r="N116" s="1" t="s">
        <v>562</v>
      </c>
      <c r="O116" s="1" t="s">
        <v>247</v>
      </c>
      <c r="P116" s="1" t="s">
        <v>314</v>
      </c>
      <c r="Q116" s="1" t="s">
        <v>315</v>
      </c>
      <c r="R116" s="1" t="s">
        <v>236</v>
      </c>
      <c r="S116" s="1" t="s">
        <v>228</v>
      </c>
      <c r="T116" s="1" t="s">
        <v>229</v>
      </c>
      <c r="U116" s="1" t="s">
        <v>249</v>
      </c>
      <c r="V116" s="1" t="s">
        <v>228</v>
      </c>
      <c r="W116" s="1" t="s">
        <v>1618</v>
      </c>
      <c r="X116" s="1" t="s">
        <v>249</v>
      </c>
      <c r="Y116" s="1" t="s">
        <v>1625</v>
      </c>
      <c r="Z116" s="1" t="s">
        <v>240</v>
      </c>
      <c r="AA116" s="44" t="s">
        <v>1619</v>
      </c>
      <c r="AB116" s="1" t="s">
        <v>4822</v>
      </c>
      <c r="AC116" s="1" t="s">
        <v>4823</v>
      </c>
      <c r="AD116" s="1" t="s">
        <v>4824</v>
      </c>
      <c r="AE116" s="1" t="s">
        <v>1620</v>
      </c>
      <c r="AF116" s="1" t="s">
        <v>758</v>
      </c>
      <c r="AG116" s="1">
        <v>30</v>
      </c>
      <c r="AH116" s="5" t="s">
        <v>4825</v>
      </c>
      <c r="AI116" s="1">
        <v>5541932913</v>
      </c>
      <c r="AJ116" s="1">
        <v>5559836547</v>
      </c>
      <c r="AK116" s="1" t="s">
        <v>4826</v>
      </c>
      <c r="AL116" s="1" t="s">
        <v>867</v>
      </c>
      <c r="AM116" s="1" t="s">
        <v>1219</v>
      </c>
      <c r="AN116" s="1" t="s">
        <v>304</v>
      </c>
      <c r="AO116" s="1" t="s">
        <v>435</v>
      </c>
      <c r="AP116" s="1">
        <v>49</v>
      </c>
      <c r="AQ116" s="1" t="s">
        <v>2026</v>
      </c>
      <c r="AR116" s="42">
        <v>0.20833333333575865</v>
      </c>
      <c r="AS116" s="42">
        <v>0.45833333333575865</v>
      </c>
      <c r="AT116" s="1">
        <v>5557387949</v>
      </c>
      <c r="AU116" s="1">
        <v>5557387949</v>
      </c>
      <c r="AV116" s="1" t="s">
        <v>1623</v>
      </c>
      <c r="AW116" s="5" t="s">
        <v>4827</v>
      </c>
      <c r="AX116" s="1" t="s">
        <v>495</v>
      </c>
      <c r="AY116" s="1" t="s">
        <v>304</v>
      </c>
      <c r="AZ116" s="1" t="s">
        <v>1621</v>
      </c>
      <c r="BA116" s="1" t="s">
        <v>265</v>
      </c>
      <c r="BB116" s="1">
        <v>51</v>
      </c>
      <c r="BC116" s="1" t="s">
        <v>454</v>
      </c>
      <c r="BD116" s="43">
        <v>0.20833333333575865</v>
      </c>
      <c r="BE116" s="43">
        <v>0.41666666666424135</v>
      </c>
      <c r="BF116" s="1">
        <v>5557387949</v>
      </c>
      <c r="BG116" s="1">
        <v>5557387949</v>
      </c>
      <c r="BH116" s="1" t="s">
        <v>1622</v>
      </c>
      <c r="BI116" s="5" t="s">
        <v>4828</v>
      </c>
      <c r="BJ116" s="1" t="s">
        <v>236</v>
      </c>
      <c r="BK116" s="1" t="s">
        <v>1592</v>
      </c>
      <c r="BL116" s="1">
        <v>1.72</v>
      </c>
      <c r="BM116" s="1">
        <v>65</v>
      </c>
      <c r="BN116" s="1" t="s">
        <v>228</v>
      </c>
      <c r="BO116" s="1" t="s">
        <v>228</v>
      </c>
      <c r="BQ116" s="1" t="s">
        <v>228</v>
      </c>
      <c r="BR116" s="1" t="s">
        <v>237</v>
      </c>
      <c r="BS116" s="1" t="s">
        <v>236</v>
      </c>
      <c r="BT116" s="1" t="s">
        <v>457</v>
      </c>
      <c r="BU116" s="1" t="s">
        <v>228</v>
      </c>
      <c r="BW116" s="1" t="s">
        <v>388</v>
      </c>
      <c r="BX116" s="1">
        <v>2</v>
      </c>
      <c r="BY116" s="1">
        <v>240</v>
      </c>
      <c r="BZ116" s="1" t="s">
        <v>2346</v>
      </c>
      <c r="CA116" s="1" t="s">
        <v>1624</v>
      </c>
      <c r="CB116" s="1" t="s">
        <v>240</v>
      </c>
      <c r="CC116" s="1" t="s">
        <v>255</v>
      </c>
      <c r="CD116" s="1">
        <v>800</v>
      </c>
      <c r="CE116" s="1">
        <v>2000</v>
      </c>
      <c r="CF116" s="1" t="s">
        <v>236</v>
      </c>
      <c r="CG116" s="1" t="s">
        <v>323</v>
      </c>
      <c r="CH116" s="1" t="s">
        <v>243</v>
      </c>
      <c r="CI116" s="1" t="s">
        <v>243</v>
      </c>
      <c r="CJ116" s="1" t="s">
        <v>2848</v>
      </c>
      <c r="CL116" s="5" t="s">
        <v>4829</v>
      </c>
      <c r="CM116" s="1">
        <v>12220749449</v>
      </c>
      <c r="CN116" s="1" t="s">
        <v>228</v>
      </c>
      <c r="CQ116" s="42">
        <v>0.29513888889050577</v>
      </c>
      <c r="CR116" s="42">
        <v>0.22916666666424135</v>
      </c>
      <c r="CT116" s="45" t="str">
        <f t="array" ref="CT116">IFERROR(INDEX(#REF!,MATCH('Respuestas de formulario 1.1'!$B116,#REF!,0),MATCH('Respuestas de formulario 1.1'!CT$1,#REF!,0)),"")</f>
        <v/>
      </c>
      <c r="CU116" s="56" t="str">
        <f t="array" ref="CU116">IFERROR(INDEX(#REF!,MATCH('Respuestas de formulario 1.1'!$B116,#REF!,0),MATCH('Respuestas de formulario 1.1'!CU$1,#REF!,0)),"")</f>
        <v/>
      </c>
      <c r="CV116" s="56" t="str">
        <f t="array" ref="CV116">IFERROR(INDEX(#REF!,MATCH('Respuestas de formulario 1.1'!$B116,#REF!,0),MATCH('Respuestas de formulario 1.1'!CV$1,#REF!,0)),"")</f>
        <v/>
      </c>
      <c r="CW116" s="56" t="str">
        <f t="array" ref="CW116">IFERROR(INDEX(#REF!,MATCH('Respuestas de formulario 1.1'!$B116,#REF!,0),MATCH('Respuestas de formulario 1.1'!CW$1,#REF!,0)),"")</f>
        <v/>
      </c>
      <c r="CX116" s="56" t="str">
        <f t="array" ref="CX116">IFERROR(INDEX(#REF!,MATCH('Respuestas de formulario 1.1'!$B116,#REF!,0),MATCH('Respuestas de formulario 1.1'!CX$1,#REF!,0)),"")</f>
        <v/>
      </c>
      <c r="CY116" s="56" t="str">
        <f t="array" ref="CY116">IFERROR(INDEX(#REF!,MATCH('Respuestas de formulario 1.1'!$B116,#REF!,0),MATCH('Respuestas de formulario 1.1'!CY$1,#REF!,0)),"")</f>
        <v/>
      </c>
      <c r="CZ116" s="57" t="str">
        <f t="array" ref="CZ116">IFERROR(INDEX(#REF!,MATCH('Respuestas de formulario 1.1'!$B116,#REF!,0),MATCH('Respuestas de formulario 1.1'!CZ$1,#REF!,0)),"")</f>
        <v/>
      </c>
      <c r="DA116" s="45" t="e">
        <f t="array" ref="DA116">INDEX(#REF!,MATCH('Respuestas de formulario 1.1'!$B116,#REF!,0),MATCH('Respuestas de formulario 1.1'!DA$1,#REF!,0))</f>
        <v>#REF!</v>
      </c>
      <c r="DB116" s="45" t="e">
        <f t="array" ref="DB116">INDEX(#REF!,MATCH('Respuestas de formulario 1.1'!$B116,#REF!,0),MATCH('Respuestas de formulario 1.1'!DB$1,#REF!,0))</f>
        <v>#REF!</v>
      </c>
      <c r="DC116" s="45" t="e">
        <f t="array" ref="DC116">INDEX(#REF!,MATCH('Respuestas de formulario 1.1'!$B116,#REF!,0),MATCH('Respuestas de formulario 1.1'!DC$1,#REF!,0))</f>
        <v>#REF!</v>
      </c>
      <c r="DD116" s="45" t="e">
        <f t="array" ref="DD116">INDEX(#REF!,MATCH('Respuestas de formulario 1.1'!$B116,#REF!,0),MATCH('Respuestas de formulario 1.1'!DD$1,#REF!,0))</f>
        <v>#REF!</v>
      </c>
      <c r="DE116" s="45" t="e">
        <f t="array" ref="DE116">INDEX(#REF!,MATCH('Respuestas de formulario 1.1'!$B116,#REF!,0),MATCH('Respuestas de formulario 1.1'!DE$1,#REF!,0))</f>
        <v>#REF!</v>
      </c>
      <c r="DF116" s="45" t="e">
        <f t="array" ref="DF116">INDEX(#REF!,MATCH('Respuestas de formulario 1.1'!$B116,#REF!,0),MATCH('Respuestas de formulario 1.1'!DF$1,#REF!,0))</f>
        <v>#REF!</v>
      </c>
      <c r="DG116" s="45" t="e">
        <f t="array" ref="DG116">INDEX(#REF!,MATCH('Respuestas de formulario 1.1'!$B116,#REF!,0),MATCH('Respuestas de formulario 1.1'!DG$1,#REF!,0))</f>
        <v>#REF!</v>
      </c>
      <c r="DH116" s="45" t="e">
        <f t="array" ref="DH116">INDEX(#REF!,MATCH('Respuestas de formulario 1.1'!$B116,#REF!,0),MATCH('Respuestas de formulario 1.1'!DH$1,#REF!,0))</f>
        <v>#REF!</v>
      </c>
      <c r="DI116" s="48" t="e">
        <f>VLOOKUP(CONCATENATE($DF116," TUTO ",$DC116),#REF!,3,0)</f>
        <v>#REF!</v>
      </c>
      <c r="DJ116" s="48" t="e">
        <f t="array" ref="DJ116">IF('Respuestas de formulario 1.1'!A116="","",INDEX(#REF!,MATCH('Respuestas de formulario 1.1'!B116,#REF!,0),MATCH('Respuestas de formulario 1.1'!$DH$1,#REF!,0)))</f>
        <v>#REF!</v>
      </c>
      <c r="DK116" s="52" t="str">
        <f>CONCATENATE("http://doc.google.com/uc?id=",MID('Respuestas de formulario 1.1'!G116,34,33))</f>
        <v>http://doc.google.com/uc?id=1tKpxCuq6BjrZmTsLw3agmrTNmVluh5Iy</v>
      </c>
      <c r="DL116" s="49" t="str">
        <f>CONCATENATE("http://doc.google.com/uc?id=",MID('Respuestas de formulario 1.1'!AH116,34,33))</f>
        <v>http://doc.google.com/uc?id=1gis2Cux77urMLIGoUUYs22UKQwXr_WeO</v>
      </c>
      <c r="DM116" s="50" t="str">
        <f>CONCATENATE("http://doc.google.com/uc?id=",MID('Respuestas de formulario 1.1'!AW116,34,33))</f>
        <v>http://doc.google.com/uc?id=1WQ9hnbub3264KSWLIP4kQbp7HbMeNNKA</v>
      </c>
      <c r="DN116" s="53" t="str">
        <f>CONCATENATE("http://doc.google.com/uc?id=",MID('Respuestas de formulario 1.1'!$BI116,34,33))</f>
        <v>http://doc.google.com/uc?id=1ff_aHt0e06n5w2F0jY1UoXwwojQBW9zY</v>
      </c>
      <c r="DO116" s="45" t="str">
        <f>IFERROR(VLOOKUP(CONCATENATE('Respuestas de formulario 1.1'!$B116,MID('Respuestas de formulario 1.1'!DO$1,2,1)),#REF!,12,0),"")</f>
        <v/>
      </c>
      <c r="DP116" s="45" t="str">
        <f>IFERROR(VLOOKUP(CONCATENATE('Respuestas de formulario 1.1'!$B116,MID('Respuestas de formulario 1.1'!DP$1,2,1)),#REF!,12,0),"")</f>
        <v/>
      </c>
      <c r="DQ116" s="45" t="str">
        <f>IFERROR(VLOOKUP(CONCATENATE('Respuestas de formulario 1.1'!$B116,MID('Respuestas de formulario 1.1'!DQ$1,2,1)),#REF!,12,0),"")</f>
        <v/>
      </c>
      <c r="DR116" s="45" t="str">
        <f>IFERROR(VLOOKUP(CONCATENATE('Respuestas de formulario 1.1'!$B116,MID('Respuestas de formulario 1.1'!DR$1,2,1)),#REF!,12,0),"")</f>
        <v/>
      </c>
      <c r="DS116" s="45" t="str">
        <f>IFERROR(VLOOKUP(CONCATENATE('Respuestas de formulario 1.1'!$B116,MID('Respuestas de formulario 1.1'!DS$1,2,1)),#REF!,12,0),"")</f>
        <v/>
      </c>
      <c r="DT116" s="45" t="str">
        <f>IFERROR(VLOOKUP(CONCATENATE('Respuestas de formulario 1.1'!$B116,MID('Respuestas de formulario 1.1'!DT$1,2,1)),#REF!,12,0),"")</f>
        <v/>
      </c>
      <c r="DU116" s="45" t="str">
        <f>IFERROR(VLOOKUP(CONCATENATE('Respuestas de formulario 1.1'!$B116,MID('Respuestas de formulario 1.1'!DU$1,2,1)),#REF!,12,0),"")</f>
        <v/>
      </c>
      <c r="DV116" s="45" t="str">
        <f>IFERROR(VLOOKUP(CONCATENATE('Respuestas de formulario 1.1'!$B116,MID('Respuestas de formulario 1.1'!DV$1,2,1)),#REF!,12,0),"")</f>
        <v/>
      </c>
      <c r="DW116" s="45" t="str">
        <f>IFERROR(VLOOKUP(CONCATENATE('Respuestas de formulario 1.1'!$B116,MID('Respuestas de formulario 1.1'!DW$1,2,1)),#REF!,12,0),"")</f>
        <v/>
      </c>
      <c r="DX116" s="45" t="str">
        <f>IFERROR(VLOOKUP(CONCATENATE('Respuestas de formulario 1.1'!$B116,MID('Respuestas de formulario 1.1'!DX$1,2,1)),#REF!,12,0),"")</f>
        <v/>
      </c>
      <c r="DY116" s="45" t="str">
        <f>IFERROR(VLOOKUP(CONCATENATE('Respuestas de formulario 1.1'!$B116,MID('Respuestas de formulario 1.1'!DY$1,2,1)),#REF!,12,0),"")</f>
        <v/>
      </c>
      <c r="DZ116" s="45" t="str">
        <f>IFERROR(VLOOKUP(CONCATENATE('Respuestas de formulario 1.1'!$B116,MID('Respuestas de formulario 1.1'!DZ$1,2,1)),#REF!,12,0),"")</f>
        <v/>
      </c>
      <c r="EA116" s="45" t="str">
        <f>IFERROR(VLOOKUP(CONCATENATE('Respuestas de formulario 1.1'!$B116,MID('Respuestas de formulario 1.1'!EA$1,2,1)),#REF!,12,0),"")</f>
        <v/>
      </c>
      <c r="EB116" s="45" t="str">
        <f>IFERROR(VLOOKUP(CONCATENATE('Respuestas de formulario 1.1'!$B116,MID('Respuestas de formulario 1.1'!EB$1,2,1)),#REF!,12,0),"")</f>
        <v/>
      </c>
      <c r="EC116" s="45" t="str">
        <f>IFERROR(VLOOKUP(CONCATENATE('Respuestas de formulario 1.1'!$B116,MID('Respuestas de formulario 1.1'!EC$1,2,1)),#REF!,12,0),"")</f>
        <v/>
      </c>
      <c r="ED116" s="45" t="str">
        <f>IFERROR(VLOOKUP(CONCATENATE('Respuestas de formulario 1.1'!$B116,MID('Respuestas de formulario 1.1'!ED$1,2,1)),#REF!,12,0),"")</f>
        <v/>
      </c>
      <c r="EE116" s="45" t="str">
        <f>IFERROR(VLOOKUP(CONCATENATE('Respuestas de formulario 1.1'!$B116,MID('Respuestas de formulario 1.1'!EE$1,2,1)),#REF!,12,0),"")</f>
        <v/>
      </c>
      <c r="EF116" s="45" t="str">
        <f>IFERROR(VLOOKUP(CONCATENATE('Respuestas de formulario 1.1'!$B116,MID('Respuestas de formulario 1.1'!EF$1,2,1)),#REF!,12,0),"")</f>
        <v/>
      </c>
      <c r="EG116" s="45" t="str">
        <f>IFERROR(VLOOKUP(CONCATENATE('Respuestas de formulario 1.1'!$B116,MID('Respuestas de formulario 1.1'!EG$1,2,1)),#REF!,12,0),"")</f>
        <v/>
      </c>
      <c r="EH116" s="45" t="str">
        <f>IFERROR(VLOOKUP(CONCATENATE('Respuestas de formulario 1.1'!$B116,MID('Respuestas de formulario 1.1'!EH$1,2,1)),#REF!,12,0),"")</f>
        <v/>
      </c>
      <c r="EI116" s="45" t="str">
        <f>IFERROR(VLOOKUP(CONCATENATE('Respuestas de formulario 1.1'!$B116,MID('Respuestas de formulario 1.1'!EI$1,2,1)),#REF!,12,0),"")</f>
        <v/>
      </c>
      <c r="EJ116" s="45" t="str">
        <f t="array" ref="EJ116">IF(DO116="","", INDEX(#REF!,MATCH(CONCATENATE('Respuestas de formulario 1.1'!$B116,DO116),#REF!,0),MATCH('Respuestas de formulario 1.1'!EJ$1,#REF!,0)))</f>
        <v/>
      </c>
      <c r="EK116" s="56" t="str">
        <f t="array" ref="EK116">IF(DP116="","", INDEX(#REF!,MATCH(CONCATENATE('Respuestas de formulario 1.1'!$B116,DP116),#REF!,0),MATCH('Respuestas de formulario 1.1'!EK$1,#REF!,0)))</f>
        <v/>
      </c>
      <c r="EL116" s="56" t="str">
        <f t="array" ref="EL116">IF(DQ116="","", INDEX(#REF!,MATCH(CONCATENATE('Respuestas de formulario 1.1'!$B116,DQ116),#REF!,0),MATCH('Respuestas de formulario 1.1'!EL$1,#REF!,0)))</f>
        <v/>
      </c>
      <c r="EM116" s="56" t="str">
        <f t="array" ref="EM116">IF(DR116="","", INDEX(#REF!,MATCH(CONCATENATE('Respuestas de formulario 1.1'!$B116,DR116),#REF!,0),MATCH('Respuestas de formulario 1.1'!EM$1,#REF!,0)))</f>
        <v/>
      </c>
      <c r="EN116" s="56" t="str">
        <f t="array" ref="EN116">IF(DS116="","", INDEX(#REF!,MATCH(CONCATENATE('Respuestas de formulario 1.1'!$B116,DS116),#REF!,0),MATCH('Respuestas de formulario 1.1'!EN$1,#REF!,0)))</f>
        <v/>
      </c>
      <c r="EO116" s="56" t="str">
        <f t="array" ref="EO116">IF(DT116="","", INDEX(#REF!,MATCH(CONCATENATE('Respuestas de formulario 1.1'!$B116,DT116),#REF!,0),MATCH('Respuestas de formulario 1.1'!EO$1,#REF!,0)))</f>
        <v/>
      </c>
      <c r="EP116" s="45" t="str">
        <f t="array" ref="EP116">IF(DU116="","", INDEX(#REF!,MATCH(CONCATENATE('Respuestas de formulario 1.1'!$B116,DU116),#REF!,0),MATCH('Respuestas de formulario 1.1'!EP$1,#REF!,0)))</f>
        <v/>
      </c>
      <c r="EQ116" s="45" t="str">
        <f t="array" ref="EQ116">IF(DP116="","", INDEX(#REF!,MATCH(CONCATENATE('Respuestas de formulario 1.1'!$B116,DP116),#REF!,0),MATCH('Respuestas de formulario 1.1'!EQ$1,#REF!,0)))</f>
        <v/>
      </c>
      <c r="ER116" s="56" t="str">
        <f t="array" ref="ER116">IF(DQ116="","", INDEX(#REF!,MATCH(CONCATENATE('Respuestas de formulario 1.1'!$B116,DQ116),#REF!,0),MATCH('Respuestas de formulario 1.1'!ER$1,#REF!,0)))</f>
        <v/>
      </c>
      <c r="ES116" s="56" t="str">
        <f t="array" ref="ES116">IF(DR116="","", INDEX(#REF!,MATCH(CONCATENATE('Respuestas de formulario 1.1'!$B116,DR116),#REF!,0),MATCH('Respuestas de formulario 1.1'!ES$1,#REF!,0)))</f>
        <v/>
      </c>
      <c r="ET116" s="56" t="str">
        <f t="array" ref="ET116">IF(DS116="","", INDEX(#REF!,MATCH(CONCATENATE('Respuestas de formulario 1.1'!$B116,DS116),#REF!,0),MATCH('Respuestas de formulario 1.1'!ET$1,#REF!,0)))</f>
        <v/>
      </c>
      <c r="EU116" s="56" t="str">
        <f t="array" ref="EU116">IF(DT116="","", INDEX(#REF!,MATCH(CONCATENATE('Respuestas de formulario 1.1'!$B116,DT116),#REF!,0),MATCH('Respuestas de formulario 1.1'!EU$1,#REF!,0)))</f>
        <v/>
      </c>
      <c r="EV116" s="56" t="str">
        <f t="array" ref="EV116">IF(DU116="","", INDEX(#REF!,MATCH(CONCATENATE('Respuestas de formulario 1.1'!$B116,DU116),#REF!,0),MATCH('Respuestas de formulario 1.1'!EV$1,#REF!,0)))</f>
        <v/>
      </c>
      <c r="EW116" s="45" t="str">
        <f t="array" ref="EW116">IF(DV116="","", INDEX(#REF!,MATCH(CONCATENATE('Respuestas de formulario 1.1'!$B116,DV116),#REF!,0),MATCH('Respuestas de formulario 1.1'!EW$1,#REF!,0)))</f>
        <v/>
      </c>
      <c r="EX116" s="45" t="str">
        <f t="array" ref="EX116">IF($DQ116="","", INDEX(#REF!,MATCH(CONCATENATE('Respuestas de formulario 1.1'!$B116,$DQ116),#REF!,0),MATCH('Respuestas de formulario 1.1'!EX$1,#REF!,0)))</f>
        <v/>
      </c>
      <c r="EY116" s="56" t="str">
        <f t="array" ref="EY116">IF($DQ116="","", INDEX(#REF!,MATCH(CONCATENATE('Respuestas de formulario 1.1'!$B116,$DQ116),#REF!,0),MATCH('Respuestas de formulario 1.1'!EY$1,#REF!,0)))</f>
        <v/>
      </c>
      <c r="EZ116" s="56" t="str">
        <f t="array" ref="EZ116">IF($DQ116="","", INDEX(#REF!,MATCH(CONCATENATE('Respuestas de formulario 1.1'!$B116,$DQ116),#REF!,0),MATCH('Respuestas de formulario 1.1'!EZ$1,#REF!,0)))</f>
        <v/>
      </c>
      <c r="FA116" s="56" t="str">
        <f t="array" ref="FA116">IF($DQ116="","", INDEX(#REF!,MATCH(CONCATENATE('Respuestas de formulario 1.1'!$B116,$DQ116),#REF!,0),MATCH('Respuestas de formulario 1.1'!FA$1,#REF!,0)))</f>
        <v/>
      </c>
      <c r="FB116" s="56" t="str">
        <f t="array" ref="FB116">IF($DQ116="","", INDEX(#REF!,MATCH(CONCATENATE('Respuestas de formulario 1.1'!$B116,$DQ116),#REF!,0),MATCH('Respuestas de formulario 1.1'!FB$1,#REF!,0)))</f>
        <v/>
      </c>
      <c r="FC116" s="56" t="str">
        <f t="array" ref="FC116">IF($DQ116="","", INDEX(#REF!,MATCH(CONCATENATE('Respuestas de formulario 1.1'!$B116,$DQ116),#REF!,0),MATCH('Respuestas de formulario 1.1'!FC$1,#REF!,0)))</f>
        <v/>
      </c>
      <c r="FD116" s="45" t="str">
        <f t="array" ref="FD116">IF($DQ116="","", INDEX(#REF!,MATCH(CONCATENATE('Respuestas de formulario 1.1'!$B116,$DQ116),#REF!,0),MATCH('Respuestas de formulario 1.1'!FD$1,#REF!,0)))</f>
        <v/>
      </c>
      <c r="FE116" s="45" t="str">
        <f t="array" ref="FE116">IF($DR116="","", INDEX(#REF!,MATCH(CONCATENATE(#REF!,$DR116),#REF!,0),MATCH(#REF!,#REF!,0)))</f>
        <v/>
      </c>
      <c r="FF116" s="56" t="str">
        <f t="array" ref="FF116">IF($DR116="","", INDEX(#REF!,MATCH(CONCATENATE(#REF!,$DR116),#REF!,0),MATCH(#REF!,#REF!,0)))</f>
        <v/>
      </c>
      <c r="FG116" s="56" t="str">
        <f t="array" ref="FG116">IF($DR116="","", INDEX(#REF!,MATCH(CONCATENATE(#REF!,$DR116),#REF!,0),MATCH(#REF!,#REF!,0)))</f>
        <v/>
      </c>
      <c r="FH116" s="56" t="str">
        <f t="array" ref="FH116">IF($DR116="","", INDEX(#REF!,MATCH(CONCATENATE(#REF!,$DR116),#REF!,0),MATCH(#REF!,#REF!,0)))</f>
        <v/>
      </c>
      <c r="FI116" s="56" t="str">
        <f t="array" ref="FI116">IF($DR116="","", INDEX(#REF!,MATCH(CONCATENATE(#REF!,$DR116),#REF!,0),MATCH(#REF!,#REF!,0)))</f>
        <v/>
      </c>
      <c r="FJ116" s="56" t="str">
        <f t="array" ref="FJ116">IF($DR116="","", INDEX(#REF!,MATCH(CONCATENATE(#REF!,$DR116),#REF!,0),MATCH(#REF!,#REF!,0)))</f>
        <v/>
      </c>
      <c r="FK116" s="45" t="str">
        <f t="array" ref="FK116">IF($DR116="","", INDEX(#REF!,MATCH(CONCATENATE(#REF!,$DR116),#REF!,0),MATCH(#REF!,#REF!,0)))</f>
        <v/>
      </c>
      <c r="FL116" s="45" t="str">
        <f t="array" ref="FL116">IF($DT116="","", INDEX(#REF!,MATCH(CONCATENATE('Respuestas de formulario 1.1'!$B116,$DS116),#REF!,0),MATCH('Respuestas de formulario 1.1'!FL$1,#REF!,0)))</f>
        <v/>
      </c>
      <c r="FM116" s="56" t="str">
        <f t="array" ref="FM116">IF($DT116="","", INDEX(#REF!,MATCH(CONCATENATE('Respuestas de formulario 1.1'!$B116,$DS116),#REF!,0),MATCH('Respuestas de formulario 1.1'!FM$1,#REF!,0)))</f>
        <v/>
      </c>
      <c r="FN116" s="56" t="str">
        <f t="array" ref="FN116">IF($DT116="","", INDEX(#REF!,MATCH(CONCATENATE('Respuestas de formulario 1.1'!$B116,$DS116),#REF!,0),MATCH('Respuestas de formulario 1.1'!FN$1,#REF!,0)))</f>
        <v/>
      </c>
      <c r="FO116" s="56" t="str">
        <f t="array" ref="FO116">IF($DT116="","", INDEX(#REF!,MATCH(CONCATENATE('Respuestas de formulario 1.1'!$B116,$DS116),#REF!,0),MATCH('Respuestas de formulario 1.1'!FO$1,#REF!,0)))</f>
        <v/>
      </c>
      <c r="FP116" s="56" t="str">
        <f t="array" ref="FP116">IF($DT116="","", INDEX(#REF!,MATCH(CONCATENATE('Respuestas de formulario 1.1'!$B116,$DS116),#REF!,0),MATCH('Respuestas de formulario 1.1'!FP$1,#REF!,0)))</f>
        <v/>
      </c>
      <c r="FQ116" s="56" t="str">
        <f t="array" ref="FQ116">IF($DT116="","", INDEX(#REF!,MATCH(CONCATENATE('Respuestas de formulario 1.1'!$B116,$DS116),#REF!,0),MATCH('Respuestas de formulario 1.1'!FQ$1,#REF!,0)))</f>
        <v/>
      </c>
      <c r="FR116" s="45" t="str">
        <f t="array" ref="FR116">IF($DT116="","", INDEX(#REF!,MATCH(CONCATENATE('Respuestas de formulario 1.1'!$B116,$DS116),#REF!,0),MATCH('Respuestas de formulario 1.1'!FR$1,#REF!,0)))</f>
        <v/>
      </c>
      <c r="FS116" s="45" t="str">
        <f t="array" ref="FS116">IF($DU116="","", INDEX(#REF!,MATCH(CONCATENATE('Respuestas de formulario 1.1'!$B116,$DT116),#REF!,0),MATCH('Respuestas de formulario 1.1'!FS$1,#REF!,0)))</f>
        <v/>
      </c>
      <c r="FT116" s="56" t="str">
        <f t="array" ref="FT116">IF($DU116="","", INDEX(#REF!,MATCH(CONCATENATE('Respuestas de formulario 1.1'!$B116,$DT116),#REF!,0),MATCH('Respuestas de formulario 1.1'!FT$1,#REF!,0)))</f>
        <v/>
      </c>
      <c r="FU116" s="56" t="str">
        <f t="array" ref="FU116">IF($DU116="","", INDEX(#REF!,MATCH(CONCATENATE('Respuestas de formulario 1.1'!$B116,$DT116),#REF!,0),MATCH('Respuestas de formulario 1.1'!FU$1,#REF!,0)))</f>
        <v/>
      </c>
      <c r="FV116" s="56" t="str">
        <f t="array" ref="FV116">IF($DU116="","", INDEX(#REF!,MATCH(CONCATENATE('Respuestas de formulario 1.1'!$B116,$DT116),#REF!,0),MATCH('Respuestas de formulario 1.1'!FV$1,#REF!,0)))</f>
        <v/>
      </c>
      <c r="FW116" s="56" t="str">
        <f t="array" ref="FW116">IF($DU116="","", INDEX(#REF!,MATCH(CONCATENATE('Respuestas de formulario 1.1'!$B116,$DT116),#REF!,0),MATCH('Respuestas de formulario 1.1'!FW$1,#REF!,0)))</f>
        <v/>
      </c>
      <c r="FX116" s="56" t="str">
        <f t="array" ref="FX116">IF($DU116="","", INDEX(#REF!,MATCH(CONCATENATE('Respuestas de formulario 1.1'!$B116,$DT116),#REF!,0),MATCH('Respuestas de formulario 1.1'!FX$1,#REF!,0)))</f>
        <v/>
      </c>
      <c r="FY116" s="45" t="str">
        <f t="array" ref="FY116">IF($DU116="","", INDEX(#REF!,MATCH(CONCATENATE('Respuestas de formulario 1.1'!$B116,$DT116),#REF!,0),MATCH('Respuestas de formulario 1.1'!FY$1,#REF!,0)))</f>
        <v/>
      </c>
      <c r="FZ116" s="3" t="s">
        <v>2860</v>
      </c>
      <c r="GA116" s="1" t="s">
        <v>4830</v>
      </c>
      <c r="GB116" s="5" t="s">
        <v>4831</v>
      </c>
      <c r="GC116" s="4" t="str">
        <f>HYPERLINK("https://drive.google.com/file/d/1x3eTME3jMr3o5zzaEzxUw8CpqlNBHN5S/view?usp=drivesdk","MALDONADO GARCIA IKER JOREL Formato de reinscripción y pago 2022-2")</f>
        <v>MALDONADO GARCIA IKER JOREL Formato de reinscripción y pago 2022-2</v>
      </c>
      <c r="GD116" s="1" t="s">
        <v>4832</v>
      </c>
      <c r="GE116" s="1"/>
      <c r="GF116" s="1"/>
      <c r="GG116" s="1"/>
      <c r="GH116" s="1"/>
      <c r="GI116" s="1" t="s">
        <v>4833</v>
      </c>
      <c r="GJ116" s="5" t="s">
        <v>4834</v>
      </c>
      <c r="GK116" s="5" t="str">
        <f>HYPERLINK("https://drive.google.com/file/d/1SrP4G5kLeSvtrf8wzBbewplWFY9Aq3wd/view?usp=drivesdk","MALDONADO GARCIA IKER JOREL Formato de reinscripción y pago 2022-2")</f>
        <v>MALDONADO GARCIA IKER JOREL Formato de reinscripción y pago 2022-2</v>
      </c>
      <c r="GL116" s="1" t="s">
        <v>4835</v>
      </c>
    </row>
    <row r="117" spans="1:194" ht="38.25" x14ac:dyDescent="0.2">
      <c r="A117" s="2">
        <v>45139.435567083332</v>
      </c>
      <c r="B117" s="1" t="s">
        <v>1180</v>
      </c>
      <c r="C117" s="1" t="s">
        <v>4836</v>
      </c>
      <c r="D117" s="1" t="s">
        <v>841</v>
      </c>
      <c r="E117" s="1" t="s">
        <v>1182</v>
      </c>
      <c r="F117" s="1" t="s">
        <v>223</v>
      </c>
      <c r="G117" s="5" t="s">
        <v>4837</v>
      </c>
      <c r="H117" s="41">
        <v>38639</v>
      </c>
      <c r="I117" s="1">
        <v>17</v>
      </c>
      <c r="J117" s="1">
        <v>5619846468</v>
      </c>
      <c r="K117" s="1">
        <v>5959534217</v>
      </c>
      <c r="L117" s="1" t="s">
        <v>1183</v>
      </c>
      <c r="M117" s="1">
        <v>21309060570890</v>
      </c>
      <c r="N117" s="1" t="s">
        <v>1108</v>
      </c>
      <c r="O117" s="1" t="s">
        <v>225</v>
      </c>
      <c r="P117" s="1" t="s">
        <v>278</v>
      </c>
      <c r="Q117" s="1" t="s">
        <v>315</v>
      </c>
      <c r="R117" s="1" t="s">
        <v>236</v>
      </c>
      <c r="S117" s="1" t="s">
        <v>228</v>
      </c>
      <c r="T117" s="1" t="s">
        <v>411</v>
      </c>
      <c r="U117" s="1" t="s">
        <v>1184</v>
      </c>
      <c r="V117" s="1" t="s">
        <v>228</v>
      </c>
      <c r="W117" s="1" t="s">
        <v>4838</v>
      </c>
      <c r="X117" s="1" t="s">
        <v>1184</v>
      </c>
      <c r="Y117" s="1" t="s">
        <v>4839</v>
      </c>
      <c r="Z117" s="1" t="s">
        <v>231</v>
      </c>
      <c r="AA117" s="1">
        <v>56300</v>
      </c>
      <c r="AB117" s="1">
        <v>7</v>
      </c>
      <c r="AC117" s="1">
        <v>8</v>
      </c>
      <c r="AD117" s="1" t="s">
        <v>4840</v>
      </c>
      <c r="AE117" s="1" t="s">
        <v>4841</v>
      </c>
      <c r="AF117" s="1" t="s">
        <v>488</v>
      </c>
      <c r="AG117" s="1">
        <v>22</v>
      </c>
      <c r="AH117" s="5" t="s">
        <v>4842</v>
      </c>
      <c r="AI117" s="1">
        <v>5537591182</v>
      </c>
      <c r="AJ117" s="1">
        <v>5959534217</v>
      </c>
      <c r="AK117" s="1"/>
      <c r="AL117" s="1" t="s">
        <v>1181</v>
      </c>
      <c r="AM117" s="1" t="s">
        <v>529</v>
      </c>
      <c r="AN117" s="1" t="s">
        <v>378</v>
      </c>
      <c r="AO117" s="1" t="s">
        <v>420</v>
      </c>
      <c r="AP117" s="1">
        <v>49</v>
      </c>
      <c r="AQ117" s="1" t="s">
        <v>4843</v>
      </c>
      <c r="AR117" s="42">
        <v>0.33333333333575865</v>
      </c>
      <c r="AS117" s="42">
        <v>0.75</v>
      </c>
      <c r="AT117" s="1">
        <v>5533632056</v>
      </c>
      <c r="AU117" s="1">
        <v>5959534217</v>
      </c>
      <c r="AV117" s="1"/>
      <c r="AW117" s="5" t="s">
        <v>4844</v>
      </c>
      <c r="AX117" s="1" t="s">
        <v>4845</v>
      </c>
      <c r="AY117" s="1" t="s">
        <v>525</v>
      </c>
      <c r="AZ117" s="1" t="s">
        <v>4846</v>
      </c>
      <c r="BA117" s="1" t="s">
        <v>461</v>
      </c>
      <c r="BB117" s="1">
        <v>56</v>
      </c>
      <c r="BC117" s="1" t="s">
        <v>233</v>
      </c>
      <c r="BD117" s="43">
        <v>0</v>
      </c>
      <c r="BE117" s="43">
        <v>0</v>
      </c>
      <c r="BF117" s="1">
        <v>5514926061</v>
      </c>
      <c r="BG117" s="1">
        <v>5959534217</v>
      </c>
      <c r="BH117" s="1"/>
      <c r="BI117" s="5" t="s">
        <v>4847</v>
      </c>
      <c r="BJ117" s="1" t="s">
        <v>236</v>
      </c>
      <c r="BL117" s="1">
        <v>1.65</v>
      </c>
      <c r="BM117" s="1">
        <v>70</v>
      </c>
      <c r="BN117" s="1" t="s">
        <v>236</v>
      </c>
      <c r="BO117" s="1" t="s">
        <v>228</v>
      </c>
      <c r="BQ117" s="1" t="s">
        <v>228</v>
      </c>
      <c r="BR117" s="1" t="s">
        <v>237</v>
      </c>
      <c r="BS117" s="1" t="s">
        <v>228</v>
      </c>
      <c r="BT117" s="1" t="s">
        <v>237</v>
      </c>
      <c r="BU117" s="1" t="s">
        <v>228</v>
      </c>
      <c r="BW117" s="1" t="s">
        <v>349</v>
      </c>
      <c r="BX117" s="1">
        <v>150</v>
      </c>
      <c r="BY117" s="1">
        <v>450</v>
      </c>
      <c r="BZ117" s="1" t="s">
        <v>4848</v>
      </c>
      <c r="CA117" s="1" t="s">
        <v>777</v>
      </c>
      <c r="CB117" s="1" t="s">
        <v>231</v>
      </c>
      <c r="CC117" s="1" t="s">
        <v>2662</v>
      </c>
      <c r="CD117" s="1">
        <v>1000</v>
      </c>
      <c r="CE117" s="1">
        <v>2000</v>
      </c>
      <c r="CF117" s="1" t="s">
        <v>236</v>
      </c>
      <c r="CG117" s="1" t="s">
        <v>242</v>
      </c>
      <c r="CH117" s="1" t="s">
        <v>243</v>
      </c>
      <c r="CI117" s="1" t="s">
        <v>243</v>
      </c>
      <c r="CJ117" s="1" t="s">
        <v>2848</v>
      </c>
      <c r="CL117" s="5" t="s">
        <v>4849</v>
      </c>
      <c r="CM117" s="1">
        <v>45090505095</v>
      </c>
      <c r="CN117" s="1" t="s">
        <v>228</v>
      </c>
      <c r="CQ117" s="42">
        <v>0</v>
      </c>
      <c r="CR117" s="42">
        <v>0</v>
      </c>
      <c r="CT117" s="45" t="str">
        <f t="array" ref="CT117">IFERROR(INDEX(#REF!,MATCH('Respuestas de formulario 1.1'!$B117,#REF!,0),MATCH('Respuestas de formulario 1.1'!CT$1,#REF!,0)),"")</f>
        <v/>
      </c>
      <c r="CU117" s="56" t="str">
        <f t="array" ref="CU117">IFERROR(INDEX(#REF!,MATCH('Respuestas de formulario 1.1'!$B117,#REF!,0),MATCH('Respuestas de formulario 1.1'!CU$1,#REF!,0)),"")</f>
        <v/>
      </c>
      <c r="CV117" s="56" t="str">
        <f t="array" ref="CV117">IFERROR(INDEX(#REF!,MATCH('Respuestas de formulario 1.1'!$B117,#REF!,0),MATCH('Respuestas de formulario 1.1'!CV$1,#REF!,0)),"")</f>
        <v/>
      </c>
      <c r="CW117" s="56" t="str">
        <f t="array" ref="CW117">IFERROR(INDEX(#REF!,MATCH('Respuestas de formulario 1.1'!$B117,#REF!,0),MATCH('Respuestas de formulario 1.1'!CW$1,#REF!,0)),"")</f>
        <v/>
      </c>
      <c r="CX117" s="56" t="str">
        <f t="array" ref="CX117">IFERROR(INDEX(#REF!,MATCH('Respuestas de formulario 1.1'!$B117,#REF!,0),MATCH('Respuestas de formulario 1.1'!CX$1,#REF!,0)),"")</f>
        <v/>
      </c>
      <c r="CY117" s="56" t="str">
        <f t="array" ref="CY117">IFERROR(INDEX(#REF!,MATCH('Respuestas de formulario 1.1'!$B117,#REF!,0),MATCH('Respuestas de formulario 1.1'!CY$1,#REF!,0)),"")</f>
        <v/>
      </c>
      <c r="CZ117" s="57" t="str">
        <f t="array" ref="CZ117">IFERROR(INDEX(#REF!,MATCH('Respuestas de formulario 1.1'!$B117,#REF!,0),MATCH('Respuestas de formulario 1.1'!CZ$1,#REF!,0)),"")</f>
        <v/>
      </c>
      <c r="DA117" s="45" t="e">
        <f t="array" ref="DA117">INDEX(#REF!,MATCH('Respuestas de formulario 1.1'!$B117,#REF!,0),MATCH('Respuestas de formulario 1.1'!DA$1,#REF!,0))</f>
        <v>#REF!</v>
      </c>
      <c r="DB117" s="45" t="e">
        <f t="array" ref="DB117">INDEX(#REF!,MATCH('Respuestas de formulario 1.1'!$B117,#REF!,0),MATCH('Respuestas de formulario 1.1'!DB$1,#REF!,0))</f>
        <v>#REF!</v>
      </c>
      <c r="DC117" s="45" t="e">
        <f t="array" ref="DC117">INDEX(#REF!,MATCH('Respuestas de formulario 1.1'!$B117,#REF!,0),MATCH('Respuestas de formulario 1.1'!DC$1,#REF!,0))</f>
        <v>#REF!</v>
      </c>
      <c r="DD117" s="45" t="e">
        <f t="array" ref="DD117">INDEX(#REF!,MATCH('Respuestas de formulario 1.1'!$B117,#REF!,0),MATCH('Respuestas de formulario 1.1'!DD$1,#REF!,0))</f>
        <v>#REF!</v>
      </c>
      <c r="DE117" s="45" t="e">
        <f t="array" ref="DE117">INDEX(#REF!,MATCH('Respuestas de formulario 1.1'!$B117,#REF!,0),MATCH('Respuestas de formulario 1.1'!DE$1,#REF!,0))</f>
        <v>#REF!</v>
      </c>
      <c r="DF117" s="45" t="e">
        <f t="array" ref="DF117">INDEX(#REF!,MATCH('Respuestas de formulario 1.1'!$B117,#REF!,0),MATCH('Respuestas de formulario 1.1'!DF$1,#REF!,0))</f>
        <v>#REF!</v>
      </c>
      <c r="DG117" s="45" t="e">
        <f t="array" ref="DG117">INDEX(#REF!,MATCH('Respuestas de formulario 1.1'!$B117,#REF!,0),MATCH('Respuestas de formulario 1.1'!DG$1,#REF!,0))</f>
        <v>#REF!</v>
      </c>
      <c r="DH117" s="45" t="e">
        <f t="array" ref="DH117">INDEX(#REF!,MATCH('Respuestas de formulario 1.1'!$B117,#REF!,0),MATCH('Respuestas de formulario 1.1'!DH$1,#REF!,0))</f>
        <v>#REF!</v>
      </c>
      <c r="DI117" s="48" t="e">
        <f>VLOOKUP(CONCATENATE($DF117," TUTO ",$DC117),#REF!,3,0)</f>
        <v>#REF!</v>
      </c>
      <c r="DJ117" s="48" t="e">
        <f t="array" ref="DJ117">IF('Respuestas de formulario 1.1'!A117="","",INDEX(#REF!,MATCH('Respuestas de formulario 1.1'!B117,#REF!,0),MATCH('Respuestas de formulario 1.1'!$DH$1,#REF!,0)))</f>
        <v>#REF!</v>
      </c>
      <c r="DK117" s="52" t="str">
        <f>CONCATENATE("http://doc.google.com/uc?id=",MID('Respuestas de formulario 1.1'!G117,34,33))</f>
        <v>http://doc.google.com/uc?id=18qaewHhdsdJIrk5WCiwBQ6AGNKoExceX</v>
      </c>
      <c r="DL117" s="49" t="str">
        <f>CONCATENATE("http://doc.google.com/uc?id=",MID('Respuestas de formulario 1.1'!AH117,34,33))</f>
        <v>http://doc.google.com/uc?id=1SBHGzMJll283wkKzo7LD3aWWrQ8-15cE</v>
      </c>
      <c r="DM117" s="50" t="str">
        <f>CONCATENATE("http://doc.google.com/uc?id=",MID('Respuestas de formulario 1.1'!AW117,34,33))</f>
        <v>http://doc.google.com/uc?id=1HsdlUoP0IEOIiwwXdjaDbVt45TmNF1KA</v>
      </c>
      <c r="DN117" s="53" t="str">
        <f>CONCATENATE("http://doc.google.com/uc?id=",MID('Respuestas de formulario 1.1'!$BI117,34,33))</f>
        <v>http://doc.google.com/uc?id=1F9tNRdRik2kPiReDnBZ2AsO05VgULn_L</v>
      </c>
      <c r="DO117" s="45" t="str">
        <f>IFERROR(VLOOKUP(CONCATENATE('Respuestas de formulario 1.1'!$B117,MID('Respuestas de formulario 1.1'!DO$1,2,1)),#REF!,12,0),"")</f>
        <v/>
      </c>
      <c r="DP117" s="45" t="str">
        <f>IFERROR(VLOOKUP(CONCATENATE('Respuestas de formulario 1.1'!$B117,MID('Respuestas de formulario 1.1'!DP$1,2,1)),#REF!,12,0),"")</f>
        <v/>
      </c>
      <c r="DQ117" s="45" t="str">
        <f>IFERROR(VLOOKUP(CONCATENATE('Respuestas de formulario 1.1'!$B117,MID('Respuestas de formulario 1.1'!DQ$1,2,1)),#REF!,12,0),"")</f>
        <v/>
      </c>
      <c r="DR117" s="45" t="str">
        <f>IFERROR(VLOOKUP(CONCATENATE('Respuestas de formulario 1.1'!$B117,MID('Respuestas de formulario 1.1'!DR$1,2,1)),#REF!,12,0),"")</f>
        <v/>
      </c>
      <c r="DS117" s="45" t="str">
        <f>IFERROR(VLOOKUP(CONCATENATE('Respuestas de formulario 1.1'!$B117,MID('Respuestas de formulario 1.1'!DS$1,2,1)),#REF!,12,0),"")</f>
        <v/>
      </c>
      <c r="DT117" s="45" t="str">
        <f>IFERROR(VLOOKUP(CONCATENATE('Respuestas de formulario 1.1'!$B117,MID('Respuestas de formulario 1.1'!DT$1,2,1)),#REF!,12,0),"")</f>
        <v/>
      </c>
      <c r="DU117" s="45" t="str">
        <f>IFERROR(VLOOKUP(CONCATENATE('Respuestas de formulario 1.1'!$B117,MID('Respuestas de formulario 1.1'!DU$1,2,1)),#REF!,12,0),"")</f>
        <v/>
      </c>
      <c r="DV117" s="45" t="str">
        <f>IFERROR(VLOOKUP(CONCATENATE('Respuestas de formulario 1.1'!$B117,MID('Respuestas de formulario 1.1'!DV$1,2,1)),#REF!,12,0),"")</f>
        <v/>
      </c>
      <c r="DW117" s="45" t="str">
        <f>IFERROR(VLOOKUP(CONCATENATE('Respuestas de formulario 1.1'!$B117,MID('Respuestas de formulario 1.1'!DW$1,2,1)),#REF!,12,0),"")</f>
        <v/>
      </c>
      <c r="DX117" s="45" t="str">
        <f>IFERROR(VLOOKUP(CONCATENATE('Respuestas de formulario 1.1'!$B117,MID('Respuestas de formulario 1.1'!DX$1,2,1)),#REF!,12,0),"")</f>
        <v/>
      </c>
      <c r="DY117" s="45" t="str">
        <f>IFERROR(VLOOKUP(CONCATENATE('Respuestas de formulario 1.1'!$B117,MID('Respuestas de formulario 1.1'!DY$1,2,1)),#REF!,12,0),"")</f>
        <v/>
      </c>
      <c r="DZ117" s="45" t="str">
        <f>IFERROR(VLOOKUP(CONCATENATE('Respuestas de formulario 1.1'!$B117,MID('Respuestas de formulario 1.1'!DZ$1,2,1)),#REF!,12,0),"")</f>
        <v/>
      </c>
      <c r="EA117" s="45" t="str">
        <f>IFERROR(VLOOKUP(CONCATENATE('Respuestas de formulario 1.1'!$B117,MID('Respuestas de formulario 1.1'!EA$1,2,1)),#REF!,12,0),"")</f>
        <v/>
      </c>
      <c r="EB117" s="45" t="str">
        <f>IFERROR(VLOOKUP(CONCATENATE('Respuestas de formulario 1.1'!$B117,MID('Respuestas de formulario 1.1'!EB$1,2,1)),#REF!,12,0),"")</f>
        <v/>
      </c>
      <c r="EC117" s="45" t="str">
        <f>IFERROR(VLOOKUP(CONCATENATE('Respuestas de formulario 1.1'!$B117,MID('Respuestas de formulario 1.1'!EC$1,2,1)),#REF!,12,0),"")</f>
        <v/>
      </c>
      <c r="ED117" s="45" t="str">
        <f>IFERROR(VLOOKUP(CONCATENATE('Respuestas de formulario 1.1'!$B117,MID('Respuestas de formulario 1.1'!ED$1,2,1)),#REF!,12,0),"")</f>
        <v/>
      </c>
      <c r="EE117" s="45" t="str">
        <f>IFERROR(VLOOKUP(CONCATENATE('Respuestas de formulario 1.1'!$B117,MID('Respuestas de formulario 1.1'!EE$1,2,1)),#REF!,12,0),"")</f>
        <v/>
      </c>
      <c r="EF117" s="45" t="str">
        <f>IFERROR(VLOOKUP(CONCATENATE('Respuestas de formulario 1.1'!$B117,MID('Respuestas de formulario 1.1'!EF$1,2,1)),#REF!,12,0),"")</f>
        <v/>
      </c>
      <c r="EG117" s="45" t="str">
        <f>IFERROR(VLOOKUP(CONCATENATE('Respuestas de formulario 1.1'!$B117,MID('Respuestas de formulario 1.1'!EG$1,2,1)),#REF!,12,0),"")</f>
        <v/>
      </c>
      <c r="EH117" s="45" t="str">
        <f>IFERROR(VLOOKUP(CONCATENATE('Respuestas de formulario 1.1'!$B117,MID('Respuestas de formulario 1.1'!EH$1,2,1)),#REF!,12,0),"")</f>
        <v/>
      </c>
      <c r="EI117" s="45" t="str">
        <f>IFERROR(VLOOKUP(CONCATENATE('Respuestas de formulario 1.1'!$B117,MID('Respuestas de formulario 1.1'!EI$1,2,1)),#REF!,12,0),"")</f>
        <v/>
      </c>
      <c r="EJ117" s="45" t="str">
        <f t="array" ref="EJ117">IF(DO117="","", INDEX(#REF!,MATCH(CONCATENATE('Respuestas de formulario 1.1'!$B117,DO117),#REF!,0),MATCH('Respuestas de formulario 1.1'!EJ$1,#REF!,0)))</f>
        <v/>
      </c>
      <c r="EK117" s="56" t="str">
        <f t="array" ref="EK117">IF(DP117="","", INDEX(#REF!,MATCH(CONCATENATE('Respuestas de formulario 1.1'!$B117,DP117),#REF!,0),MATCH('Respuestas de formulario 1.1'!EK$1,#REF!,0)))</f>
        <v/>
      </c>
      <c r="EL117" s="56" t="str">
        <f t="array" ref="EL117">IF(DQ117="","", INDEX(#REF!,MATCH(CONCATENATE('Respuestas de formulario 1.1'!$B117,DQ117),#REF!,0),MATCH('Respuestas de formulario 1.1'!EL$1,#REF!,0)))</f>
        <v/>
      </c>
      <c r="EM117" s="56" t="str">
        <f t="array" ref="EM117">IF(DR117="","", INDEX(#REF!,MATCH(CONCATENATE('Respuestas de formulario 1.1'!$B117,DR117),#REF!,0),MATCH('Respuestas de formulario 1.1'!EM$1,#REF!,0)))</f>
        <v/>
      </c>
      <c r="EN117" s="56" t="str">
        <f t="array" ref="EN117">IF(DS117="","", INDEX(#REF!,MATCH(CONCATENATE('Respuestas de formulario 1.1'!$B117,DS117),#REF!,0),MATCH('Respuestas de formulario 1.1'!EN$1,#REF!,0)))</f>
        <v/>
      </c>
      <c r="EO117" s="56" t="str">
        <f t="array" ref="EO117">IF(DT117="","", INDEX(#REF!,MATCH(CONCATENATE('Respuestas de formulario 1.1'!$B117,DT117),#REF!,0),MATCH('Respuestas de formulario 1.1'!EO$1,#REF!,0)))</f>
        <v/>
      </c>
      <c r="EP117" s="45" t="str">
        <f t="array" ref="EP117">IF(DU117="","", INDEX(#REF!,MATCH(CONCATENATE('Respuestas de formulario 1.1'!$B117,DU117),#REF!,0),MATCH('Respuestas de formulario 1.1'!EP$1,#REF!,0)))</f>
        <v/>
      </c>
      <c r="EQ117" s="45" t="str">
        <f t="array" ref="EQ117">IF(DP117="","", INDEX(#REF!,MATCH(CONCATENATE('Respuestas de formulario 1.1'!$B117,DP117),#REF!,0),MATCH('Respuestas de formulario 1.1'!EQ$1,#REF!,0)))</f>
        <v/>
      </c>
      <c r="ER117" s="56" t="str">
        <f t="array" ref="ER117">IF(DQ117="","", INDEX(#REF!,MATCH(CONCATENATE('Respuestas de formulario 1.1'!$B117,DQ117),#REF!,0),MATCH('Respuestas de formulario 1.1'!ER$1,#REF!,0)))</f>
        <v/>
      </c>
      <c r="ES117" s="56" t="str">
        <f t="array" ref="ES117">IF(DR117="","", INDEX(#REF!,MATCH(CONCATENATE('Respuestas de formulario 1.1'!$B117,DR117),#REF!,0),MATCH('Respuestas de formulario 1.1'!ES$1,#REF!,0)))</f>
        <v/>
      </c>
      <c r="ET117" s="56" t="str">
        <f t="array" ref="ET117">IF(DS117="","", INDEX(#REF!,MATCH(CONCATENATE('Respuestas de formulario 1.1'!$B117,DS117),#REF!,0),MATCH('Respuestas de formulario 1.1'!ET$1,#REF!,0)))</f>
        <v/>
      </c>
      <c r="EU117" s="56" t="str">
        <f t="array" ref="EU117">IF(DT117="","", INDEX(#REF!,MATCH(CONCATENATE('Respuestas de formulario 1.1'!$B117,DT117),#REF!,0),MATCH('Respuestas de formulario 1.1'!EU$1,#REF!,0)))</f>
        <v/>
      </c>
      <c r="EV117" s="56" t="str">
        <f t="array" ref="EV117">IF(DU117="","", INDEX(#REF!,MATCH(CONCATENATE('Respuestas de formulario 1.1'!$B117,DU117),#REF!,0),MATCH('Respuestas de formulario 1.1'!EV$1,#REF!,0)))</f>
        <v/>
      </c>
      <c r="EW117" s="45" t="str">
        <f t="array" ref="EW117">IF(DV117="","", INDEX(#REF!,MATCH(CONCATENATE('Respuestas de formulario 1.1'!$B117,DV117),#REF!,0),MATCH('Respuestas de formulario 1.1'!EW$1,#REF!,0)))</f>
        <v/>
      </c>
      <c r="EX117" s="45" t="str">
        <f t="array" ref="EX117">IF($DQ117="","", INDEX(#REF!,MATCH(CONCATENATE('Respuestas de formulario 1.1'!$B117,$DQ117),#REF!,0),MATCH('Respuestas de formulario 1.1'!EX$1,#REF!,0)))</f>
        <v/>
      </c>
      <c r="EY117" s="56" t="str">
        <f t="array" ref="EY117">IF($DQ117="","", INDEX(#REF!,MATCH(CONCATENATE('Respuestas de formulario 1.1'!$B117,$DQ117),#REF!,0),MATCH('Respuestas de formulario 1.1'!EY$1,#REF!,0)))</f>
        <v/>
      </c>
      <c r="EZ117" s="56" t="str">
        <f t="array" ref="EZ117">IF($DQ117="","", INDEX(#REF!,MATCH(CONCATENATE('Respuestas de formulario 1.1'!$B117,$DQ117),#REF!,0),MATCH('Respuestas de formulario 1.1'!EZ$1,#REF!,0)))</f>
        <v/>
      </c>
      <c r="FA117" s="56" t="str">
        <f t="array" ref="FA117">IF($DQ117="","", INDEX(#REF!,MATCH(CONCATENATE('Respuestas de formulario 1.1'!$B117,$DQ117),#REF!,0),MATCH('Respuestas de formulario 1.1'!FA$1,#REF!,0)))</f>
        <v/>
      </c>
      <c r="FB117" s="56" t="str">
        <f t="array" ref="FB117">IF($DQ117="","", INDEX(#REF!,MATCH(CONCATENATE('Respuestas de formulario 1.1'!$B117,$DQ117),#REF!,0),MATCH('Respuestas de formulario 1.1'!FB$1,#REF!,0)))</f>
        <v/>
      </c>
      <c r="FC117" s="56" t="str">
        <f t="array" ref="FC117">IF($DQ117="","", INDEX(#REF!,MATCH(CONCATENATE('Respuestas de formulario 1.1'!$B117,$DQ117),#REF!,0),MATCH('Respuestas de formulario 1.1'!FC$1,#REF!,0)))</f>
        <v/>
      </c>
      <c r="FD117" s="45" t="str">
        <f t="array" ref="FD117">IF($DQ117="","", INDEX(#REF!,MATCH(CONCATENATE('Respuestas de formulario 1.1'!$B117,$DQ117),#REF!,0),MATCH('Respuestas de formulario 1.1'!FD$1,#REF!,0)))</f>
        <v/>
      </c>
      <c r="FE117" s="45" t="str">
        <f t="array" ref="FE117">IF($DR117="","", INDEX(#REF!,MATCH(CONCATENATE(#REF!,$DR117),#REF!,0),MATCH(#REF!,#REF!,0)))</f>
        <v/>
      </c>
      <c r="FF117" s="56" t="str">
        <f t="array" ref="FF117">IF($DR117="","", INDEX(#REF!,MATCH(CONCATENATE(#REF!,$DR117),#REF!,0),MATCH(#REF!,#REF!,0)))</f>
        <v/>
      </c>
      <c r="FG117" s="56" t="str">
        <f t="array" ref="FG117">IF($DR117="","", INDEX(#REF!,MATCH(CONCATENATE(#REF!,$DR117),#REF!,0),MATCH(#REF!,#REF!,0)))</f>
        <v/>
      </c>
      <c r="FH117" s="56" t="str">
        <f t="array" ref="FH117">IF($DR117="","", INDEX(#REF!,MATCH(CONCATENATE(#REF!,$DR117),#REF!,0),MATCH(#REF!,#REF!,0)))</f>
        <v/>
      </c>
      <c r="FI117" s="56" t="str">
        <f t="array" ref="FI117">IF($DR117="","", INDEX(#REF!,MATCH(CONCATENATE(#REF!,$DR117),#REF!,0),MATCH(#REF!,#REF!,0)))</f>
        <v/>
      </c>
      <c r="FJ117" s="56" t="str">
        <f t="array" ref="FJ117">IF($DR117="","", INDEX(#REF!,MATCH(CONCATENATE(#REF!,$DR117),#REF!,0),MATCH(#REF!,#REF!,0)))</f>
        <v/>
      </c>
      <c r="FK117" s="45" t="str">
        <f t="array" ref="FK117">IF($DR117="","", INDEX(#REF!,MATCH(CONCATENATE(#REF!,$DR117),#REF!,0),MATCH(#REF!,#REF!,0)))</f>
        <v/>
      </c>
      <c r="FL117" s="45" t="str">
        <f t="array" ref="FL117">IF($DT117="","", INDEX(#REF!,MATCH(CONCATENATE('Respuestas de formulario 1.1'!$B117,$DS117),#REF!,0),MATCH('Respuestas de formulario 1.1'!FL$1,#REF!,0)))</f>
        <v/>
      </c>
      <c r="FM117" s="56" t="str">
        <f t="array" ref="FM117">IF($DT117="","", INDEX(#REF!,MATCH(CONCATENATE('Respuestas de formulario 1.1'!$B117,$DS117),#REF!,0),MATCH('Respuestas de formulario 1.1'!FM$1,#REF!,0)))</f>
        <v/>
      </c>
      <c r="FN117" s="56" t="str">
        <f t="array" ref="FN117">IF($DT117="","", INDEX(#REF!,MATCH(CONCATENATE('Respuestas de formulario 1.1'!$B117,$DS117),#REF!,0),MATCH('Respuestas de formulario 1.1'!FN$1,#REF!,0)))</f>
        <v/>
      </c>
      <c r="FO117" s="56" t="str">
        <f t="array" ref="FO117">IF($DT117="","", INDEX(#REF!,MATCH(CONCATENATE('Respuestas de formulario 1.1'!$B117,$DS117),#REF!,0),MATCH('Respuestas de formulario 1.1'!FO$1,#REF!,0)))</f>
        <v/>
      </c>
      <c r="FP117" s="56" t="str">
        <f t="array" ref="FP117">IF($DT117="","", INDEX(#REF!,MATCH(CONCATENATE('Respuestas de formulario 1.1'!$B117,$DS117),#REF!,0),MATCH('Respuestas de formulario 1.1'!FP$1,#REF!,0)))</f>
        <v/>
      </c>
      <c r="FQ117" s="56" t="str">
        <f t="array" ref="FQ117">IF($DT117="","", INDEX(#REF!,MATCH(CONCATENATE('Respuestas de formulario 1.1'!$B117,$DS117),#REF!,0),MATCH('Respuestas de formulario 1.1'!FQ$1,#REF!,0)))</f>
        <v/>
      </c>
      <c r="FR117" s="45" t="str">
        <f t="array" ref="FR117">IF($DT117="","", INDEX(#REF!,MATCH(CONCATENATE('Respuestas de formulario 1.1'!$B117,$DS117),#REF!,0),MATCH('Respuestas de formulario 1.1'!FR$1,#REF!,0)))</f>
        <v/>
      </c>
      <c r="FS117" s="45" t="str">
        <f t="array" ref="FS117">IF($DU117="","", INDEX(#REF!,MATCH(CONCATENATE('Respuestas de formulario 1.1'!$B117,$DT117),#REF!,0),MATCH('Respuestas de formulario 1.1'!FS$1,#REF!,0)))</f>
        <v/>
      </c>
      <c r="FT117" s="56" t="str">
        <f t="array" ref="FT117">IF($DU117="","", INDEX(#REF!,MATCH(CONCATENATE('Respuestas de formulario 1.1'!$B117,$DT117),#REF!,0),MATCH('Respuestas de formulario 1.1'!FT$1,#REF!,0)))</f>
        <v/>
      </c>
      <c r="FU117" s="56" t="str">
        <f t="array" ref="FU117">IF($DU117="","", INDEX(#REF!,MATCH(CONCATENATE('Respuestas de formulario 1.1'!$B117,$DT117),#REF!,0),MATCH('Respuestas de formulario 1.1'!FU$1,#REF!,0)))</f>
        <v/>
      </c>
      <c r="FV117" s="56" t="str">
        <f t="array" ref="FV117">IF($DU117="","", INDEX(#REF!,MATCH(CONCATENATE('Respuestas de formulario 1.1'!$B117,$DT117),#REF!,0),MATCH('Respuestas de formulario 1.1'!FV$1,#REF!,0)))</f>
        <v/>
      </c>
      <c r="FW117" s="56" t="str">
        <f t="array" ref="FW117">IF($DU117="","", INDEX(#REF!,MATCH(CONCATENATE('Respuestas de formulario 1.1'!$B117,$DT117),#REF!,0),MATCH('Respuestas de formulario 1.1'!FW$1,#REF!,0)))</f>
        <v/>
      </c>
      <c r="FX117" s="56" t="str">
        <f t="array" ref="FX117">IF($DU117="","", INDEX(#REF!,MATCH(CONCATENATE('Respuestas de formulario 1.1'!$B117,$DT117),#REF!,0),MATCH('Respuestas de formulario 1.1'!FX$1,#REF!,0)))</f>
        <v/>
      </c>
      <c r="FY117" s="45" t="str">
        <f t="array" ref="FY117">IF($DU117="","", INDEX(#REF!,MATCH(CONCATENATE('Respuestas de formulario 1.1'!$B117,$DT117),#REF!,0),MATCH('Respuestas de formulario 1.1'!FY$1,#REF!,0)))</f>
        <v/>
      </c>
      <c r="FZ117" s="3" t="s">
        <v>2860</v>
      </c>
      <c r="GA117" s="1" t="s">
        <v>4850</v>
      </c>
      <c r="GB117" s="5" t="s">
        <v>4851</v>
      </c>
      <c r="GC117" s="4" t="str">
        <f>HYPERLINK("https://drive.google.com/file/d/1O2c4lsgyqWQxxmvNVsf0F7cXi8ddpSIk/view?usp=drivesdk","CAPISTRAN GALARZA FLOR YARETZI  Formato de reinscripción y pago 2022-2")</f>
        <v>CAPISTRAN GALARZA FLOR YARETZI  Formato de reinscripción y pago 2022-2</v>
      </c>
      <c r="GD117" s="1" t="s">
        <v>4852</v>
      </c>
      <c r="GE117" s="1"/>
      <c r="GF117" s="1"/>
      <c r="GG117" s="1"/>
      <c r="GH117" s="1"/>
      <c r="GI117" s="1" t="s">
        <v>4853</v>
      </c>
      <c r="GJ117" s="5" t="s">
        <v>4854</v>
      </c>
      <c r="GK117" s="5" t="str">
        <f>HYPERLINK("https://drive.google.com/file/d/1pHsfS_5OCgXHWnJiCTjmMVe4IXfh5zAs/view?usp=drivesdk","CAPISTRAN GALARZA FLOR YARETZI  Formato de reinscripción y pago 2022-2")</f>
        <v>CAPISTRAN GALARZA FLOR YARETZI  Formato de reinscripción y pago 2022-2</v>
      </c>
      <c r="GL117" s="1" t="s">
        <v>4855</v>
      </c>
    </row>
    <row r="118" spans="1:194" ht="14.25" x14ac:dyDescent="0.2">
      <c r="A118" s="2">
        <v>45139.436722719911</v>
      </c>
      <c r="B118" s="1" t="s">
        <v>778</v>
      </c>
      <c r="C118" s="1" t="s">
        <v>421</v>
      </c>
      <c r="D118" s="1" t="s">
        <v>554</v>
      </c>
      <c r="E118" s="1" t="s">
        <v>779</v>
      </c>
      <c r="F118" s="1" t="s">
        <v>223</v>
      </c>
      <c r="G118" s="5" t="s">
        <v>4856</v>
      </c>
      <c r="H118" s="41">
        <v>38596</v>
      </c>
      <c r="I118" s="1">
        <v>17</v>
      </c>
      <c r="J118" s="1">
        <v>5564687843</v>
      </c>
      <c r="K118" s="1">
        <v>5551119773</v>
      </c>
      <c r="L118" s="1" t="s">
        <v>780</v>
      </c>
      <c r="M118" s="1">
        <v>21309060570388</v>
      </c>
      <c r="N118" s="1" t="s">
        <v>1108</v>
      </c>
      <c r="O118" s="1" t="s">
        <v>247</v>
      </c>
      <c r="P118" s="1" t="s">
        <v>226</v>
      </c>
      <c r="Q118" s="1" t="s">
        <v>227</v>
      </c>
      <c r="R118" s="1" t="s">
        <v>236</v>
      </c>
      <c r="S118" s="1" t="s">
        <v>228</v>
      </c>
      <c r="T118" s="1" t="s">
        <v>229</v>
      </c>
      <c r="U118" s="1" t="s">
        <v>327</v>
      </c>
      <c r="V118" s="1" t="s">
        <v>228</v>
      </c>
      <c r="W118" s="1" t="s">
        <v>781</v>
      </c>
      <c r="X118" s="1" t="s">
        <v>327</v>
      </c>
      <c r="Y118" s="1" t="s">
        <v>4857</v>
      </c>
      <c r="Z118" s="1" t="s">
        <v>231</v>
      </c>
      <c r="AA118" s="1">
        <v>56346</v>
      </c>
      <c r="AB118" s="1" t="s">
        <v>782</v>
      </c>
      <c r="AC118" s="1" t="s">
        <v>783</v>
      </c>
      <c r="AD118" s="1" t="s">
        <v>4858</v>
      </c>
      <c r="AE118" s="1" t="s">
        <v>4859</v>
      </c>
      <c r="AF118" s="1" t="s">
        <v>445</v>
      </c>
      <c r="AG118" s="1">
        <v>50</v>
      </c>
      <c r="AH118" s="5" t="s">
        <v>4860</v>
      </c>
      <c r="AI118" s="1">
        <v>5542513657</v>
      </c>
      <c r="AJ118" s="1">
        <v>5551119773</v>
      </c>
      <c r="AK118" s="1" t="s">
        <v>785</v>
      </c>
      <c r="AL118" s="1" t="s">
        <v>560</v>
      </c>
      <c r="AM118" s="1" t="s">
        <v>4861</v>
      </c>
      <c r="AN118" s="1" t="s">
        <v>998</v>
      </c>
      <c r="AO118" s="1" t="s">
        <v>435</v>
      </c>
      <c r="AP118" s="1">
        <v>53</v>
      </c>
      <c r="AQ118" s="1" t="s">
        <v>678</v>
      </c>
      <c r="AR118" s="42">
        <v>0.29166666666424135</v>
      </c>
      <c r="AS118" s="42">
        <v>0.875</v>
      </c>
      <c r="AT118" s="1">
        <v>5551821415</v>
      </c>
      <c r="AU118" s="1">
        <v>5551113117</v>
      </c>
      <c r="AV118" s="1" t="s">
        <v>4862</v>
      </c>
      <c r="AW118" s="5" t="s">
        <v>4863</v>
      </c>
      <c r="AX118" s="1" t="s">
        <v>421</v>
      </c>
      <c r="AY118" s="1" t="s">
        <v>554</v>
      </c>
      <c r="AZ118" s="1" t="s">
        <v>1018</v>
      </c>
      <c r="BA118" s="1" t="s">
        <v>403</v>
      </c>
      <c r="BB118" s="1">
        <v>19</v>
      </c>
      <c r="BC118" s="1" t="s">
        <v>303</v>
      </c>
      <c r="BD118" s="43">
        <v>8.3333333335758653E-2</v>
      </c>
      <c r="BE118" s="43">
        <v>0.375</v>
      </c>
      <c r="BF118" s="1">
        <v>5625899886</v>
      </c>
      <c r="BG118" s="1">
        <v>5551119773</v>
      </c>
      <c r="BH118" s="1" t="s">
        <v>4864</v>
      </c>
      <c r="BI118" s="5" t="s">
        <v>4865</v>
      </c>
      <c r="BJ118" s="1" t="s">
        <v>236</v>
      </c>
      <c r="BL118" s="1">
        <v>152</v>
      </c>
      <c r="BM118" s="1">
        <v>54</v>
      </c>
      <c r="BN118" s="1" t="s">
        <v>236</v>
      </c>
      <c r="BO118" s="1" t="s">
        <v>236</v>
      </c>
      <c r="BP118" s="1" t="s">
        <v>4866</v>
      </c>
      <c r="BQ118" s="1" t="s">
        <v>228</v>
      </c>
      <c r="BR118" s="1" t="s">
        <v>237</v>
      </c>
      <c r="BS118" s="1" t="s">
        <v>228</v>
      </c>
      <c r="BT118" s="1" t="s">
        <v>237</v>
      </c>
      <c r="BU118" s="1" t="s">
        <v>228</v>
      </c>
      <c r="BW118" s="1" t="s">
        <v>238</v>
      </c>
      <c r="BX118" s="1">
        <v>120</v>
      </c>
      <c r="BY118" s="1">
        <v>225</v>
      </c>
      <c r="BZ118" s="1" t="s">
        <v>906</v>
      </c>
      <c r="CA118" s="1" t="s">
        <v>343</v>
      </c>
      <c r="CB118" s="1" t="s">
        <v>231</v>
      </c>
      <c r="CC118" s="1" t="s">
        <v>322</v>
      </c>
      <c r="CD118" s="1">
        <v>4000</v>
      </c>
      <c r="CE118" s="1">
        <v>2000</v>
      </c>
      <c r="CF118" s="1" t="s">
        <v>236</v>
      </c>
      <c r="CG118" s="1" t="s">
        <v>242</v>
      </c>
      <c r="CH118" s="1" t="s">
        <v>243</v>
      </c>
      <c r="CI118" s="1" t="s">
        <v>243</v>
      </c>
      <c r="CJ118" s="1" t="s">
        <v>2848</v>
      </c>
      <c r="CL118" s="5" t="s">
        <v>4867</v>
      </c>
      <c r="CM118" s="1">
        <v>74200586092</v>
      </c>
      <c r="CN118" s="1" t="s">
        <v>228</v>
      </c>
      <c r="CQ118" s="42">
        <v>0.33333333333575865</v>
      </c>
      <c r="CR118" s="42">
        <v>0.75</v>
      </c>
      <c r="CT118" s="45" t="str">
        <f t="array" ref="CT118">IFERROR(INDEX(#REF!,MATCH('Respuestas de formulario 1.1'!$B118,#REF!,0),MATCH('Respuestas de formulario 1.1'!CT$1,#REF!,0)),"")</f>
        <v/>
      </c>
      <c r="CU118" s="56" t="str">
        <f t="array" ref="CU118">IFERROR(INDEX(#REF!,MATCH('Respuestas de formulario 1.1'!$B118,#REF!,0),MATCH('Respuestas de formulario 1.1'!CU$1,#REF!,0)),"")</f>
        <v/>
      </c>
      <c r="CV118" s="56" t="str">
        <f t="array" ref="CV118">IFERROR(INDEX(#REF!,MATCH('Respuestas de formulario 1.1'!$B118,#REF!,0),MATCH('Respuestas de formulario 1.1'!CV$1,#REF!,0)),"")</f>
        <v/>
      </c>
      <c r="CW118" s="56" t="str">
        <f t="array" ref="CW118">IFERROR(INDEX(#REF!,MATCH('Respuestas de formulario 1.1'!$B118,#REF!,0),MATCH('Respuestas de formulario 1.1'!CW$1,#REF!,0)),"")</f>
        <v/>
      </c>
      <c r="CX118" s="56" t="str">
        <f t="array" ref="CX118">IFERROR(INDEX(#REF!,MATCH('Respuestas de formulario 1.1'!$B118,#REF!,0),MATCH('Respuestas de formulario 1.1'!CX$1,#REF!,0)),"")</f>
        <v/>
      </c>
      <c r="CY118" s="56" t="str">
        <f t="array" ref="CY118">IFERROR(INDEX(#REF!,MATCH('Respuestas de formulario 1.1'!$B118,#REF!,0),MATCH('Respuestas de formulario 1.1'!CY$1,#REF!,0)),"")</f>
        <v/>
      </c>
      <c r="CZ118" s="57" t="str">
        <f t="array" ref="CZ118">IFERROR(INDEX(#REF!,MATCH('Respuestas de formulario 1.1'!$B118,#REF!,0),MATCH('Respuestas de formulario 1.1'!CZ$1,#REF!,0)),"")</f>
        <v/>
      </c>
      <c r="DA118" s="45" t="e">
        <f t="array" ref="DA118">INDEX(#REF!,MATCH('Respuestas de formulario 1.1'!$B118,#REF!,0),MATCH('Respuestas de formulario 1.1'!DA$1,#REF!,0))</f>
        <v>#REF!</v>
      </c>
      <c r="DB118" s="45" t="e">
        <f t="array" ref="DB118">INDEX(#REF!,MATCH('Respuestas de formulario 1.1'!$B118,#REF!,0),MATCH('Respuestas de formulario 1.1'!DB$1,#REF!,0))</f>
        <v>#REF!</v>
      </c>
      <c r="DC118" s="45" t="e">
        <f t="array" ref="DC118">INDEX(#REF!,MATCH('Respuestas de formulario 1.1'!$B118,#REF!,0),MATCH('Respuestas de formulario 1.1'!DC$1,#REF!,0))</f>
        <v>#REF!</v>
      </c>
      <c r="DD118" s="45" t="e">
        <f t="array" ref="DD118">INDEX(#REF!,MATCH('Respuestas de formulario 1.1'!$B118,#REF!,0),MATCH('Respuestas de formulario 1.1'!DD$1,#REF!,0))</f>
        <v>#REF!</v>
      </c>
      <c r="DE118" s="45" t="e">
        <f t="array" ref="DE118">INDEX(#REF!,MATCH('Respuestas de formulario 1.1'!$B118,#REF!,0),MATCH('Respuestas de formulario 1.1'!DE$1,#REF!,0))</f>
        <v>#REF!</v>
      </c>
      <c r="DF118" s="45" t="e">
        <f t="array" ref="DF118">INDEX(#REF!,MATCH('Respuestas de formulario 1.1'!$B118,#REF!,0),MATCH('Respuestas de formulario 1.1'!DF$1,#REF!,0))</f>
        <v>#REF!</v>
      </c>
      <c r="DG118" s="45" t="e">
        <f t="array" ref="DG118">INDEX(#REF!,MATCH('Respuestas de formulario 1.1'!$B118,#REF!,0),MATCH('Respuestas de formulario 1.1'!DG$1,#REF!,0))</f>
        <v>#REF!</v>
      </c>
      <c r="DH118" s="45" t="e">
        <f t="array" ref="DH118">INDEX(#REF!,MATCH('Respuestas de formulario 1.1'!$B118,#REF!,0),MATCH('Respuestas de formulario 1.1'!DH$1,#REF!,0))</f>
        <v>#REF!</v>
      </c>
      <c r="DI118" s="48" t="e">
        <f>VLOOKUP(CONCATENATE($DF118," TUTO ",$DC118),#REF!,3,0)</f>
        <v>#REF!</v>
      </c>
      <c r="DJ118" s="48" t="e">
        <f t="array" ref="DJ118">IF('Respuestas de formulario 1.1'!A118="","",INDEX(#REF!,MATCH('Respuestas de formulario 1.1'!B118,#REF!,0),MATCH('Respuestas de formulario 1.1'!$DH$1,#REF!,0)))</f>
        <v>#REF!</v>
      </c>
      <c r="DK118" s="52" t="str">
        <f>CONCATENATE("http://doc.google.com/uc?id=",MID('Respuestas de formulario 1.1'!G118,34,33))</f>
        <v>http://doc.google.com/uc?id=1QMzecrJaCz8D_ckop84ofnxnPpgUbYyT</v>
      </c>
      <c r="DL118" s="49" t="str">
        <f>CONCATENATE("http://doc.google.com/uc?id=",MID('Respuestas de formulario 1.1'!AH118,34,33))</f>
        <v>http://doc.google.com/uc?id=1sGwdyYdNaIzGMWyWEvcrgNl6ydrjsci7</v>
      </c>
      <c r="DM118" s="50" t="str">
        <f>CONCATENATE("http://doc.google.com/uc?id=",MID('Respuestas de formulario 1.1'!AW118,34,33))</f>
        <v>http://doc.google.com/uc?id=1cQHh7Lr14rNo3Xhou2PerMAl4NQ2d162</v>
      </c>
      <c r="DN118" s="53" t="str">
        <f>CONCATENATE("http://doc.google.com/uc?id=",MID('Respuestas de formulario 1.1'!$BI118,34,33))</f>
        <v>http://doc.google.com/uc?id=1kgy4vZNWHupoTwI8AvaaTom4BLWf25nN</v>
      </c>
      <c r="DO118" s="45" t="str">
        <f>IFERROR(VLOOKUP(CONCATENATE('Respuestas de formulario 1.1'!$B118,MID('Respuestas de formulario 1.1'!DO$1,2,1)),#REF!,12,0),"")</f>
        <v/>
      </c>
      <c r="DP118" s="45" t="str">
        <f>IFERROR(VLOOKUP(CONCATENATE('Respuestas de formulario 1.1'!$B118,MID('Respuestas de formulario 1.1'!DP$1,2,1)),#REF!,12,0),"")</f>
        <v/>
      </c>
      <c r="DQ118" s="45" t="str">
        <f>IFERROR(VLOOKUP(CONCATENATE('Respuestas de formulario 1.1'!$B118,MID('Respuestas de formulario 1.1'!DQ$1,2,1)),#REF!,12,0),"")</f>
        <v/>
      </c>
      <c r="DR118" s="45" t="str">
        <f>IFERROR(VLOOKUP(CONCATENATE('Respuestas de formulario 1.1'!$B118,MID('Respuestas de formulario 1.1'!DR$1,2,1)),#REF!,12,0),"")</f>
        <v/>
      </c>
      <c r="DS118" s="45" t="str">
        <f>IFERROR(VLOOKUP(CONCATENATE('Respuestas de formulario 1.1'!$B118,MID('Respuestas de formulario 1.1'!DS$1,2,1)),#REF!,12,0),"")</f>
        <v/>
      </c>
      <c r="DT118" s="45" t="str">
        <f>IFERROR(VLOOKUP(CONCATENATE('Respuestas de formulario 1.1'!$B118,MID('Respuestas de formulario 1.1'!DT$1,2,1)),#REF!,12,0),"")</f>
        <v/>
      </c>
      <c r="DU118" s="45" t="str">
        <f>IFERROR(VLOOKUP(CONCATENATE('Respuestas de formulario 1.1'!$B118,MID('Respuestas de formulario 1.1'!DU$1,2,1)),#REF!,12,0),"")</f>
        <v/>
      </c>
      <c r="DV118" s="45" t="str">
        <f>IFERROR(VLOOKUP(CONCATENATE('Respuestas de formulario 1.1'!$B118,MID('Respuestas de formulario 1.1'!DV$1,2,1)),#REF!,12,0),"")</f>
        <v/>
      </c>
      <c r="DW118" s="45" t="str">
        <f>IFERROR(VLOOKUP(CONCATENATE('Respuestas de formulario 1.1'!$B118,MID('Respuestas de formulario 1.1'!DW$1,2,1)),#REF!,12,0),"")</f>
        <v/>
      </c>
      <c r="DX118" s="45" t="str">
        <f>IFERROR(VLOOKUP(CONCATENATE('Respuestas de formulario 1.1'!$B118,MID('Respuestas de formulario 1.1'!DX$1,2,1)),#REF!,12,0),"")</f>
        <v/>
      </c>
      <c r="DY118" s="45" t="str">
        <f>IFERROR(VLOOKUP(CONCATENATE('Respuestas de formulario 1.1'!$B118,MID('Respuestas de formulario 1.1'!DY$1,2,1)),#REF!,12,0),"")</f>
        <v/>
      </c>
      <c r="DZ118" s="45" t="str">
        <f>IFERROR(VLOOKUP(CONCATENATE('Respuestas de formulario 1.1'!$B118,MID('Respuestas de formulario 1.1'!DZ$1,2,1)),#REF!,12,0),"")</f>
        <v/>
      </c>
      <c r="EA118" s="45" t="str">
        <f>IFERROR(VLOOKUP(CONCATENATE('Respuestas de formulario 1.1'!$B118,MID('Respuestas de formulario 1.1'!EA$1,2,1)),#REF!,12,0),"")</f>
        <v/>
      </c>
      <c r="EB118" s="45" t="str">
        <f>IFERROR(VLOOKUP(CONCATENATE('Respuestas de formulario 1.1'!$B118,MID('Respuestas de formulario 1.1'!EB$1,2,1)),#REF!,12,0),"")</f>
        <v/>
      </c>
      <c r="EC118" s="45" t="str">
        <f>IFERROR(VLOOKUP(CONCATENATE('Respuestas de formulario 1.1'!$B118,MID('Respuestas de formulario 1.1'!EC$1,2,1)),#REF!,12,0),"")</f>
        <v/>
      </c>
      <c r="ED118" s="45" t="str">
        <f>IFERROR(VLOOKUP(CONCATENATE('Respuestas de formulario 1.1'!$B118,MID('Respuestas de formulario 1.1'!ED$1,2,1)),#REF!,12,0),"")</f>
        <v/>
      </c>
      <c r="EE118" s="45" t="str">
        <f>IFERROR(VLOOKUP(CONCATENATE('Respuestas de formulario 1.1'!$B118,MID('Respuestas de formulario 1.1'!EE$1,2,1)),#REF!,12,0),"")</f>
        <v/>
      </c>
      <c r="EF118" s="45" t="str">
        <f>IFERROR(VLOOKUP(CONCATENATE('Respuestas de formulario 1.1'!$B118,MID('Respuestas de formulario 1.1'!EF$1,2,1)),#REF!,12,0),"")</f>
        <v/>
      </c>
      <c r="EG118" s="45" t="str">
        <f>IFERROR(VLOOKUP(CONCATENATE('Respuestas de formulario 1.1'!$B118,MID('Respuestas de formulario 1.1'!EG$1,2,1)),#REF!,12,0),"")</f>
        <v/>
      </c>
      <c r="EH118" s="45" t="str">
        <f>IFERROR(VLOOKUP(CONCATENATE('Respuestas de formulario 1.1'!$B118,MID('Respuestas de formulario 1.1'!EH$1,2,1)),#REF!,12,0),"")</f>
        <v/>
      </c>
      <c r="EI118" s="45" t="str">
        <f>IFERROR(VLOOKUP(CONCATENATE('Respuestas de formulario 1.1'!$B118,MID('Respuestas de formulario 1.1'!EI$1,2,1)),#REF!,12,0),"")</f>
        <v/>
      </c>
      <c r="EJ118" s="45" t="str">
        <f t="array" ref="EJ118">IF(DO118="","", INDEX(#REF!,MATCH(CONCATENATE('Respuestas de formulario 1.1'!$B118,DO118),#REF!,0),MATCH('Respuestas de formulario 1.1'!EJ$1,#REF!,0)))</f>
        <v/>
      </c>
      <c r="EK118" s="56" t="str">
        <f t="array" ref="EK118">IF(DP118="","", INDEX(#REF!,MATCH(CONCATENATE('Respuestas de formulario 1.1'!$B118,DP118),#REF!,0),MATCH('Respuestas de formulario 1.1'!EK$1,#REF!,0)))</f>
        <v/>
      </c>
      <c r="EL118" s="56" t="str">
        <f t="array" ref="EL118">IF(DQ118="","", INDEX(#REF!,MATCH(CONCATENATE('Respuestas de formulario 1.1'!$B118,DQ118),#REF!,0),MATCH('Respuestas de formulario 1.1'!EL$1,#REF!,0)))</f>
        <v/>
      </c>
      <c r="EM118" s="56" t="str">
        <f t="array" ref="EM118">IF(DR118="","", INDEX(#REF!,MATCH(CONCATENATE('Respuestas de formulario 1.1'!$B118,DR118),#REF!,0),MATCH('Respuestas de formulario 1.1'!EM$1,#REF!,0)))</f>
        <v/>
      </c>
      <c r="EN118" s="56" t="str">
        <f t="array" ref="EN118">IF(DS118="","", INDEX(#REF!,MATCH(CONCATENATE('Respuestas de formulario 1.1'!$B118,DS118),#REF!,0),MATCH('Respuestas de formulario 1.1'!EN$1,#REF!,0)))</f>
        <v/>
      </c>
      <c r="EO118" s="56" t="str">
        <f t="array" ref="EO118">IF(DT118="","", INDEX(#REF!,MATCH(CONCATENATE('Respuestas de formulario 1.1'!$B118,DT118),#REF!,0),MATCH('Respuestas de formulario 1.1'!EO$1,#REF!,0)))</f>
        <v/>
      </c>
      <c r="EP118" s="45" t="str">
        <f t="array" ref="EP118">IF(DU118="","", INDEX(#REF!,MATCH(CONCATENATE('Respuestas de formulario 1.1'!$B118,DU118),#REF!,0),MATCH('Respuestas de formulario 1.1'!EP$1,#REF!,0)))</f>
        <v/>
      </c>
      <c r="EQ118" s="45" t="str">
        <f t="array" ref="EQ118">IF(DP118="","", INDEX(#REF!,MATCH(CONCATENATE('Respuestas de formulario 1.1'!$B118,DP118),#REF!,0),MATCH('Respuestas de formulario 1.1'!EQ$1,#REF!,0)))</f>
        <v/>
      </c>
      <c r="ER118" s="56" t="str">
        <f t="array" ref="ER118">IF(DQ118="","", INDEX(#REF!,MATCH(CONCATENATE('Respuestas de formulario 1.1'!$B118,DQ118),#REF!,0),MATCH('Respuestas de formulario 1.1'!ER$1,#REF!,0)))</f>
        <v/>
      </c>
      <c r="ES118" s="56" t="str">
        <f t="array" ref="ES118">IF(DR118="","", INDEX(#REF!,MATCH(CONCATENATE('Respuestas de formulario 1.1'!$B118,DR118),#REF!,0),MATCH('Respuestas de formulario 1.1'!ES$1,#REF!,0)))</f>
        <v/>
      </c>
      <c r="ET118" s="56" t="str">
        <f t="array" ref="ET118">IF(DS118="","", INDEX(#REF!,MATCH(CONCATENATE('Respuestas de formulario 1.1'!$B118,DS118),#REF!,0),MATCH('Respuestas de formulario 1.1'!ET$1,#REF!,0)))</f>
        <v/>
      </c>
      <c r="EU118" s="56" t="str">
        <f t="array" ref="EU118">IF(DT118="","", INDEX(#REF!,MATCH(CONCATENATE('Respuestas de formulario 1.1'!$B118,DT118),#REF!,0),MATCH('Respuestas de formulario 1.1'!EU$1,#REF!,0)))</f>
        <v/>
      </c>
      <c r="EV118" s="56" t="str">
        <f t="array" ref="EV118">IF(DU118="","", INDEX(#REF!,MATCH(CONCATENATE('Respuestas de formulario 1.1'!$B118,DU118),#REF!,0),MATCH('Respuestas de formulario 1.1'!EV$1,#REF!,0)))</f>
        <v/>
      </c>
      <c r="EW118" s="45" t="str">
        <f t="array" ref="EW118">IF(DV118="","", INDEX(#REF!,MATCH(CONCATENATE('Respuestas de formulario 1.1'!$B118,DV118),#REF!,0),MATCH('Respuestas de formulario 1.1'!EW$1,#REF!,0)))</f>
        <v/>
      </c>
      <c r="EX118" s="45" t="str">
        <f t="array" ref="EX118">IF($DQ118="","", INDEX(#REF!,MATCH(CONCATENATE('Respuestas de formulario 1.1'!$B118,$DQ118),#REF!,0),MATCH('Respuestas de formulario 1.1'!EX$1,#REF!,0)))</f>
        <v/>
      </c>
      <c r="EY118" s="56" t="str">
        <f t="array" ref="EY118">IF($DQ118="","", INDEX(#REF!,MATCH(CONCATENATE('Respuestas de formulario 1.1'!$B118,$DQ118),#REF!,0),MATCH('Respuestas de formulario 1.1'!EY$1,#REF!,0)))</f>
        <v/>
      </c>
      <c r="EZ118" s="56" t="str">
        <f t="array" ref="EZ118">IF($DQ118="","", INDEX(#REF!,MATCH(CONCATENATE('Respuestas de formulario 1.1'!$B118,$DQ118),#REF!,0),MATCH('Respuestas de formulario 1.1'!EZ$1,#REF!,0)))</f>
        <v/>
      </c>
      <c r="FA118" s="56" t="str">
        <f t="array" ref="FA118">IF($DQ118="","", INDEX(#REF!,MATCH(CONCATENATE('Respuestas de formulario 1.1'!$B118,$DQ118),#REF!,0),MATCH('Respuestas de formulario 1.1'!FA$1,#REF!,0)))</f>
        <v/>
      </c>
      <c r="FB118" s="56" t="str">
        <f t="array" ref="FB118">IF($DQ118="","", INDEX(#REF!,MATCH(CONCATENATE('Respuestas de formulario 1.1'!$B118,$DQ118),#REF!,0),MATCH('Respuestas de formulario 1.1'!FB$1,#REF!,0)))</f>
        <v/>
      </c>
      <c r="FC118" s="56" t="str">
        <f t="array" ref="FC118">IF($DQ118="","", INDEX(#REF!,MATCH(CONCATENATE('Respuestas de formulario 1.1'!$B118,$DQ118),#REF!,0),MATCH('Respuestas de formulario 1.1'!FC$1,#REF!,0)))</f>
        <v/>
      </c>
      <c r="FD118" s="45" t="str">
        <f t="array" ref="FD118">IF($DQ118="","", INDEX(#REF!,MATCH(CONCATENATE('Respuestas de formulario 1.1'!$B118,$DQ118),#REF!,0),MATCH('Respuestas de formulario 1.1'!FD$1,#REF!,0)))</f>
        <v/>
      </c>
      <c r="FE118" s="45" t="str">
        <f t="array" ref="FE118">IF($DR118="","", INDEX(#REF!,MATCH(CONCATENATE(#REF!,$DR118),#REF!,0),MATCH(#REF!,#REF!,0)))</f>
        <v/>
      </c>
      <c r="FF118" s="56" t="str">
        <f t="array" ref="FF118">IF($DR118="","", INDEX(#REF!,MATCH(CONCATENATE(#REF!,$DR118),#REF!,0),MATCH(#REF!,#REF!,0)))</f>
        <v/>
      </c>
      <c r="FG118" s="56" t="str">
        <f t="array" ref="FG118">IF($DR118="","", INDEX(#REF!,MATCH(CONCATENATE(#REF!,$DR118),#REF!,0),MATCH(#REF!,#REF!,0)))</f>
        <v/>
      </c>
      <c r="FH118" s="56" t="str">
        <f t="array" ref="FH118">IF($DR118="","", INDEX(#REF!,MATCH(CONCATENATE(#REF!,$DR118),#REF!,0),MATCH(#REF!,#REF!,0)))</f>
        <v/>
      </c>
      <c r="FI118" s="56" t="str">
        <f t="array" ref="FI118">IF($DR118="","", INDEX(#REF!,MATCH(CONCATENATE(#REF!,$DR118),#REF!,0),MATCH(#REF!,#REF!,0)))</f>
        <v/>
      </c>
      <c r="FJ118" s="56" t="str">
        <f t="array" ref="FJ118">IF($DR118="","", INDEX(#REF!,MATCH(CONCATENATE(#REF!,$DR118),#REF!,0),MATCH(#REF!,#REF!,0)))</f>
        <v/>
      </c>
      <c r="FK118" s="45" t="str">
        <f t="array" ref="FK118">IF($DR118="","", INDEX(#REF!,MATCH(CONCATENATE(#REF!,$DR118),#REF!,0),MATCH(#REF!,#REF!,0)))</f>
        <v/>
      </c>
      <c r="FL118" s="45" t="str">
        <f t="array" ref="FL118">IF($DT118="","", INDEX(#REF!,MATCH(CONCATENATE('Respuestas de formulario 1.1'!$B118,$DS118),#REF!,0),MATCH('Respuestas de formulario 1.1'!FL$1,#REF!,0)))</f>
        <v/>
      </c>
      <c r="FM118" s="56" t="str">
        <f t="array" ref="FM118">IF($DT118="","", INDEX(#REF!,MATCH(CONCATENATE('Respuestas de formulario 1.1'!$B118,$DS118),#REF!,0),MATCH('Respuestas de formulario 1.1'!FM$1,#REF!,0)))</f>
        <v/>
      </c>
      <c r="FN118" s="56" t="str">
        <f t="array" ref="FN118">IF($DT118="","", INDEX(#REF!,MATCH(CONCATENATE('Respuestas de formulario 1.1'!$B118,$DS118),#REF!,0),MATCH('Respuestas de formulario 1.1'!FN$1,#REF!,0)))</f>
        <v/>
      </c>
      <c r="FO118" s="56" t="str">
        <f t="array" ref="FO118">IF($DT118="","", INDEX(#REF!,MATCH(CONCATENATE('Respuestas de formulario 1.1'!$B118,$DS118),#REF!,0),MATCH('Respuestas de formulario 1.1'!FO$1,#REF!,0)))</f>
        <v/>
      </c>
      <c r="FP118" s="56" t="str">
        <f t="array" ref="FP118">IF($DT118="","", INDEX(#REF!,MATCH(CONCATENATE('Respuestas de formulario 1.1'!$B118,$DS118),#REF!,0),MATCH('Respuestas de formulario 1.1'!FP$1,#REF!,0)))</f>
        <v/>
      </c>
      <c r="FQ118" s="56" t="str">
        <f t="array" ref="FQ118">IF($DT118="","", INDEX(#REF!,MATCH(CONCATENATE('Respuestas de formulario 1.1'!$B118,$DS118),#REF!,0),MATCH('Respuestas de formulario 1.1'!FQ$1,#REF!,0)))</f>
        <v/>
      </c>
      <c r="FR118" s="45" t="str">
        <f t="array" ref="FR118">IF($DT118="","", INDEX(#REF!,MATCH(CONCATENATE('Respuestas de formulario 1.1'!$B118,$DS118),#REF!,0),MATCH('Respuestas de formulario 1.1'!FR$1,#REF!,0)))</f>
        <v/>
      </c>
      <c r="FS118" s="45" t="str">
        <f t="array" ref="FS118">IF($DU118="","", INDEX(#REF!,MATCH(CONCATENATE('Respuestas de formulario 1.1'!$B118,$DT118),#REF!,0),MATCH('Respuestas de formulario 1.1'!FS$1,#REF!,0)))</f>
        <v/>
      </c>
      <c r="FT118" s="56" t="str">
        <f t="array" ref="FT118">IF($DU118="","", INDEX(#REF!,MATCH(CONCATENATE('Respuestas de formulario 1.1'!$B118,$DT118),#REF!,0),MATCH('Respuestas de formulario 1.1'!FT$1,#REF!,0)))</f>
        <v/>
      </c>
      <c r="FU118" s="56" t="str">
        <f t="array" ref="FU118">IF($DU118="","", INDEX(#REF!,MATCH(CONCATENATE('Respuestas de formulario 1.1'!$B118,$DT118),#REF!,0),MATCH('Respuestas de formulario 1.1'!FU$1,#REF!,0)))</f>
        <v/>
      </c>
      <c r="FV118" s="56" t="str">
        <f t="array" ref="FV118">IF($DU118="","", INDEX(#REF!,MATCH(CONCATENATE('Respuestas de formulario 1.1'!$B118,$DT118),#REF!,0),MATCH('Respuestas de formulario 1.1'!FV$1,#REF!,0)))</f>
        <v/>
      </c>
      <c r="FW118" s="56" t="str">
        <f t="array" ref="FW118">IF($DU118="","", INDEX(#REF!,MATCH(CONCATENATE('Respuestas de formulario 1.1'!$B118,$DT118),#REF!,0),MATCH('Respuestas de formulario 1.1'!FW$1,#REF!,0)))</f>
        <v/>
      </c>
      <c r="FX118" s="56" t="str">
        <f t="array" ref="FX118">IF($DU118="","", INDEX(#REF!,MATCH(CONCATENATE('Respuestas de formulario 1.1'!$B118,$DT118),#REF!,0),MATCH('Respuestas de formulario 1.1'!FX$1,#REF!,0)))</f>
        <v/>
      </c>
      <c r="FY118" s="45" t="str">
        <f t="array" ref="FY118">IF($DU118="","", INDEX(#REF!,MATCH(CONCATENATE('Respuestas de formulario 1.1'!$B118,$DT118),#REF!,0),MATCH('Respuestas de formulario 1.1'!FY$1,#REF!,0)))</f>
        <v/>
      </c>
      <c r="GA118" s="1" t="s">
        <v>4868</v>
      </c>
      <c r="GB118" s="5" t="s">
        <v>4869</v>
      </c>
      <c r="GC118" s="4" t="str">
        <f>HYPERLINK("https://drive.google.com/file/d/1BDof5uJ9-qUex2iJHEoWwgOgvc7jezS1/view?usp=drivesdk","GONZALEZ FERNANDEZ CARLA Formato de reinscripción y pago 2022-2")</f>
        <v>GONZALEZ FERNANDEZ CARLA Formato de reinscripción y pago 2022-2</v>
      </c>
      <c r="GD118" s="1" t="s">
        <v>4870</v>
      </c>
      <c r="GE118" s="1"/>
      <c r="GF118" s="1"/>
      <c r="GG118" s="1"/>
      <c r="GH118" s="1"/>
      <c r="GI118" s="1" t="s">
        <v>4871</v>
      </c>
      <c r="GJ118" s="5" t="s">
        <v>4872</v>
      </c>
      <c r="GK118" s="5" t="str">
        <f>HYPERLINK("https://drive.google.com/file/d/1QLJLpyObO8N7RAM7Is7_ZzW1Mra5TiKl/view?usp=drivesdk","GONZALEZ FERNANDEZ CARLA Formato de reinscripción y pago 2022-2")</f>
        <v>GONZALEZ FERNANDEZ CARLA Formato de reinscripción y pago 2022-2</v>
      </c>
      <c r="GL118" s="1" t="s">
        <v>4873</v>
      </c>
    </row>
    <row r="119" spans="1:194" ht="38.25" x14ac:dyDescent="0.2">
      <c r="A119" s="2">
        <v>45139.437067094907</v>
      </c>
      <c r="B119" s="1" t="s">
        <v>2462</v>
      </c>
      <c r="C119" s="1" t="s">
        <v>1626</v>
      </c>
      <c r="D119" s="1" t="s">
        <v>1779</v>
      </c>
      <c r="E119" s="1" t="s">
        <v>2463</v>
      </c>
      <c r="F119" s="1" t="s">
        <v>223</v>
      </c>
      <c r="G119" s="5" t="s">
        <v>4874</v>
      </c>
      <c r="H119" s="41">
        <v>38283</v>
      </c>
      <c r="I119" s="1">
        <v>18</v>
      </c>
      <c r="J119" s="1">
        <v>5620769239</v>
      </c>
      <c r="K119" s="1">
        <v>5620769239</v>
      </c>
      <c r="L119" s="1" t="s">
        <v>2464</v>
      </c>
      <c r="M119" s="1">
        <v>21309060570931</v>
      </c>
      <c r="N119" s="1" t="s">
        <v>1108</v>
      </c>
      <c r="O119" s="1" t="s">
        <v>225</v>
      </c>
      <c r="P119" s="1" t="s">
        <v>226</v>
      </c>
      <c r="Q119" s="1" t="s">
        <v>248</v>
      </c>
      <c r="R119" s="1" t="s">
        <v>228</v>
      </c>
      <c r="S119" s="1" t="s">
        <v>228</v>
      </c>
      <c r="T119" s="1" t="s">
        <v>229</v>
      </c>
      <c r="U119" s="1" t="s">
        <v>264</v>
      </c>
      <c r="V119" s="1" t="s">
        <v>228</v>
      </c>
      <c r="W119" s="1" t="s">
        <v>4875</v>
      </c>
      <c r="X119" s="1" t="s">
        <v>264</v>
      </c>
      <c r="Y119" s="1" t="s">
        <v>522</v>
      </c>
      <c r="Z119" s="1" t="s">
        <v>231</v>
      </c>
      <c r="AA119" s="1">
        <v>57200</v>
      </c>
      <c r="AB119" s="1">
        <v>62</v>
      </c>
      <c r="AC119" s="1">
        <v>2</v>
      </c>
      <c r="AD119" s="1" t="s">
        <v>4876</v>
      </c>
      <c r="AE119" s="1" t="s">
        <v>4877</v>
      </c>
      <c r="AF119" s="1" t="s">
        <v>4878</v>
      </c>
      <c r="AG119" s="1">
        <v>18</v>
      </c>
      <c r="AH119" s="5" t="s">
        <v>4879</v>
      </c>
      <c r="AI119" s="1">
        <v>5620769239</v>
      </c>
      <c r="AJ119" s="1">
        <v>5620769239</v>
      </c>
      <c r="AK119" s="1" t="s">
        <v>2465</v>
      </c>
      <c r="AL119" s="1" t="s">
        <v>1626</v>
      </c>
      <c r="AM119" s="1" t="s">
        <v>600</v>
      </c>
      <c r="AN119" s="1" t="s">
        <v>2463</v>
      </c>
      <c r="AO119" s="1" t="s">
        <v>4878</v>
      </c>
      <c r="AP119" s="1">
        <v>18</v>
      </c>
      <c r="AQ119" s="1" t="s">
        <v>303</v>
      </c>
      <c r="AR119" s="42">
        <v>0</v>
      </c>
      <c r="AS119" s="42">
        <v>0</v>
      </c>
      <c r="AT119" s="1">
        <v>5620769239</v>
      </c>
      <c r="AU119" s="1">
        <v>5620769239</v>
      </c>
      <c r="AV119" s="1" t="s">
        <v>2465</v>
      </c>
      <c r="AW119" s="5" t="s">
        <v>4880</v>
      </c>
      <c r="AX119" s="1" t="s">
        <v>1626</v>
      </c>
      <c r="AY119" s="1" t="s">
        <v>600</v>
      </c>
      <c r="AZ119" s="1" t="s">
        <v>2463</v>
      </c>
      <c r="BA119" s="1" t="s">
        <v>4878</v>
      </c>
      <c r="BB119" s="1">
        <v>18</v>
      </c>
      <c r="BC119" s="1" t="s">
        <v>303</v>
      </c>
      <c r="BD119" s="43">
        <v>0</v>
      </c>
      <c r="BE119" s="43">
        <v>0</v>
      </c>
      <c r="BF119" s="1">
        <v>5620769230</v>
      </c>
      <c r="BG119" s="1">
        <v>5629769239</v>
      </c>
      <c r="BH119" s="1" t="s">
        <v>2465</v>
      </c>
      <c r="BI119" s="5" t="s">
        <v>4881</v>
      </c>
      <c r="BJ119" s="1" t="s">
        <v>228</v>
      </c>
      <c r="BK119" s="1" t="s">
        <v>2265</v>
      </c>
      <c r="BL119" s="1">
        <v>158</v>
      </c>
      <c r="BM119" s="1">
        <v>69</v>
      </c>
      <c r="BN119" s="1" t="s">
        <v>236</v>
      </c>
      <c r="BO119" s="1" t="s">
        <v>228</v>
      </c>
      <c r="BP119" s="1" t="s">
        <v>297</v>
      </c>
      <c r="BQ119" s="1" t="s">
        <v>228</v>
      </c>
      <c r="BR119" s="1" t="s">
        <v>237</v>
      </c>
      <c r="BS119" s="1" t="s">
        <v>228</v>
      </c>
      <c r="BT119" s="1" t="s">
        <v>237</v>
      </c>
      <c r="BU119" s="1" t="s">
        <v>228</v>
      </c>
      <c r="BW119" s="1" t="s">
        <v>349</v>
      </c>
      <c r="BX119" s="1">
        <v>90</v>
      </c>
      <c r="BY119" s="1">
        <v>190</v>
      </c>
      <c r="BZ119" s="1" t="s">
        <v>253</v>
      </c>
      <c r="CA119" s="1" t="s">
        <v>2742</v>
      </c>
      <c r="CB119" s="1" t="s">
        <v>240</v>
      </c>
      <c r="CC119" s="1" t="s">
        <v>416</v>
      </c>
      <c r="CD119" s="1">
        <v>1200</v>
      </c>
      <c r="CE119" s="1">
        <v>200</v>
      </c>
      <c r="CF119" s="1" t="s">
        <v>236</v>
      </c>
      <c r="CG119" s="1" t="s">
        <v>242</v>
      </c>
      <c r="CH119" s="1" t="s">
        <v>243</v>
      </c>
      <c r="CI119" s="1" t="s">
        <v>243</v>
      </c>
      <c r="CJ119" s="1" t="s">
        <v>2848</v>
      </c>
      <c r="CL119" s="5" t="s">
        <v>4882</v>
      </c>
      <c r="CM119" s="1">
        <v>85190415563</v>
      </c>
      <c r="CN119" s="1" t="s">
        <v>228</v>
      </c>
      <c r="CQ119" s="42">
        <v>0</v>
      </c>
      <c r="CR119" s="42">
        <v>0</v>
      </c>
      <c r="CT119" s="45" t="str">
        <f t="array" ref="CT119">IFERROR(INDEX(#REF!,MATCH('Respuestas de formulario 1.1'!$B119,#REF!,0),MATCH('Respuestas de formulario 1.1'!CT$1,#REF!,0)),"")</f>
        <v/>
      </c>
      <c r="CU119" s="56" t="str">
        <f t="array" ref="CU119">IFERROR(INDEX(#REF!,MATCH('Respuestas de formulario 1.1'!$B119,#REF!,0),MATCH('Respuestas de formulario 1.1'!CU$1,#REF!,0)),"")</f>
        <v/>
      </c>
      <c r="CV119" s="56" t="str">
        <f t="array" ref="CV119">IFERROR(INDEX(#REF!,MATCH('Respuestas de formulario 1.1'!$B119,#REF!,0),MATCH('Respuestas de formulario 1.1'!CV$1,#REF!,0)),"")</f>
        <v/>
      </c>
      <c r="CW119" s="56" t="str">
        <f t="array" ref="CW119">IFERROR(INDEX(#REF!,MATCH('Respuestas de formulario 1.1'!$B119,#REF!,0),MATCH('Respuestas de formulario 1.1'!CW$1,#REF!,0)),"")</f>
        <v/>
      </c>
      <c r="CX119" s="56" t="str">
        <f t="array" ref="CX119">IFERROR(INDEX(#REF!,MATCH('Respuestas de formulario 1.1'!$B119,#REF!,0),MATCH('Respuestas de formulario 1.1'!CX$1,#REF!,0)),"")</f>
        <v/>
      </c>
      <c r="CY119" s="56" t="str">
        <f t="array" ref="CY119">IFERROR(INDEX(#REF!,MATCH('Respuestas de formulario 1.1'!$B119,#REF!,0),MATCH('Respuestas de formulario 1.1'!CY$1,#REF!,0)),"")</f>
        <v/>
      </c>
      <c r="CZ119" s="57" t="str">
        <f t="array" ref="CZ119">IFERROR(INDEX(#REF!,MATCH('Respuestas de formulario 1.1'!$B119,#REF!,0),MATCH('Respuestas de formulario 1.1'!CZ$1,#REF!,0)),"")</f>
        <v/>
      </c>
      <c r="DA119" s="45" t="e">
        <f t="array" ref="DA119">INDEX(#REF!,MATCH('Respuestas de formulario 1.1'!$B119,#REF!,0),MATCH('Respuestas de formulario 1.1'!DA$1,#REF!,0))</f>
        <v>#REF!</v>
      </c>
      <c r="DB119" s="45" t="e">
        <f t="array" ref="DB119">INDEX(#REF!,MATCH('Respuestas de formulario 1.1'!$B119,#REF!,0),MATCH('Respuestas de formulario 1.1'!DB$1,#REF!,0))</f>
        <v>#REF!</v>
      </c>
      <c r="DC119" s="45" t="e">
        <f t="array" ref="DC119">INDEX(#REF!,MATCH('Respuestas de formulario 1.1'!$B119,#REF!,0),MATCH('Respuestas de formulario 1.1'!DC$1,#REF!,0))</f>
        <v>#REF!</v>
      </c>
      <c r="DD119" s="45" t="e">
        <f t="array" ref="DD119">INDEX(#REF!,MATCH('Respuestas de formulario 1.1'!$B119,#REF!,0),MATCH('Respuestas de formulario 1.1'!DD$1,#REF!,0))</f>
        <v>#REF!</v>
      </c>
      <c r="DE119" s="45" t="e">
        <f t="array" ref="DE119">INDEX(#REF!,MATCH('Respuestas de formulario 1.1'!$B119,#REF!,0),MATCH('Respuestas de formulario 1.1'!DE$1,#REF!,0))</f>
        <v>#REF!</v>
      </c>
      <c r="DF119" s="45" t="e">
        <f t="array" ref="DF119">INDEX(#REF!,MATCH('Respuestas de formulario 1.1'!$B119,#REF!,0),MATCH('Respuestas de formulario 1.1'!DF$1,#REF!,0))</f>
        <v>#REF!</v>
      </c>
      <c r="DG119" s="45" t="e">
        <f t="array" ref="DG119">INDEX(#REF!,MATCH('Respuestas de formulario 1.1'!$B119,#REF!,0),MATCH('Respuestas de formulario 1.1'!DG$1,#REF!,0))</f>
        <v>#REF!</v>
      </c>
      <c r="DH119" s="45" t="e">
        <f t="array" ref="DH119">INDEX(#REF!,MATCH('Respuestas de formulario 1.1'!$B119,#REF!,0),MATCH('Respuestas de formulario 1.1'!DH$1,#REF!,0))</f>
        <v>#REF!</v>
      </c>
      <c r="DI119" s="48" t="e">
        <f>VLOOKUP(CONCATENATE($DF119," TUTO ",$DC119),#REF!,3,0)</f>
        <v>#REF!</v>
      </c>
      <c r="DJ119" s="48" t="e">
        <f t="array" ref="DJ119">IF('Respuestas de formulario 1.1'!A119="","",INDEX(#REF!,MATCH('Respuestas de formulario 1.1'!B119,#REF!,0),MATCH('Respuestas de formulario 1.1'!$DH$1,#REF!,0)))</f>
        <v>#REF!</v>
      </c>
      <c r="DK119" s="52" t="str">
        <f>CONCATENATE("http://doc.google.com/uc?id=",MID('Respuestas de formulario 1.1'!G119,34,33))</f>
        <v>http://doc.google.com/uc?id=1805gzZbfXGOeVRKj6xJitFIkC585jQ3x</v>
      </c>
      <c r="DL119" s="49" t="str">
        <f>CONCATENATE("http://doc.google.com/uc?id=",MID('Respuestas de formulario 1.1'!AH119,34,33))</f>
        <v>http://doc.google.com/uc?id=14Zvia3WcUywdkxtm9JVkbv2n2xf3PtLQ</v>
      </c>
      <c r="DM119" s="50" t="str">
        <f>CONCATENATE("http://doc.google.com/uc?id=",MID('Respuestas de formulario 1.1'!AW119,34,33))</f>
        <v>http://doc.google.com/uc?id=10n7d3-G07U1eiTCj60dTMlY3o4p0GBUs</v>
      </c>
      <c r="DN119" s="53" t="str">
        <f>CONCATENATE("http://doc.google.com/uc?id=",MID('Respuestas de formulario 1.1'!$BI119,34,33))</f>
        <v>http://doc.google.com/uc?id=1NhUXFOm-T33ToyoPng0LO6_t5lxcYVTj</v>
      </c>
      <c r="DO119" s="45" t="str">
        <f>IFERROR(VLOOKUP(CONCATENATE('Respuestas de formulario 1.1'!$B119,MID('Respuestas de formulario 1.1'!DO$1,2,1)),#REF!,12,0),"")</f>
        <v/>
      </c>
      <c r="DP119" s="45" t="str">
        <f>IFERROR(VLOOKUP(CONCATENATE('Respuestas de formulario 1.1'!$B119,MID('Respuestas de formulario 1.1'!DP$1,2,1)),#REF!,12,0),"")</f>
        <v/>
      </c>
      <c r="DQ119" s="45" t="str">
        <f>IFERROR(VLOOKUP(CONCATENATE('Respuestas de formulario 1.1'!$B119,MID('Respuestas de formulario 1.1'!DQ$1,2,1)),#REF!,12,0),"")</f>
        <v/>
      </c>
      <c r="DR119" s="45" t="str">
        <f>IFERROR(VLOOKUP(CONCATENATE('Respuestas de formulario 1.1'!$B119,MID('Respuestas de formulario 1.1'!DR$1,2,1)),#REF!,12,0),"")</f>
        <v/>
      </c>
      <c r="DS119" s="45" t="str">
        <f>IFERROR(VLOOKUP(CONCATENATE('Respuestas de formulario 1.1'!$B119,MID('Respuestas de formulario 1.1'!DS$1,2,1)),#REF!,12,0),"")</f>
        <v/>
      </c>
      <c r="DT119" s="45" t="str">
        <f>IFERROR(VLOOKUP(CONCATENATE('Respuestas de formulario 1.1'!$B119,MID('Respuestas de formulario 1.1'!DT$1,2,1)),#REF!,12,0),"")</f>
        <v/>
      </c>
      <c r="DU119" s="45" t="str">
        <f>IFERROR(VLOOKUP(CONCATENATE('Respuestas de formulario 1.1'!$B119,MID('Respuestas de formulario 1.1'!DU$1,2,1)),#REF!,12,0),"")</f>
        <v/>
      </c>
      <c r="DV119" s="45" t="str">
        <f>IFERROR(VLOOKUP(CONCATENATE('Respuestas de formulario 1.1'!$B119,MID('Respuestas de formulario 1.1'!DV$1,2,1)),#REF!,12,0),"")</f>
        <v/>
      </c>
      <c r="DW119" s="45" t="str">
        <f>IFERROR(VLOOKUP(CONCATENATE('Respuestas de formulario 1.1'!$B119,MID('Respuestas de formulario 1.1'!DW$1,2,1)),#REF!,12,0),"")</f>
        <v/>
      </c>
      <c r="DX119" s="45" t="str">
        <f>IFERROR(VLOOKUP(CONCATENATE('Respuestas de formulario 1.1'!$B119,MID('Respuestas de formulario 1.1'!DX$1,2,1)),#REF!,12,0),"")</f>
        <v/>
      </c>
      <c r="DY119" s="45" t="str">
        <f>IFERROR(VLOOKUP(CONCATENATE('Respuestas de formulario 1.1'!$B119,MID('Respuestas de formulario 1.1'!DY$1,2,1)),#REF!,12,0),"")</f>
        <v/>
      </c>
      <c r="DZ119" s="45" t="str">
        <f>IFERROR(VLOOKUP(CONCATENATE('Respuestas de formulario 1.1'!$B119,MID('Respuestas de formulario 1.1'!DZ$1,2,1)),#REF!,12,0),"")</f>
        <v/>
      </c>
      <c r="EA119" s="45" t="str">
        <f>IFERROR(VLOOKUP(CONCATENATE('Respuestas de formulario 1.1'!$B119,MID('Respuestas de formulario 1.1'!EA$1,2,1)),#REF!,12,0),"")</f>
        <v/>
      </c>
      <c r="EB119" s="45" t="str">
        <f>IFERROR(VLOOKUP(CONCATENATE('Respuestas de formulario 1.1'!$B119,MID('Respuestas de formulario 1.1'!EB$1,2,1)),#REF!,12,0),"")</f>
        <v/>
      </c>
      <c r="EC119" s="45" t="str">
        <f>IFERROR(VLOOKUP(CONCATENATE('Respuestas de formulario 1.1'!$B119,MID('Respuestas de formulario 1.1'!EC$1,2,1)),#REF!,12,0),"")</f>
        <v/>
      </c>
      <c r="ED119" s="45" t="str">
        <f>IFERROR(VLOOKUP(CONCATENATE('Respuestas de formulario 1.1'!$B119,MID('Respuestas de formulario 1.1'!ED$1,2,1)),#REF!,12,0),"")</f>
        <v/>
      </c>
      <c r="EE119" s="45" t="str">
        <f>IFERROR(VLOOKUP(CONCATENATE('Respuestas de formulario 1.1'!$B119,MID('Respuestas de formulario 1.1'!EE$1,2,1)),#REF!,12,0),"")</f>
        <v/>
      </c>
      <c r="EF119" s="45" t="str">
        <f>IFERROR(VLOOKUP(CONCATENATE('Respuestas de formulario 1.1'!$B119,MID('Respuestas de formulario 1.1'!EF$1,2,1)),#REF!,12,0),"")</f>
        <v/>
      </c>
      <c r="EG119" s="45" t="str">
        <f>IFERROR(VLOOKUP(CONCATENATE('Respuestas de formulario 1.1'!$B119,MID('Respuestas de formulario 1.1'!EG$1,2,1)),#REF!,12,0),"")</f>
        <v/>
      </c>
      <c r="EH119" s="45" t="str">
        <f>IFERROR(VLOOKUP(CONCATENATE('Respuestas de formulario 1.1'!$B119,MID('Respuestas de formulario 1.1'!EH$1,2,1)),#REF!,12,0),"")</f>
        <v/>
      </c>
      <c r="EI119" s="45" t="str">
        <f>IFERROR(VLOOKUP(CONCATENATE('Respuestas de formulario 1.1'!$B119,MID('Respuestas de formulario 1.1'!EI$1,2,1)),#REF!,12,0),"")</f>
        <v/>
      </c>
      <c r="EJ119" s="45" t="str">
        <f t="array" ref="EJ119">IF(DO119="","", INDEX(#REF!,MATCH(CONCATENATE('Respuestas de formulario 1.1'!$B119,DO119),#REF!,0),MATCH('Respuestas de formulario 1.1'!EJ$1,#REF!,0)))</f>
        <v/>
      </c>
      <c r="EK119" s="56" t="str">
        <f t="array" ref="EK119">IF(DP119="","", INDEX(#REF!,MATCH(CONCATENATE('Respuestas de formulario 1.1'!$B119,DP119),#REF!,0),MATCH('Respuestas de formulario 1.1'!EK$1,#REF!,0)))</f>
        <v/>
      </c>
      <c r="EL119" s="56" t="str">
        <f t="array" ref="EL119">IF(DQ119="","", INDEX(#REF!,MATCH(CONCATENATE('Respuestas de formulario 1.1'!$B119,DQ119),#REF!,0),MATCH('Respuestas de formulario 1.1'!EL$1,#REF!,0)))</f>
        <v/>
      </c>
      <c r="EM119" s="56" t="str">
        <f t="array" ref="EM119">IF(DR119="","", INDEX(#REF!,MATCH(CONCATENATE('Respuestas de formulario 1.1'!$B119,DR119),#REF!,0),MATCH('Respuestas de formulario 1.1'!EM$1,#REF!,0)))</f>
        <v/>
      </c>
      <c r="EN119" s="56" t="str">
        <f t="array" ref="EN119">IF(DS119="","", INDEX(#REF!,MATCH(CONCATENATE('Respuestas de formulario 1.1'!$B119,DS119),#REF!,0),MATCH('Respuestas de formulario 1.1'!EN$1,#REF!,0)))</f>
        <v/>
      </c>
      <c r="EO119" s="56" t="str">
        <f t="array" ref="EO119">IF(DT119="","", INDEX(#REF!,MATCH(CONCATENATE('Respuestas de formulario 1.1'!$B119,DT119),#REF!,0),MATCH('Respuestas de formulario 1.1'!EO$1,#REF!,0)))</f>
        <v/>
      </c>
      <c r="EP119" s="45" t="str">
        <f t="array" ref="EP119">IF(DU119="","", INDEX(#REF!,MATCH(CONCATENATE('Respuestas de formulario 1.1'!$B119,DU119),#REF!,0),MATCH('Respuestas de formulario 1.1'!EP$1,#REF!,0)))</f>
        <v/>
      </c>
      <c r="EQ119" s="45" t="str">
        <f t="array" ref="EQ119">IF(DP119="","", INDEX(#REF!,MATCH(CONCATENATE('Respuestas de formulario 1.1'!$B119,DP119),#REF!,0),MATCH('Respuestas de formulario 1.1'!EQ$1,#REF!,0)))</f>
        <v/>
      </c>
      <c r="ER119" s="56" t="str">
        <f t="array" ref="ER119">IF(DQ119="","", INDEX(#REF!,MATCH(CONCATENATE('Respuestas de formulario 1.1'!$B119,DQ119),#REF!,0),MATCH('Respuestas de formulario 1.1'!ER$1,#REF!,0)))</f>
        <v/>
      </c>
      <c r="ES119" s="56" t="str">
        <f t="array" ref="ES119">IF(DR119="","", INDEX(#REF!,MATCH(CONCATENATE('Respuestas de formulario 1.1'!$B119,DR119),#REF!,0),MATCH('Respuestas de formulario 1.1'!ES$1,#REF!,0)))</f>
        <v/>
      </c>
      <c r="ET119" s="56" t="str">
        <f t="array" ref="ET119">IF(DS119="","", INDEX(#REF!,MATCH(CONCATENATE('Respuestas de formulario 1.1'!$B119,DS119),#REF!,0),MATCH('Respuestas de formulario 1.1'!ET$1,#REF!,0)))</f>
        <v/>
      </c>
      <c r="EU119" s="56" t="str">
        <f t="array" ref="EU119">IF(DT119="","", INDEX(#REF!,MATCH(CONCATENATE('Respuestas de formulario 1.1'!$B119,DT119),#REF!,0),MATCH('Respuestas de formulario 1.1'!EU$1,#REF!,0)))</f>
        <v/>
      </c>
      <c r="EV119" s="56" t="str">
        <f t="array" ref="EV119">IF(DU119="","", INDEX(#REF!,MATCH(CONCATENATE('Respuestas de formulario 1.1'!$B119,DU119),#REF!,0),MATCH('Respuestas de formulario 1.1'!EV$1,#REF!,0)))</f>
        <v/>
      </c>
      <c r="EW119" s="45" t="str">
        <f t="array" ref="EW119">IF(DV119="","", INDEX(#REF!,MATCH(CONCATENATE('Respuestas de formulario 1.1'!$B119,DV119),#REF!,0),MATCH('Respuestas de formulario 1.1'!EW$1,#REF!,0)))</f>
        <v/>
      </c>
      <c r="EX119" s="45" t="str">
        <f t="array" ref="EX119">IF($DQ119="","", INDEX(#REF!,MATCH(CONCATENATE('Respuestas de formulario 1.1'!$B119,$DQ119),#REF!,0),MATCH('Respuestas de formulario 1.1'!EX$1,#REF!,0)))</f>
        <v/>
      </c>
      <c r="EY119" s="56" t="str">
        <f t="array" ref="EY119">IF($DQ119="","", INDEX(#REF!,MATCH(CONCATENATE('Respuestas de formulario 1.1'!$B119,$DQ119),#REF!,0),MATCH('Respuestas de formulario 1.1'!EY$1,#REF!,0)))</f>
        <v/>
      </c>
      <c r="EZ119" s="56" t="str">
        <f t="array" ref="EZ119">IF($DQ119="","", INDEX(#REF!,MATCH(CONCATENATE('Respuestas de formulario 1.1'!$B119,$DQ119),#REF!,0),MATCH('Respuestas de formulario 1.1'!EZ$1,#REF!,0)))</f>
        <v/>
      </c>
      <c r="FA119" s="56" t="str">
        <f t="array" ref="FA119">IF($DQ119="","", INDEX(#REF!,MATCH(CONCATENATE('Respuestas de formulario 1.1'!$B119,$DQ119),#REF!,0),MATCH('Respuestas de formulario 1.1'!FA$1,#REF!,0)))</f>
        <v/>
      </c>
      <c r="FB119" s="56" t="str">
        <f t="array" ref="FB119">IF($DQ119="","", INDEX(#REF!,MATCH(CONCATENATE('Respuestas de formulario 1.1'!$B119,$DQ119),#REF!,0),MATCH('Respuestas de formulario 1.1'!FB$1,#REF!,0)))</f>
        <v/>
      </c>
      <c r="FC119" s="56" t="str">
        <f t="array" ref="FC119">IF($DQ119="","", INDEX(#REF!,MATCH(CONCATENATE('Respuestas de formulario 1.1'!$B119,$DQ119),#REF!,0),MATCH('Respuestas de formulario 1.1'!FC$1,#REF!,0)))</f>
        <v/>
      </c>
      <c r="FD119" s="45" t="str">
        <f t="array" ref="FD119">IF($DQ119="","", INDEX(#REF!,MATCH(CONCATENATE('Respuestas de formulario 1.1'!$B119,$DQ119),#REF!,0),MATCH('Respuestas de formulario 1.1'!FD$1,#REF!,0)))</f>
        <v/>
      </c>
      <c r="FE119" s="45" t="str">
        <f t="array" ref="FE119">IF($DR119="","", INDEX(#REF!,MATCH(CONCATENATE(#REF!,$DR119),#REF!,0),MATCH(#REF!,#REF!,0)))</f>
        <v/>
      </c>
      <c r="FF119" s="56" t="str">
        <f t="array" ref="FF119">IF($DR119="","", INDEX(#REF!,MATCH(CONCATENATE(#REF!,$DR119),#REF!,0),MATCH(#REF!,#REF!,0)))</f>
        <v/>
      </c>
      <c r="FG119" s="56" t="str">
        <f t="array" ref="FG119">IF($DR119="","", INDEX(#REF!,MATCH(CONCATENATE(#REF!,$DR119),#REF!,0),MATCH(#REF!,#REF!,0)))</f>
        <v/>
      </c>
      <c r="FH119" s="56" t="str">
        <f t="array" ref="FH119">IF($DR119="","", INDEX(#REF!,MATCH(CONCATENATE(#REF!,$DR119),#REF!,0),MATCH(#REF!,#REF!,0)))</f>
        <v/>
      </c>
      <c r="FI119" s="56" t="str">
        <f t="array" ref="FI119">IF($DR119="","", INDEX(#REF!,MATCH(CONCATENATE(#REF!,$DR119),#REF!,0),MATCH(#REF!,#REF!,0)))</f>
        <v/>
      </c>
      <c r="FJ119" s="56" t="str">
        <f t="array" ref="FJ119">IF($DR119="","", INDEX(#REF!,MATCH(CONCATENATE(#REF!,$DR119),#REF!,0),MATCH(#REF!,#REF!,0)))</f>
        <v/>
      </c>
      <c r="FK119" s="45" t="str">
        <f t="array" ref="FK119">IF($DR119="","", INDEX(#REF!,MATCH(CONCATENATE(#REF!,$DR119),#REF!,0),MATCH(#REF!,#REF!,0)))</f>
        <v/>
      </c>
      <c r="FL119" s="45" t="str">
        <f t="array" ref="FL119">IF($DT119="","", INDEX(#REF!,MATCH(CONCATENATE('Respuestas de formulario 1.1'!$B119,$DS119),#REF!,0),MATCH('Respuestas de formulario 1.1'!FL$1,#REF!,0)))</f>
        <v/>
      </c>
      <c r="FM119" s="56" t="str">
        <f t="array" ref="FM119">IF($DT119="","", INDEX(#REF!,MATCH(CONCATENATE('Respuestas de formulario 1.1'!$B119,$DS119),#REF!,0),MATCH('Respuestas de formulario 1.1'!FM$1,#REF!,0)))</f>
        <v/>
      </c>
      <c r="FN119" s="56" t="str">
        <f t="array" ref="FN119">IF($DT119="","", INDEX(#REF!,MATCH(CONCATENATE('Respuestas de formulario 1.1'!$B119,$DS119),#REF!,0),MATCH('Respuestas de formulario 1.1'!FN$1,#REF!,0)))</f>
        <v/>
      </c>
      <c r="FO119" s="56" t="str">
        <f t="array" ref="FO119">IF($DT119="","", INDEX(#REF!,MATCH(CONCATENATE('Respuestas de formulario 1.1'!$B119,$DS119),#REF!,0),MATCH('Respuestas de formulario 1.1'!FO$1,#REF!,0)))</f>
        <v/>
      </c>
      <c r="FP119" s="56" t="str">
        <f t="array" ref="FP119">IF($DT119="","", INDEX(#REF!,MATCH(CONCATENATE('Respuestas de formulario 1.1'!$B119,$DS119),#REF!,0),MATCH('Respuestas de formulario 1.1'!FP$1,#REF!,0)))</f>
        <v/>
      </c>
      <c r="FQ119" s="56" t="str">
        <f t="array" ref="FQ119">IF($DT119="","", INDEX(#REF!,MATCH(CONCATENATE('Respuestas de formulario 1.1'!$B119,$DS119),#REF!,0),MATCH('Respuestas de formulario 1.1'!FQ$1,#REF!,0)))</f>
        <v/>
      </c>
      <c r="FR119" s="45" t="str">
        <f t="array" ref="FR119">IF($DT119="","", INDEX(#REF!,MATCH(CONCATENATE('Respuestas de formulario 1.1'!$B119,$DS119),#REF!,0),MATCH('Respuestas de formulario 1.1'!FR$1,#REF!,0)))</f>
        <v/>
      </c>
      <c r="FS119" s="45" t="str">
        <f t="array" ref="FS119">IF($DU119="","", INDEX(#REF!,MATCH(CONCATENATE('Respuestas de formulario 1.1'!$B119,$DT119),#REF!,0),MATCH('Respuestas de formulario 1.1'!FS$1,#REF!,0)))</f>
        <v/>
      </c>
      <c r="FT119" s="56" t="str">
        <f t="array" ref="FT119">IF($DU119="","", INDEX(#REF!,MATCH(CONCATENATE('Respuestas de formulario 1.1'!$B119,$DT119),#REF!,0),MATCH('Respuestas de formulario 1.1'!FT$1,#REF!,0)))</f>
        <v/>
      </c>
      <c r="FU119" s="56" t="str">
        <f t="array" ref="FU119">IF($DU119="","", INDEX(#REF!,MATCH(CONCATENATE('Respuestas de formulario 1.1'!$B119,$DT119),#REF!,0),MATCH('Respuestas de formulario 1.1'!FU$1,#REF!,0)))</f>
        <v/>
      </c>
      <c r="FV119" s="56" t="str">
        <f t="array" ref="FV119">IF($DU119="","", INDEX(#REF!,MATCH(CONCATENATE('Respuestas de formulario 1.1'!$B119,$DT119),#REF!,0),MATCH('Respuestas de formulario 1.1'!FV$1,#REF!,0)))</f>
        <v/>
      </c>
      <c r="FW119" s="56" t="str">
        <f t="array" ref="FW119">IF($DU119="","", INDEX(#REF!,MATCH(CONCATENATE('Respuestas de formulario 1.1'!$B119,$DT119),#REF!,0),MATCH('Respuestas de formulario 1.1'!FW$1,#REF!,0)))</f>
        <v/>
      </c>
      <c r="FX119" s="56" t="str">
        <f t="array" ref="FX119">IF($DU119="","", INDEX(#REF!,MATCH(CONCATENATE('Respuestas de formulario 1.1'!$B119,$DT119),#REF!,0),MATCH('Respuestas de formulario 1.1'!FX$1,#REF!,0)))</f>
        <v/>
      </c>
      <c r="FY119" s="45" t="str">
        <f t="array" ref="FY119">IF($DU119="","", INDEX(#REF!,MATCH(CONCATENATE('Respuestas de formulario 1.1'!$B119,$DT119),#REF!,0),MATCH('Respuestas de formulario 1.1'!FY$1,#REF!,0)))</f>
        <v/>
      </c>
      <c r="FZ119" s="3" t="s">
        <v>2860</v>
      </c>
      <c r="GA119" s="1" t="s">
        <v>4883</v>
      </c>
      <c r="GB119" s="5" t="s">
        <v>4884</v>
      </c>
      <c r="GC119" s="4" t="str">
        <f>HYPERLINK("https://drive.google.com/file/d/1UPVHeSnbKJA_Frj7-m0D9_tGjAG8gg4q/view?usp=drivesdk","PIÑA RUIZ  FATIMA LIZBETH  Formato de reinscripción y pago 2022-2")</f>
        <v>PIÑA RUIZ  FATIMA LIZBETH  Formato de reinscripción y pago 2022-2</v>
      </c>
      <c r="GD119" s="1" t="s">
        <v>4885</v>
      </c>
      <c r="GE119" s="1"/>
      <c r="GF119" s="1"/>
      <c r="GG119" s="1"/>
      <c r="GH119" s="1"/>
      <c r="GI119" s="1" t="s">
        <v>4886</v>
      </c>
      <c r="GJ119" s="5" t="s">
        <v>4887</v>
      </c>
      <c r="GK119" s="5" t="str">
        <f>HYPERLINK("https://drive.google.com/file/d/14-IdX0hkDoWUGLC1RuLJEJEzxBtmtNQX/view?usp=drivesdk","PIÑA RUIZ  FATIMA LIZBETH  Formato de reinscripción y pago 2022-2")</f>
        <v>PIÑA RUIZ  FATIMA LIZBETH  Formato de reinscripción y pago 2022-2</v>
      </c>
      <c r="GL119" s="1" t="s">
        <v>4888</v>
      </c>
    </row>
    <row r="120" spans="1:194" ht="38.25" x14ac:dyDescent="0.2">
      <c r="A120" s="2">
        <v>45139.437318842596</v>
      </c>
      <c r="B120" s="1" t="s">
        <v>871</v>
      </c>
      <c r="C120" s="1" t="s">
        <v>879</v>
      </c>
      <c r="D120" s="1" t="s">
        <v>876</v>
      </c>
      <c r="E120" s="1" t="s">
        <v>4889</v>
      </c>
      <c r="F120" s="1" t="s">
        <v>223</v>
      </c>
      <c r="G120" s="5" t="s">
        <v>4890</v>
      </c>
      <c r="H120" s="41">
        <v>38835</v>
      </c>
      <c r="I120" s="1">
        <v>17</v>
      </c>
      <c r="J120" s="1">
        <v>5625812431</v>
      </c>
      <c r="K120" s="1">
        <v>5576516050</v>
      </c>
      <c r="L120" s="1" t="s">
        <v>873</v>
      </c>
      <c r="M120" s="1">
        <v>21309060570233</v>
      </c>
      <c r="N120" s="1" t="s">
        <v>1108</v>
      </c>
      <c r="O120" s="1" t="s">
        <v>247</v>
      </c>
      <c r="P120" s="1" t="s">
        <v>226</v>
      </c>
      <c r="Q120" s="1" t="s">
        <v>227</v>
      </c>
      <c r="R120" s="1" t="s">
        <v>236</v>
      </c>
      <c r="S120" s="1" t="s">
        <v>228</v>
      </c>
      <c r="T120" s="1" t="s">
        <v>229</v>
      </c>
      <c r="U120" s="1" t="s">
        <v>249</v>
      </c>
      <c r="V120" s="1" t="s">
        <v>228</v>
      </c>
      <c r="W120" s="1" t="s">
        <v>4891</v>
      </c>
      <c r="X120" s="1" t="s">
        <v>249</v>
      </c>
      <c r="Y120" s="1" t="s">
        <v>4892</v>
      </c>
      <c r="Z120" s="1" t="s">
        <v>240</v>
      </c>
      <c r="AA120" s="44" t="s">
        <v>575</v>
      </c>
      <c r="AB120" s="1">
        <v>7</v>
      </c>
      <c r="AC120" s="1">
        <v>7</v>
      </c>
      <c r="AD120" s="1" t="s">
        <v>4893</v>
      </c>
      <c r="AE120" s="1" t="s">
        <v>874</v>
      </c>
      <c r="AF120" s="1" t="s">
        <v>907</v>
      </c>
      <c r="AG120" s="1">
        <v>57</v>
      </c>
      <c r="AH120" s="5" t="s">
        <v>4894</v>
      </c>
      <c r="AI120" s="1">
        <v>5517004371</v>
      </c>
      <c r="AJ120" s="1">
        <v>5256938234</v>
      </c>
      <c r="AK120" s="1" t="s">
        <v>4895</v>
      </c>
      <c r="AL120" s="1" t="s">
        <v>872</v>
      </c>
      <c r="AM120" s="1" t="s">
        <v>392</v>
      </c>
      <c r="AN120" s="1" t="s">
        <v>877</v>
      </c>
      <c r="AO120" s="1" t="s">
        <v>445</v>
      </c>
      <c r="AP120" s="1">
        <v>38</v>
      </c>
      <c r="AQ120" s="1" t="s">
        <v>233</v>
      </c>
      <c r="AR120" s="42">
        <v>0.25</v>
      </c>
      <c r="AS120" s="42">
        <v>0.375</v>
      </c>
      <c r="AT120" s="1">
        <v>5537998985</v>
      </c>
      <c r="AU120" s="1">
        <v>5537998985</v>
      </c>
      <c r="AV120" s="1" t="s">
        <v>878</v>
      </c>
      <c r="AW120" s="5" t="s">
        <v>4896</v>
      </c>
      <c r="AX120" s="1" t="s">
        <v>879</v>
      </c>
      <c r="AY120" s="1" t="s">
        <v>880</v>
      </c>
      <c r="AZ120" s="1" t="s">
        <v>881</v>
      </c>
      <c r="BA120" s="1" t="s">
        <v>650</v>
      </c>
      <c r="BB120" s="1">
        <v>40</v>
      </c>
      <c r="BC120" s="1" t="s">
        <v>663</v>
      </c>
      <c r="BD120" s="43">
        <v>0.375</v>
      </c>
      <c r="BE120" s="43">
        <v>0.33333333333575865</v>
      </c>
      <c r="BF120" s="1">
        <v>5540292785</v>
      </c>
      <c r="BG120" s="1">
        <v>5540292785</v>
      </c>
      <c r="BH120" s="1" t="s">
        <v>882</v>
      </c>
      <c r="BI120" s="5" t="s">
        <v>4897</v>
      </c>
      <c r="BJ120" s="1" t="s">
        <v>236</v>
      </c>
      <c r="BK120" s="1" t="s">
        <v>1923</v>
      </c>
      <c r="BL120" s="1">
        <v>1.62</v>
      </c>
      <c r="BM120" s="1">
        <v>58</v>
      </c>
      <c r="BN120" s="1" t="s">
        <v>236</v>
      </c>
      <c r="BO120" s="1" t="s">
        <v>228</v>
      </c>
      <c r="BP120" s="1" t="s">
        <v>1923</v>
      </c>
      <c r="BQ120" s="1" t="s">
        <v>228</v>
      </c>
      <c r="BR120" s="1" t="s">
        <v>237</v>
      </c>
      <c r="BS120" s="1" t="s">
        <v>236</v>
      </c>
      <c r="BT120" s="1" t="s">
        <v>457</v>
      </c>
      <c r="BU120" s="1" t="s">
        <v>228</v>
      </c>
      <c r="BW120" s="1" t="s">
        <v>388</v>
      </c>
      <c r="BX120" s="1">
        <v>40</v>
      </c>
      <c r="BY120" s="1">
        <v>120</v>
      </c>
      <c r="BZ120" s="1" t="s">
        <v>4898</v>
      </c>
      <c r="CA120" s="1" t="s">
        <v>343</v>
      </c>
      <c r="CB120" s="1" t="s">
        <v>240</v>
      </c>
      <c r="CC120" s="1" t="s">
        <v>274</v>
      </c>
      <c r="CD120" s="1">
        <v>2000</v>
      </c>
      <c r="CE120" s="1">
        <v>2000</v>
      </c>
      <c r="CF120" s="1" t="s">
        <v>236</v>
      </c>
      <c r="CG120" s="1" t="s">
        <v>1923</v>
      </c>
      <c r="CH120" s="1" t="s">
        <v>243</v>
      </c>
      <c r="CI120" s="1" t="s">
        <v>243</v>
      </c>
      <c r="CJ120" s="1" t="s">
        <v>2848</v>
      </c>
      <c r="CL120" s="5" t="s">
        <v>4899</v>
      </c>
      <c r="CM120" s="44" t="s">
        <v>883</v>
      </c>
      <c r="CN120" s="1" t="s">
        <v>228</v>
      </c>
      <c r="CQ120" s="42">
        <v>0.35416666666424135</v>
      </c>
      <c r="CR120" s="42">
        <v>8.3333333335758653E-2</v>
      </c>
      <c r="CT120" s="45" t="str">
        <f t="array" ref="CT120">IFERROR(INDEX(#REF!,MATCH('Respuestas de formulario 1.1'!$B120,#REF!,0),MATCH('Respuestas de formulario 1.1'!CT$1,#REF!,0)),"")</f>
        <v/>
      </c>
      <c r="CU120" s="56" t="str">
        <f t="array" ref="CU120">IFERROR(INDEX(#REF!,MATCH('Respuestas de formulario 1.1'!$B120,#REF!,0),MATCH('Respuestas de formulario 1.1'!CU$1,#REF!,0)),"")</f>
        <v/>
      </c>
      <c r="CV120" s="56" t="str">
        <f t="array" ref="CV120">IFERROR(INDEX(#REF!,MATCH('Respuestas de formulario 1.1'!$B120,#REF!,0),MATCH('Respuestas de formulario 1.1'!CV$1,#REF!,0)),"")</f>
        <v/>
      </c>
      <c r="CW120" s="56" t="str">
        <f t="array" ref="CW120">IFERROR(INDEX(#REF!,MATCH('Respuestas de formulario 1.1'!$B120,#REF!,0),MATCH('Respuestas de formulario 1.1'!CW$1,#REF!,0)),"")</f>
        <v/>
      </c>
      <c r="CX120" s="56" t="str">
        <f t="array" ref="CX120">IFERROR(INDEX(#REF!,MATCH('Respuestas de formulario 1.1'!$B120,#REF!,0),MATCH('Respuestas de formulario 1.1'!CX$1,#REF!,0)),"")</f>
        <v/>
      </c>
      <c r="CY120" s="56" t="str">
        <f t="array" ref="CY120">IFERROR(INDEX(#REF!,MATCH('Respuestas de formulario 1.1'!$B120,#REF!,0),MATCH('Respuestas de formulario 1.1'!CY$1,#REF!,0)),"")</f>
        <v/>
      </c>
      <c r="CZ120" s="57" t="str">
        <f t="array" ref="CZ120">IFERROR(INDEX(#REF!,MATCH('Respuestas de formulario 1.1'!$B120,#REF!,0),MATCH('Respuestas de formulario 1.1'!CZ$1,#REF!,0)),"")</f>
        <v/>
      </c>
      <c r="DA120" s="45" t="e">
        <f t="array" ref="DA120">INDEX(#REF!,MATCH('Respuestas de formulario 1.1'!$B120,#REF!,0),MATCH('Respuestas de formulario 1.1'!DA$1,#REF!,0))</f>
        <v>#REF!</v>
      </c>
      <c r="DB120" s="45" t="e">
        <f t="array" ref="DB120">INDEX(#REF!,MATCH('Respuestas de formulario 1.1'!$B120,#REF!,0),MATCH('Respuestas de formulario 1.1'!DB$1,#REF!,0))</f>
        <v>#REF!</v>
      </c>
      <c r="DC120" s="45" t="e">
        <f t="array" ref="DC120">INDEX(#REF!,MATCH('Respuestas de formulario 1.1'!$B120,#REF!,0),MATCH('Respuestas de formulario 1.1'!DC$1,#REF!,0))</f>
        <v>#REF!</v>
      </c>
      <c r="DD120" s="45" t="e">
        <f t="array" ref="DD120">INDEX(#REF!,MATCH('Respuestas de formulario 1.1'!$B120,#REF!,0),MATCH('Respuestas de formulario 1.1'!DD$1,#REF!,0))</f>
        <v>#REF!</v>
      </c>
      <c r="DE120" s="45" t="e">
        <f t="array" ref="DE120">INDEX(#REF!,MATCH('Respuestas de formulario 1.1'!$B120,#REF!,0),MATCH('Respuestas de formulario 1.1'!DE$1,#REF!,0))</f>
        <v>#REF!</v>
      </c>
      <c r="DF120" s="45" t="e">
        <f t="array" ref="DF120">INDEX(#REF!,MATCH('Respuestas de formulario 1.1'!$B120,#REF!,0),MATCH('Respuestas de formulario 1.1'!DF$1,#REF!,0))</f>
        <v>#REF!</v>
      </c>
      <c r="DG120" s="45" t="e">
        <f t="array" ref="DG120">INDEX(#REF!,MATCH('Respuestas de formulario 1.1'!$B120,#REF!,0),MATCH('Respuestas de formulario 1.1'!DG$1,#REF!,0))</f>
        <v>#REF!</v>
      </c>
      <c r="DH120" s="45" t="e">
        <f t="array" ref="DH120">INDEX(#REF!,MATCH('Respuestas de formulario 1.1'!$B120,#REF!,0),MATCH('Respuestas de formulario 1.1'!DH$1,#REF!,0))</f>
        <v>#REF!</v>
      </c>
      <c r="DI120" s="48" t="e">
        <f>VLOOKUP(CONCATENATE($DF120," TUTO ",$DC120),#REF!,3,0)</f>
        <v>#REF!</v>
      </c>
      <c r="DJ120" s="48" t="e">
        <f t="array" ref="DJ120">IF('Respuestas de formulario 1.1'!A120="","",INDEX(#REF!,MATCH('Respuestas de formulario 1.1'!B120,#REF!,0),MATCH('Respuestas de formulario 1.1'!$DH$1,#REF!,0)))</f>
        <v>#REF!</v>
      </c>
      <c r="DK120" s="52" t="str">
        <f>CONCATENATE("http://doc.google.com/uc?id=",MID('Respuestas de formulario 1.1'!G120,34,33))</f>
        <v>http://doc.google.com/uc?id=1A6MlEqJHQDKlEvw-FExI9WDT1VG_udMr</v>
      </c>
      <c r="DL120" s="49" t="str">
        <f>CONCATENATE("http://doc.google.com/uc?id=",MID('Respuestas de formulario 1.1'!AH120,34,33))</f>
        <v>http://doc.google.com/uc?id=1-Ze7xf54GhSTp3RTt1DjLQcHr3UAYPYr</v>
      </c>
      <c r="DM120" s="50" t="str">
        <f>CONCATENATE("http://doc.google.com/uc?id=",MID('Respuestas de formulario 1.1'!AW120,34,33))</f>
        <v>http://doc.google.com/uc?id=1biLexq1Kl68k6rRNg5DAVqf3V_tFR-vF</v>
      </c>
      <c r="DN120" s="53" t="str">
        <f>CONCATENATE("http://doc.google.com/uc?id=",MID('Respuestas de formulario 1.1'!$BI120,34,33))</f>
        <v>http://doc.google.com/uc?id=1xpDgiTGo_Qv2CheJ6NMGWfIHLAX851sL</v>
      </c>
      <c r="DO120" s="45" t="str">
        <f>IFERROR(VLOOKUP(CONCATENATE('Respuestas de formulario 1.1'!$B120,MID('Respuestas de formulario 1.1'!DO$1,2,1)),#REF!,12,0),"")</f>
        <v/>
      </c>
      <c r="DP120" s="45" t="str">
        <f>IFERROR(VLOOKUP(CONCATENATE('Respuestas de formulario 1.1'!$B120,MID('Respuestas de formulario 1.1'!DP$1,2,1)),#REF!,12,0),"")</f>
        <v/>
      </c>
      <c r="DQ120" s="45" t="str">
        <f>IFERROR(VLOOKUP(CONCATENATE('Respuestas de formulario 1.1'!$B120,MID('Respuestas de formulario 1.1'!DQ$1,2,1)),#REF!,12,0),"")</f>
        <v/>
      </c>
      <c r="DR120" s="45" t="str">
        <f>IFERROR(VLOOKUP(CONCATENATE('Respuestas de formulario 1.1'!$B120,MID('Respuestas de formulario 1.1'!DR$1,2,1)),#REF!,12,0),"")</f>
        <v/>
      </c>
      <c r="DS120" s="45" t="str">
        <f>IFERROR(VLOOKUP(CONCATENATE('Respuestas de formulario 1.1'!$B120,MID('Respuestas de formulario 1.1'!DS$1,2,1)),#REF!,12,0),"")</f>
        <v/>
      </c>
      <c r="DT120" s="45" t="str">
        <f>IFERROR(VLOOKUP(CONCATENATE('Respuestas de formulario 1.1'!$B120,MID('Respuestas de formulario 1.1'!DT$1,2,1)),#REF!,12,0),"")</f>
        <v/>
      </c>
      <c r="DU120" s="45" t="str">
        <f>IFERROR(VLOOKUP(CONCATENATE('Respuestas de formulario 1.1'!$B120,MID('Respuestas de formulario 1.1'!DU$1,2,1)),#REF!,12,0),"")</f>
        <v/>
      </c>
      <c r="DV120" s="45" t="str">
        <f>IFERROR(VLOOKUP(CONCATENATE('Respuestas de formulario 1.1'!$B120,MID('Respuestas de formulario 1.1'!DV$1,2,1)),#REF!,12,0),"")</f>
        <v/>
      </c>
      <c r="DW120" s="45" t="str">
        <f>IFERROR(VLOOKUP(CONCATENATE('Respuestas de formulario 1.1'!$B120,MID('Respuestas de formulario 1.1'!DW$1,2,1)),#REF!,12,0),"")</f>
        <v/>
      </c>
      <c r="DX120" s="45" t="str">
        <f>IFERROR(VLOOKUP(CONCATENATE('Respuestas de formulario 1.1'!$B120,MID('Respuestas de formulario 1.1'!DX$1,2,1)),#REF!,12,0),"")</f>
        <v/>
      </c>
      <c r="DY120" s="45" t="str">
        <f>IFERROR(VLOOKUP(CONCATENATE('Respuestas de formulario 1.1'!$B120,MID('Respuestas de formulario 1.1'!DY$1,2,1)),#REF!,12,0),"")</f>
        <v/>
      </c>
      <c r="DZ120" s="45" t="str">
        <f>IFERROR(VLOOKUP(CONCATENATE('Respuestas de formulario 1.1'!$B120,MID('Respuestas de formulario 1.1'!DZ$1,2,1)),#REF!,12,0),"")</f>
        <v/>
      </c>
      <c r="EA120" s="45" t="str">
        <f>IFERROR(VLOOKUP(CONCATENATE('Respuestas de formulario 1.1'!$B120,MID('Respuestas de formulario 1.1'!EA$1,2,1)),#REF!,12,0),"")</f>
        <v/>
      </c>
      <c r="EB120" s="45" t="str">
        <f>IFERROR(VLOOKUP(CONCATENATE('Respuestas de formulario 1.1'!$B120,MID('Respuestas de formulario 1.1'!EB$1,2,1)),#REF!,12,0),"")</f>
        <v/>
      </c>
      <c r="EC120" s="45" t="str">
        <f>IFERROR(VLOOKUP(CONCATENATE('Respuestas de formulario 1.1'!$B120,MID('Respuestas de formulario 1.1'!EC$1,2,1)),#REF!,12,0),"")</f>
        <v/>
      </c>
      <c r="ED120" s="45" t="str">
        <f>IFERROR(VLOOKUP(CONCATENATE('Respuestas de formulario 1.1'!$B120,MID('Respuestas de formulario 1.1'!ED$1,2,1)),#REF!,12,0),"")</f>
        <v/>
      </c>
      <c r="EE120" s="45" t="str">
        <f>IFERROR(VLOOKUP(CONCATENATE('Respuestas de formulario 1.1'!$B120,MID('Respuestas de formulario 1.1'!EE$1,2,1)),#REF!,12,0),"")</f>
        <v/>
      </c>
      <c r="EF120" s="45" t="str">
        <f>IFERROR(VLOOKUP(CONCATENATE('Respuestas de formulario 1.1'!$B120,MID('Respuestas de formulario 1.1'!EF$1,2,1)),#REF!,12,0),"")</f>
        <v/>
      </c>
      <c r="EG120" s="45" t="str">
        <f>IFERROR(VLOOKUP(CONCATENATE('Respuestas de formulario 1.1'!$B120,MID('Respuestas de formulario 1.1'!EG$1,2,1)),#REF!,12,0),"")</f>
        <v/>
      </c>
      <c r="EH120" s="45" t="str">
        <f>IFERROR(VLOOKUP(CONCATENATE('Respuestas de formulario 1.1'!$B120,MID('Respuestas de formulario 1.1'!EH$1,2,1)),#REF!,12,0),"")</f>
        <v/>
      </c>
      <c r="EI120" s="45" t="str">
        <f>IFERROR(VLOOKUP(CONCATENATE('Respuestas de formulario 1.1'!$B120,MID('Respuestas de formulario 1.1'!EI$1,2,1)),#REF!,12,0),"")</f>
        <v/>
      </c>
      <c r="EJ120" s="45" t="str">
        <f t="array" ref="EJ120">IF(DO120="","", INDEX(#REF!,MATCH(CONCATENATE('Respuestas de formulario 1.1'!$B120,DO120),#REF!,0),MATCH('Respuestas de formulario 1.1'!EJ$1,#REF!,0)))</f>
        <v/>
      </c>
      <c r="EK120" s="56" t="str">
        <f t="array" ref="EK120">IF(DP120="","", INDEX(#REF!,MATCH(CONCATENATE('Respuestas de formulario 1.1'!$B120,DP120),#REF!,0),MATCH('Respuestas de formulario 1.1'!EK$1,#REF!,0)))</f>
        <v/>
      </c>
      <c r="EL120" s="56" t="str">
        <f t="array" ref="EL120">IF(DQ120="","", INDEX(#REF!,MATCH(CONCATENATE('Respuestas de formulario 1.1'!$B120,DQ120),#REF!,0),MATCH('Respuestas de formulario 1.1'!EL$1,#REF!,0)))</f>
        <v/>
      </c>
      <c r="EM120" s="56" t="str">
        <f t="array" ref="EM120">IF(DR120="","", INDEX(#REF!,MATCH(CONCATENATE('Respuestas de formulario 1.1'!$B120,DR120),#REF!,0),MATCH('Respuestas de formulario 1.1'!EM$1,#REF!,0)))</f>
        <v/>
      </c>
      <c r="EN120" s="56" t="str">
        <f t="array" ref="EN120">IF(DS120="","", INDEX(#REF!,MATCH(CONCATENATE('Respuestas de formulario 1.1'!$B120,DS120),#REF!,0),MATCH('Respuestas de formulario 1.1'!EN$1,#REF!,0)))</f>
        <v/>
      </c>
      <c r="EO120" s="56" t="str">
        <f t="array" ref="EO120">IF(DT120="","", INDEX(#REF!,MATCH(CONCATENATE('Respuestas de formulario 1.1'!$B120,DT120),#REF!,0),MATCH('Respuestas de formulario 1.1'!EO$1,#REF!,0)))</f>
        <v/>
      </c>
      <c r="EP120" s="45" t="str">
        <f t="array" ref="EP120">IF(DU120="","", INDEX(#REF!,MATCH(CONCATENATE('Respuestas de formulario 1.1'!$B120,DU120),#REF!,0),MATCH('Respuestas de formulario 1.1'!EP$1,#REF!,0)))</f>
        <v/>
      </c>
      <c r="EQ120" s="45" t="str">
        <f t="array" ref="EQ120">IF(DP120="","", INDEX(#REF!,MATCH(CONCATENATE('Respuestas de formulario 1.1'!$B120,DP120),#REF!,0),MATCH('Respuestas de formulario 1.1'!EQ$1,#REF!,0)))</f>
        <v/>
      </c>
      <c r="ER120" s="56" t="str">
        <f t="array" ref="ER120">IF(DQ120="","", INDEX(#REF!,MATCH(CONCATENATE('Respuestas de formulario 1.1'!$B120,DQ120),#REF!,0),MATCH('Respuestas de formulario 1.1'!ER$1,#REF!,0)))</f>
        <v/>
      </c>
      <c r="ES120" s="56" t="str">
        <f t="array" ref="ES120">IF(DR120="","", INDEX(#REF!,MATCH(CONCATENATE('Respuestas de formulario 1.1'!$B120,DR120),#REF!,0),MATCH('Respuestas de formulario 1.1'!ES$1,#REF!,0)))</f>
        <v/>
      </c>
      <c r="ET120" s="56" t="str">
        <f t="array" ref="ET120">IF(DS120="","", INDEX(#REF!,MATCH(CONCATENATE('Respuestas de formulario 1.1'!$B120,DS120),#REF!,0),MATCH('Respuestas de formulario 1.1'!ET$1,#REF!,0)))</f>
        <v/>
      </c>
      <c r="EU120" s="56" t="str">
        <f t="array" ref="EU120">IF(DT120="","", INDEX(#REF!,MATCH(CONCATENATE('Respuestas de formulario 1.1'!$B120,DT120),#REF!,0),MATCH('Respuestas de formulario 1.1'!EU$1,#REF!,0)))</f>
        <v/>
      </c>
      <c r="EV120" s="56" t="str">
        <f t="array" ref="EV120">IF(DU120="","", INDEX(#REF!,MATCH(CONCATENATE('Respuestas de formulario 1.1'!$B120,DU120),#REF!,0),MATCH('Respuestas de formulario 1.1'!EV$1,#REF!,0)))</f>
        <v/>
      </c>
      <c r="EW120" s="45" t="str">
        <f t="array" ref="EW120">IF(DV120="","", INDEX(#REF!,MATCH(CONCATENATE('Respuestas de formulario 1.1'!$B120,DV120),#REF!,0),MATCH('Respuestas de formulario 1.1'!EW$1,#REF!,0)))</f>
        <v/>
      </c>
      <c r="EX120" s="45" t="str">
        <f t="array" ref="EX120">IF($DQ120="","", INDEX(#REF!,MATCH(CONCATENATE('Respuestas de formulario 1.1'!$B120,$DQ120),#REF!,0),MATCH('Respuestas de formulario 1.1'!EX$1,#REF!,0)))</f>
        <v/>
      </c>
      <c r="EY120" s="56" t="str">
        <f t="array" ref="EY120">IF($DQ120="","", INDEX(#REF!,MATCH(CONCATENATE('Respuestas de formulario 1.1'!$B120,$DQ120),#REF!,0),MATCH('Respuestas de formulario 1.1'!EY$1,#REF!,0)))</f>
        <v/>
      </c>
      <c r="EZ120" s="56" t="str">
        <f t="array" ref="EZ120">IF($DQ120="","", INDEX(#REF!,MATCH(CONCATENATE('Respuestas de formulario 1.1'!$B120,$DQ120),#REF!,0),MATCH('Respuestas de formulario 1.1'!EZ$1,#REF!,0)))</f>
        <v/>
      </c>
      <c r="FA120" s="56" t="str">
        <f t="array" ref="FA120">IF($DQ120="","", INDEX(#REF!,MATCH(CONCATENATE('Respuestas de formulario 1.1'!$B120,$DQ120),#REF!,0),MATCH('Respuestas de formulario 1.1'!FA$1,#REF!,0)))</f>
        <v/>
      </c>
      <c r="FB120" s="56" t="str">
        <f t="array" ref="FB120">IF($DQ120="","", INDEX(#REF!,MATCH(CONCATENATE('Respuestas de formulario 1.1'!$B120,$DQ120),#REF!,0),MATCH('Respuestas de formulario 1.1'!FB$1,#REF!,0)))</f>
        <v/>
      </c>
      <c r="FC120" s="56" t="str">
        <f t="array" ref="FC120">IF($DQ120="","", INDEX(#REF!,MATCH(CONCATENATE('Respuestas de formulario 1.1'!$B120,$DQ120),#REF!,0),MATCH('Respuestas de formulario 1.1'!FC$1,#REF!,0)))</f>
        <v/>
      </c>
      <c r="FD120" s="45" t="str">
        <f t="array" ref="FD120">IF($DQ120="","", INDEX(#REF!,MATCH(CONCATENATE('Respuestas de formulario 1.1'!$B120,$DQ120),#REF!,0),MATCH('Respuestas de formulario 1.1'!FD$1,#REF!,0)))</f>
        <v/>
      </c>
      <c r="FE120" s="45" t="str">
        <f t="array" ref="FE120">IF($DR120="","", INDEX(#REF!,MATCH(CONCATENATE(#REF!,$DR120),#REF!,0),MATCH(#REF!,#REF!,0)))</f>
        <v/>
      </c>
      <c r="FF120" s="56" t="str">
        <f t="array" ref="FF120">IF($DR120="","", INDEX(#REF!,MATCH(CONCATENATE(#REF!,$DR120),#REF!,0),MATCH(#REF!,#REF!,0)))</f>
        <v/>
      </c>
      <c r="FG120" s="56" t="str">
        <f t="array" ref="FG120">IF($DR120="","", INDEX(#REF!,MATCH(CONCATENATE(#REF!,$DR120),#REF!,0),MATCH(#REF!,#REF!,0)))</f>
        <v/>
      </c>
      <c r="FH120" s="56" t="str">
        <f t="array" ref="FH120">IF($DR120="","", INDEX(#REF!,MATCH(CONCATENATE(#REF!,$DR120),#REF!,0),MATCH(#REF!,#REF!,0)))</f>
        <v/>
      </c>
      <c r="FI120" s="56" t="str">
        <f t="array" ref="FI120">IF($DR120="","", INDEX(#REF!,MATCH(CONCATENATE(#REF!,$DR120),#REF!,0),MATCH(#REF!,#REF!,0)))</f>
        <v/>
      </c>
      <c r="FJ120" s="56" t="str">
        <f t="array" ref="FJ120">IF($DR120="","", INDEX(#REF!,MATCH(CONCATENATE(#REF!,$DR120),#REF!,0),MATCH(#REF!,#REF!,0)))</f>
        <v/>
      </c>
      <c r="FK120" s="45" t="str">
        <f t="array" ref="FK120">IF($DR120="","", INDEX(#REF!,MATCH(CONCATENATE(#REF!,$DR120),#REF!,0),MATCH(#REF!,#REF!,0)))</f>
        <v/>
      </c>
      <c r="FL120" s="45" t="str">
        <f t="array" ref="FL120">IF($DT120="","", INDEX(#REF!,MATCH(CONCATENATE('Respuestas de formulario 1.1'!$B120,$DS120),#REF!,0),MATCH('Respuestas de formulario 1.1'!FL$1,#REF!,0)))</f>
        <v/>
      </c>
      <c r="FM120" s="56" t="str">
        <f t="array" ref="FM120">IF($DT120="","", INDEX(#REF!,MATCH(CONCATENATE('Respuestas de formulario 1.1'!$B120,$DS120),#REF!,0),MATCH('Respuestas de formulario 1.1'!FM$1,#REF!,0)))</f>
        <v/>
      </c>
      <c r="FN120" s="56" t="str">
        <f t="array" ref="FN120">IF($DT120="","", INDEX(#REF!,MATCH(CONCATENATE('Respuestas de formulario 1.1'!$B120,$DS120),#REF!,0),MATCH('Respuestas de formulario 1.1'!FN$1,#REF!,0)))</f>
        <v/>
      </c>
      <c r="FO120" s="56" t="str">
        <f t="array" ref="FO120">IF($DT120="","", INDEX(#REF!,MATCH(CONCATENATE('Respuestas de formulario 1.1'!$B120,$DS120),#REF!,0),MATCH('Respuestas de formulario 1.1'!FO$1,#REF!,0)))</f>
        <v/>
      </c>
      <c r="FP120" s="56" t="str">
        <f t="array" ref="FP120">IF($DT120="","", INDEX(#REF!,MATCH(CONCATENATE('Respuestas de formulario 1.1'!$B120,$DS120),#REF!,0),MATCH('Respuestas de formulario 1.1'!FP$1,#REF!,0)))</f>
        <v/>
      </c>
      <c r="FQ120" s="56" t="str">
        <f t="array" ref="FQ120">IF($DT120="","", INDEX(#REF!,MATCH(CONCATENATE('Respuestas de formulario 1.1'!$B120,$DS120),#REF!,0),MATCH('Respuestas de formulario 1.1'!FQ$1,#REF!,0)))</f>
        <v/>
      </c>
      <c r="FR120" s="45" t="str">
        <f t="array" ref="FR120">IF($DT120="","", INDEX(#REF!,MATCH(CONCATENATE('Respuestas de formulario 1.1'!$B120,$DS120),#REF!,0),MATCH('Respuestas de formulario 1.1'!FR$1,#REF!,0)))</f>
        <v/>
      </c>
      <c r="FS120" s="45" t="str">
        <f t="array" ref="FS120">IF($DU120="","", INDEX(#REF!,MATCH(CONCATENATE('Respuestas de formulario 1.1'!$B120,$DT120),#REF!,0),MATCH('Respuestas de formulario 1.1'!FS$1,#REF!,0)))</f>
        <v/>
      </c>
      <c r="FT120" s="56" t="str">
        <f t="array" ref="FT120">IF($DU120="","", INDEX(#REF!,MATCH(CONCATENATE('Respuestas de formulario 1.1'!$B120,$DT120),#REF!,0),MATCH('Respuestas de formulario 1.1'!FT$1,#REF!,0)))</f>
        <v/>
      </c>
      <c r="FU120" s="56" t="str">
        <f t="array" ref="FU120">IF($DU120="","", INDEX(#REF!,MATCH(CONCATENATE('Respuestas de formulario 1.1'!$B120,$DT120),#REF!,0),MATCH('Respuestas de formulario 1.1'!FU$1,#REF!,0)))</f>
        <v/>
      </c>
      <c r="FV120" s="56" t="str">
        <f t="array" ref="FV120">IF($DU120="","", INDEX(#REF!,MATCH(CONCATENATE('Respuestas de formulario 1.1'!$B120,$DT120),#REF!,0),MATCH('Respuestas de formulario 1.1'!FV$1,#REF!,0)))</f>
        <v/>
      </c>
      <c r="FW120" s="56" t="str">
        <f t="array" ref="FW120">IF($DU120="","", INDEX(#REF!,MATCH(CONCATENATE('Respuestas de formulario 1.1'!$B120,$DT120),#REF!,0),MATCH('Respuestas de formulario 1.1'!FW$1,#REF!,0)))</f>
        <v/>
      </c>
      <c r="FX120" s="56" t="str">
        <f t="array" ref="FX120">IF($DU120="","", INDEX(#REF!,MATCH(CONCATENATE('Respuestas de formulario 1.1'!$B120,$DT120),#REF!,0),MATCH('Respuestas de formulario 1.1'!FX$1,#REF!,0)))</f>
        <v/>
      </c>
      <c r="FY120" s="45" t="str">
        <f t="array" ref="FY120">IF($DU120="","", INDEX(#REF!,MATCH(CONCATENATE('Respuestas de formulario 1.1'!$B120,$DT120),#REF!,0),MATCH('Respuestas de formulario 1.1'!FY$1,#REF!,0)))</f>
        <v/>
      </c>
      <c r="FZ120" s="3" t="s">
        <v>2860</v>
      </c>
      <c r="GA120" s="1" t="s">
        <v>4900</v>
      </c>
      <c r="GB120" s="5" t="s">
        <v>4901</v>
      </c>
      <c r="GC120" s="4" t="str">
        <f>HYPERLINK("https://drive.google.com/file/d/1j4PxIuwCLZDi5NayMWj5T4cRnR_rQJ8S/view?usp=drivesdk","BUENDIA ALONSO NATALY MAYTE  Formato de reinscripción y pago 2022-2")</f>
        <v>BUENDIA ALONSO NATALY MAYTE  Formato de reinscripción y pago 2022-2</v>
      </c>
      <c r="GD120" s="1" t="s">
        <v>4902</v>
      </c>
      <c r="GE120" s="1"/>
      <c r="GF120" s="1"/>
      <c r="GG120" s="1"/>
      <c r="GH120" s="1"/>
      <c r="GI120" s="1" t="s">
        <v>4903</v>
      </c>
      <c r="GJ120" s="5" t="s">
        <v>4904</v>
      </c>
      <c r="GK120" s="5" t="str">
        <f>HYPERLINK("https://drive.google.com/file/d/1BuBEDfvYhBwi5YdXro0DOgykbfMKse3M/view?usp=drivesdk","BUENDIA ALONSO NATALY MAYTE  Formato de reinscripción y pago 2022-2")</f>
        <v>BUENDIA ALONSO NATALY MAYTE  Formato de reinscripción y pago 2022-2</v>
      </c>
      <c r="GL120" s="1" t="s">
        <v>4905</v>
      </c>
    </row>
    <row r="121" spans="1:194" ht="38.25" x14ac:dyDescent="0.2">
      <c r="A121" s="2">
        <v>45139.437765520837</v>
      </c>
      <c r="B121" s="1" t="s">
        <v>1141</v>
      </c>
      <c r="C121" s="1" t="s">
        <v>1142</v>
      </c>
      <c r="D121" s="1" t="s">
        <v>901</v>
      </c>
      <c r="E121" s="1" t="s">
        <v>4906</v>
      </c>
      <c r="F121" s="1" t="s">
        <v>223</v>
      </c>
      <c r="G121" s="5" t="s">
        <v>4907</v>
      </c>
      <c r="H121" s="41">
        <v>38519</v>
      </c>
      <c r="I121" s="1">
        <v>18</v>
      </c>
      <c r="J121" s="1">
        <v>5517805229</v>
      </c>
      <c r="K121" s="1">
        <v>5526327083</v>
      </c>
      <c r="L121" s="1" t="s">
        <v>1144</v>
      </c>
      <c r="M121" s="1">
        <v>21309060570526</v>
      </c>
      <c r="N121" s="1" t="s">
        <v>1108</v>
      </c>
      <c r="O121" s="1" t="s">
        <v>225</v>
      </c>
      <c r="P121" s="1" t="s">
        <v>278</v>
      </c>
      <c r="Q121" s="1" t="s">
        <v>227</v>
      </c>
      <c r="R121" s="1" t="s">
        <v>236</v>
      </c>
      <c r="S121" s="1" t="s">
        <v>228</v>
      </c>
      <c r="T121" s="1" t="s">
        <v>229</v>
      </c>
      <c r="U121" s="1" t="s">
        <v>394</v>
      </c>
      <c r="V121" s="1" t="s">
        <v>228</v>
      </c>
      <c r="W121" s="1" t="s">
        <v>2666</v>
      </c>
      <c r="X121" s="1" t="s">
        <v>394</v>
      </c>
      <c r="Y121" s="1" t="s">
        <v>2694</v>
      </c>
      <c r="Z121" s="1" t="s">
        <v>231</v>
      </c>
      <c r="AA121" s="1">
        <v>56514</v>
      </c>
      <c r="AB121" s="1" t="s">
        <v>2604</v>
      </c>
      <c r="AC121" s="1" t="s">
        <v>4908</v>
      </c>
      <c r="AD121" s="1" t="s">
        <v>4909</v>
      </c>
      <c r="AE121" s="1" t="s">
        <v>4910</v>
      </c>
      <c r="AF121" s="1" t="s">
        <v>586</v>
      </c>
      <c r="AG121" s="1">
        <v>23</v>
      </c>
      <c r="AH121" s="5" t="s">
        <v>4911</v>
      </c>
      <c r="AI121" s="1">
        <v>5532892098</v>
      </c>
      <c r="AJ121" s="1">
        <v>5526327083</v>
      </c>
      <c r="AK121" s="1" t="s">
        <v>1145</v>
      </c>
      <c r="AL121" s="1" t="s">
        <v>1143</v>
      </c>
      <c r="AM121" s="1" t="s">
        <v>529</v>
      </c>
      <c r="AN121" s="1" t="s">
        <v>932</v>
      </c>
      <c r="AO121" s="1" t="s">
        <v>445</v>
      </c>
      <c r="AP121" s="1">
        <v>45</v>
      </c>
      <c r="AQ121" s="1" t="s">
        <v>233</v>
      </c>
      <c r="AR121" s="42">
        <v>0.33333333333575865</v>
      </c>
      <c r="AS121" s="42">
        <v>0.25</v>
      </c>
      <c r="AT121" s="1">
        <v>5519793754</v>
      </c>
      <c r="AU121" s="1">
        <v>5526327083</v>
      </c>
      <c r="AV121" s="1" t="s">
        <v>4912</v>
      </c>
      <c r="AW121" s="5" t="s">
        <v>4913</v>
      </c>
      <c r="AX121" s="1" t="s">
        <v>1143</v>
      </c>
      <c r="AY121" s="1" t="s">
        <v>529</v>
      </c>
      <c r="AZ121" s="1" t="s">
        <v>932</v>
      </c>
      <c r="BA121" s="1" t="s">
        <v>445</v>
      </c>
      <c r="BB121" s="1">
        <v>45</v>
      </c>
      <c r="BC121" s="1" t="s">
        <v>233</v>
      </c>
      <c r="BD121" s="43">
        <v>0.33333333333575865</v>
      </c>
      <c r="BE121" s="43">
        <v>0.25</v>
      </c>
      <c r="BF121" s="1">
        <v>5519793754</v>
      </c>
      <c r="BG121" s="1">
        <v>5526327083</v>
      </c>
      <c r="BH121" s="1" t="s">
        <v>4912</v>
      </c>
      <c r="BI121" s="5" t="s">
        <v>4914</v>
      </c>
      <c r="BJ121" s="1" t="s">
        <v>236</v>
      </c>
      <c r="BL121" s="1">
        <v>1.6</v>
      </c>
      <c r="BM121" s="1">
        <v>55</v>
      </c>
      <c r="BN121" s="1" t="s">
        <v>236</v>
      </c>
      <c r="BO121" s="1" t="s">
        <v>228</v>
      </c>
      <c r="BQ121" s="1" t="s">
        <v>228</v>
      </c>
      <c r="BR121" s="1" t="s">
        <v>237</v>
      </c>
      <c r="BS121" s="1" t="s">
        <v>228</v>
      </c>
      <c r="BT121" s="1" t="s">
        <v>237</v>
      </c>
      <c r="BU121" s="1" t="s">
        <v>228</v>
      </c>
      <c r="BW121" s="1" t="s">
        <v>272</v>
      </c>
      <c r="BX121" s="1">
        <v>60</v>
      </c>
      <c r="BY121" s="1">
        <v>230</v>
      </c>
      <c r="BZ121" s="1" t="s">
        <v>298</v>
      </c>
      <c r="CA121" s="1" t="s">
        <v>343</v>
      </c>
      <c r="CB121" s="1" t="s">
        <v>240</v>
      </c>
      <c r="CC121" s="1" t="s">
        <v>1146</v>
      </c>
      <c r="CD121" s="1">
        <v>1500</v>
      </c>
      <c r="CE121" s="1">
        <v>5000</v>
      </c>
      <c r="CF121" s="1" t="s">
        <v>236</v>
      </c>
      <c r="CG121" s="1" t="s">
        <v>323</v>
      </c>
      <c r="CH121" s="1" t="s">
        <v>243</v>
      </c>
      <c r="CI121" s="1" t="s">
        <v>243</v>
      </c>
      <c r="CJ121" s="1" t="s">
        <v>2848</v>
      </c>
      <c r="CL121" s="5" t="s">
        <v>4915</v>
      </c>
      <c r="CM121" s="44" t="s">
        <v>1147</v>
      </c>
      <c r="CN121" s="1" t="s">
        <v>228</v>
      </c>
      <c r="CQ121" s="42">
        <v>0.33333333333575865</v>
      </c>
      <c r="CR121" s="42">
        <v>0.20833333333575865</v>
      </c>
      <c r="CT121" s="45" t="str">
        <f t="array" ref="CT121">IFERROR(INDEX(#REF!,MATCH('Respuestas de formulario 1.1'!$B121,#REF!,0),MATCH('Respuestas de formulario 1.1'!CT$1,#REF!,0)),"")</f>
        <v/>
      </c>
      <c r="CU121" s="56" t="str">
        <f t="array" ref="CU121">IFERROR(INDEX(#REF!,MATCH('Respuestas de formulario 1.1'!$B121,#REF!,0),MATCH('Respuestas de formulario 1.1'!CU$1,#REF!,0)),"")</f>
        <v/>
      </c>
      <c r="CV121" s="56" t="str">
        <f t="array" ref="CV121">IFERROR(INDEX(#REF!,MATCH('Respuestas de formulario 1.1'!$B121,#REF!,0),MATCH('Respuestas de formulario 1.1'!CV$1,#REF!,0)),"")</f>
        <v/>
      </c>
      <c r="CW121" s="56" t="str">
        <f t="array" ref="CW121">IFERROR(INDEX(#REF!,MATCH('Respuestas de formulario 1.1'!$B121,#REF!,0),MATCH('Respuestas de formulario 1.1'!CW$1,#REF!,0)),"")</f>
        <v/>
      </c>
      <c r="CX121" s="56" t="str">
        <f t="array" ref="CX121">IFERROR(INDEX(#REF!,MATCH('Respuestas de formulario 1.1'!$B121,#REF!,0),MATCH('Respuestas de formulario 1.1'!CX$1,#REF!,0)),"")</f>
        <v/>
      </c>
      <c r="CY121" s="56" t="str">
        <f t="array" ref="CY121">IFERROR(INDEX(#REF!,MATCH('Respuestas de formulario 1.1'!$B121,#REF!,0),MATCH('Respuestas de formulario 1.1'!CY$1,#REF!,0)),"")</f>
        <v/>
      </c>
      <c r="CZ121" s="57" t="str">
        <f t="array" ref="CZ121">IFERROR(INDEX(#REF!,MATCH('Respuestas de formulario 1.1'!$B121,#REF!,0),MATCH('Respuestas de formulario 1.1'!CZ$1,#REF!,0)),"")</f>
        <v/>
      </c>
      <c r="DA121" s="45" t="e">
        <f t="array" ref="DA121">INDEX(#REF!,MATCH('Respuestas de formulario 1.1'!$B121,#REF!,0),MATCH('Respuestas de formulario 1.1'!DA$1,#REF!,0))</f>
        <v>#REF!</v>
      </c>
      <c r="DB121" s="45" t="e">
        <f t="array" ref="DB121">INDEX(#REF!,MATCH('Respuestas de formulario 1.1'!$B121,#REF!,0),MATCH('Respuestas de formulario 1.1'!DB$1,#REF!,0))</f>
        <v>#REF!</v>
      </c>
      <c r="DC121" s="45" t="e">
        <f t="array" ref="DC121">INDEX(#REF!,MATCH('Respuestas de formulario 1.1'!$B121,#REF!,0),MATCH('Respuestas de formulario 1.1'!DC$1,#REF!,0))</f>
        <v>#REF!</v>
      </c>
      <c r="DD121" s="45" t="e">
        <f t="array" ref="DD121">INDEX(#REF!,MATCH('Respuestas de formulario 1.1'!$B121,#REF!,0),MATCH('Respuestas de formulario 1.1'!DD$1,#REF!,0))</f>
        <v>#REF!</v>
      </c>
      <c r="DE121" s="45" t="e">
        <f t="array" ref="DE121">INDEX(#REF!,MATCH('Respuestas de formulario 1.1'!$B121,#REF!,0),MATCH('Respuestas de formulario 1.1'!DE$1,#REF!,0))</f>
        <v>#REF!</v>
      </c>
      <c r="DF121" s="45" t="e">
        <f t="array" ref="DF121">INDEX(#REF!,MATCH('Respuestas de formulario 1.1'!$B121,#REF!,0),MATCH('Respuestas de formulario 1.1'!DF$1,#REF!,0))</f>
        <v>#REF!</v>
      </c>
      <c r="DG121" s="45" t="e">
        <f t="array" ref="DG121">INDEX(#REF!,MATCH('Respuestas de formulario 1.1'!$B121,#REF!,0),MATCH('Respuestas de formulario 1.1'!DG$1,#REF!,0))</f>
        <v>#REF!</v>
      </c>
      <c r="DH121" s="45" t="e">
        <f t="array" ref="DH121">INDEX(#REF!,MATCH('Respuestas de formulario 1.1'!$B121,#REF!,0),MATCH('Respuestas de formulario 1.1'!DH$1,#REF!,0))</f>
        <v>#REF!</v>
      </c>
      <c r="DI121" s="48" t="e">
        <f>VLOOKUP(CONCATENATE($DF121," TUTO ",$DC121),#REF!,3,0)</f>
        <v>#REF!</v>
      </c>
      <c r="DJ121" s="48" t="e">
        <f t="array" ref="DJ121">IF('Respuestas de formulario 1.1'!A121="","",INDEX(#REF!,MATCH('Respuestas de formulario 1.1'!B121,#REF!,0),MATCH('Respuestas de formulario 1.1'!$DH$1,#REF!,0)))</f>
        <v>#REF!</v>
      </c>
      <c r="DK121" s="52" t="str">
        <f>CONCATENATE("http://doc.google.com/uc?id=",MID('Respuestas de formulario 1.1'!G121,34,33))</f>
        <v>http://doc.google.com/uc?id=1e6kB_SmpzbEQOh85lD7xBHQYfY0Kk-lm</v>
      </c>
      <c r="DL121" s="49" t="str">
        <f>CONCATENATE("http://doc.google.com/uc?id=",MID('Respuestas de formulario 1.1'!AH121,34,33))</f>
        <v>http://doc.google.com/uc?id=1vXl3eleL_XIY02iDwAtM3P7UddiATD8T</v>
      </c>
      <c r="DM121" s="50" t="str">
        <f>CONCATENATE("http://doc.google.com/uc?id=",MID('Respuestas de formulario 1.1'!AW121,34,33))</f>
        <v>http://doc.google.com/uc?id=1kjKZEov5Ev-H6AOznwlOS7Rj2nDfIpOb</v>
      </c>
      <c r="DN121" s="53" t="str">
        <f>CONCATENATE("http://doc.google.com/uc?id=",MID('Respuestas de formulario 1.1'!$BI121,34,33))</f>
        <v>http://doc.google.com/uc?id=1ic575SUl89zp4_jD8ZDsKPNIH62AiPTt</v>
      </c>
      <c r="DO121" s="45" t="str">
        <f>IFERROR(VLOOKUP(CONCATENATE('Respuestas de formulario 1.1'!$B121,MID('Respuestas de formulario 1.1'!DO$1,2,1)),#REF!,12,0),"")</f>
        <v/>
      </c>
      <c r="DP121" s="45" t="str">
        <f>IFERROR(VLOOKUP(CONCATENATE('Respuestas de formulario 1.1'!$B121,MID('Respuestas de formulario 1.1'!DP$1,2,1)),#REF!,12,0),"")</f>
        <v/>
      </c>
      <c r="DQ121" s="45" t="str">
        <f>IFERROR(VLOOKUP(CONCATENATE('Respuestas de formulario 1.1'!$B121,MID('Respuestas de formulario 1.1'!DQ$1,2,1)),#REF!,12,0),"")</f>
        <v/>
      </c>
      <c r="DR121" s="45" t="str">
        <f>IFERROR(VLOOKUP(CONCATENATE('Respuestas de formulario 1.1'!$B121,MID('Respuestas de formulario 1.1'!DR$1,2,1)),#REF!,12,0),"")</f>
        <v/>
      </c>
      <c r="DS121" s="45" t="str">
        <f>IFERROR(VLOOKUP(CONCATENATE('Respuestas de formulario 1.1'!$B121,MID('Respuestas de formulario 1.1'!DS$1,2,1)),#REF!,12,0),"")</f>
        <v/>
      </c>
      <c r="DT121" s="45" t="str">
        <f>IFERROR(VLOOKUP(CONCATENATE('Respuestas de formulario 1.1'!$B121,MID('Respuestas de formulario 1.1'!DT$1,2,1)),#REF!,12,0),"")</f>
        <v/>
      </c>
      <c r="DU121" s="45" t="str">
        <f>IFERROR(VLOOKUP(CONCATENATE('Respuestas de formulario 1.1'!$B121,MID('Respuestas de formulario 1.1'!DU$1,2,1)),#REF!,12,0),"")</f>
        <v/>
      </c>
      <c r="DV121" s="45" t="str">
        <f>IFERROR(VLOOKUP(CONCATENATE('Respuestas de formulario 1.1'!$B121,MID('Respuestas de formulario 1.1'!DV$1,2,1)),#REF!,12,0),"")</f>
        <v/>
      </c>
      <c r="DW121" s="45" t="str">
        <f>IFERROR(VLOOKUP(CONCATENATE('Respuestas de formulario 1.1'!$B121,MID('Respuestas de formulario 1.1'!DW$1,2,1)),#REF!,12,0),"")</f>
        <v/>
      </c>
      <c r="DX121" s="45" t="str">
        <f>IFERROR(VLOOKUP(CONCATENATE('Respuestas de formulario 1.1'!$B121,MID('Respuestas de formulario 1.1'!DX$1,2,1)),#REF!,12,0),"")</f>
        <v/>
      </c>
      <c r="DY121" s="45" t="str">
        <f>IFERROR(VLOOKUP(CONCATENATE('Respuestas de formulario 1.1'!$B121,MID('Respuestas de formulario 1.1'!DY$1,2,1)),#REF!,12,0),"")</f>
        <v/>
      </c>
      <c r="DZ121" s="45" t="str">
        <f>IFERROR(VLOOKUP(CONCATENATE('Respuestas de formulario 1.1'!$B121,MID('Respuestas de formulario 1.1'!DZ$1,2,1)),#REF!,12,0),"")</f>
        <v/>
      </c>
      <c r="EA121" s="45" t="str">
        <f>IFERROR(VLOOKUP(CONCATENATE('Respuestas de formulario 1.1'!$B121,MID('Respuestas de formulario 1.1'!EA$1,2,1)),#REF!,12,0),"")</f>
        <v/>
      </c>
      <c r="EB121" s="45" t="str">
        <f>IFERROR(VLOOKUP(CONCATENATE('Respuestas de formulario 1.1'!$B121,MID('Respuestas de formulario 1.1'!EB$1,2,1)),#REF!,12,0),"")</f>
        <v/>
      </c>
      <c r="EC121" s="45" t="str">
        <f>IFERROR(VLOOKUP(CONCATENATE('Respuestas de formulario 1.1'!$B121,MID('Respuestas de formulario 1.1'!EC$1,2,1)),#REF!,12,0),"")</f>
        <v/>
      </c>
      <c r="ED121" s="45" t="str">
        <f>IFERROR(VLOOKUP(CONCATENATE('Respuestas de formulario 1.1'!$B121,MID('Respuestas de formulario 1.1'!ED$1,2,1)),#REF!,12,0),"")</f>
        <v/>
      </c>
      <c r="EE121" s="45" t="str">
        <f>IFERROR(VLOOKUP(CONCATENATE('Respuestas de formulario 1.1'!$B121,MID('Respuestas de formulario 1.1'!EE$1,2,1)),#REF!,12,0),"")</f>
        <v/>
      </c>
      <c r="EF121" s="45" t="str">
        <f>IFERROR(VLOOKUP(CONCATENATE('Respuestas de formulario 1.1'!$B121,MID('Respuestas de formulario 1.1'!EF$1,2,1)),#REF!,12,0),"")</f>
        <v/>
      </c>
      <c r="EG121" s="45" t="str">
        <f>IFERROR(VLOOKUP(CONCATENATE('Respuestas de formulario 1.1'!$B121,MID('Respuestas de formulario 1.1'!EG$1,2,1)),#REF!,12,0),"")</f>
        <v/>
      </c>
      <c r="EH121" s="45" t="str">
        <f>IFERROR(VLOOKUP(CONCATENATE('Respuestas de formulario 1.1'!$B121,MID('Respuestas de formulario 1.1'!EH$1,2,1)),#REF!,12,0),"")</f>
        <v/>
      </c>
      <c r="EI121" s="45" t="str">
        <f>IFERROR(VLOOKUP(CONCATENATE('Respuestas de formulario 1.1'!$B121,MID('Respuestas de formulario 1.1'!EI$1,2,1)),#REF!,12,0),"")</f>
        <v/>
      </c>
      <c r="EJ121" s="45" t="str">
        <f t="array" ref="EJ121">IF(DO121="","", INDEX(#REF!,MATCH(CONCATENATE('Respuestas de formulario 1.1'!$B121,DO121),#REF!,0),MATCH('Respuestas de formulario 1.1'!EJ$1,#REF!,0)))</f>
        <v/>
      </c>
      <c r="EK121" s="56" t="str">
        <f t="array" ref="EK121">IF(DP121="","", INDEX(#REF!,MATCH(CONCATENATE('Respuestas de formulario 1.1'!$B121,DP121),#REF!,0),MATCH('Respuestas de formulario 1.1'!EK$1,#REF!,0)))</f>
        <v/>
      </c>
      <c r="EL121" s="56" t="str">
        <f t="array" ref="EL121">IF(DQ121="","", INDEX(#REF!,MATCH(CONCATENATE('Respuestas de formulario 1.1'!$B121,DQ121),#REF!,0),MATCH('Respuestas de formulario 1.1'!EL$1,#REF!,0)))</f>
        <v/>
      </c>
      <c r="EM121" s="56" t="str">
        <f t="array" ref="EM121">IF(DR121="","", INDEX(#REF!,MATCH(CONCATENATE('Respuestas de formulario 1.1'!$B121,DR121),#REF!,0),MATCH('Respuestas de formulario 1.1'!EM$1,#REF!,0)))</f>
        <v/>
      </c>
      <c r="EN121" s="56" t="str">
        <f t="array" ref="EN121">IF(DS121="","", INDEX(#REF!,MATCH(CONCATENATE('Respuestas de formulario 1.1'!$B121,DS121),#REF!,0),MATCH('Respuestas de formulario 1.1'!EN$1,#REF!,0)))</f>
        <v/>
      </c>
      <c r="EO121" s="56" t="str">
        <f t="array" ref="EO121">IF(DT121="","", INDEX(#REF!,MATCH(CONCATENATE('Respuestas de formulario 1.1'!$B121,DT121),#REF!,0),MATCH('Respuestas de formulario 1.1'!EO$1,#REF!,0)))</f>
        <v/>
      </c>
      <c r="EP121" s="45" t="str">
        <f t="array" ref="EP121">IF(DU121="","", INDEX(#REF!,MATCH(CONCATENATE('Respuestas de formulario 1.1'!$B121,DU121),#REF!,0),MATCH('Respuestas de formulario 1.1'!EP$1,#REF!,0)))</f>
        <v/>
      </c>
      <c r="EQ121" s="45" t="str">
        <f t="array" ref="EQ121">IF(DP121="","", INDEX(#REF!,MATCH(CONCATENATE('Respuestas de formulario 1.1'!$B121,DP121),#REF!,0),MATCH('Respuestas de formulario 1.1'!EQ$1,#REF!,0)))</f>
        <v/>
      </c>
      <c r="ER121" s="56" t="str">
        <f t="array" ref="ER121">IF(DQ121="","", INDEX(#REF!,MATCH(CONCATENATE('Respuestas de formulario 1.1'!$B121,DQ121),#REF!,0),MATCH('Respuestas de formulario 1.1'!ER$1,#REF!,0)))</f>
        <v/>
      </c>
      <c r="ES121" s="56" t="str">
        <f t="array" ref="ES121">IF(DR121="","", INDEX(#REF!,MATCH(CONCATENATE('Respuestas de formulario 1.1'!$B121,DR121),#REF!,0),MATCH('Respuestas de formulario 1.1'!ES$1,#REF!,0)))</f>
        <v/>
      </c>
      <c r="ET121" s="56" t="str">
        <f t="array" ref="ET121">IF(DS121="","", INDEX(#REF!,MATCH(CONCATENATE('Respuestas de formulario 1.1'!$B121,DS121),#REF!,0),MATCH('Respuestas de formulario 1.1'!ET$1,#REF!,0)))</f>
        <v/>
      </c>
      <c r="EU121" s="56" t="str">
        <f t="array" ref="EU121">IF(DT121="","", INDEX(#REF!,MATCH(CONCATENATE('Respuestas de formulario 1.1'!$B121,DT121),#REF!,0),MATCH('Respuestas de formulario 1.1'!EU$1,#REF!,0)))</f>
        <v/>
      </c>
      <c r="EV121" s="56" t="str">
        <f t="array" ref="EV121">IF(DU121="","", INDEX(#REF!,MATCH(CONCATENATE('Respuestas de formulario 1.1'!$B121,DU121),#REF!,0),MATCH('Respuestas de formulario 1.1'!EV$1,#REF!,0)))</f>
        <v/>
      </c>
      <c r="EW121" s="45" t="str">
        <f t="array" ref="EW121">IF(DV121="","", INDEX(#REF!,MATCH(CONCATENATE('Respuestas de formulario 1.1'!$B121,DV121),#REF!,0),MATCH('Respuestas de formulario 1.1'!EW$1,#REF!,0)))</f>
        <v/>
      </c>
      <c r="EX121" s="45" t="str">
        <f t="array" ref="EX121">IF($DQ121="","", INDEX(#REF!,MATCH(CONCATENATE('Respuestas de formulario 1.1'!$B121,$DQ121),#REF!,0),MATCH('Respuestas de formulario 1.1'!EX$1,#REF!,0)))</f>
        <v/>
      </c>
      <c r="EY121" s="56" t="str">
        <f t="array" ref="EY121">IF($DQ121="","", INDEX(#REF!,MATCH(CONCATENATE('Respuestas de formulario 1.1'!$B121,$DQ121),#REF!,0),MATCH('Respuestas de formulario 1.1'!EY$1,#REF!,0)))</f>
        <v/>
      </c>
      <c r="EZ121" s="56" t="str">
        <f t="array" ref="EZ121">IF($DQ121="","", INDEX(#REF!,MATCH(CONCATENATE('Respuestas de formulario 1.1'!$B121,$DQ121),#REF!,0),MATCH('Respuestas de formulario 1.1'!EZ$1,#REF!,0)))</f>
        <v/>
      </c>
      <c r="FA121" s="56" t="str">
        <f t="array" ref="FA121">IF($DQ121="","", INDEX(#REF!,MATCH(CONCATENATE('Respuestas de formulario 1.1'!$B121,$DQ121),#REF!,0),MATCH('Respuestas de formulario 1.1'!FA$1,#REF!,0)))</f>
        <v/>
      </c>
      <c r="FB121" s="56" t="str">
        <f t="array" ref="FB121">IF($DQ121="","", INDEX(#REF!,MATCH(CONCATENATE('Respuestas de formulario 1.1'!$B121,$DQ121),#REF!,0),MATCH('Respuestas de formulario 1.1'!FB$1,#REF!,0)))</f>
        <v/>
      </c>
      <c r="FC121" s="56" t="str">
        <f t="array" ref="FC121">IF($DQ121="","", INDEX(#REF!,MATCH(CONCATENATE('Respuestas de formulario 1.1'!$B121,$DQ121),#REF!,0),MATCH('Respuestas de formulario 1.1'!FC$1,#REF!,0)))</f>
        <v/>
      </c>
      <c r="FD121" s="45" t="str">
        <f t="array" ref="FD121">IF($DQ121="","", INDEX(#REF!,MATCH(CONCATENATE('Respuestas de formulario 1.1'!$B121,$DQ121),#REF!,0),MATCH('Respuestas de formulario 1.1'!FD$1,#REF!,0)))</f>
        <v/>
      </c>
      <c r="FE121" s="45" t="str">
        <f t="array" ref="FE121">IF($DR121="","", INDEX(#REF!,MATCH(CONCATENATE(#REF!,$DR121),#REF!,0),MATCH(#REF!,#REF!,0)))</f>
        <v/>
      </c>
      <c r="FF121" s="56" t="str">
        <f t="array" ref="FF121">IF($DR121="","", INDEX(#REF!,MATCH(CONCATENATE(#REF!,$DR121),#REF!,0),MATCH(#REF!,#REF!,0)))</f>
        <v/>
      </c>
      <c r="FG121" s="56" t="str">
        <f t="array" ref="FG121">IF($DR121="","", INDEX(#REF!,MATCH(CONCATENATE(#REF!,$DR121),#REF!,0),MATCH(#REF!,#REF!,0)))</f>
        <v/>
      </c>
      <c r="FH121" s="56" t="str">
        <f t="array" ref="FH121">IF($DR121="","", INDEX(#REF!,MATCH(CONCATENATE(#REF!,$DR121),#REF!,0),MATCH(#REF!,#REF!,0)))</f>
        <v/>
      </c>
      <c r="FI121" s="56" t="str">
        <f t="array" ref="FI121">IF($DR121="","", INDEX(#REF!,MATCH(CONCATENATE(#REF!,$DR121),#REF!,0),MATCH(#REF!,#REF!,0)))</f>
        <v/>
      </c>
      <c r="FJ121" s="56" t="str">
        <f t="array" ref="FJ121">IF($DR121="","", INDEX(#REF!,MATCH(CONCATENATE(#REF!,$DR121),#REF!,0),MATCH(#REF!,#REF!,0)))</f>
        <v/>
      </c>
      <c r="FK121" s="45" t="str">
        <f t="array" ref="FK121">IF($DR121="","", INDEX(#REF!,MATCH(CONCATENATE(#REF!,$DR121),#REF!,0),MATCH(#REF!,#REF!,0)))</f>
        <v/>
      </c>
      <c r="FL121" s="45" t="str">
        <f t="array" ref="FL121">IF($DT121="","", INDEX(#REF!,MATCH(CONCATENATE('Respuestas de formulario 1.1'!$B121,$DS121),#REF!,0),MATCH('Respuestas de formulario 1.1'!FL$1,#REF!,0)))</f>
        <v/>
      </c>
      <c r="FM121" s="56" t="str">
        <f t="array" ref="FM121">IF($DT121="","", INDEX(#REF!,MATCH(CONCATENATE('Respuestas de formulario 1.1'!$B121,$DS121),#REF!,0),MATCH('Respuestas de formulario 1.1'!FM$1,#REF!,0)))</f>
        <v/>
      </c>
      <c r="FN121" s="56" t="str">
        <f t="array" ref="FN121">IF($DT121="","", INDEX(#REF!,MATCH(CONCATENATE('Respuestas de formulario 1.1'!$B121,$DS121),#REF!,0),MATCH('Respuestas de formulario 1.1'!FN$1,#REF!,0)))</f>
        <v/>
      </c>
      <c r="FO121" s="56" t="str">
        <f t="array" ref="FO121">IF($DT121="","", INDEX(#REF!,MATCH(CONCATENATE('Respuestas de formulario 1.1'!$B121,$DS121),#REF!,0),MATCH('Respuestas de formulario 1.1'!FO$1,#REF!,0)))</f>
        <v/>
      </c>
      <c r="FP121" s="56" t="str">
        <f t="array" ref="FP121">IF($DT121="","", INDEX(#REF!,MATCH(CONCATENATE('Respuestas de formulario 1.1'!$B121,$DS121),#REF!,0),MATCH('Respuestas de formulario 1.1'!FP$1,#REF!,0)))</f>
        <v/>
      </c>
      <c r="FQ121" s="56" t="str">
        <f t="array" ref="FQ121">IF($DT121="","", INDEX(#REF!,MATCH(CONCATENATE('Respuestas de formulario 1.1'!$B121,$DS121),#REF!,0),MATCH('Respuestas de formulario 1.1'!FQ$1,#REF!,0)))</f>
        <v/>
      </c>
      <c r="FR121" s="45" t="str">
        <f t="array" ref="FR121">IF($DT121="","", INDEX(#REF!,MATCH(CONCATENATE('Respuestas de formulario 1.1'!$B121,$DS121),#REF!,0),MATCH('Respuestas de formulario 1.1'!FR$1,#REF!,0)))</f>
        <v/>
      </c>
      <c r="FS121" s="45" t="str">
        <f t="array" ref="FS121">IF($DU121="","", INDEX(#REF!,MATCH(CONCATENATE('Respuestas de formulario 1.1'!$B121,$DT121),#REF!,0),MATCH('Respuestas de formulario 1.1'!FS$1,#REF!,0)))</f>
        <v/>
      </c>
      <c r="FT121" s="56" t="str">
        <f t="array" ref="FT121">IF($DU121="","", INDEX(#REF!,MATCH(CONCATENATE('Respuestas de formulario 1.1'!$B121,$DT121),#REF!,0),MATCH('Respuestas de formulario 1.1'!FT$1,#REF!,0)))</f>
        <v/>
      </c>
      <c r="FU121" s="56" t="str">
        <f t="array" ref="FU121">IF($DU121="","", INDEX(#REF!,MATCH(CONCATENATE('Respuestas de formulario 1.1'!$B121,$DT121),#REF!,0),MATCH('Respuestas de formulario 1.1'!FU$1,#REF!,0)))</f>
        <v/>
      </c>
      <c r="FV121" s="56" t="str">
        <f t="array" ref="FV121">IF($DU121="","", INDEX(#REF!,MATCH(CONCATENATE('Respuestas de formulario 1.1'!$B121,$DT121),#REF!,0),MATCH('Respuestas de formulario 1.1'!FV$1,#REF!,0)))</f>
        <v/>
      </c>
      <c r="FW121" s="56" t="str">
        <f t="array" ref="FW121">IF($DU121="","", INDEX(#REF!,MATCH(CONCATENATE('Respuestas de formulario 1.1'!$B121,$DT121),#REF!,0),MATCH('Respuestas de formulario 1.1'!FW$1,#REF!,0)))</f>
        <v/>
      </c>
      <c r="FX121" s="56" t="str">
        <f t="array" ref="FX121">IF($DU121="","", INDEX(#REF!,MATCH(CONCATENATE('Respuestas de formulario 1.1'!$B121,$DT121),#REF!,0),MATCH('Respuestas de formulario 1.1'!FX$1,#REF!,0)))</f>
        <v/>
      </c>
      <c r="FY121" s="45" t="str">
        <f t="array" ref="FY121">IF($DU121="","", INDEX(#REF!,MATCH(CONCATENATE('Respuestas de formulario 1.1'!$B121,$DT121),#REF!,0),MATCH('Respuestas de formulario 1.1'!FY$1,#REF!,0)))</f>
        <v/>
      </c>
      <c r="FZ121" s="3" t="s">
        <v>2860</v>
      </c>
      <c r="GA121" s="1" t="s">
        <v>4916</v>
      </c>
      <c r="GB121" s="5" t="s">
        <v>4917</v>
      </c>
      <c r="GC121" s="4" t="str">
        <f>HYPERLINK("https://drive.google.com/file/d/1KQQsvQOyz5MueeU-i33V7yyns29pQmP_/view?usp=drivesdk","ESCOBAR  SANTOS LUISA FERNANDA Formato de reinscripción y pago 2022-2")</f>
        <v>ESCOBAR  SANTOS LUISA FERNANDA Formato de reinscripción y pago 2022-2</v>
      </c>
      <c r="GD121" s="1" t="s">
        <v>4918</v>
      </c>
      <c r="GE121" s="1"/>
      <c r="GF121" s="1"/>
      <c r="GG121" s="1"/>
      <c r="GH121" s="1"/>
      <c r="GI121" s="1" t="s">
        <v>4919</v>
      </c>
      <c r="GJ121" s="5" t="s">
        <v>4920</v>
      </c>
      <c r="GK121" s="5" t="str">
        <f>HYPERLINK("https://drive.google.com/file/d/1PLikmrgSFfSLt0Ap2syEGF8VrDq9L73Z/view?usp=drivesdk","ESCOBAR  SANTOS LUISA FERNANDA Formato de reinscripción y pago 2022-2")</f>
        <v>ESCOBAR  SANTOS LUISA FERNANDA Formato de reinscripción y pago 2022-2</v>
      </c>
      <c r="GL121" s="1" t="s">
        <v>4921</v>
      </c>
    </row>
    <row r="122" spans="1:194" ht="14.25" x14ac:dyDescent="0.2">
      <c r="A122" s="2">
        <v>45139.438698148151</v>
      </c>
      <c r="B122" s="1" t="s">
        <v>2711</v>
      </c>
      <c r="C122" s="1" t="s">
        <v>771</v>
      </c>
      <c r="D122" s="1" t="s">
        <v>2712</v>
      </c>
      <c r="E122" s="1" t="s">
        <v>2713</v>
      </c>
      <c r="F122" s="1" t="s">
        <v>262</v>
      </c>
      <c r="G122" s="5" t="s">
        <v>4922</v>
      </c>
      <c r="H122" s="41">
        <v>37583</v>
      </c>
      <c r="I122" s="1">
        <v>20</v>
      </c>
      <c r="J122" s="1">
        <v>5636037144</v>
      </c>
      <c r="K122" s="1">
        <v>13</v>
      </c>
      <c r="L122" s="1" t="s">
        <v>2714</v>
      </c>
      <c r="M122" s="1">
        <v>21309060570726</v>
      </c>
      <c r="N122" s="1" t="s">
        <v>1108</v>
      </c>
      <c r="O122" s="1" t="s">
        <v>225</v>
      </c>
      <c r="P122" s="1" t="s">
        <v>226</v>
      </c>
      <c r="Q122" s="1" t="s">
        <v>263</v>
      </c>
      <c r="R122" s="1" t="s">
        <v>236</v>
      </c>
      <c r="S122" s="1" t="s">
        <v>236</v>
      </c>
      <c r="T122" s="1" t="s">
        <v>229</v>
      </c>
      <c r="U122" s="1" t="s">
        <v>249</v>
      </c>
      <c r="V122" s="1" t="s">
        <v>228</v>
      </c>
      <c r="W122" s="1" t="s">
        <v>4923</v>
      </c>
      <c r="X122" s="1" t="s">
        <v>249</v>
      </c>
      <c r="Y122" s="1" t="s">
        <v>257</v>
      </c>
      <c r="Z122" s="1" t="s">
        <v>240</v>
      </c>
      <c r="AA122" s="44" t="s">
        <v>575</v>
      </c>
      <c r="AB122" s="1">
        <v>13</v>
      </c>
      <c r="AC122" s="1">
        <v>3</v>
      </c>
      <c r="AD122" s="1" t="s">
        <v>4924</v>
      </c>
      <c r="AE122" s="1" t="s">
        <v>1262</v>
      </c>
      <c r="AF122" s="1" t="s">
        <v>265</v>
      </c>
      <c r="AG122" s="1">
        <v>47</v>
      </c>
      <c r="AH122" s="5" t="s">
        <v>4925</v>
      </c>
      <c r="AI122" s="1">
        <v>5529552793</v>
      </c>
      <c r="AJ122" s="1">
        <v>5589901685</v>
      </c>
      <c r="AL122" s="1" t="s">
        <v>771</v>
      </c>
      <c r="AM122" s="1" t="s">
        <v>4926</v>
      </c>
      <c r="AN122" s="1" t="s">
        <v>2716</v>
      </c>
      <c r="AO122" s="1" t="s">
        <v>586</v>
      </c>
      <c r="AP122" s="1">
        <v>26</v>
      </c>
      <c r="AQ122" s="1" t="s">
        <v>2150</v>
      </c>
      <c r="AR122" s="42">
        <v>0.33333333333575865</v>
      </c>
      <c r="AS122" s="42">
        <v>0.66666666666424135</v>
      </c>
      <c r="AT122" s="1">
        <v>5634155644</v>
      </c>
      <c r="AU122" s="1">
        <v>5634155644</v>
      </c>
      <c r="AW122" s="5" t="s">
        <v>4927</v>
      </c>
      <c r="AX122" s="1" t="s">
        <v>2715</v>
      </c>
      <c r="AY122" s="1" t="s">
        <v>329</v>
      </c>
      <c r="AZ122" s="1" t="s">
        <v>1832</v>
      </c>
      <c r="BA122" s="1" t="s">
        <v>359</v>
      </c>
      <c r="BB122" s="1">
        <v>67</v>
      </c>
      <c r="BC122" s="1" t="s">
        <v>1040</v>
      </c>
      <c r="BD122" s="43">
        <v>0</v>
      </c>
      <c r="BE122" s="43">
        <v>0</v>
      </c>
      <c r="BF122" s="1">
        <v>5519163663</v>
      </c>
      <c r="BG122" s="1">
        <v>5519163663</v>
      </c>
      <c r="BI122" s="5" t="s">
        <v>4928</v>
      </c>
      <c r="BJ122" s="1" t="s">
        <v>236</v>
      </c>
      <c r="BL122" s="1">
        <v>175</v>
      </c>
      <c r="BM122" s="1">
        <v>68</v>
      </c>
      <c r="BN122" s="1" t="s">
        <v>236</v>
      </c>
      <c r="BO122" s="1" t="s">
        <v>228</v>
      </c>
      <c r="BQ122" s="1" t="s">
        <v>228</v>
      </c>
      <c r="BR122" s="1" t="s">
        <v>237</v>
      </c>
      <c r="BS122" s="1" t="s">
        <v>236</v>
      </c>
      <c r="BT122" s="1" t="s">
        <v>457</v>
      </c>
      <c r="BU122" s="1" t="s">
        <v>228</v>
      </c>
      <c r="BW122" s="1" t="s">
        <v>679</v>
      </c>
      <c r="BX122" s="1">
        <v>60</v>
      </c>
      <c r="BY122" s="1">
        <v>230</v>
      </c>
      <c r="BZ122" s="1" t="s">
        <v>4929</v>
      </c>
      <c r="CA122" s="1" t="s">
        <v>299</v>
      </c>
      <c r="CB122" s="1" t="s">
        <v>240</v>
      </c>
      <c r="CC122" s="1" t="s">
        <v>1941</v>
      </c>
      <c r="CD122" s="1">
        <v>2500</v>
      </c>
      <c r="CE122" s="44" t="s">
        <v>659</v>
      </c>
      <c r="CF122" s="1" t="s">
        <v>236</v>
      </c>
      <c r="CG122" s="1" t="s">
        <v>242</v>
      </c>
      <c r="CH122" s="1" t="s">
        <v>243</v>
      </c>
      <c r="CI122" s="1" t="s">
        <v>243</v>
      </c>
      <c r="CJ122" s="1" t="s">
        <v>2848</v>
      </c>
      <c r="CL122" s="5" t="s">
        <v>4930</v>
      </c>
      <c r="CM122" s="44" t="s">
        <v>2717</v>
      </c>
      <c r="CN122" s="1" t="s">
        <v>228</v>
      </c>
      <c r="CQ122" s="42">
        <v>0.58333333333575865</v>
      </c>
      <c r="CR122" s="42">
        <v>0.95833333333575865</v>
      </c>
      <c r="CT122" s="45" t="str">
        <f t="array" ref="CT122">IFERROR(INDEX(#REF!,MATCH('Respuestas de formulario 1.1'!$B122,#REF!,0),MATCH('Respuestas de formulario 1.1'!CT$1,#REF!,0)),"")</f>
        <v/>
      </c>
      <c r="CU122" s="56" t="str">
        <f t="array" ref="CU122">IFERROR(INDEX(#REF!,MATCH('Respuestas de formulario 1.1'!$B122,#REF!,0),MATCH('Respuestas de formulario 1.1'!CU$1,#REF!,0)),"")</f>
        <v/>
      </c>
      <c r="CV122" s="56" t="str">
        <f t="array" ref="CV122">IFERROR(INDEX(#REF!,MATCH('Respuestas de formulario 1.1'!$B122,#REF!,0),MATCH('Respuestas de formulario 1.1'!CV$1,#REF!,0)),"")</f>
        <v/>
      </c>
      <c r="CW122" s="56" t="str">
        <f t="array" ref="CW122">IFERROR(INDEX(#REF!,MATCH('Respuestas de formulario 1.1'!$B122,#REF!,0),MATCH('Respuestas de formulario 1.1'!CW$1,#REF!,0)),"")</f>
        <v/>
      </c>
      <c r="CX122" s="56" t="str">
        <f t="array" ref="CX122">IFERROR(INDEX(#REF!,MATCH('Respuestas de formulario 1.1'!$B122,#REF!,0),MATCH('Respuestas de formulario 1.1'!CX$1,#REF!,0)),"")</f>
        <v/>
      </c>
      <c r="CY122" s="56" t="str">
        <f t="array" ref="CY122">IFERROR(INDEX(#REF!,MATCH('Respuestas de formulario 1.1'!$B122,#REF!,0),MATCH('Respuestas de formulario 1.1'!CY$1,#REF!,0)),"")</f>
        <v/>
      </c>
      <c r="CZ122" s="57" t="str">
        <f t="array" ref="CZ122">IFERROR(INDEX(#REF!,MATCH('Respuestas de formulario 1.1'!$B122,#REF!,0),MATCH('Respuestas de formulario 1.1'!CZ$1,#REF!,0)),"")</f>
        <v/>
      </c>
      <c r="DA122" s="45" t="e">
        <f t="array" ref="DA122">INDEX(#REF!,MATCH('Respuestas de formulario 1.1'!$B122,#REF!,0),MATCH('Respuestas de formulario 1.1'!DA$1,#REF!,0))</f>
        <v>#REF!</v>
      </c>
      <c r="DB122" s="45" t="e">
        <f t="array" ref="DB122">INDEX(#REF!,MATCH('Respuestas de formulario 1.1'!$B122,#REF!,0),MATCH('Respuestas de formulario 1.1'!DB$1,#REF!,0))</f>
        <v>#REF!</v>
      </c>
      <c r="DC122" s="45" t="e">
        <f t="array" ref="DC122">INDEX(#REF!,MATCH('Respuestas de formulario 1.1'!$B122,#REF!,0),MATCH('Respuestas de formulario 1.1'!DC$1,#REF!,0))</f>
        <v>#REF!</v>
      </c>
      <c r="DD122" s="45" t="e">
        <f t="array" ref="DD122">INDEX(#REF!,MATCH('Respuestas de formulario 1.1'!$B122,#REF!,0),MATCH('Respuestas de formulario 1.1'!DD$1,#REF!,0))</f>
        <v>#REF!</v>
      </c>
      <c r="DE122" s="45" t="e">
        <f t="array" ref="DE122">INDEX(#REF!,MATCH('Respuestas de formulario 1.1'!$B122,#REF!,0),MATCH('Respuestas de formulario 1.1'!DE$1,#REF!,0))</f>
        <v>#REF!</v>
      </c>
      <c r="DF122" s="45" t="e">
        <f t="array" ref="DF122">INDEX(#REF!,MATCH('Respuestas de formulario 1.1'!$B122,#REF!,0),MATCH('Respuestas de formulario 1.1'!DF$1,#REF!,0))</f>
        <v>#REF!</v>
      </c>
      <c r="DG122" s="45" t="e">
        <f t="array" ref="DG122">INDEX(#REF!,MATCH('Respuestas de formulario 1.1'!$B122,#REF!,0),MATCH('Respuestas de formulario 1.1'!DG$1,#REF!,0))</f>
        <v>#REF!</v>
      </c>
      <c r="DH122" s="45" t="e">
        <f t="array" ref="DH122">INDEX(#REF!,MATCH('Respuestas de formulario 1.1'!$B122,#REF!,0),MATCH('Respuestas de formulario 1.1'!DH$1,#REF!,0))</f>
        <v>#REF!</v>
      </c>
      <c r="DI122" s="48" t="e">
        <f>VLOOKUP(CONCATENATE($DF122," TUTO ",$DC122),#REF!,3,0)</f>
        <v>#REF!</v>
      </c>
      <c r="DJ122" s="48" t="e">
        <f t="array" ref="DJ122">IF('Respuestas de formulario 1.1'!A122="","",INDEX(#REF!,MATCH('Respuestas de formulario 1.1'!B122,#REF!,0),MATCH('Respuestas de formulario 1.1'!$DH$1,#REF!,0)))</f>
        <v>#REF!</v>
      </c>
      <c r="DK122" s="52" t="str">
        <f>CONCATENATE("http://doc.google.com/uc?id=",MID('Respuestas de formulario 1.1'!G122,34,33))</f>
        <v>http://doc.google.com/uc?id=1vCLB7sGaGaZrHmlgdhCDjG3hLe0PEWu3</v>
      </c>
      <c r="DL122" s="49" t="str">
        <f>CONCATENATE("http://doc.google.com/uc?id=",MID('Respuestas de formulario 1.1'!AH122,34,33))</f>
        <v>http://doc.google.com/uc?id=1Z40iKaT1oi_38ZEnX4lxGnlLsPY7z94m</v>
      </c>
      <c r="DM122" s="50" t="str">
        <f>CONCATENATE("http://doc.google.com/uc?id=",MID('Respuestas de formulario 1.1'!AW122,34,33))</f>
        <v>http://doc.google.com/uc?id=1XWRkZQt6E3_QJNZAEO6XKMswkWXsFelV</v>
      </c>
      <c r="DN122" s="53" t="str">
        <f>CONCATENATE("http://doc.google.com/uc?id=",MID('Respuestas de formulario 1.1'!$BI122,34,33))</f>
        <v>http://doc.google.com/uc?id=14Wtzfn20rKEohezlh0tPurgEHfKWYZnT</v>
      </c>
      <c r="DO122" s="45" t="str">
        <f>IFERROR(VLOOKUP(CONCATENATE('Respuestas de formulario 1.1'!$B122,MID('Respuestas de formulario 1.1'!DO$1,2,1)),#REF!,12,0),"")</f>
        <v/>
      </c>
      <c r="DP122" s="45" t="str">
        <f>IFERROR(VLOOKUP(CONCATENATE('Respuestas de formulario 1.1'!$B122,MID('Respuestas de formulario 1.1'!DP$1,2,1)),#REF!,12,0),"")</f>
        <v/>
      </c>
      <c r="DQ122" s="45" t="str">
        <f>IFERROR(VLOOKUP(CONCATENATE('Respuestas de formulario 1.1'!$B122,MID('Respuestas de formulario 1.1'!DQ$1,2,1)),#REF!,12,0),"")</f>
        <v/>
      </c>
      <c r="DR122" s="45" t="str">
        <f>IFERROR(VLOOKUP(CONCATENATE('Respuestas de formulario 1.1'!$B122,MID('Respuestas de formulario 1.1'!DR$1,2,1)),#REF!,12,0),"")</f>
        <v/>
      </c>
      <c r="DS122" s="45" t="str">
        <f>IFERROR(VLOOKUP(CONCATENATE('Respuestas de formulario 1.1'!$B122,MID('Respuestas de formulario 1.1'!DS$1,2,1)),#REF!,12,0),"")</f>
        <v/>
      </c>
      <c r="DT122" s="45" t="str">
        <f>IFERROR(VLOOKUP(CONCATENATE('Respuestas de formulario 1.1'!$B122,MID('Respuestas de formulario 1.1'!DT$1,2,1)),#REF!,12,0),"")</f>
        <v/>
      </c>
      <c r="DU122" s="45" t="str">
        <f>IFERROR(VLOOKUP(CONCATENATE('Respuestas de formulario 1.1'!$B122,MID('Respuestas de formulario 1.1'!DU$1,2,1)),#REF!,12,0),"")</f>
        <v/>
      </c>
      <c r="DV122" s="45" t="str">
        <f>IFERROR(VLOOKUP(CONCATENATE('Respuestas de formulario 1.1'!$B122,MID('Respuestas de formulario 1.1'!DV$1,2,1)),#REF!,12,0),"")</f>
        <v/>
      </c>
      <c r="DW122" s="45" t="str">
        <f>IFERROR(VLOOKUP(CONCATENATE('Respuestas de formulario 1.1'!$B122,MID('Respuestas de formulario 1.1'!DW$1,2,1)),#REF!,12,0),"")</f>
        <v/>
      </c>
      <c r="DX122" s="45" t="str">
        <f>IFERROR(VLOOKUP(CONCATENATE('Respuestas de formulario 1.1'!$B122,MID('Respuestas de formulario 1.1'!DX$1,2,1)),#REF!,12,0),"")</f>
        <v/>
      </c>
      <c r="DY122" s="45" t="str">
        <f>IFERROR(VLOOKUP(CONCATENATE('Respuestas de formulario 1.1'!$B122,MID('Respuestas de formulario 1.1'!DY$1,2,1)),#REF!,12,0),"")</f>
        <v/>
      </c>
      <c r="DZ122" s="45" t="str">
        <f>IFERROR(VLOOKUP(CONCATENATE('Respuestas de formulario 1.1'!$B122,MID('Respuestas de formulario 1.1'!DZ$1,2,1)),#REF!,12,0),"")</f>
        <v/>
      </c>
      <c r="EA122" s="45" t="str">
        <f>IFERROR(VLOOKUP(CONCATENATE('Respuestas de formulario 1.1'!$B122,MID('Respuestas de formulario 1.1'!EA$1,2,1)),#REF!,12,0),"")</f>
        <v/>
      </c>
      <c r="EB122" s="45" t="str">
        <f>IFERROR(VLOOKUP(CONCATENATE('Respuestas de formulario 1.1'!$B122,MID('Respuestas de formulario 1.1'!EB$1,2,1)),#REF!,12,0),"")</f>
        <v/>
      </c>
      <c r="EC122" s="45" t="str">
        <f>IFERROR(VLOOKUP(CONCATENATE('Respuestas de formulario 1.1'!$B122,MID('Respuestas de formulario 1.1'!EC$1,2,1)),#REF!,12,0),"")</f>
        <v/>
      </c>
      <c r="ED122" s="45" t="str">
        <f>IFERROR(VLOOKUP(CONCATENATE('Respuestas de formulario 1.1'!$B122,MID('Respuestas de formulario 1.1'!ED$1,2,1)),#REF!,12,0),"")</f>
        <v/>
      </c>
      <c r="EE122" s="45" t="str">
        <f>IFERROR(VLOOKUP(CONCATENATE('Respuestas de formulario 1.1'!$B122,MID('Respuestas de formulario 1.1'!EE$1,2,1)),#REF!,12,0),"")</f>
        <v/>
      </c>
      <c r="EF122" s="45" t="str">
        <f>IFERROR(VLOOKUP(CONCATENATE('Respuestas de formulario 1.1'!$B122,MID('Respuestas de formulario 1.1'!EF$1,2,1)),#REF!,12,0),"")</f>
        <v/>
      </c>
      <c r="EG122" s="45" t="str">
        <f>IFERROR(VLOOKUP(CONCATENATE('Respuestas de formulario 1.1'!$B122,MID('Respuestas de formulario 1.1'!EG$1,2,1)),#REF!,12,0),"")</f>
        <v/>
      </c>
      <c r="EH122" s="45" t="str">
        <f>IFERROR(VLOOKUP(CONCATENATE('Respuestas de formulario 1.1'!$B122,MID('Respuestas de formulario 1.1'!EH$1,2,1)),#REF!,12,0),"")</f>
        <v/>
      </c>
      <c r="EI122" s="45" t="str">
        <f>IFERROR(VLOOKUP(CONCATENATE('Respuestas de formulario 1.1'!$B122,MID('Respuestas de formulario 1.1'!EI$1,2,1)),#REF!,12,0),"")</f>
        <v/>
      </c>
      <c r="EJ122" s="45" t="str">
        <f t="array" ref="EJ122">IF(DO122="","", INDEX(#REF!,MATCH(CONCATENATE('Respuestas de formulario 1.1'!$B122,DO122),#REF!,0),MATCH('Respuestas de formulario 1.1'!EJ$1,#REF!,0)))</f>
        <v/>
      </c>
      <c r="EK122" s="56" t="str">
        <f t="array" ref="EK122">IF(DP122="","", INDEX(#REF!,MATCH(CONCATENATE('Respuestas de formulario 1.1'!$B122,DP122),#REF!,0),MATCH('Respuestas de formulario 1.1'!EK$1,#REF!,0)))</f>
        <v/>
      </c>
      <c r="EL122" s="56" t="str">
        <f t="array" ref="EL122">IF(DQ122="","", INDEX(#REF!,MATCH(CONCATENATE('Respuestas de formulario 1.1'!$B122,DQ122),#REF!,0),MATCH('Respuestas de formulario 1.1'!EL$1,#REF!,0)))</f>
        <v/>
      </c>
      <c r="EM122" s="56" t="str">
        <f t="array" ref="EM122">IF(DR122="","", INDEX(#REF!,MATCH(CONCATENATE('Respuestas de formulario 1.1'!$B122,DR122),#REF!,0),MATCH('Respuestas de formulario 1.1'!EM$1,#REF!,0)))</f>
        <v/>
      </c>
      <c r="EN122" s="56" t="str">
        <f t="array" ref="EN122">IF(DS122="","", INDEX(#REF!,MATCH(CONCATENATE('Respuestas de formulario 1.1'!$B122,DS122),#REF!,0),MATCH('Respuestas de formulario 1.1'!EN$1,#REF!,0)))</f>
        <v/>
      </c>
      <c r="EO122" s="56" t="str">
        <f t="array" ref="EO122">IF(DT122="","", INDEX(#REF!,MATCH(CONCATENATE('Respuestas de formulario 1.1'!$B122,DT122),#REF!,0),MATCH('Respuestas de formulario 1.1'!EO$1,#REF!,0)))</f>
        <v/>
      </c>
      <c r="EP122" s="45" t="str">
        <f t="array" ref="EP122">IF(DU122="","", INDEX(#REF!,MATCH(CONCATENATE('Respuestas de formulario 1.1'!$B122,DU122),#REF!,0),MATCH('Respuestas de formulario 1.1'!EP$1,#REF!,0)))</f>
        <v/>
      </c>
      <c r="EQ122" s="45" t="str">
        <f t="array" ref="EQ122">IF(DP122="","", INDEX(#REF!,MATCH(CONCATENATE('Respuestas de formulario 1.1'!$B122,DP122),#REF!,0),MATCH('Respuestas de formulario 1.1'!EQ$1,#REF!,0)))</f>
        <v/>
      </c>
      <c r="ER122" s="56" t="str">
        <f t="array" ref="ER122">IF(DQ122="","", INDEX(#REF!,MATCH(CONCATENATE('Respuestas de formulario 1.1'!$B122,DQ122),#REF!,0),MATCH('Respuestas de formulario 1.1'!ER$1,#REF!,0)))</f>
        <v/>
      </c>
      <c r="ES122" s="56" t="str">
        <f t="array" ref="ES122">IF(DR122="","", INDEX(#REF!,MATCH(CONCATENATE('Respuestas de formulario 1.1'!$B122,DR122),#REF!,0),MATCH('Respuestas de formulario 1.1'!ES$1,#REF!,0)))</f>
        <v/>
      </c>
      <c r="ET122" s="56" t="str">
        <f t="array" ref="ET122">IF(DS122="","", INDEX(#REF!,MATCH(CONCATENATE('Respuestas de formulario 1.1'!$B122,DS122),#REF!,0),MATCH('Respuestas de formulario 1.1'!ET$1,#REF!,0)))</f>
        <v/>
      </c>
      <c r="EU122" s="56" t="str">
        <f t="array" ref="EU122">IF(DT122="","", INDEX(#REF!,MATCH(CONCATENATE('Respuestas de formulario 1.1'!$B122,DT122),#REF!,0),MATCH('Respuestas de formulario 1.1'!EU$1,#REF!,0)))</f>
        <v/>
      </c>
      <c r="EV122" s="56" t="str">
        <f t="array" ref="EV122">IF(DU122="","", INDEX(#REF!,MATCH(CONCATENATE('Respuestas de formulario 1.1'!$B122,DU122),#REF!,0),MATCH('Respuestas de formulario 1.1'!EV$1,#REF!,0)))</f>
        <v/>
      </c>
      <c r="EW122" s="45" t="str">
        <f t="array" ref="EW122">IF(DV122="","", INDEX(#REF!,MATCH(CONCATENATE('Respuestas de formulario 1.1'!$B122,DV122),#REF!,0),MATCH('Respuestas de formulario 1.1'!EW$1,#REF!,0)))</f>
        <v/>
      </c>
      <c r="EX122" s="45" t="str">
        <f t="array" ref="EX122">IF($DQ122="","", INDEX(#REF!,MATCH(CONCATENATE('Respuestas de formulario 1.1'!$B122,$DQ122),#REF!,0),MATCH('Respuestas de formulario 1.1'!EX$1,#REF!,0)))</f>
        <v/>
      </c>
      <c r="EY122" s="56" t="str">
        <f t="array" ref="EY122">IF($DQ122="","", INDEX(#REF!,MATCH(CONCATENATE('Respuestas de formulario 1.1'!$B122,$DQ122),#REF!,0),MATCH('Respuestas de formulario 1.1'!EY$1,#REF!,0)))</f>
        <v/>
      </c>
      <c r="EZ122" s="56" t="str">
        <f t="array" ref="EZ122">IF($DQ122="","", INDEX(#REF!,MATCH(CONCATENATE('Respuestas de formulario 1.1'!$B122,$DQ122),#REF!,0),MATCH('Respuestas de formulario 1.1'!EZ$1,#REF!,0)))</f>
        <v/>
      </c>
      <c r="FA122" s="56" t="str">
        <f t="array" ref="FA122">IF($DQ122="","", INDEX(#REF!,MATCH(CONCATENATE('Respuestas de formulario 1.1'!$B122,$DQ122),#REF!,0),MATCH('Respuestas de formulario 1.1'!FA$1,#REF!,0)))</f>
        <v/>
      </c>
      <c r="FB122" s="56" t="str">
        <f t="array" ref="FB122">IF($DQ122="","", INDEX(#REF!,MATCH(CONCATENATE('Respuestas de formulario 1.1'!$B122,$DQ122),#REF!,0),MATCH('Respuestas de formulario 1.1'!FB$1,#REF!,0)))</f>
        <v/>
      </c>
      <c r="FC122" s="56" t="str">
        <f t="array" ref="FC122">IF($DQ122="","", INDEX(#REF!,MATCH(CONCATENATE('Respuestas de formulario 1.1'!$B122,$DQ122),#REF!,0),MATCH('Respuestas de formulario 1.1'!FC$1,#REF!,0)))</f>
        <v/>
      </c>
      <c r="FD122" s="45" t="str">
        <f t="array" ref="FD122">IF($DQ122="","", INDEX(#REF!,MATCH(CONCATENATE('Respuestas de formulario 1.1'!$B122,$DQ122),#REF!,0),MATCH('Respuestas de formulario 1.1'!FD$1,#REF!,0)))</f>
        <v/>
      </c>
      <c r="FE122" s="45" t="str">
        <f t="array" ref="FE122">IF($DR122="","", INDEX(#REF!,MATCH(CONCATENATE(#REF!,$DR122),#REF!,0),MATCH(#REF!,#REF!,0)))</f>
        <v/>
      </c>
      <c r="FF122" s="56" t="str">
        <f t="array" ref="FF122">IF($DR122="","", INDEX(#REF!,MATCH(CONCATENATE(#REF!,$DR122),#REF!,0),MATCH(#REF!,#REF!,0)))</f>
        <v/>
      </c>
      <c r="FG122" s="56" t="str">
        <f t="array" ref="FG122">IF($DR122="","", INDEX(#REF!,MATCH(CONCATENATE(#REF!,$DR122),#REF!,0),MATCH(#REF!,#REF!,0)))</f>
        <v/>
      </c>
      <c r="FH122" s="56" t="str">
        <f t="array" ref="FH122">IF($DR122="","", INDEX(#REF!,MATCH(CONCATENATE(#REF!,$DR122),#REF!,0),MATCH(#REF!,#REF!,0)))</f>
        <v/>
      </c>
      <c r="FI122" s="56" t="str">
        <f t="array" ref="FI122">IF($DR122="","", INDEX(#REF!,MATCH(CONCATENATE(#REF!,$DR122),#REF!,0),MATCH(#REF!,#REF!,0)))</f>
        <v/>
      </c>
      <c r="FJ122" s="56" t="str">
        <f t="array" ref="FJ122">IF($DR122="","", INDEX(#REF!,MATCH(CONCATENATE(#REF!,$DR122),#REF!,0),MATCH(#REF!,#REF!,0)))</f>
        <v/>
      </c>
      <c r="FK122" s="45" t="str">
        <f t="array" ref="FK122">IF($DR122="","", INDEX(#REF!,MATCH(CONCATENATE(#REF!,$DR122),#REF!,0),MATCH(#REF!,#REF!,0)))</f>
        <v/>
      </c>
      <c r="FL122" s="45" t="str">
        <f t="array" ref="FL122">IF($DT122="","", INDEX(#REF!,MATCH(CONCATENATE('Respuestas de formulario 1.1'!$B122,$DS122),#REF!,0),MATCH('Respuestas de formulario 1.1'!FL$1,#REF!,0)))</f>
        <v/>
      </c>
      <c r="FM122" s="56" t="str">
        <f t="array" ref="FM122">IF($DT122="","", INDEX(#REF!,MATCH(CONCATENATE('Respuestas de formulario 1.1'!$B122,$DS122),#REF!,0),MATCH('Respuestas de formulario 1.1'!FM$1,#REF!,0)))</f>
        <v/>
      </c>
      <c r="FN122" s="56" t="str">
        <f t="array" ref="FN122">IF($DT122="","", INDEX(#REF!,MATCH(CONCATENATE('Respuestas de formulario 1.1'!$B122,$DS122),#REF!,0),MATCH('Respuestas de formulario 1.1'!FN$1,#REF!,0)))</f>
        <v/>
      </c>
      <c r="FO122" s="56" t="str">
        <f t="array" ref="FO122">IF($DT122="","", INDEX(#REF!,MATCH(CONCATENATE('Respuestas de formulario 1.1'!$B122,$DS122),#REF!,0),MATCH('Respuestas de formulario 1.1'!FO$1,#REF!,0)))</f>
        <v/>
      </c>
      <c r="FP122" s="56" t="str">
        <f t="array" ref="FP122">IF($DT122="","", INDEX(#REF!,MATCH(CONCATENATE('Respuestas de formulario 1.1'!$B122,$DS122),#REF!,0),MATCH('Respuestas de formulario 1.1'!FP$1,#REF!,0)))</f>
        <v/>
      </c>
      <c r="FQ122" s="56" t="str">
        <f t="array" ref="FQ122">IF($DT122="","", INDEX(#REF!,MATCH(CONCATENATE('Respuestas de formulario 1.1'!$B122,$DS122),#REF!,0),MATCH('Respuestas de formulario 1.1'!FQ$1,#REF!,0)))</f>
        <v/>
      </c>
      <c r="FR122" s="45" t="str">
        <f t="array" ref="FR122">IF($DT122="","", INDEX(#REF!,MATCH(CONCATENATE('Respuestas de formulario 1.1'!$B122,$DS122),#REF!,0),MATCH('Respuestas de formulario 1.1'!FR$1,#REF!,0)))</f>
        <v/>
      </c>
      <c r="FS122" s="45" t="str">
        <f t="array" ref="FS122">IF($DU122="","", INDEX(#REF!,MATCH(CONCATENATE('Respuestas de formulario 1.1'!$B122,$DT122),#REF!,0),MATCH('Respuestas de formulario 1.1'!FS$1,#REF!,0)))</f>
        <v/>
      </c>
      <c r="FT122" s="56" t="str">
        <f t="array" ref="FT122">IF($DU122="","", INDEX(#REF!,MATCH(CONCATENATE('Respuestas de formulario 1.1'!$B122,$DT122),#REF!,0),MATCH('Respuestas de formulario 1.1'!FT$1,#REF!,0)))</f>
        <v/>
      </c>
      <c r="FU122" s="56" t="str">
        <f t="array" ref="FU122">IF($DU122="","", INDEX(#REF!,MATCH(CONCATENATE('Respuestas de formulario 1.1'!$B122,$DT122),#REF!,0),MATCH('Respuestas de formulario 1.1'!FU$1,#REF!,0)))</f>
        <v/>
      </c>
      <c r="FV122" s="56" t="str">
        <f t="array" ref="FV122">IF($DU122="","", INDEX(#REF!,MATCH(CONCATENATE('Respuestas de formulario 1.1'!$B122,$DT122),#REF!,0),MATCH('Respuestas de formulario 1.1'!FV$1,#REF!,0)))</f>
        <v/>
      </c>
      <c r="FW122" s="56" t="str">
        <f t="array" ref="FW122">IF($DU122="","", INDEX(#REF!,MATCH(CONCATENATE('Respuestas de formulario 1.1'!$B122,$DT122),#REF!,0),MATCH('Respuestas de formulario 1.1'!FW$1,#REF!,0)))</f>
        <v/>
      </c>
      <c r="FX122" s="56" t="str">
        <f t="array" ref="FX122">IF($DU122="","", INDEX(#REF!,MATCH(CONCATENATE('Respuestas de formulario 1.1'!$B122,$DT122),#REF!,0),MATCH('Respuestas de formulario 1.1'!FX$1,#REF!,0)))</f>
        <v/>
      </c>
      <c r="FY122" s="45" t="str">
        <f t="array" ref="FY122">IF($DU122="","", INDEX(#REF!,MATCH(CONCATENATE('Respuestas de formulario 1.1'!$B122,$DT122),#REF!,0),MATCH('Respuestas de formulario 1.1'!FY$1,#REF!,0)))</f>
        <v/>
      </c>
      <c r="GA122" s="1" t="s">
        <v>4931</v>
      </c>
      <c r="GB122" s="5" t="s">
        <v>4932</v>
      </c>
      <c r="GC122" s="4" t="str">
        <f>HYPERLINK("https://drive.google.com/file/d/1cg-LcDKFxcziHZmyK6WxGedXiWen5roT/view?usp=drivesdk","ROMERO RUEDAS ERIK IVAN Formato de reinscripción y pago 2022-2")</f>
        <v>ROMERO RUEDAS ERIK IVAN Formato de reinscripción y pago 2022-2</v>
      </c>
      <c r="GD122" s="1" t="s">
        <v>4933</v>
      </c>
      <c r="GE122" s="1"/>
      <c r="GF122" s="1"/>
      <c r="GG122" s="1"/>
      <c r="GH122" s="1"/>
      <c r="GI122" s="1" t="s">
        <v>4934</v>
      </c>
      <c r="GJ122" s="5" t="s">
        <v>4935</v>
      </c>
      <c r="GK122" s="5" t="str">
        <f>HYPERLINK("https://drive.google.com/file/d/1R46dDbjI5wD4MlkCOGN2KsESO2cfLkCS/view?usp=drivesdk","ROMERO RUEDAS ERIK IVAN Formato de reinscripción y pago 2022-2")</f>
        <v>ROMERO RUEDAS ERIK IVAN Formato de reinscripción y pago 2022-2</v>
      </c>
      <c r="GL122" s="1" t="s">
        <v>4936</v>
      </c>
    </row>
    <row r="123" spans="1:194" ht="38.25" x14ac:dyDescent="0.2">
      <c r="A123" s="2">
        <v>45139.47156612268</v>
      </c>
      <c r="B123" s="1" t="s">
        <v>2096</v>
      </c>
      <c r="C123" s="1" t="s">
        <v>888</v>
      </c>
      <c r="D123" s="1" t="s">
        <v>587</v>
      </c>
      <c r="E123" s="1" t="s">
        <v>2687</v>
      </c>
      <c r="F123" s="1" t="s">
        <v>223</v>
      </c>
      <c r="G123" s="5" t="s">
        <v>4937</v>
      </c>
      <c r="H123" s="41">
        <v>39059</v>
      </c>
      <c r="I123" s="1">
        <v>16</v>
      </c>
      <c r="J123" s="1">
        <v>5521304574</v>
      </c>
      <c r="K123" s="1">
        <v>5557972955</v>
      </c>
      <c r="L123" s="1" t="s">
        <v>2097</v>
      </c>
      <c r="M123" s="1">
        <v>21309060570257</v>
      </c>
      <c r="N123" s="1" t="s">
        <v>1108</v>
      </c>
      <c r="O123" s="1" t="s">
        <v>247</v>
      </c>
      <c r="P123" s="1" t="s">
        <v>226</v>
      </c>
      <c r="Q123" s="1" t="s">
        <v>263</v>
      </c>
      <c r="R123" s="1" t="s">
        <v>236</v>
      </c>
      <c r="S123" s="1" t="s">
        <v>228</v>
      </c>
      <c r="T123" s="1" t="s">
        <v>229</v>
      </c>
      <c r="U123" s="1" t="s">
        <v>249</v>
      </c>
      <c r="V123" s="1" t="s">
        <v>228</v>
      </c>
      <c r="W123" s="1" t="s">
        <v>4938</v>
      </c>
      <c r="X123" s="1" t="s">
        <v>264</v>
      </c>
      <c r="Y123" s="1" t="s">
        <v>4939</v>
      </c>
      <c r="Z123" s="1" t="s">
        <v>231</v>
      </c>
      <c r="AA123" s="1">
        <v>57740</v>
      </c>
      <c r="AB123" s="1">
        <v>66</v>
      </c>
      <c r="AC123" s="1" t="s">
        <v>270</v>
      </c>
      <c r="AD123" s="1" t="s">
        <v>2098</v>
      </c>
      <c r="AE123" s="1" t="s">
        <v>4940</v>
      </c>
      <c r="AF123" s="1" t="s">
        <v>461</v>
      </c>
      <c r="AG123" s="1">
        <v>38</v>
      </c>
      <c r="AH123" s="5" t="s">
        <v>4941</v>
      </c>
      <c r="AI123" s="1">
        <v>5531566148</v>
      </c>
      <c r="AJ123" s="1">
        <v>5557972955</v>
      </c>
      <c r="AK123" s="1" t="s">
        <v>2099</v>
      </c>
      <c r="AL123" s="1" t="s">
        <v>888</v>
      </c>
      <c r="AM123" s="1" t="s">
        <v>1168</v>
      </c>
      <c r="AN123" s="1" t="s">
        <v>356</v>
      </c>
      <c r="AO123" s="1" t="s">
        <v>435</v>
      </c>
      <c r="AP123" s="1">
        <v>34</v>
      </c>
      <c r="AQ123" s="1" t="s">
        <v>663</v>
      </c>
      <c r="AR123" s="42">
        <v>0.375</v>
      </c>
      <c r="AS123" s="42">
        <v>0.16666666666424135</v>
      </c>
      <c r="AT123" s="1">
        <v>5557972955</v>
      </c>
      <c r="AU123" s="1">
        <v>5557972955</v>
      </c>
      <c r="AV123" s="1" t="s">
        <v>2100</v>
      </c>
      <c r="AW123" s="5" t="s">
        <v>4942</v>
      </c>
      <c r="AX123" s="1" t="s">
        <v>888</v>
      </c>
      <c r="AY123" s="1" t="s">
        <v>382</v>
      </c>
      <c r="AZ123" s="1" t="s">
        <v>1809</v>
      </c>
      <c r="BA123" s="1" t="s">
        <v>524</v>
      </c>
      <c r="BB123" s="1">
        <v>70</v>
      </c>
      <c r="BC123" s="1" t="s">
        <v>1134</v>
      </c>
      <c r="BD123" s="43">
        <v>0.29166666666424135</v>
      </c>
      <c r="BE123" s="43">
        <v>0.29166666666424135</v>
      </c>
      <c r="BF123" s="1">
        <v>5571704251</v>
      </c>
      <c r="BG123" s="1">
        <v>5557972955</v>
      </c>
      <c r="BH123" s="1" t="s">
        <v>4943</v>
      </c>
      <c r="BI123" s="5" t="s">
        <v>4944</v>
      </c>
      <c r="BJ123" s="1" t="s">
        <v>236</v>
      </c>
      <c r="BL123" s="1">
        <v>170</v>
      </c>
      <c r="BM123" s="1">
        <v>90</v>
      </c>
      <c r="BN123" s="1" t="s">
        <v>236</v>
      </c>
      <c r="BO123" s="1" t="s">
        <v>236</v>
      </c>
      <c r="BP123" s="1" t="s">
        <v>1780</v>
      </c>
      <c r="BQ123" s="1" t="s">
        <v>228</v>
      </c>
      <c r="BR123" s="1" t="s">
        <v>237</v>
      </c>
      <c r="BS123" s="1" t="s">
        <v>228</v>
      </c>
      <c r="BT123" s="1" t="s">
        <v>237</v>
      </c>
      <c r="BU123" s="1" t="s">
        <v>228</v>
      </c>
      <c r="BW123" s="1" t="s">
        <v>238</v>
      </c>
      <c r="BX123" s="1">
        <v>30</v>
      </c>
      <c r="BY123" s="1">
        <v>200</v>
      </c>
      <c r="BZ123" s="1" t="s">
        <v>1109</v>
      </c>
      <c r="CA123" s="1" t="s">
        <v>237</v>
      </c>
      <c r="CB123" s="1" t="s">
        <v>231</v>
      </c>
      <c r="CC123" s="1" t="s">
        <v>450</v>
      </c>
      <c r="CD123" s="1">
        <v>0</v>
      </c>
      <c r="CE123" s="1">
        <v>0</v>
      </c>
      <c r="CF123" s="1" t="s">
        <v>236</v>
      </c>
      <c r="CG123" s="1" t="s">
        <v>242</v>
      </c>
      <c r="CH123" s="1" t="s">
        <v>243</v>
      </c>
      <c r="CI123" s="1" t="s">
        <v>243</v>
      </c>
      <c r="CJ123" s="1" t="s">
        <v>2848</v>
      </c>
      <c r="CL123" s="5" t="s">
        <v>4945</v>
      </c>
      <c r="CM123" s="44" t="s">
        <v>2101</v>
      </c>
      <c r="CN123" s="1" t="s">
        <v>228</v>
      </c>
      <c r="CQ123" s="42">
        <v>0.375</v>
      </c>
      <c r="CR123" s="42">
        <v>0.16666666666424135</v>
      </c>
      <c r="CT123" s="45" t="str">
        <f t="array" ref="CT123">IFERROR(INDEX(#REF!,MATCH('Respuestas de formulario 1.1'!$B123,#REF!,0),MATCH('Respuestas de formulario 1.1'!CT$1,#REF!,0)),"")</f>
        <v/>
      </c>
      <c r="CU123" s="56" t="str">
        <f t="array" ref="CU123">IFERROR(INDEX(#REF!,MATCH('Respuestas de formulario 1.1'!$B123,#REF!,0),MATCH('Respuestas de formulario 1.1'!CU$1,#REF!,0)),"")</f>
        <v/>
      </c>
      <c r="CV123" s="56" t="str">
        <f t="array" ref="CV123">IFERROR(INDEX(#REF!,MATCH('Respuestas de formulario 1.1'!$B123,#REF!,0),MATCH('Respuestas de formulario 1.1'!CV$1,#REF!,0)),"")</f>
        <v/>
      </c>
      <c r="CW123" s="56" t="str">
        <f t="array" ref="CW123">IFERROR(INDEX(#REF!,MATCH('Respuestas de formulario 1.1'!$B123,#REF!,0),MATCH('Respuestas de formulario 1.1'!CW$1,#REF!,0)),"")</f>
        <v/>
      </c>
      <c r="CX123" s="56" t="str">
        <f t="array" ref="CX123">IFERROR(INDEX(#REF!,MATCH('Respuestas de formulario 1.1'!$B123,#REF!,0),MATCH('Respuestas de formulario 1.1'!CX$1,#REF!,0)),"")</f>
        <v/>
      </c>
      <c r="CY123" s="56" t="str">
        <f t="array" ref="CY123">IFERROR(INDEX(#REF!,MATCH('Respuestas de formulario 1.1'!$B123,#REF!,0),MATCH('Respuestas de formulario 1.1'!CY$1,#REF!,0)),"")</f>
        <v/>
      </c>
      <c r="CZ123" s="57" t="str">
        <f t="array" ref="CZ123">IFERROR(INDEX(#REF!,MATCH('Respuestas de formulario 1.1'!$B123,#REF!,0),MATCH('Respuestas de formulario 1.1'!CZ$1,#REF!,0)),"")</f>
        <v/>
      </c>
      <c r="DA123" s="45" t="e">
        <f t="array" ref="DA123">INDEX(#REF!,MATCH('Respuestas de formulario 1.1'!$B123,#REF!,0),MATCH('Respuestas de formulario 1.1'!DA$1,#REF!,0))</f>
        <v>#REF!</v>
      </c>
      <c r="DB123" s="45" t="e">
        <f t="array" ref="DB123">INDEX(#REF!,MATCH('Respuestas de formulario 1.1'!$B123,#REF!,0),MATCH('Respuestas de formulario 1.1'!DB$1,#REF!,0))</f>
        <v>#REF!</v>
      </c>
      <c r="DC123" s="45" t="e">
        <f t="array" ref="DC123">INDEX(#REF!,MATCH('Respuestas de formulario 1.1'!$B123,#REF!,0),MATCH('Respuestas de formulario 1.1'!DC$1,#REF!,0))</f>
        <v>#REF!</v>
      </c>
      <c r="DD123" s="45" t="e">
        <f t="array" ref="DD123">INDEX(#REF!,MATCH('Respuestas de formulario 1.1'!$B123,#REF!,0),MATCH('Respuestas de formulario 1.1'!DD$1,#REF!,0))</f>
        <v>#REF!</v>
      </c>
      <c r="DE123" s="45" t="e">
        <f t="array" ref="DE123">INDEX(#REF!,MATCH('Respuestas de formulario 1.1'!$B123,#REF!,0),MATCH('Respuestas de formulario 1.1'!DE$1,#REF!,0))</f>
        <v>#REF!</v>
      </c>
      <c r="DF123" s="45" t="e">
        <f t="array" ref="DF123">INDEX(#REF!,MATCH('Respuestas de formulario 1.1'!$B123,#REF!,0),MATCH('Respuestas de formulario 1.1'!DF$1,#REF!,0))</f>
        <v>#REF!</v>
      </c>
      <c r="DG123" s="45" t="e">
        <f t="array" ref="DG123">INDEX(#REF!,MATCH('Respuestas de formulario 1.1'!$B123,#REF!,0),MATCH('Respuestas de formulario 1.1'!DG$1,#REF!,0))</f>
        <v>#REF!</v>
      </c>
      <c r="DH123" s="45" t="e">
        <f t="array" ref="DH123">INDEX(#REF!,MATCH('Respuestas de formulario 1.1'!$B123,#REF!,0),MATCH('Respuestas de formulario 1.1'!DH$1,#REF!,0))</f>
        <v>#REF!</v>
      </c>
      <c r="DI123" s="48" t="e">
        <f>VLOOKUP(CONCATENATE($DF123," TUTO ",$DC123),#REF!,3,0)</f>
        <v>#REF!</v>
      </c>
      <c r="DJ123" s="48" t="e">
        <f t="array" ref="DJ123">IF('Respuestas de formulario 1.1'!A123="","",INDEX(#REF!,MATCH('Respuestas de formulario 1.1'!B123,#REF!,0),MATCH('Respuestas de formulario 1.1'!$DH$1,#REF!,0)))</f>
        <v>#REF!</v>
      </c>
      <c r="DK123" s="52" t="str">
        <f>CONCATENATE("http://doc.google.com/uc?id=",MID('Respuestas de formulario 1.1'!G123,34,33))</f>
        <v>http://doc.google.com/uc?id=1xcguf59m_v5yYhpWseog1Lkvj_Rj-Moy</v>
      </c>
      <c r="DL123" s="49" t="str">
        <f>CONCATENATE("http://doc.google.com/uc?id=",MID('Respuestas de formulario 1.1'!AH123,34,33))</f>
        <v>http://doc.google.com/uc?id=1m0f1DzzupROGKRlpl3wYVxGWpQBAXgph</v>
      </c>
      <c r="DM123" s="50" t="str">
        <f>CONCATENATE("http://doc.google.com/uc?id=",MID('Respuestas de formulario 1.1'!AW123,34,33))</f>
        <v>http://doc.google.com/uc?id=10ekek2_AJD-hMt63vp_4vJguK1xi1ruv</v>
      </c>
      <c r="DN123" s="53" t="str">
        <f>CONCATENATE("http://doc.google.com/uc?id=",MID('Respuestas de formulario 1.1'!$BI123,34,33))</f>
        <v>http://doc.google.com/uc?id=1gKxp7RPyH0Xdpr3ufdEnykBGIUpJn7EH</v>
      </c>
      <c r="DO123" s="45" t="str">
        <f>IFERROR(VLOOKUP(CONCATENATE('Respuestas de formulario 1.1'!$B123,MID('Respuestas de formulario 1.1'!DO$1,2,1)),#REF!,12,0),"")</f>
        <v/>
      </c>
      <c r="DP123" s="45" t="str">
        <f>IFERROR(VLOOKUP(CONCATENATE('Respuestas de formulario 1.1'!$B123,MID('Respuestas de formulario 1.1'!DP$1,2,1)),#REF!,12,0),"")</f>
        <v/>
      </c>
      <c r="DQ123" s="45" t="str">
        <f>IFERROR(VLOOKUP(CONCATENATE('Respuestas de formulario 1.1'!$B123,MID('Respuestas de formulario 1.1'!DQ$1,2,1)),#REF!,12,0),"")</f>
        <v/>
      </c>
      <c r="DR123" s="45" t="str">
        <f>IFERROR(VLOOKUP(CONCATENATE('Respuestas de formulario 1.1'!$B123,MID('Respuestas de formulario 1.1'!DR$1,2,1)),#REF!,12,0),"")</f>
        <v/>
      </c>
      <c r="DS123" s="45" t="str">
        <f>IFERROR(VLOOKUP(CONCATENATE('Respuestas de formulario 1.1'!$B123,MID('Respuestas de formulario 1.1'!DS$1,2,1)),#REF!,12,0),"")</f>
        <v/>
      </c>
      <c r="DT123" s="45" t="str">
        <f>IFERROR(VLOOKUP(CONCATENATE('Respuestas de formulario 1.1'!$B123,MID('Respuestas de formulario 1.1'!DT$1,2,1)),#REF!,12,0),"")</f>
        <v/>
      </c>
      <c r="DU123" s="45" t="str">
        <f>IFERROR(VLOOKUP(CONCATENATE('Respuestas de formulario 1.1'!$B123,MID('Respuestas de formulario 1.1'!DU$1,2,1)),#REF!,12,0),"")</f>
        <v/>
      </c>
      <c r="DV123" s="45" t="str">
        <f>IFERROR(VLOOKUP(CONCATENATE('Respuestas de formulario 1.1'!$B123,MID('Respuestas de formulario 1.1'!DV$1,2,1)),#REF!,12,0),"")</f>
        <v/>
      </c>
      <c r="DW123" s="45" t="str">
        <f>IFERROR(VLOOKUP(CONCATENATE('Respuestas de formulario 1.1'!$B123,MID('Respuestas de formulario 1.1'!DW$1,2,1)),#REF!,12,0),"")</f>
        <v/>
      </c>
      <c r="DX123" s="45" t="str">
        <f>IFERROR(VLOOKUP(CONCATENATE('Respuestas de formulario 1.1'!$B123,MID('Respuestas de formulario 1.1'!DX$1,2,1)),#REF!,12,0),"")</f>
        <v/>
      </c>
      <c r="DY123" s="45" t="str">
        <f>IFERROR(VLOOKUP(CONCATENATE('Respuestas de formulario 1.1'!$B123,MID('Respuestas de formulario 1.1'!DY$1,2,1)),#REF!,12,0),"")</f>
        <v/>
      </c>
      <c r="DZ123" s="45" t="str">
        <f>IFERROR(VLOOKUP(CONCATENATE('Respuestas de formulario 1.1'!$B123,MID('Respuestas de formulario 1.1'!DZ$1,2,1)),#REF!,12,0),"")</f>
        <v/>
      </c>
      <c r="EA123" s="45" t="str">
        <f>IFERROR(VLOOKUP(CONCATENATE('Respuestas de formulario 1.1'!$B123,MID('Respuestas de formulario 1.1'!EA$1,2,1)),#REF!,12,0),"")</f>
        <v/>
      </c>
      <c r="EB123" s="45" t="str">
        <f>IFERROR(VLOOKUP(CONCATENATE('Respuestas de formulario 1.1'!$B123,MID('Respuestas de formulario 1.1'!EB$1,2,1)),#REF!,12,0),"")</f>
        <v/>
      </c>
      <c r="EC123" s="45" t="str">
        <f>IFERROR(VLOOKUP(CONCATENATE('Respuestas de formulario 1.1'!$B123,MID('Respuestas de formulario 1.1'!EC$1,2,1)),#REF!,12,0),"")</f>
        <v/>
      </c>
      <c r="ED123" s="45" t="str">
        <f>IFERROR(VLOOKUP(CONCATENATE('Respuestas de formulario 1.1'!$B123,MID('Respuestas de formulario 1.1'!ED$1,2,1)),#REF!,12,0),"")</f>
        <v/>
      </c>
      <c r="EE123" s="45" t="str">
        <f>IFERROR(VLOOKUP(CONCATENATE('Respuestas de formulario 1.1'!$B123,MID('Respuestas de formulario 1.1'!EE$1,2,1)),#REF!,12,0),"")</f>
        <v/>
      </c>
      <c r="EF123" s="45" t="str">
        <f>IFERROR(VLOOKUP(CONCATENATE('Respuestas de formulario 1.1'!$B123,MID('Respuestas de formulario 1.1'!EF$1,2,1)),#REF!,12,0),"")</f>
        <v/>
      </c>
      <c r="EG123" s="45" t="str">
        <f>IFERROR(VLOOKUP(CONCATENATE('Respuestas de formulario 1.1'!$B123,MID('Respuestas de formulario 1.1'!EG$1,2,1)),#REF!,12,0),"")</f>
        <v/>
      </c>
      <c r="EH123" s="45" t="str">
        <f>IFERROR(VLOOKUP(CONCATENATE('Respuestas de formulario 1.1'!$B123,MID('Respuestas de formulario 1.1'!EH$1,2,1)),#REF!,12,0),"")</f>
        <v/>
      </c>
      <c r="EI123" s="45" t="str">
        <f>IFERROR(VLOOKUP(CONCATENATE('Respuestas de formulario 1.1'!$B123,MID('Respuestas de formulario 1.1'!EI$1,2,1)),#REF!,12,0),"")</f>
        <v/>
      </c>
      <c r="EJ123" s="45" t="str">
        <f t="array" ref="EJ123">IF(DO123="","", INDEX(#REF!,MATCH(CONCATENATE('Respuestas de formulario 1.1'!$B123,DO123),#REF!,0),MATCH('Respuestas de formulario 1.1'!EJ$1,#REF!,0)))</f>
        <v/>
      </c>
      <c r="EK123" s="56" t="str">
        <f t="array" ref="EK123">IF(DP123="","", INDEX(#REF!,MATCH(CONCATENATE('Respuestas de formulario 1.1'!$B123,DP123),#REF!,0),MATCH('Respuestas de formulario 1.1'!EK$1,#REF!,0)))</f>
        <v/>
      </c>
      <c r="EL123" s="56" t="str">
        <f t="array" ref="EL123">IF(DQ123="","", INDEX(#REF!,MATCH(CONCATENATE('Respuestas de formulario 1.1'!$B123,DQ123),#REF!,0),MATCH('Respuestas de formulario 1.1'!EL$1,#REF!,0)))</f>
        <v/>
      </c>
      <c r="EM123" s="56" t="str">
        <f t="array" ref="EM123">IF(DR123="","", INDEX(#REF!,MATCH(CONCATENATE('Respuestas de formulario 1.1'!$B123,DR123),#REF!,0),MATCH('Respuestas de formulario 1.1'!EM$1,#REF!,0)))</f>
        <v/>
      </c>
      <c r="EN123" s="56" t="str">
        <f t="array" ref="EN123">IF(DS123="","", INDEX(#REF!,MATCH(CONCATENATE('Respuestas de formulario 1.1'!$B123,DS123),#REF!,0),MATCH('Respuestas de formulario 1.1'!EN$1,#REF!,0)))</f>
        <v/>
      </c>
      <c r="EO123" s="56" t="str">
        <f t="array" ref="EO123">IF(DT123="","", INDEX(#REF!,MATCH(CONCATENATE('Respuestas de formulario 1.1'!$B123,DT123),#REF!,0),MATCH('Respuestas de formulario 1.1'!EO$1,#REF!,0)))</f>
        <v/>
      </c>
      <c r="EP123" s="45" t="str">
        <f t="array" ref="EP123">IF(DU123="","", INDEX(#REF!,MATCH(CONCATENATE('Respuestas de formulario 1.1'!$B123,DU123),#REF!,0),MATCH('Respuestas de formulario 1.1'!EP$1,#REF!,0)))</f>
        <v/>
      </c>
      <c r="EQ123" s="45" t="str">
        <f t="array" ref="EQ123">IF(DP123="","", INDEX(#REF!,MATCH(CONCATENATE('Respuestas de formulario 1.1'!$B123,DP123),#REF!,0),MATCH('Respuestas de formulario 1.1'!EQ$1,#REF!,0)))</f>
        <v/>
      </c>
      <c r="ER123" s="56" t="str">
        <f t="array" ref="ER123">IF(DQ123="","", INDEX(#REF!,MATCH(CONCATENATE('Respuestas de formulario 1.1'!$B123,DQ123),#REF!,0),MATCH('Respuestas de formulario 1.1'!ER$1,#REF!,0)))</f>
        <v/>
      </c>
      <c r="ES123" s="56" t="str">
        <f t="array" ref="ES123">IF(DR123="","", INDEX(#REF!,MATCH(CONCATENATE('Respuestas de formulario 1.1'!$B123,DR123),#REF!,0),MATCH('Respuestas de formulario 1.1'!ES$1,#REF!,0)))</f>
        <v/>
      </c>
      <c r="ET123" s="56" t="str">
        <f t="array" ref="ET123">IF(DS123="","", INDEX(#REF!,MATCH(CONCATENATE('Respuestas de formulario 1.1'!$B123,DS123),#REF!,0),MATCH('Respuestas de formulario 1.1'!ET$1,#REF!,0)))</f>
        <v/>
      </c>
      <c r="EU123" s="56" t="str">
        <f t="array" ref="EU123">IF(DT123="","", INDEX(#REF!,MATCH(CONCATENATE('Respuestas de formulario 1.1'!$B123,DT123),#REF!,0),MATCH('Respuestas de formulario 1.1'!EU$1,#REF!,0)))</f>
        <v/>
      </c>
      <c r="EV123" s="56" t="str">
        <f t="array" ref="EV123">IF(DU123="","", INDEX(#REF!,MATCH(CONCATENATE('Respuestas de formulario 1.1'!$B123,DU123),#REF!,0),MATCH('Respuestas de formulario 1.1'!EV$1,#REF!,0)))</f>
        <v/>
      </c>
      <c r="EW123" s="45" t="str">
        <f t="array" ref="EW123">IF(DV123="","", INDEX(#REF!,MATCH(CONCATENATE('Respuestas de formulario 1.1'!$B123,DV123),#REF!,0),MATCH('Respuestas de formulario 1.1'!EW$1,#REF!,0)))</f>
        <v/>
      </c>
      <c r="EX123" s="45" t="str">
        <f t="array" ref="EX123">IF($DQ123="","", INDEX(#REF!,MATCH(CONCATENATE('Respuestas de formulario 1.1'!$B123,$DQ123),#REF!,0),MATCH('Respuestas de formulario 1.1'!EX$1,#REF!,0)))</f>
        <v/>
      </c>
      <c r="EY123" s="56" t="str">
        <f t="array" ref="EY123">IF($DQ123="","", INDEX(#REF!,MATCH(CONCATENATE('Respuestas de formulario 1.1'!$B123,$DQ123),#REF!,0),MATCH('Respuestas de formulario 1.1'!EY$1,#REF!,0)))</f>
        <v/>
      </c>
      <c r="EZ123" s="56" t="str">
        <f t="array" ref="EZ123">IF($DQ123="","", INDEX(#REF!,MATCH(CONCATENATE('Respuestas de formulario 1.1'!$B123,$DQ123),#REF!,0),MATCH('Respuestas de formulario 1.1'!EZ$1,#REF!,0)))</f>
        <v/>
      </c>
      <c r="FA123" s="56" t="str">
        <f t="array" ref="FA123">IF($DQ123="","", INDEX(#REF!,MATCH(CONCATENATE('Respuestas de formulario 1.1'!$B123,$DQ123),#REF!,0),MATCH('Respuestas de formulario 1.1'!FA$1,#REF!,0)))</f>
        <v/>
      </c>
      <c r="FB123" s="56" t="str">
        <f t="array" ref="FB123">IF($DQ123="","", INDEX(#REF!,MATCH(CONCATENATE('Respuestas de formulario 1.1'!$B123,$DQ123),#REF!,0),MATCH('Respuestas de formulario 1.1'!FB$1,#REF!,0)))</f>
        <v/>
      </c>
      <c r="FC123" s="56" t="str">
        <f t="array" ref="FC123">IF($DQ123="","", INDEX(#REF!,MATCH(CONCATENATE('Respuestas de formulario 1.1'!$B123,$DQ123),#REF!,0),MATCH('Respuestas de formulario 1.1'!FC$1,#REF!,0)))</f>
        <v/>
      </c>
      <c r="FD123" s="45" t="str">
        <f t="array" ref="FD123">IF($DQ123="","", INDEX(#REF!,MATCH(CONCATENATE('Respuestas de formulario 1.1'!$B123,$DQ123),#REF!,0),MATCH('Respuestas de formulario 1.1'!FD$1,#REF!,0)))</f>
        <v/>
      </c>
      <c r="FE123" s="45" t="str">
        <f t="array" ref="FE123">IF($DR123="","", INDEX(#REF!,MATCH(CONCATENATE(#REF!,$DR123),#REF!,0),MATCH(#REF!,#REF!,0)))</f>
        <v/>
      </c>
      <c r="FF123" s="56" t="str">
        <f t="array" ref="FF123">IF($DR123="","", INDEX(#REF!,MATCH(CONCATENATE(#REF!,$DR123),#REF!,0),MATCH(#REF!,#REF!,0)))</f>
        <v/>
      </c>
      <c r="FG123" s="56" t="str">
        <f t="array" ref="FG123">IF($DR123="","", INDEX(#REF!,MATCH(CONCATENATE(#REF!,$DR123),#REF!,0),MATCH(#REF!,#REF!,0)))</f>
        <v/>
      </c>
      <c r="FH123" s="56" t="str">
        <f t="array" ref="FH123">IF($DR123="","", INDEX(#REF!,MATCH(CONCATENATE(#REF!,$DR123),#REF!,0),MATCH(#REF!,#REF!,0)))</f>
        <v/>
      </c>
      <c r="FI123" s="56" t="str">
        <f t="array" ref="FI123">IF($DR123="","", INDEX(#REF!,MATCH(CONCATENATE(#REF!,$DR123),#REF!,0),MATCH(#REF!,#REF!,0)))</f>
        <v/>
      </c>
      <c r="FJ123" s="56" t="str">
        <f t="array" ref="FJ123">IF($DR123="","", INDEX(#REF!,MATCH(CONCATENATE(#REF!,$DR123),#REF!,0),MATCH(#REF!,#REF!,0)))</f>
        <v/>
      </c>
      <c r="FK123" s="45" t="str">
        <f t="array" ref="FK123">IF($DR123="","", INDEX(#REF!,MATCH(CONCATENATE(#REF!,$DR123),#REF!,0),MATCH(#REF!,#REF!,0)))</f>
        <v/>
      </c>
      <c r="FL123" s="45" t="str">
        <f t="array" ref="FL123">IF($DT123="","", INDEX(#REF!,MATCH(CONCATENATE('Respuestas de formulario 1.1'!$B123,$DS123),#REF!,0),MATCH('Respuestas de formulario 1.1'!FL$1,#REF!,0)))</f>
        <v/>
      </c>
      <c r="FM123" s="56" t="str">
        <f t="array" ref="FM123">IF($DT123="","", INDEX(#REF!,MATCH(CONCATENATE('Respuestas de formulario 1.1'!$B123,$DS123),#REF!,0),MATCH('Respuestas de formulario 1.1'!FM$1,#REF!,0)))</f>
        <v/>
      </c>
      <c r="FN123" s="56" t="str">
        <f t="array" ref="FN123">IF($DT123="","", INDEX(#REF!,MATCH(CONCATENATE('Respuestas de formulario 1.1'!$B123,$DS123),#REF!,0),MATCH('Respuestas de formulario 1.1'!FN$1,#REF!,0)))</f>
        <v/>
      </c>
      <c r="FO123" s="56" t="str">
        <f t="array" ref="FO123">IF($DT123="","", INDEX(#REF!,MATCH(CONCATENATE('Respuestas de formulario 1.1'!$B123,$DS123),#REF!,0),MATCH('Respuestas de formulario 1.1'!FO$1,#REF!,0)))</f>
        <v/>
      </c>
      <c r="FP123" s="56" t="str">
        <f t="array" ref="FP123">IF($DT123="","", INDEX(#REF!,MATCH(CONCATENATE('Respuestas de formulario 1.1'!$B123,$DS123),#REF!,0),MATCH('Respuestas de formulario 1.1'!FP$1,#REF!,0)))</f>
        <v/>
      </c>
      <c r="FQ123" s="56" t="str">
        <f t="array" ref="FQ123">IF($DT123="","", INDEX(#REF!,MATCH(CONCATENATE('Respuestas de formulario 1.1'!$B123,$DS123),#REF!,0),MATCH('Respuestas de formulario 1.1'!FQ$1,#REF!,0)))</f>
        <v/>
      </c>
      <c r="FR123" s="45" t="str">
        <f t="array" ref="FR123">IF($DT123="","", INDEX(#REF!,MATCH(CONCATENATE('Respuestas de formulario 1.1'!$B123,$DS123),#REF!,0),MATCH('Respuestas de formulario 1.1'!FR$1,#REF!,0)))</f>
        <v/>
      </c>
      <c r="FS123" s="45" t="str">
        <f t="array" ref="FS123">IF($DU123="","", INDEX(#REF!,MATCH(CONCATENATE('Respuestas de formulario 1.1'!$B123,$DT123),#REF!,0),MATCH('Respuestas de formulario 1.1'!FS$1,#REF!,0)))</f>
        <v/>
      </c>
      <c r="FT123" s="56" t="str">
        <f t="array" ref="FT123">IF($DU123="","", INDEX(#REF!,MATCH(CONCATENATE('Respuestas de formulario 1.1'!$B123,$DT123),#REF!,0),MATCH('Respuestas de formulario 1.1'!FT$1,#REF!,0)))</f>
        <v/>
      </c>
      <c r="FU123" s="56" t="str">
        <f t="array" ref="FU123">IF($DU123="","", INDEX(#REF!,MATCH(CONCATENATE('Respuestas de formulario 1.1'!$B123,$DT123),#REF!,0),MATCH('Respuestas de formulario 1.1'!FU$1,#REF!,0)))</f>
        <v/>
      </c>
      <c r="FV123" s="56" t="str">
        <f t="array" ref="FV123">IF($DU123="","", INDEX(#REF!,MATCH(CONCATENATE('Respuestas de formulario 1.1'!$B123,$DT123),#REF!,0),MATCH('Respuestas de formulario 1.1'!FV$1,#REF!,0)))</f>
        <v/>
      </c>
      <c r="FW123" s="56" t="str">
        <f t="array" ref="FW123">IF($DU123="","", INDEX(#REF!,MATCH(CONCATENATE('Respuestas de formulario 1.1'!$B123,$DT123),#REF!,0),MATCH('Respuestas de formulario 1.1'!FW$1,#REF!,0)))</f>
        <v/>
      </c>
      <c r="FX123" s="56" t="str">
        <f t="array" ref="FX123">IF($DU123="","", INDEX(#REF!,MATCH(CONCATENATE('Respuestas de formulario 1.1'!$B123,$DT123),#REF!,0),MATCH('Respuestas de formulario 1.1'!FX$1,#REF!,0)))</f>
        <v/>
      </c>
      <c r="FY123" s="45" t="str">
        <f t="array" ref="FY123">IF($DU123="","", INDEX(#REF!,MATCH(CONCATENATE('Respuestas de formulario 1.1'!$B123,$DT123),#REF!,0),MATCH('Respuestas de formulario 1.1'!FY$1,#REF!,0)))</f>
        <v/>
      </c>
      <c r="FZ123" s="3" t="s">
        <v>2860</v>
      </c>
      <c r="GA123" s="1" t="s">
        <v>4946</v>
      </c>
      <c r="GB123" s="5" t="s">
        <v>4947</v>
      </c>
      <c r="GC123" s="4" t="str">
        <f>HYPERLINK("https://drive.google.com/file/d/1A9_XUAQn_LXwybMITzvshhgWJ_WVk6b6/view?usp=drivesdk","ESPINOSA  SANCHEZ  CAMILA  Formato de reinscripción y pago 2022-2")</f>
        <v>ESPINOSA  SANCHEZ  CAMILA  Formato de reinscripción y pago 2022-2</v>
      </c>
      <c r="GD123" s="1" t="s">
        <v>4948</v>
      </c>
      <c r="GE123" s="1"/>
      <c r="GF123" s="1"/>
      <c r="GG123" s="1"/>
      <c r="GH123" s="1"/>
      <c r="GI123" s="1" t="s">
        <v>4949</v>
      </c>
      <c r="GJ123" s="5" t="s">
        <v>4950</v>
      </c>
      <c r="GK123" s="5" t="str">
        <f>HYPERLINK("https://drive.google.com/file/d/17Ez_lLUmRzCZcimrMV4pJFhgoANMWP9f/view?usp=drivesdk","ESPINOSA  SANCHEZ  CAMILA  Formato de reinscripción y pago 2022-2")</f>
        <v>ESPINOSA  SANCHEZ  CAMILA  Formato de reinscripción y pago 2022-2</v>
      </c>
      <c r="GL123" s="1" t="s">
        <v>4951</v>
      </c>
    </row>
    <row r="124" spans="1:194" ht="38.25" x14ac:dyDescent="0.2">
      <c r="A124" s="2">
        <v>45139.439524594913</v>
      </c>
      <c r="B124" s="1" t="s">
        <v>2427</v>
      </c>
      <c r="C124" s="1" t="s">
        <v>2428</v>
      </c>
      <c r="D124" s="1" t="s">
        <v>503</v>
      </c>
      <c r="E124" s="1" t="s">
        <v>4952</v>
      </c>
      <c r="F124" s="1" t="s">
        <v>262</v>
      </c>
      <c r="G124" s="5" t="s">
        <v>4953</v>
      </c>
      <c r="H124" s="41">
        <v>39245</v>
      </c>
      <c r="I124" s="1">
        <v>16</v>
      </c>
      <c r="J124" s="1">
        <v>5573284301</v>
      </c>
      <c r="K124" s="1">
        <v>5573284301</v>
      </c>
      <c r="L124" s="1" t="s">
        <v>4954</v>
      </c>
      <c r="M124" s="1">
        <v>22309060570033</v>
      </c>
      <c r="N124" s="1" t="s">
        <v>562</v>
      </c>
      <c r="O124" s="1" t="s">
        <v>225</v>
      </c>
      <c r="P124" s="1" t="s">
        <v>226</v>
      </c>
      <c r="Q124" s="1" t="s">
        <v>248</v>
      </c>
      <c r="R124" s="1" t="s">
        <v>236</v>
      </c>
      <c r="S124" s="1" t="s">
        <v>228</v>
      </c>
      <c r="T124" s="1" t="s">
        <v>229</v>
      </c>
      <c r="U124" s="1" t="s">
        <v>249</v>
      </c>
      <c r="V124" s="1" t="s">
        <v>228</v>
      </c>
      <c r="W124" s="1" t="s">
        <v>4955</v>
      </c>
      <c r="X124" s="1" t="s">
        <v>249</v>
      </c>
      <c r="Y124" s="1" t="s">
        <v>567</v>
      </c>
      <c r="Z124" s="1" t="s">
        <v>240</v>
      </c>
      <c r="AA124" s="44" t="s">
        <v>563</v>
      </c>
      <c r="AB124" s="1">
        <v>13</v>
      </c>
      <c r="AC124" s="1">
        <v>11</v>
      </c>
      <c r="AD124" s="1" t="s">
        <v>4956</v>
      </c>
      <c r="AE124" s="1" t="s">
        <v>2431</v>
      </c>
      <c r="AF124" s="1" t="s">
        <v>461</v>
      </c>
      <c r="AG124" s="1">
        <v>40</v>
      </c>
      <c r="AH124" s="5" t="s">
        <v>4957</v>
      </c>
      <c r="AI124" s="1">
        <v>5626869926</v>
      </c>
      <c r="AJ124" s="1">
        <v>5626869926</v>
      </c>
      <c r="AK124" s="1" t="s">
        <v>2429</v>
      </c>
      <c r="AL124" s="1" t="s">
        <v>503</v>
      </c>
      <c r="AM124" s="1" t="s">
        <v>587</v>
      </c>
      <c r="AN124" s="1" t="s">
        <v>2430</v>
      </c>
      <c r="AO124" s="1" t="s">
        <v>580</v>
      </c>
      <c r="AP124" s="1">
        <v>40</v>
      </c>
      <c r="AQ124" s="1" t="s">
        <v>1501</v>
      </c>
      <c r="AR124" s="42">
        <v>0.29166666666424135</v>
      </c>
      <c r="AS124" s="42">
        <v>0.29166666666424135</v>
      </c>
      <c r="AT124" s="1">
        <v>5626869926</v>
      </c>
      <c r="AU124" s="1">
        <v>5626868826</v>
      </c>
      <c r="AV124" s="1" t="s">
        <v>2429</v>
      </c>
      <c r="AW124" s="5" t="s">
        <v>4958</v>
      </c>
      <c r="AX124" s="1" t="s">
        <v>529</v>
      </c>
      <c r="AY124" s="1" t="s">
        <v>587</v>
      </c>
      <c r="AZ124" s="1" t="s">
        <v>2430</v>
      </c>
      <c r="BA124" s="1" t="s">
        <v>461</v>
      </c>
      <c r="BB124" s="1">
        <v>40</v>
      </c>
      <c r="BC124" s="1" t="s">
        <v>4959</v>
      </c>
      <c r="BD124" s="43">
        <v>0.29166666666424135</v>
      </c>
      <c r="BE124" s="43">
        <v>0.29166666666424135</v>
      </c>
      <c r="BF124" s="1">
        <v>5626869926</v>
      </c>
      <c r="BG124" s="1">
        <v>5626868926</v>
      </c>
      <c r="BH124" s="1" t="s">
        <v>2429</v>
      </c>
      <c r="BI124" s="5" t="s">
        <v>4960</v>
      </c>
      <c r="BJ124" s="1" t="s">
        <v>236</v>
      </c>
      <c r="BK124" s="1" t="s">
        <v>2625</v>
      </c>
      <c r="BL124" s="1">
        <v>163</v>
      </c>
      <c r="BM124" s="1">
        <v>63</v>
      </c>
      <c r="BN124" s="1" t="s">
        <v>228</v>
      </c>
      <c r="BO124" s="1" t="s">
        <v>228</v>
      </c>
      <c r="BP124" s="1" t="s">
        <v>297</v>
      </c>
      <c r="BQ124" s="1" t="s">
        <v>228</v>
      </c>
      <c r="BR124" s="1" t="s">
        <v>237</v>
      </c>
      <c r="BS124" s="1" t="s">
        <v>228</v>
      </c>
      <c r="BT124" s="1" t="s">
        <v>237</v>
      </c>
      <c r="BU124" s="1" t="s">
        <v>228</v>
      </c>
      <c r="BW124" s="1" t="s">
        <v>272</v>
      </c>
      <c r="BX124" s="1">
        <v>130</v>
      </c>
      <c r="BY124" s="1">
        <v>300</v>
      </c>
      <c r="BZ124" s="1" t="s">
        <v>253</v>
      </c>
      <c r="CA124" s="1" t="s">
        <v>4961</v>
      </c>
      <c r="CB124" s="1" t="s">
        <v>240</v>
      </c>
      <c r="CC124" s="1" t="s">
        <v>300</v>
      </c>
      <c r="CD124" s="1">
        <v>1500</v>
      </c>
      <c r="CE124" s="1">
        <v>2000</v>
      </c>
      <c r="CF124" s="1" t="s">
        <v>236</v>
      </c>
      <c r="CG124" s="1" t="s">
        <v>242</v>
      </c>
      <c r="CH124" s="1" t="s">
        <v>243</v>
      </c>
      <c r="CI124" s="1" t="s">
        <v>243</v>
      </c>
      <c r="CJ124" s="1" t="s">
        <v>2848</v>
      </c>
      <c r="CL124" s="5" t="s">
        <v>4962</v>
      </c>
      <c r="CM124" s="44" t="s">
        <v>2432</v>
      </c>
      <c r="CN124" s="1" t="s">
        <v>228</v>
      </c>
      <c r="CQ124" s="42">
        <v>0.29166666666424135</v>
      </c>
      <c r="CR124" s="42">
        <v>0.29166666666424135</v>
      </c>
      <c r="CT124" s="45" t="str">
        <f t="array" ref="CT124">IFERROR(INDEX(#REF!,MATCH('Respuestas de formulario 1.1'!$B124,#REF!,0),MATCH('Respuestas de formulario 1.1'!CT$1,#REF!,0)),"")</f>
        <v/>
      </c>
      <c r="CU124" s="56" t="str">
        <f t="array" ref="CU124">IFERROR(INDEX(#REF!,MATCH('Respuestas de formulario 1.1'!$B124,#REF!,0),MATCH('Respuestas de formulario 1.1'!CU$1,#REF!,0)),"")</f>
        <v/>
      </c>
      <c r="CV124" s="56" t="str">
        <f t="array" ref="CV124">IFERROR(INDEX(#REF!,MATCH('Respuestas de formulario 1.1'!$B124,#REF!,0),MATCH('Respuestas de formulario 1.1'!CV$1,#REF!,0)),"")</f>
        <v/>
      </c>
      <c r="CW124" s="56" t="str">
        <f t="array" ref="CW124">IFERROR(INDEX(#REF!,MATCH('Respuestas de formulario 1.1'!$B124,#REF!,0),MATCH('Respuestas de formulario 1.1'!CW$1,#REF!,0)),"")</f>
        <v/>
      </c>
      <c r="CX124" s="56" t="str">
        <f t="array" ref="CX124">IFERROR(INDEX(#REF!,MATCH('Respuestas de formulario 1.1'!$B124,#REF!,0),MATCH('Respuestas de formulario 1.1'!CX$1,#REF!,0)),"")</f>
        <v/>
      </c>
      <c r="CY124" s="56" t="str">
        <f t="array" ref="CY124">IFERROR(INDEX(#REF!,MATCH('Respuestas de formulario 1.1'!$B124,#REF!,0),MATCH('Respuestas de formulario 1.1'!CY$1,#REF!,0)),"")</f>
        <v/>
      </c>
      <c r="CZ124" s="57" t="str">
        <f t="array" ref="CZ124">IFERROR(INDEX(#REF!,MATCH('Respuestas de formulario 1.1'!$B124,#REF!,0),MATCH('Respuestas de formulario 1.1'!CZ$1,#REF!,0)),"")</f>
        <v/>
      </c>
      <c r="DA124" s="45" t="e">
        <f t="array" ref="DA124">INDEX(#REF!,MATCH('Respuestas de formulario 1.1'!$B124,#REF!,0),MATCH('Respuestas de formulario 1.1'!DA$1,#REF!,0))</f>
        <v>#REF!</v>
      </c>
      <c r="DB124" s="45" t="e">
        <f t="array" ref="DB124">INDEX(#REF!,MATCH('Respuestas de formulario 1.1'!$B124,#REF!,0),MATCH('Respuestas de formulario 1.1'!DB$1,#REF!,0))</f>
        <v>#REF!</v>
      </c>
      <c r="DC124" s="45" t="e">
        <f t="array" ref="DC124">INDEX(#REF!,MATCH('Respuestas de formulario 1.1'!$B124,#REF!,0),MATCH('Respuestas de formulario 1.1'!DC$1,#REF!,0))</f>
        <v>#REF!</v>
      </c>
      <c r="DD124" s="45" t="e">
        <f t="array" ref="DD124">INDEX(#REF!,MATCH('Respuestas de formulario 1.1'!$B124,#REF!,0),MATCH('Respuestas de formulario 1.1'!DD$1,#REF!,0))</f>
        <v>#REF!</v>
      </c>
      <c r="DE124" s="45" t="e">
        <f t="array" ref="DE124">INDEX(#REF!,MATCH('Respuestas de formulario 1.1'!$B124,#REF!,0),MATCH('Respuestas de formulario 1.1'!DE$1,#REF!,0))</f>
        <v>#REF!</v>
      </c>
      <c r="DF124" s="45" t="e">
        <f t="array" ref="DF124">INDEX(#REF!,MATCH('Respuestas de formulario 1.1'!$B124,#REF!,0),MATCH('Respuestas de formulario 1.1'!DF$1,#REF!,0))</f>
        <v>#REF!</v>
      </c>
      <c r="DG124" s="45" t="e">
        <f t="array" ref="DG124">INDEX(#REF!,MATCH('Respuestas de formulario 1.1'!$B124,#REF!,0),MATCH('Respuestas de formulario 1.1'!DG$1,#REF!,0))</f>
        <v>#REF!</v>
      </c>
      <c r="DH124" s="45" t="e">
        <f t="array" ref="DH124">INDEX(#REF!,MATCH('Respuestas de formulario 1.1'!$B124,#REF!,0),MATCH('Respuestas de formulario 1.1'!DH$1,#REF!,0))</f>
        <v>#REF!</v>
      </c>
      <c r="DI124" s="48" t="e">
        <f>VLOOKUP(CONCATENATE($DF124," TUTO ",$DC124),#REF!,3,0)</f>
        <v>#REF!</v>
      </c>
      <c r="DJ124" s="48" t="e">
        <f t="array" ref="DJ124">IF('Respuestas de formulario 1.1'!A124="","",INDEX(#REF!,MATCH('Respuestas de formulario 1.1'!B124,#REF!,0),MATCH('Respuestas de formulario 1.1'!$DH$1,#REF!,0)))</f>
        <v>#REF!</v>
      </c>
      <c r="DK124" s="52" t="str">
        <f>CONCATENATE("http://doc.google.com/uc?id=",MID('Respuestas de formulario 1.1'!G124,34,33))</f>
        <v>http://doc.google.com/uc?id=1fWyAGTHHknrGMBRBeg5Gy81HKQw9QZnt</v>
      </c>
      <c r="DL124" s="49" t="str">
        <f>CONCATENATE("http://doc.google.com/uc?id=",MID('Respuestas de formulario 1.1'!AH124,34,33))</f>
        <v>http://doc.google.com/uc?id=11t67cINN83BVeSLFNLWLpA0-vbPWz7V1</v>
      </c>
      <c r="DM124" s="50" t="str">
        <f>CONCATENATE("http://doc.google.com/uc?id=",MID('Respuestas de formulario 1.1'!AW124,34,33))</f>
        <v>http://doc.google.com/uc?id=10DKBSv5nK3ZyuKQ0MjxSzJyDT1atTkQ2</v>
      </c>
      <c r="DN124" s="53" t="str">
        <f>CONCATENATE("http://doc.google.com/uc?id=",MID('Respuestas de formulario 1.1'!$BI124,34,33))</f>
        <v>http://doc.google.com/uc?id=1ZcG6Q1aFj9aqTSot8gxZl3uOQtEaxnqm</v>
      </c>
      <c r="DO124" s="45" t="str">
        <f>IFERROR(VLOOKUP(CONCATENATE('Respuestas de formulario 1.1'!$B124,MID('Respuestas de formulario 1.1'!DO$1,2,1)),#REF!,12,0),"")</f>
        <v/>
      </c>
      <c r="DP124" s="45" t="str">
        <f>IFERROR(VLOOKUP(CONCATENATE('Respuestas de formulario 1.1'!$B124,MID('Respuestas de formulario 1.1'!DP$1,2,1)),#REF!,12,0),"")</f>
        <v/>
      </c>
      <c r="DQ124" s="45" t="str">
        <f>IFERROR(VLOOKUP(CONCATENATE('Respuestas de formulario 1.1'!$B124,MID('Respuestas de formulario 1.1'!DQ$1,2,1)),#REF!,12,0),"")</f>
        <v/>
      </c>
      <c r="DR124" s="45" t="str">
        <f>IFERROR(VLOOKUP(CONCATENATE('Respuestas de formulario 1.1'!$B124,MID('Respuestas de formulario 1.1'!DR$1,2,1)),#REF!,12,0),"")</f>
        <v/>
      </c>
      <c r="DS124" s="45" t="str">
        <f>IFERROR(VLOOKUP(CONCATENATE('Respuestas de formulario 1.1'!$B124,MID('Respuestas de formulario 1.1'!DS$1,2,1)),#REF!,12,0),"")</f>
        <v/>
      </c>
      <c r="DT124" s="45" t="str">
        <f>IFERROR(VLOOKUP(CONCATENATE('Respuestas de formulario 1.1'!$B124,MID('Respuestas de formulario 1.1'!DT$1,2,1)),#REF!,12,0),"")</f>
        <v/>
      </c>
      <c r="DU124" s="45" t="str">
        <f>IFERROR(VLOOKUP(CONCATENATE('Respuestas de formulario 1.1'!$B124,MID('Respuestas de formulario 1.1'!DU$1,2,1)),#REF!,12,0),"")</f>
        <v/>
      </c>
      <c r="DV124" s="45" t="str">
        <f>IFERROR(VLOOKUP(CONCATENATE('Respuestas de formulario 1.1'!$B124,MID('Respuestas de formulario 1.1'!DV$1,2,1)),#REF!,12,0),"")</f>
        <v/>
      </c>
      <c r="DW124" s="45" t="str">
        <f>IFERROR(VLOOKUP(CONCATENATE('Respuestas de formulario 1.1'!$B124,MID('Respuestas de formulario 1.1'!DW$1,2,1)),#REF!,12,0),"")</f>
        <v/>
      </c>
      <c r="DX124" s="45" t="str">
        <f>IFERROR(VLOOKUP(CONCATENATE('Respuestas de formulario 1.1'!$B124,MID('Respuestas de formulario 1.1'!DX$1,2,1)),#REF!,12,0),"")</f>
        <v/>
      </c>
      <c r="DY124" s="45" t="str">
        <f>IFERROR(VLOOKUP(CONCATENATE('Respuestas de formulario 1.1'!$B124,MID('Respuestas de formulario 1.1'!DY$1,2,1)),#REF!,12,0),"")</f>
        <v/>
      </c>
      <c r="DZ124" s="45" t="str">
        <f>IFERROR(VLOOKUP(CONCATENATE('Respuestas de formulario 1.1'!$B124,MID('Respuestas de formulario 1.1'!DZ$1,2,1)),#REF!,12,0),"")</f>
        <v/>
      </c>
      <c r="EA124" s="45" t="str">
        <f>IFERROR(VLOOKUP(CONCATENATE('Respuestas de formulario 1.1'!$B124,MID('Respuestas de formulario 1.1'!EA$1,2,1)),#REF!,12,0),"")</f>
        <v/>
      </c>
      <c r="EB124" s="45" t="str">
        <f>IFERROR(VLOOKUP(CONCATENATE('Respuestas de formulario 1.1'!$B124,MID('Respuestas de formulario 1.1'!EB$1,2,1)),#REF!,12,0),"")</f>
        <v/>
      </c>
      <c r="EC124" s="45" t="str">
        <f>IFERROR(VLOOKUP(CONCATENATE('Respuestas de formulario 1.1'!$B124,MID('Respuestas de formulario 1.1'!EC$1,2,1)),#REF!,12,0),"")</f>
        <v/>
      </c>
      <c r="ED124" s="45" t="str">
        <f>IFERROR(VLOOKUP(CONCATENATE('Respuestas de formulario 1.1'!$B124,MID('Respuestas de formulario 1.1'!ED$1,2,1)),#REF!,12,0),"")</f>
        <v/>
      </c>
      <c r="EE124" s="45" t="str">
        <f>IFERROR(VLOOKUP(CONCATENATE('Respuestas de formulario 1.1'!$B124,MID('Respuestas de formulario 1.1'!EE$1,2,1)),#REF!,12,0),"")</f>
        <v/>
      </c>
      <c r="EF124" s="45" t="str">
        <f>IFERROR(VLOOKUP(CONCATENATE('Respuestas de formulario 1.1'!$B124,MID('Respuestas de formulario 1.1'!EF$1,2,1)),#REF!,12,0),"")</f>
        <v/>
      </c>
      <c r="EG124" s="45" t="str">
        <f>IFERROR(VLOOKUP(CONCATENATE('Respuestas de formulario 1.1'!$B124,MID('Respuestas de formulario 1.1'!EG$1,2,1)),#REF!,12,0),"")</f>
        <v/>
      </c>
      <c r="EH124" s="45" t="str">
        <f>IFERROR(VLOOKUP(CONCATENATE('Respuestas de formulario 1.1'!$B124,MID('Respuestas de formulario 1.1'!EH$1,2,1)),#REF!,12,0),"")</f>
        <v/>
      </c>
      <c r="EI124" s="45" t="str">
        <f>IFERROR(VLOOKUP(CONCATENATE('Respuestas de formulario 1.1'!$B124,MID('Respuestas de formulario 1.1'!EI$1,2,1)),#REF!,12,0),"")</f>
        <v/>
      </c>
      <c r="EJ124" s="45" t="str">
        <f t="array" ref="EJ124">IF(DO124="","", INDEX(#REF!,MATCH(CONCATENATE('Respuestas de formulario 1.1'!$B124,DO124),#REF!,0),MATCH('Respuestas de formulario 1.1'!EJ$1,#REF!,0)))</f>
        <v/>
      </c>
      <c r="EK124" s="56" t="str">
        <f t="array" ref="EK124">IF(DP124="","", INDEX(#REF!,MATCH(CONCATENATE('Respuestas de formulario 1.1'!$B124,DP124),#REF!,0),MATCH('Respuestas de formulario 1.1'!EK$1,#REF!,0)))</f>
        <v/>
      </c>
      <c r="EL124" s="56" t="str">
        <f t="array" ref="EL124">IF(DQ124="","", INDEX(#REF!,MATCH(CONCATENATE('Respuestas de formulario 1.1'!$B124,DQ124),#REF!,0),MATCH('Respuestas de formulario 1.1'!EL$1,#REF!,0)))</f>
        <v/>
      </c>
      <c r="EM124" s="56" t="str">
        <f t="array" ref="EM124">IF(DR124="","", INDEX(#REF!,MATCH(CONCATENATE('Respuestas de formulario 1.1'!$B124,DR124),#REF!,0),MATCH('Respuestas de formulario 1.1'!EM$1,#REF!,0)))</f>
        <v/>
      </c>
      <c r="EN124" s="56" t="str">
        <f t="array" ref="EN124">IF(DS124="","", INDEX(#REF!,MATCH(CONCATENATE('Respuestas de formulario 1.1'!$B124,DS124),#REF!,0),MATCH('Respuestas de formulario 1.1'!EN$1,#REF!,0)))</f>
        <v/>
      </c>
      <c r="EO124" s="56" t="str">
        <f t="array" ref="EO124">IF(DT124="","", INDEX(#REF!,MATCH(CONCATENATE('Respuestas de formulario 1.1'!$B124,DT124),#REF!,0),MATCH('Respuestas de formulario 1.1'!EO$1,#REF!,0)))</f>
        <v/>
      </c>
      <c r="EP124" s="45" t="str">
        <f t="array" ref="EP124">IF(DU124="","", INDEX(#REF!,MATCH(CONCATENATE('Respuestas de formulario 1.1'!$B124,DU124),#REF!,0),MATCH('Respuestas de formulario 1.1'!EP$1,#REF!,0)))</f>
        <v/>
      </c>
      <c r="EQ124" s="45" t="str">
        <f t="array" ref="EQ124">IF(DP124="","", INDEX(#REF!,MATCH(CONCATENATE('Respuestas de formulario 1.1'!$B124,DP124),#REF!,0),MATCH('Respuestas de formulario 1.1'!EQ$1,#REF!,0)))</f>
        <v/>
      </c>
      <c r="ER124" s="56" t="str">
        <f t="array" ref="ER124">IF(DQ124="","", INDEX(#REF!,MATCH(CONCATENATE('Respuestas de formulario 1.1'!$B124,DQ124),#REF!,0),MATCH('Respuestas de formulario 1.1'!ER$1,#REF!,0)))</f>
        <v/>
      </c>
      <c r="ES124" s="56" t="str">
        <f t="array" ref="ES124">IF(DR124="","", INDEX(#REF!,MATCH(CONCATENATE('Respuestas de formulario 1.1'!$B124,DR124),#REF!,0),MATCH('Respuestas de formulario 1.1'!ES$1,#REF!,0)))</f>
        <v/>
      </c>
      <c r="ET124" s="56" t="str">
        <f t="array" ref="ET124">IF(DS124="","", INDEX(#REF!,MATCH(CONCATENATE('Respuestas de formulario 1.1'!$B124,DS124),#REF!,0),MATCH('Respuestas de formulario 1.1'!ET$1,#REF!,0)))</f>
        <v/>
      </c>
      <c r="EU124" s="56" t="str">
        <f t="array" ref="EU124">IF(DT124="","", INDEX(#REF!,MATCH(CONCATENATE('Respuestas de formulario 1.1'!$B124,DT124),#REF!,0),MATCH('Respuestas de formulario 1.1'!EU$1,#REF!,0)))</f>
        <v/>
      </c>
      <c r="EV124" s="56" t="str">
        <f t="array" ref="EV124">IF(DU124="","", INDEX(#REF!,MATCH(CONCATENATE('Respuestas de formulario 1.1'!$B124,DU124),#REF!,0),MATCH('Respuestas de formulario 1.1'!EV$1,#REF!,0)))</f>
        <v/>
      </c>
      <c r="EW124" s="45" t="str">
        <f t="array" ref="EW124">IF(DV124="","", INDEX(#REF!,MATCH(CONCATENATE('Respuestas de formulario 1.1'!$B124,DV124),#REF!,0),MATCH('Respuestas de formulario 1.1'!EW$1,#REF!,0)))</f>
        <v/>
      </c>
      <c r="EX124" s="45" t="str">
        <f t="array" ref="EX124">IF($DQ124="","", INDEX(#REF!,MATCH(CONCATENATE('Respuestas de formulario 1.1'!$B124,$DQ124),#REF!,0),MATCH('Respuestas de formulario 1.1'!EX$1,#REF!,0)))</f>
        <v/>
      </c>
      <c r="EY124" s="56" t="str">
        <f t="array" ref="EY124">IF($DQ124="","", INDEX(#REF!,MATCH(CONCATENATE('Respuestas de formulario 1.1'!$B124,$DQ124),#REF!,0),MATCH('Respuestas de formulario 1.1'!EY$1,#REF!,0)))</f>
        <v/>
      </c>
      <c r="EZ124" s="56" t="str">
        <f t="array" ref="EZ124">IF($DQ124="","", INDEX(#REF!,MATCH(CONCATENATE('Respuestas de formulario 1.1'!$B124,$DQ124),#REF!,0),MATCH('Respuestas de formulario 1.1'!EZ$1,#REF!,0)))</f>
        <v/>
      </c>
      <c r="FA124" s="56" t="str">
        <f t="array" ref="FA124">IF($DQ124="","", INDEX(#REF!,MATCH(CONCATENATE('Respuestas de formulario 1.1'!$B124,$DQ124),#REF!,0),MATCH('Respuestas de formulario 1.1'!FA$1,#REF!,0)))</f>
        <v/>
      </c>
      <c r="FB124" s="56" t="str">
        <f t="array" ref="FB124">IF($DQ124="","", INDEX(#REF!,MATCH(CONCATENATE('Respuestas de formulario 1.1'!$B124,$DQ124),#REF!,0),MATCH('Respuestas de formulario 1.1'!FB$1,#REF!,0)))</f>
        <v/>
      </c>
      <c r="FC124" s="56" t="str">
        <f t="array" ref="FC124">IF($DQ124="","", INDEX(#REF!,MATCH(CONCATENATE('Respuestas de formulario 1.1'!$B124,$DQ124),#REF!,0),MATCH('Respuestas de formulario 1.1'!FC$1,#REF!,0)))</f>
        <v/>
      </c>
      <c r="FD124" s="45" t="str">
        <f t="array" ref="FD124">IF($DQ124="","", INDEX(#REF!,MATCH(CONCATENATE('Respuestas de formulario 1.1'!$B124,$DQ124),#REF!,0),MATCH('Respuestas de formulario 1.1'!FD$1,#REF!,0)))</f>
        <v/>
      </c>
      <c r="FE124" s="45" t="str">
        <f t="array" ref="FE124">IF($DR124="","", INDEX(#REF!,MATCH(CONCATENATE(#REF!,$DR124),#REF!,0),MATCH(#REF!,#REF!,0)))</f>
        <v/>
      </c>
      <c r="FF124" s="56" t="str">
        <f t="array" ref="FF124">IF($DR124="","", INDEX(#REF!,MATCH(CONCATENATE(#REF!,$DR124),#REF!,0),MATCH(#REF!,#REF!,0)))</f>
        <v/>
      </c>
      <c r="FG124" s="56" t="str">
        <f t="array" ref="FG124">IF($DR124="","", INDEX(#REF!,MATCH(CONCATENATE(#REF!,$DR124),#REF!,0),MATCH(#REF!,#REF!,0)))</f>
        <v/>
      </c>
      <c r="FH124" s="56" t="str">
        <f t="array" ref="FH124">IF($DR124="","", INDEX(#REF!,MATCH(CONCATENATE(#REF!,$DR124),#REF!,0),MATCH(#REF!,#REF!,0)))</f>
        <v/>
      </c>
      <c r="FI124" s="56" t="str">
        <f t="array" ref="FI124">IF($DR124="","", INDEX(#REF!,MATCH(CONCATENATE(#REF!,$DR124),#REF!,0),MATCH(#REF!,#REF!,0)))</f>
        <v/>
      </c>
      <c r="FJ124" s="56" t="str">
        <f t="array" ref="FJ124">IF($DR124="","", INDEX(#REF!,MATCH(CONCATENATE(#REF!,$DR124),#REF!,0),MATCH(#REF!,#REF!,0)))</f>
        <v/>
      </c>
      <c r="FK124" s="45" t="str">
        <f t="array" ref="FK124">IF($DR124="","", INDEX(#REF!,MATCH(CONCATENATE(#REF!,$DR124),#REF!,0),MATCH(#REF!,#REF!,0)))</f>
        <v/>
      </c>
      <c r="FL124" s="45" t="str">
        <f t="array" ref="FL124">IF($DT124="","", INDEX(#REF!,MATCH(CONCATENATE('Respuestas de formulario 1.1'!$B124,$DS124),#REF!,0),MATCH('Respuestas de formulario 1.1'!FL$1,#REF!,0)))</f>
        <v/>
      </c>
      <c r="FM124" s="56" t="str">
        <f t="array" ref="FM124">IF($DT124="","", INDEX(#REF!,MATCH(CONCATENATE('Respuestas de formulario 1.1'!$B124,$DS124),#REF!,0),MATCH('Respuestas de formulario 1.1'!FM$1,#REF!,0)))</f>
        <v/>
      </c>
      <c r="FN124" s="56" t="str">
        <f t="array" ref="FN124">IF($DT124="","", INDEX(#REF!,MATCH(CONCATENATE('Respuestas de formulario 1.1'!$B124,$DS124),#REF!,0),MATCH('Respuestas de formulario 1.1'!FN$1,#REF!,0)))</f>
        <v/>
      </c>
      <c r="FO124" s="56" t="str">
        <f t="array" ref="FO124">IF($DT124="","", INDEX(#REF!,MATCH(CONCATENATE('Respuestas de formulario 1.1'!$B124,$DS124),#REF!,0),MATCH('Respuestas de formulario 1.1'!FO$1,#REF!,0)))</f>
        <v/>
      </c>
      <c r="FP124" s="56" t="str">
        <f t="array" ref="FP124">IF($DT124="","", INDEX(#REF!,MATCH(CONCATENATE('Respuestas de formulario 1.1'!$B124,$DS124),#REF!,0),MATCH('Respuestas de formulario 1.1'!FP$1,#REF!,0)))</f>
        <v/>
      </c>
      <c r="FQ124" s="56" t="str">
        <f t="array" ref="FQ124">IF($DT124="","", INDEX(#REF!,MATCH(CONCATENATE('Respuestas de formulario 1.1'!$B124,$DS124),#REF!,0),MATCH('Respuestas de formulario 1.1'!FQ$1,#REF!,0)))</f>
        <v/>
      </c>
      <c r="FR124" s="45" t="str">
        <f t="array" ref="FR124">IF($DT124="","", INDEX(#REF!,MATCH(CONCATENATE('Respuestas de formulario 1.1'!$B124,$DS124),#REF!,0),MATCH('Respuestas de formulario 1.1'!FR$1,#REF!,0)))</f>
        <v/>
      </c>
      <c r="FS124" s="45" t="str">
        <f t="array" ref="FS124">IF($DU124="","", INDEX(#REF!,MATCH(CONCATENATE('Respuestas de formulario 1.1'!$B124,$DT124),#REF!,0),MATCH('Respuestas de formulario 1.1'!FS$1,#REF!,0)))</f>
        <v/>
      </c>
      <c r="FT124" s="56" t="str">
        <f t="array" ref="FT124">IF($DU124="","", INDEX(#REF!,MATCH(CONCATENATE('Respuestas de formulario 1.1'!$B124,$DT124),#REF!,0),MATCH('Respuestas de formulario 1.1'!FT$1,#REF!,0)))</f>
        <v/>
      </c>
      <c r="FU124" s="56" t="str">
        <f t="array" ref="FU124">IF($DU124="","", INDEX(#REF!,MATCH(CONCATENATE('Respuestas de formulario 1.1'!$B124,$DT124),#REF!,0),MATCH('Respuestas de formulario 1.1'!FU$1,#REF!,0)))</f>
        <v/>
      </c>
      <c r="FV124" s="56" t="str">
        <f t="array" ref="FV124">IF($DU124="","", INDEX(#REF!,MATCH(CONCATENATE('Respuestas de formulario 1.1'!$B124,$DT124),#REF!,0),MATCH('Respuestas de formulario 1.1'!FV$1,#REF!,0)))</f>
        <v/>
      </c>
      <c r="FW124" s="56" t="str">
        <f t="array" ref="FW124">IF($DU124="","", INDEX(#REF!,MATCH(CONCATENATE('Respuestas de formulario 1.1'!$B124,$DT124),#REF!,0),MATCH('Respuestas de formulario 1.1'!FW$1,#REF!,0)))</f>
        <v/>
      </c>
      <c r="FX124" s="56" t="str">
        <f t="array" ref="FX124">IF($DU124="","", INDEX(#REF!,MATCH(CONCATENATE('Respuestas de formulario 1.1'!$B124,$DT124),#REF!,0),MATCH('Respuestas de formulario 1.1'!FX$1,#REF!,0)))</f>
        <v/>
      </c>
      <c r="FY124" s="45" t="str">
        <f t="array" ref="FY124">IF($DU124="","", INDEX(#REF!,MATCH(CONCATENATE('Respuestas de formulario 1.1'!$B124,$DT124),#REF!,0),MATCH('Respuestas de formulario 1.1'!FY$1,#REF!,0)))</f>
        <v/>
      </c>
      <c r="FZ124" s="3" t="s">
        <v>2860</v>
      </c>
      <c r="GA124" s="1" t="s">
        <v>4963</v>
      </c>
      <c r="GB124" s="5" t="s">
        <v>4964</v>
      </c>
      <c r="GC124" s="4" t="str">
        <f>HYPERLINK("https://drive.google.com/file/d/1jTR29EWzD9vI-oUN6JP_X93caKFiNvQn/view?usp=drivesdk","DAMAS  MORALES ANGEL IVAN Formato de reinscripción y pago 2022-2")</f>
        <v>DAMAS  MORALES ANGEL IVAN Formato de reinscripción y pago 2022-2</v>
      </c>
      <c r="GD124" s="1" t="s">
        <v>4965</v>
      </c>
      <c r="GE124" s="1"/>
      <c r="GF124" s="1"/>
      <c r="GG124" s="1"/>
      <c r="GH124" s="1"/>
      <c r="GI124" s="1" t="s">
        <v>4966</v>
      </c>
      <c r="GJ124" s="5" t="s">
        <v>4967</v>
      </c>
      <c r="GK124" s="5" t="str">
        <f>HYPERLINK("https://drive.google.com/file/d/17GxR3HGtrdw7MGqKLQd-f5Ia-3DLQZwJ/view?usp=drivesdk","DAMAS  MORALES ANGEL IVAN Formato de reinscripción y pago 2022-2")</f>
        <v>DAMAS  MORALES ANGEL IVAN Formato de reinscripción y pago 2022-2</v>
      </c>
      <c r="GL124" s="1" t="s">
        <v>4968</v>
      </c>
    </row>
    <row r="125" spans="1:194" ht="38.25" x14ac:dyDescent="0.2">
      <c r="A125" s="2">
        <v>45139.803944016203</v>
      </c>
      <c r="B125" s="1" t="s">
        <v>1587</v>
      </c>
      <c r="C125" s="1" t="s">
        <v>259</v>
      </c>
      <c r="D125" s="1" t="s">
        <v>1588</v>
      </c>
      <c r="E125" s="1" t="s">
        <v>4969</v>
      </c>
      <c r="F125" s="1" t="s">
        <v>223</v>
      </c>
      <c r="G125" s="5" t="s">
        <v>4970</v>
      </c>
      <c r="H125" s="41">
        <v>39202</v>
      </c>
      <c r="I125" s="1">
        <v>16</v>
      </c>
      <c r="J125" s="1">
        <v>5637926166</v>
      </c>
      <c r="K125" s="1">
        <v>5590490314</v>
      </c>
      <c r="L125" s="1" t="s">
        <v>1589</v>
      </c>
      <c r="M125" s="1">
        <v>22309060570989</v>
      </c>
      <c r="N125" s="1" t="s">
        <v>562</v>
      </c>
      <c r="O125" s="1" t="s">
        <v>247</v>
      </c>
      <c r="P125" s="1" t="s">
        <v>226</v>
      </c>
      <c r="Q125" s="1" t="s">
        <v>227</v>
      </c>
      <c r="R125" s="1" t="s">
        <v>236</v>
      </c>
      <c r="S125" s="1" t="s">
        <v>228</v>
      </c>
      <c r="T125" s="1" t="s">
        <v>229</v>
      </c>
      <c r="U125" s="1" t="s">
        <v>249</v>
      </c>
      <c r="V125" s="1" t="s">
        <v>228</v>
      </c>
      <c r="W125" s="1" t="s">
        <v>4971</v>
      </c>
      <c r="X125" s="1" t="s">
        <v>249</v>
      </c>
      <c r="Y125" s="1" t="s">
        <v>1363</v>
      </c>
      <c r="Z125" s="1" t="s">
        <v>240</v>
      </c>
      <c r="AA125" s="44" t="s">
        <v>1328</v>
      </c>
      <c r="AB125" s="1">
        <v>3</v>
      </c>
      <c r="AC125" s="1">
        <v>9</v>
      </c>
      <c r="AD125" s="1" t="s">
        <v>4972</v>
      </c>
      <c r="AE125" s="1" t="s">
        <v>4973</v>
      </c>
      <c r="AF125" s="1" t="s">
        <v>461</v>
      </c>
      <c r="AG125" s="1">
        <v>33</v>
      </c>
      <c r="AH125" s="5" t="s">
        <v>4974</v>
      </c>
      <c r="AI125" s="1">
        <v>5522686567</v>
      </c>
      <c r="AJ125" s="1">
        <v>5567930560</v>
      </c>
      <c r="AK125" s="1" t="s">
        <v>1590</v>
      </c>
      <c r="AL125" s="1" t="s">
        <v>611</v>
      </c>
      <c r="AM125" s="1" t="s">
        <v>259</v>
      </c>
      <c r="AN125" s="1" t="s">
        <v>2251</v>
      </c>
      <c r="AO125" s="1" t="s">
        <v>359</v>
      </c>
      <c r="AP125" s="1">
        <v>56</v>
      </c>
      <c r="AQ125" s="1" t="s">
        <v>233</v>
      </c>
      <c r="AR125" s="42">
        <v>0.5</v>
      </c>
      <c r="AS125" s="42">
        <v>0.5</v>
      </c>
      <c r="AT125" s="1">
        <v>5522686567</v>
      </c>
      <c r="AU125" s="1">
        <v>5590490314</v>
      </c>
      <c r="AV125" s="1" t="s">
        <v>1590</v>
      </c>
      <c r="AW125" s="5" t="s">
        <v>4975</v>
      </c>
      <c r="AX125" s="1" t="s">
        <v>259</v>
      </c>
      <c r="AY125" s="1" t="s">
        <v>600</v>
      </c>
      <c r="AZ125" s="1" t="s">
        <v>4976</v>
      </c>
      <c r="BA125" s="1" t="s">
        <v>420</v>
      </c>
      <c r="BB125" s="1">
        <v>35</v>
      </c>
      <c r="BC125" s="1" t="s">
        <v>842</v>
      </c>
      <c r="BD125" s="43">
        <v>0.25</v>
      </c>
      <c r="BE125" s="43">
        <v>8.3333333335758653E-2</v>
      </c>
      <c r="BF125" s="1">
        <v>5633995653</v>
      </c>
      <c r="BG125" s="1">
        <v>5590490314</v>
      </c>
      <c r="BH125" s="1" t="s">
        <v>1591</v>
      </c>
      <c r="BI125" s="5" t="s">
        <v>4977</v>
      </c>
      <c r="BJ125" s="1" t="s">
        <v>236</v>
      </c>
      <c r="BL125" s="1">
        <v>1.62</v>
      </c>
      <c r="BM125" s="1">
        <v>57.55</v>
      </c>
      <c r="BN125" s="1" t="s">
        <v>236</v>
      </c>
      <c r="BO125" s="1" t="s">
        <v>228</v>
      </c>
      <c r="BQ125" s="1" t="s">
        <v>228</v>
      </c>
      <c r="BR125" s="1" t="s">
        <v>237</v>
      </c>
      <c r="BS125" s="1" t="s">
        <v>236</v>
      </c>
      <c r="BT125" s="1" t="s">
        <v>462</v>
      </c>
      <c r="BU125" s="1" t="s">
        <v>228</v>
      </c>
      <c r="BW125" s="1" t="s">
        <v>238</v>
      </c>
      <c r="BX125" s="1">
        <v>60</v>
      </c>
      <c r="BY125" s="1">
        <v>350</v>
      </c>
      <c r="BZ125" s="1" t="s">
        <v>284</v>
      </c>
      <c r="CA125" s="1" t="s">
        <v>343</v>
      </c>
      <c r="CB125" s="1" t="s">
        <v>240</v>
      </c>
      <c r="CC125" s="1" t="s">
        <v>1263</v>
      </c>
      <c r="CD125" s="1">
        <v>3000</v>
      </c>
      <c r="CE125" s="1">
        <v>3000</v>
      </c>
      <c r="CF125" s="1" t="s">
        <v>236</v>
      </c>
      <c r="CG125" s="1" t="s">
        <v>242</v>
      </c>
      <c r="CH125" s="1" t="s">
        <v>243</v>
      </c>
      <c r="CI125" s="1" t="s">
        <v>243</v>
      </c>
      <c r="CJ125" s="1" t="s">
        <v>2848</v>
      </c>
      <c r="CL125" s="5" t="s">
        <v>4978</v>
      </c>
      <c r="CM125" s="1">
        <v>92212</v>
      </c>
      <c r="CN125" s="1" t="s">
        <v>228</v>
      </c>
      <c r="CQ125" s="42">
        <v>0.5</v>
      </c>
      <c r="CR125" s="42">
        <v>8.3333333335758653E-2</v>
      </c>
      <c r="CT125" s="45" t="str">
        <f t="array" ref="CT125">IFERROR(INDEX(#REF!,MATCH('Respuestas de formulario 1.1'!$B125,#REF!,0),MATCH('Respuestas de formulario 1.1'!CT$1,#REF!,0)),"")</f>
        <v/>
      </c>
      <c r="CU125" s="56" t="str">
        <f t="array" ref="CU125">IFERROR(INDEX(#REF!,MATCH('Respuestas de formulario 1.1'!$B125,#REF!,0),MATCH('Respuestas de formulario 1.1'!CU$1,#REF!,0)),"")</f>
        <v/>
      </c>
      <c r="CV125" s="56" t="str">
        <f t="array" ref="CV125">IFERROR(INDEX(#REF!,MATCH('Respuestas de formulario 1.1'!$B125,#REF!,0),MATCH('Respuestas de formulario 1.1'!CV$1,#REF!,0)),"")</f>
        <v/>
      </c>
      <c r="CW125" s="56" t="str">
        <f t="array" ref="CW125">IFERROR(INDEX(#REF!,MATCH('Respuestas de formulario 1.1'!$B125,#REF!,0),MATCH('Respuestas de formulario 1.1'!CW$1,#REF!,0)),"")</f>
        <v/>
      </c>
      <c r="CX125" s="56" t="str">
        <f t="array" ref="CX125">IFERROR(INDEX(#REF!,MATCH('Respuestas de formulario 1.1'!$B125,#REF!,0),MATCH('Respuestas de formulario 1.1'!CX$1,#REF!,0)),"")</f>
        <v/>
      </c>
      <c r="CY125" s="56" t="str">
        <f t="array" ref="CY125">IFERROR(INDEX(#REF!,MATCH('Respuestas de formulario 1.1'!$B125,#REF!,0),MATCH('Respuestas de formulario 1.1'!CY$1,#REF!,0)),"")</f>
        <v/>
      </c>
      <c r="CZ125" s="57" t="str">
        <f t="array" ref="CZ125">IFERROR(INDEX(#REF!,MATCH('Respuestas de formulario 1.1'!$B125,#REF!,0),MATCH('Respuestas de formulario 1.1'!CZ$1,#REF!,0)),"")</f>
        <v/>
      </c>
      <c r="DA125" s="45" t="e">
        <f t="array" ref="DA125">INDEX(#REF!,MATCH('Respuestas de formulario 1.1'!$B125,#REF!,0),MATCH('Respuestas de formulario 1.1'!DA$1,#REF!,0))</f>
        <v>#REF!</v>
      </c>
      <c r="DB125" s="45" t="e">
        <f t="array" ref="DB125">INDEX(#REF!,MATCH('Respuestas de formulario 1.1'!$B125,#REF!,0),MATCH('Respuestas de formulario 1.1'!DB$1,#REF!,0))</f>
        <v>#REF!</v>
      </c>
      <c r="DC125" s="45" t="e">
        <f t="array" ref="DC125">INDEX(#REF!,MATCH('Respuestas de formulario 1.1'!$B125,#REF!,0),MATCH('Respuestas de formulario 1.1'!DC$1,#REF!,0))</f>
        <v>#REF!</v>
      </c>
      <c r="DD125" s="45" t="e">
        <f t="array" ref="DD125">INDEX(#REF!,MATCH('Respuestas de formulario 1.1'!$B125,#REF!,0),MATCH('Respuestas de formulario 1.1'!DD$1,#REF!,0))</f>
        <v>#REF!</v>
      </c>
      <c r="DE125" s="45" t="e">
        <f t="array" ref="DE125">INDEX(#REF!,MATCH('Respuestas de formulario 1.1'!$B125,#REF!,0),MATCH('Respuestas de formulario 1.1'!DE$1,#REF!,0))</f>
        <v>#REF!</v>
      </c>
      <c r="DF125" s="45" t="e">
        <f t="array" ref="DF125">INDEX(#REF!,MATCH('Respuestas de formulario 1.1'!$B125,#REF!,0),MATCH('Respuestas de formulario 1.1'!DF$1,#REF!,0))</f>
        <v>#REF!</v>
      </c>
      <c r="DG125" s="45" t="e">
        <f t="array" ref="DG125">INDEX(#REF!,MATCH('Respuestas de formulario 1.1'!$B125,#REF!,0),MATCH('Respuestas de formulario 1.1'!DG$1,#REF!,0))</f>
        <v>#REF!</v>
      </c>
      <c r="DH125" s="45" t="e">
        <f t="array" ref="DH125">INDEX(#REF!,MATCH('Respuestas de formulario 1.1'!$B125,#REF!,0),MATCH('Respuestas de formulario 1.1'!DH$1,#REF!,0))</f>
        <v>#REF!</v>
      </c>
      <c r="DI125" s="48" t="e">
        <f>VLOOKUP(CONCATENATE($DF125," TUTO ",$DC125),#REF!,3,0)</f>
        <v>#REF!</v>
      </c>
      <c r="DJ125" s="48" t="e">
        <f t="array" ref="DJ125">IF('Respuestas de formulario 1.1'!A125="","",INDEX(#REF!,MATCH('Respuestas de formulario 1.1'!B125,#REF!,0),MATCH('Respuestas de formulario 1.1'!$DH$1,#REF!,0)))</f>
        <v>#REF!</v>
      </c>
      <c r="DK125" s="52" t="str">
        <f>CONCATENATE("http://doc.google.com/uc?id=",MID('Respuestas de formulario 1.1'!G125,34,33))</f>
        <v>http://doc.google.com/uc?id=1bUjMR9PsNHW5eHZ1jhX9vyuHLJr4LFw_</v>
      </c>
      <c r="DL125" s="49" t="str">
        <f>CONCATENATE("http://doc.google.com/uc?id=",MID('Respuestas de formulario 1.1'!AH125,34,33))</f>
        <v>http://doc.google.com/uc?id=1bXdPdjNiTsRJfPzRIxEKdlAx5SyaXVzv</v>
      </c>
      <c r="DM125" s="50" t="str">
        <f>CONCATENATE("http://doc.google.com/uc?id=",MID('Respuestas de formulario 1.1'!AW125,34,33))</f>
        <v>http://doc.google.com/uc?id=18LuO6RnjxFRgOg4cx6IWw7gKE7O01DA4</v>
      </c>
      <c r="DN125" s="53" t="str">
        <f>CONCATENATE("http://doc.google.com/uc?id=",MID('Respuestas de formulario 1.1'!$BI125,34,33))</f>
        <v>http://doc.google.com/uc?id=1Had9Ah7atw7eFWUOYaStmq4iKaCcf3Os</v>
      </c>
      <c r="DO125" s="45" t="str">
        <f>IFERROR(VLOOKUP(CONCATENATE('Respuestas de formulario 1.1'!$B125,MID('Respuestas de formulario 1.1'!DO$1,2,1)),#REF!,12,0),"")</f>
        <v/>
      </c>
      <c r="DP125" s="45" t="str">
        <f>IFERROR(VLOOKUP(CONCATENATE('Respuestas de formulario 1.1'!$B125,MID('Respuestas de formulario 1.1'!DP$1,2,1)),#REF!,12,0),"")</f>
        <v/>
      </c>
      <c r="DQ125" s="45" t="str">
        <f>IFERROR(VLOOKUP(CONCATENATE('Respuestas de formulario 1.1'!$B125,MID('Respuestas de formulario 1.1'!DQ$1,2,1)),#REF!,12,0),"")</f>
        <v/>
      </c>
      <c r="DR125" s="45" t="str">
        <f>IFERROR(VLOOKUP(CONCATENATE('Respuestas de formulario 1.1'!$B125,MID('Respuestas de formulario 1.1'!DR$1,2,1)),#REF!,12,0),"")</f>
        <v/>
      </c>
      <c r="DS125" s="45" t="str">
        <f>IFERROR(VLOOKUP(CONCATENATE('Respuestas de formulario 1.1'!$B125,MID('Respuestas de formulario 1.1'!DS$1,2,1)),#REF!,12,0),"")</f>
        <v/>
      </c>
      <c r="DT125" s="45" t="str">
        <f>IFERROR(VLOOKUP(CONCATENATE('Respuestas de formulario 1.1'!$B125,MID('Respuestas de formulario 1.1'!DT$1,2,1)),#REF!,12,0),"")</f>
        <v/>
      </c>
      <c r="DU125" s="45" t="str">
        <f>IFERROR(VLOOKUP(CONCATENATE('Respuestas de formulario 1.1'!$B125,MID('Respuestas de formulario 1.1'!DU$1,2,1)),#REF!,12,0),"")</f>
        <v/>
      </c>
      <c r="DV125" s="45" t="str">
        <f>IFERROR(VLOOKUP(CONCATENATE('Respuestas de formulario 1.1'!$B125,MID('Respuestas de formulario 1.1'!DV$1,2,1)),#REF!,12,0),"")</f>
        <v/>
      </c>
      <c r="DW125" s="45" t="str">
        <f>IFERROR(VLOOKUP(CONCATENATE('Respuestas de formulario 1.1'!$B125,MID('Respuestas de formulario 1.1'!DW$1,2,1)),#REF!,12,0),"")</f>
        <v/>
      </c>
      <c r="DX125" s="45" t="str">
        <f>IFERROR(VLOOKUP(CONCATENATE('Respuestas de formulario 1.1'!$B125,MID('Respuestas de formulario 1.1'!DX$1,2,1)),#REF!,12,0),"")</f>
        <v/>
      </c>
      <c r="DY125" s="45" t="str">
        <f>IFERROR(VLOOKUP(CONCATENATE('Respuestas de formulario 1.1'!$B125,MID('Respuestas de formulario 1.1'!DY$1,2,1)),#REF!,12,0),"")</f>
        <v/>
      </c>
      <c r="DZ125" s="45" t="str">
        <f>IFERROR(VLOOKUP(CONCATENATE('Respuestas de formulario 1.1'!$B125,MID('Respuestas de formulario 1.1'!DZ$1,2,1)),#REF!,12,0),"")</f>
        <v/>
      </c>
      <c r="EA125" s="45" t="str">
        <f>IFERROR(VLOOKUP(CONCATENATE('Respuestas de formulario 1.1'!$B125,MID('Respuestas de formulario 1.1'!EA$1,2,1)),#REF!,12,0),"")</f>
        <v/>
      </c>
      <c r="EB125" s="45" t="str">
        <f>IFERROR(VLOOKUP(CONCATENATE('Respuestas de formulario 1.1'!$B125,MID('Respuestas de formulario 1.1'!EB$1,2,1)),#REF!,12,0),"")</f>
        <v/>
      </c>
      <c r="EC125" s="45" t="str">
        <f>IFERROR(VLOOKUP(CONCATENATE('Respuestas de formulario 1.1'!$B125,MID('Respuestas de formulario 1.1'!EC$1,2,1)),#REF!,12,0),"")</f>
        <v/>
      </c>
      <c r="ED125" s="45" t="str">
        <f>IFERROR(VLOOKUP(CONCATENATE('Respuestas de formulario 1.1'!$B125,MID('Respuestas de formulario 1.1'!ED$1,2,1)),#REF!,12,0),"")</f>
        <v/>
      </c>
      <c r="EE125" s="45" t="str">
        <f>IFERROR(VLOOKUP(CONCATENATE('Respuestas de formulario 1.1'!$B125,MID('Respuestas de formulario 1.1'!EE$1,2,1)),#REF!,12,0),"")</f>
        <v/>
      </c>
      <c r="EF125" s="45" t="str">
        <f>IFERROR(VLOOKUP(CONCATENATE('Respuestas de formulario 1.1'!$B125,MID('Respuestas de formulario 1.1'!EF$1,2,1)),#REF!,12,0),"")</f>
        <v/>
      </c>
      <c r="EG125" s="45" t="str">
        <f>IFERROR(VLOOKUP(CONCATENATE('Respuestas de formulario 1.1'!$B125,MID('Respuestas de formulario 1.1'!EG$1,2,1)),#REF!,12,0),"")</f>
        <v/>
      </c>
      <c r="EH125" s="45" t="str">
        <f>IFERROR(VLOOKUP(CONCATENATE('Respuestas de formulario 1.1'!$B125,MID('Respuestas de formulario 1.1'!EH$1,2,1)),#REF!,12,0),"")</f>
        <v/>
      </c>
      <c r="EI125" s="45" t="str">
        <f>IFERROR(VLOOKUP(CONCATENATE('Respuestas de formulario 1.1'!$B125,MID('Respuestas de formulario 1.1'!EI$1,2,1)),#REF!,12,0),"")</f>
        <v/>
      </c>
      <c r="EJ125" s="45" t="str">
        <f t="array" ref="EJ125">IF(DO125="","", INDEX(#REF!,MATCH(CONCATENATE('Respuestas de formulario 1.1'!$B125,DO125),#REF!,0),MATCH('Respuestas de formulario 1.1'!EJ$1,#REF!,0)))</f>
        <v/>
      </c>
      <c r="EK125" s="56" t="str">
        <f t="array" ref="EK125">IF(DP125="","", INDEX(#REF!,MATCH(CONCATENATE('Respuestas de formulario 1.1'!$B125,DP125),#REF!,0),MATCH('Respuestas de formulario 1.1'!EK$1,#REF!,0)))</f>
        <v/>
      </c>
      <c r="EL125" s="56" t="str">
        <f t="array" ref="EL125">IF(DQ125="","", INDEX(#REF!,MATCH(CONCATENATE('Respuestas de formulario 1.1'!$B125,DQ125),#REF!,0),MATCH('Respuestas de formulario 1.1'!EL$1,#REF!,0)))</f>
        <v/>
      </c>
      <c r="EM125" s="56" t="str">
        <f t="array" ref="EM125">IF(DR125="","", INDEX(#REF!,MATCH(CONCATENATE('Respuestas de formulario 1.1'!$B125,DR125),#REF!,0),MATCH('Respuestas de formulario 1.1'!EM$1,#REF!,0)))</f>
        <v/>
      </c>
      <c r="EN125" s="56" t="str">
        <f t="array" ref="EN125">IF(DS125="","", INDEX(#REF!,MATCH(CONCATENATE('Respuestas de formulario 1.1'!$B125,DS125),#REF!,0),MATCH('Respuestas de formulario 1.1'!EN$1,#REF!,0)))</f>
        <v/>
      </c>
      <c r="EO125" s="56" t="str">
        <f t="array" ref="EO125">IF(DT125="","", INDEX(#REF!,MATCH(CONCATENATE('Respuestas de formulario 1.1'!$B125,DT125),#REF!,0),MATCH('Respuestas de formulario 1.1'!EO$1,#REF!,0)))</f>
        <v/>
      </c>
      <c r="EP125" s="45" t="str">
        <f t="array" ref="EP125">IF(DU125="","", INDEX(#REF!,MATCH(CONCATENATE('Respuestas de formulario 1.1'!$B125,DU125),#REF!,0),MATCH('Respuestas de formulario 1.1'!EP$1,#REF!,0)))</f>
        <v/>
      </c>
      <c r="EQ125" s="45" t="str">
        <f t="array" ref="EQ125">IF(DP125="","", INDEX(#REF!,MATCH(CONCATENATE('Respuestas de formulario 1.1'!$B125,DP125),#REF!,0),MATCH('Respuestas de formulario 1.1'!EQ$1,#REF!,0)))</f>
        <v/>
      </c>
      <c r="ER125" s="56" t="str">
        <f t="array" ref="ER125">IF(DQ125="","", INDEX(#REF!,MATCH(CONCATENATE('Respuestas de formulario 1.1'!$B125,DQ125),#REF!,0),MATCH('Respuestas de formulario 1.1'!ER$1,#REF!,0)))</f>
        <v/>
      </c>
      <c r="ES125" s="56" t="str">
        <f t="array" ref="ES125">IF(DR125="","", INDEX(#REF!,MATCH(CONCATENATE('Respuestas de formulario 1.1'!$B125,DR125),#REF!,0),MATCH('Respuestas de formulario 1.1'!ES$1,#REF!,0)))</f>
        <v/>
      </c>
      <c r="ET125" s="56" t="str">
        <f t="array" ref="ET125">IF(DS125="","", INDEX(#REF!,MATCH(CONCATENATE('Respuestas de formulario 1.1'!$B125,DS125),#REF!,0),MATCH('Respuestas de formulario 1.1'!ET$1,#REF!,0)))</f>
        <v/>
      </c>
      <c r="EU125" s="56" t="str">
        <f t="array" ref="EU125">IF(DT125="","", INDEX(#REF!,MATCH(CONCATENATE('Respuestas de formulario 1.1'!$B125,DT125),#REF!,0),MATCH('Respuestas de formulario 1.1'!EU$1,#REF!,0)))</f>
        <v/>
      </c>
      <c r="EV125" s="56" t="str">
        <f t="array" ref="EV125">IF(DU125="","", INDEX(#REF!,MATCH(CONCATENATE('Respuestas de formulario 1.1'!$B125,DU125),#REF!,0),MATCH('Respuestas de formulario 1.1'!EV$1,#REF!,0)))</f>
        <v/>
      </c>
      <c r="EW125" s="45" t="str">
        <f t="array" ref="EW125">IF(DV125="","", INDEX(#REF!,MATCH(CONCATENATE('Respuestas de formulario 1.1'!$B125,DV125),#REF!,0),MATCH('Respuestas de formulario 1.1'!EW$1,#REF!,0)))</f>
        <v/>
      </c>
      <c r="EX125" s="45" t="str">
        <f t="array" ref="EX125">IF($DQ125="","", INDEX(#REF!,MATCH(CONCATENATE('Respuestas de formulario 1.1'!$B125,$DQ125),#REF!,0),MATCH('Respuestas de formulario 1.1'!EX$1,#REF!,0)))</f>
        <v/>
      </c>
      <c r="EY125" s="56" t="str">
        <f t="array" ref="EY125">IF($DQ125="","", INDEX(#REF!,MATCH(CONCATENATE('Respuestas de formulario 1.1'!$B125,$DQ125),#REF!,0),MATCH('Respuestas de formulario 1.1'!EY$1,#REF!,0)))</f>
        <v/>
      </c>
      <c r="EZ125" s="56" t="str">
        <f t="array" ref="EZ125">IF($DQ125="","", INDEX(#REF!,MATCH(CONCATENATE('Respuestas de formulario 1.1'!$B125,$DQ125),#REF!,0),MATCH('Respuestas de formulario 1.1'!EZ$1,#REF!,0)))</f>
        <v/>
      </c>
      <c r="FA125" s="56" t="str">
        <f t="array" ref="FA125">IF($DQ125="","", INDEX(#REF!,MATCH(CONCATENATE('Respuestas de formulario 1.1'!$B125,$DQ125),#REF!,0),MATCH('Respuestas de formulario 1.1'!FA$1,#REF!,0)))</f>
        <v/>
      </c>
      <c r="FB125" s="56" t="str">
        <f t="array" ref="FB125">IF($DQ125="","", INDEX(#REF!,MATCH(CONCATENATE('Respuestas de formulario 1.1'!$B125,$DQ125),#REF!,0),MATCH('Respuestas de formulario 1.1'!FB$1,#REF!,0)))</f>
        <v/>
      </c>
      <c r="FC125" s="56" t="str">
        <f t="array" ref="FC125">IF($DQ125="","", INDEX(#REF!,MATCH(CONCATENATE('Respuestas de formulario 1.1'!$B125,$DQ125),#REF!,0),MATCH('Respuestas de formulario 1.1'!FC$1,#REF!,0)))</f>
        <v/>
      </c>
      <c r="FD125" s="45" t="str">
        <f t="array" ref="FD125">IF($DQ125="","", INDEX(#REF!,MATCH(CONCATENATE('Respuestas de formulario 1.1'!$B125,$DQ125),#REF!,0),MATCH('Respuestas de formulario 1.1'!FD$1,#REF!,0)))</f>
        <v/>
      </c>
      <c r="FE125" s="45" t="str">
        <f t="array" ref="FE125">IF($DR125="","", INDEX(#REF!,MATCH(CONCATENATE(#REF!,$DR125),#REF!,0),MATCH(#REF!,#REF!,0)))</f>
        <v/>
      </c>
      <c r="FF125" s="56" t="str">
        <f t="array" ref="FF125">IF($DR125="","", INDEX(#REF!,MATCH(CONCATENATE(#REF!,$DR125),#REF!,0),MATCH(#REF!,#REF!,0)))</f>
        <v/>
      </c>
      <c r="FG125" s="56" t="str">
        <f t="array" ref="FG125">IF($DR125="","", INDEX(#REF!,MATCH(CONCATENATE(#REF!,$DR125),#REF!,0),MATCH(#REF!,#REF!,0)))</f>
        <v/>
      </c>
      <c r="FH125" s="56" t="str">
        <f t="array" ref="FH125">IF($DR125="","", INDEX(#REF!,MATCH(CONCATENATE(#REF!,$DR125),#REF!,0),MATCH(#REF!,#REF!,0)))</f>
        <v/>
      </c>
      <c r="FI125" s="56" t="str">
        <f t="array" ref="FI125">IF($DR125="","", INDEX(#REF!,MATCH(CONCATENATE(#REF!,$DR125),#REF!,0),MATCH(#REF!,#REF!,0)))</f>
        <v/>
      </c>
      <c r="FJ125" s="56" t="str">
        <f t="array" ref="FJ125">IF($DR125="","", INDEX(#REF!,MATCH(CONCATENATE(#REF!,$DR125),#REF!,0),MATCH(#REF!,#REF!,0)))</f>
        <v/>
      </c>
      <c r="FK125" s="45" t="str">
        <f t="array" ref="FK125">IF($DR125="","", INDEX(#REF!,MATCH(CONCATENATE(#REF!,$DR125),#REF!,0),MATCH(#REF!,#REF!,0)))</f>
        <v/>
      </c>
      <c r="FL125" s="45" t="str">
        <f t="array" ref="FL125">IF($DT125="","", INDEX(#REF!,MATCH(CONCATENATE('Respuestas de formulario 1.1'!$B125,$DS125),#REF!,0),MATCH('Respuestas de formulario 1.1'!FL$1,#REF!,0)))</f>
        <v/>
      </c>
      <c r="FM125" s="56" t="str">
        <f t="array" ref="FM125">IF($DT125="","", INDEX(#REF!,MATCH(CONCATENATE('Respuestas de formulario 1.1'!$B125,$DS125),#REF!,0),MATCH('Respuestas de formulario 1.1'!FM$1,#REF!,0)))</f>
        <v/>
      </c>
      <c r="FN125" s="56" t="str">
        <f t="array" ref="FN125">IF($DT125="","", INDEX(#REF!,MATCH(CONCATENATE('Respuestas de formulario 1.1'!$B125,$DS125),#REF!,0),MATCH('Respuestas de formulario 1.1'!FN$1,#REF!,0)))</f>
        <v/>
      </c>
      <c r="FO125" s="56" t="str">
        <f t="array" ref="FO125">IF($DT125="","", INDEX(#REF!,MATCH(CONCATENATE('Respuestas de formulario 1.1'!$B125,$DS125),#REF!,0),MATCH('Respuestas de formulario 1.1'!FO$1,#REF!,0)))</f>
        <v/>
      </c>
      <c r="FP125" s="56" t="str">
        <f t="array" ref="FP125">IF($DT125="","", INDEX(#REF!,MATCH(CONCATENATE('Respuestas de formulario 1.1'!$B125,$DS125),#REF!,0),MATCH('Respuestas de formulario 1.1'!FP$1,#REF!,0)))</f>
        <v/>
      </c>
      <c r="FQ125" s="56" t="str">
        <f t="array" ref="FQ125">IF($DT125="","", INDEX(#REF!,MATCH(CONCATENATE('Respuestas de formulario 1.1'!$B125,$DS125),#REF!,0),MATCH('Respuestas de formulario 1.1'!FQ$1,#REF!,0)))</f>
        <v/>
      </c>
      <c r="FR125" s="45" t="str">
        <f t="array" ref="FR125">IF($DT125="","", INDEX(#REF!,MATCH(CONCATENATE('Respuestas de formulario 1.1'!$B125,$DS125),#REF!,0),MATCH('Respuestas de formulario 1.1'!FR$1,#REF!,0)))</f>
        <v/>
      </c>
      <c r="FS125" s="45" t="str">
        <f t="array" ref="FS125">IF($DU125="","", INDEX(#REF!,MATCH(CONCATENATE('Respuestas de formulario 1.1'!$B125,$DT125),#REF!,0),MATCH('Respuestas de formulario 1.1'!FS$1,#REF!,0)))</f>
        <v/>
      </c>
      <c r="FT125" s="56" t="str">
        <f t="array" ref="FT125">IF($DU125="","", INDEX(#REF!,MATCH(CONCATENATE('Respuestas de formulario 1.1'!$B125,$DT125),#REF!,0),MATCH('Respuestas de formulario 1.1'!FT$1,#REF!,0)))</f>
        <v/>
      </c>
      <c r="FU125" s="56" t="str">
        <f t="array" ref="FU125">IF($DU125="","", INDEX(#REF!,MATCH(CONCATENATE('Respuestas de formulario 1.1'!$B125,$DT125),#REF!,0),MATCH('Respuestas de formulario 1.1'!FU$1,#REF!,0)))</f>
        <v/>
      </c>
      <c r="FV125" s="56" t="str">
        <f t="array" ref="FV125">IF($DU125="","", INDEX(#REF!,MATCH(CONCATENATE('Respuestas de formulario 1.1'!$B125,$DT125),#REF!,0),MATCH('Respuestas de formulario 1.1'!FV$1,#REF!,0)))</f>
        <v/>
      </c>
      <c r="FW125" s="56" t="str">
        <f t="array" ref="FW125">IF($DU125="","", INDEX(#REF!,MATCH(CONCATENATE('Respuestas de formulario 1.1'!$B125,$DT125),#REF!,0),MATCH('Respuestas de formulario 1.1'!FW$1,#REF!,0)))</f>
        <v/>
      </c>
      <c r="FX125" s="56" t="str">
        <f t="array" ref="FX125">IF($DU125="","", INDEX(#REF!,MATCH(CONCATENATE('Respuestas de formulario 1.1'!$B125,$DT125),#REF!,0),MATCH('Respuestas de formulario 1.1'!FX$1,#REF!,0)))</f>
        <v/>
      </c>
      <c r="FY125" s="45" t="str">
        <f t="array" ref="FY125">IF($DU125="","", INDEX(#REF!,MATCH(CONCATENATE('Respuestas de formulario 1.1'!$B125,$DT125),#REF!,0),MATCH('Respuestas de formulario 1.1'!FY$1,#REF!,0)))</f>
        <v/>
      </c>
      <c r="FZ125" s="3" t="s">
        <v>2860</v>
      </c>
      <c r="GA125" s="1" t="s">
        <v>4979</v>
      </c>
      <c r="GB125" s="5" t="s">
        <v>4980</v>
      </c>
      <c r="GC125" s="4" t="str">
        <f>HYPERLINK("https://drive.google.com/file/d/1LwNb47TpkgWNK4PgqwY_eEqlwXlNFvak/view?usp=drivesdk","MARTINEZ  OLMOS  ALMENDRA MACIEL  Formato de reinscripción y pago 2022-2")</f>
        <v>MARTINEZ  OLMOS  ALMENDRA MACIEL  Formato de reinscripción y pago 2022-2</v>
      </c>
      <c r="GD125" s="1" t="s">
        <v>4981</v>
      </c>
      <c r="GE125" s="1"/>
      <c r="GF125" s="1"/>
      <c r="GG125" s="1"/>
      <c r="GH125" s="1"/>
      <c r="GI125" s="1" t="s">
        <v>4982</v>
      </c>
      <c r="GJ125" s="5" t="s">
        <v>4983</v>
      </c>
      <c r="GK125" s="5" t="str">
        <f>HYPERLINK("https://drive.google.com/file/d/1rPczU-ClVlz4milOzTJaomn9HNEv6z5O/view?usp=drivesdk","MARTINEZ  OLMOS  ALMENDRA MACIEL  Formato de reinscripción y pago 2022-2")</f>
        <v>MARTINEZ  OLMOS  ALMENDRA MACIEL  Formato de reinscripción y pago 2022-2</v>
      </c>
      <c r="GL125" s="1" t="s">
        <v>4984</v>
      </c>
    </row>
    <row r="126" spans="1:194" ht="38.25" x14ac:dyDescent="0.2">
      <c r="A126" s="2">
        <v>45139.440046400465</v>
      </c>
      <c r="B126" s="1" t="s">
        <v>2475</v>
      </c>
      <c r="C126" s="1" t="s">
        <v>2476</v>
      </c>
      <c r="D126" s="1" t="s">
        <v>552</v>
      </c>
      <c r="E126" s="1" t="s">
        <v>1346</v>
      </c>
      <c r="F126" s="1" t="s">
        <v>262</v>
      </c>
      <c r="G126" s="5" t="s">
        <v>4985</v>
      </c>
      <c r="H126" s="41">
        <v>36560</v>
      </c>
      <c r="I126" s="1">
        <v>23</v>
      </c>
      <c r="J126" s="1">
        <v>5625871005</v>
      </c>
      <c r="K126" s="1">
        <v>5625871005</v>
      </c>
      <c r="L126" s="1" t="s">
        <v>2477</v>
      </c>
      <c r="M126" s="1">
        <v>22309060570336</v>
      </c>
      <c r="N126" s="1" t="s">
        <v>562</v>
      </c>
      <c r="O126" s="1" t="s">
        <v>225</v>
      </c>
      <c r="P126" s="1" t="s">
        <v>314</v>
      </c>
      <c r="Q126" s="1" t="s">
        <v>248</v>
      </c>
      <c r="R126" s="1" t="s">
        <v>236</v>
      </c>
      <c r="S126" s="1" t="s">
        <v>236</v>
      </c>
      <c r="T126" s="1" t="s">
        <v>229</v>
      </c>
      <c r="U126" s="1" t="s">
        <v>2478</v>
      </c>
      <c r="V126" s="1" t="s">
        <v>228</v>
      </c>
      <c r="W126" s="1" t="s">
        <v>4986</v>
      </c>
      <c r="X126" s="1" t="s">
        <v>264</v>
      </c>
      <c r="Y126" s="1" t="s">
        <v>407</v>
      </c>
      <c r="Z126" s="1" t="s">
        <v>231</v>
      </c>
      <c r="AA126" s="1">
        <v>57610</v>
      </c>
      <c r="AB126" s="1">
        <v>97</v>
      </c>
      <c r="AC126" s="1">
        <v>97</v>
      </c>
      <c r="AD126" s="1" t="s">
        <v>4987</v>
      </c>
      <c r="AE126" s="1" t="s">
        <v>2479</v>
      </c>
      <c r="AF126" s="1" t="s">
        <v>493</v>
      </c>
      <c r="AG126" s="1">
        <v>36</v>
      </c>
      <c r="AH126" s="5" t="s">
        <v>4988</v>
      </c>
      <c r="AI126" s="1">
        <v>5523655924</v>
      </c>
      <c r="AJ126" s="1">
        <v>5523655924</v>
      </c>
      <c r="AK126" s="1" t="s">
        <v>2480</v>
      </c>
      <c r="AL126" s="1" t="s">
        <v>552</v>
      </c>
      <c r="AM126" s="1" t="s">
        <v>1564</v>
      </c>
      <c r="AN126" s="1" t="s">
        <v>2077</v>
      </c>
      <c r="AO126" s="1" t="s">
        <v>445</v>
      </c>
      <c r="AP126" s="1">
        <v>54</v>
      </c>
      <c r="AQ126" s="1" t="s">
        <v>328</v>
      </c>
      <c r="AR126" s="42">
        <v>0.33819444444088731</v>
      </c>
      <c r="AS126" s="42">
        <v>0.38194444444525288</v>
      </c>
      <c r="AT126" s="1">
        <v>5617643627</v>
      </c>
      <c r="AU126" s="1">
        <v>5617643627</v>
      </c>
      <c r="AV126" s="1" t="s">
        <v>4989</v>
      </c>
      <c r="AW126" s="5" t="s">
        <v>4990</v>
      </c>
      <c r="AX126" s="1" t="s">
        <v>552</v>
      </c>
      <c r="AY126" s="1" t="s">
        <v>1564</v>
      </c>
      <c r="AZ126" s="1" t="s">
        <v>1695</v>
      </c>
      <c r="BA126" s="1" t="s">
        <v>493</v>
      </c>
      <c r="BB126" s="1">
        <v>36</v>
      </c>
      <c r="BC126" s="1" t="s">
        <v>1355</v>
      </c>
      <c r="BD126" s="43">
        <v>0.33333333333575865</v>
      </c>
      <c r="BE126" s="43">
        <v>0.125</v>
      </c>
      <c r="BF126" s="1">
        <v>5523655924</v>
      </c>
      <c r="BG126" s="1">
        <v>5523655924</v>
      </c>
      <c r="BH126" s="1" t="s">
        <v>4991</v>
      </c>
      <c r="BI126" s="5" t="s">
        <v>4992</v>
      </c>
      <c r="BJ126" s="1" t="s">
        <v>228</v>
      </c>
      <c r="BK126" s="1" t="s">
        <v>1927</v>
      </c>
      <c r="BL126" s="1">
        <v>1.69</v>
      </c>
      <c r="BM126" s="1">
        <v>65</v>
      </c>
      <c r="BN126" s="1" t="s">
        <v>228</v>
      </c>
      <c r="BO126" s="1" t="s">
        <v>228</v>
      </c>
      <c r="BQ126" s="1" t="s">
        <v>228</v>
      </c>
      <c r="BR126" s="1" t="s">
        <v>237</v>
      </c>
      <c r="BS126" s="1" t="s">
        <v>228</v>
      </c>
      <c r="BT126" s="1" t="s">
        <v>237</v>
      </c>
      <c r="BU126" s="1" t="s">
        <v>228</v>
      </c>
      <c r="BW126" s="1" t="s">
        <v>388</v>
      </c>
      <c r="BX126" s="1">
        <v>30</v>
      </c>
      <c r="BY126" s="1">
        <v>200</v>
      </c>
      <c r="BZ126" s="1" t="s">
        <v>814</v>
      </c>
      <c r="CA126" s="1" t="s">
        <v>239</v>
      </c>
      <c r="CB126" s="1" t="s">
        <v>240</v>
      </c>
      <c r="CC126" s="1" t="s">
        <v>459</v>
      </c>
      <c r="CD126" s="1">
        <v>1500</v>
      </c>
      <c r="CE126" s="1">
        <v>1000</v>
      </c>
      <c r="CF126" s="1" t="s">
        <v>236</v>
      </c>
      <c r="CG126" s="1" t="s">
        <v>242</v>
      </c>
      <c r="CH126" s="1" t="s">
        <v>243</v>
      </c>
      <c r="CI126" s="1" t="s">
        <v>243</v>
      </c>
      <c r="CJ126" s="1" t="s">
        <v>2848</v>
      </c>
      <c r="CL126" s="5" t="s">
        <v>4993</v>
      </c>
      <c r="CM126" s="1">
        <v>58160096218</v>
      </c>
      <c r="CN126" s="1" t="s">
        <v>228</v>
      </c>
      <c r="CQ126" s="42">
        <v>0.33333333333575865</v>
      </c>
      <c r="CR126" s="42">
        <v>8.3333333335758653E-2</v>
      </c>
      <c r="CT126" s="45" t="str">
        <f t="array" ref="CT126">IFERROR(INDEX(#REF!,MATCH('Respuestas de formulario 1.1'!$B126,#REF!,0),MATCH('Respuestas de formulario 1.1'!CT$1,#REF!,0)),"")</f>
        <v/>
      </c>
      <c r="CU126" s="56" t="str">
        <f t="array" ref="CU126">IFERROR(INDEX(#REF!,MATCH('Respuestas de formulario 1.1'!$B126,#REF!,0),MATCH('Respuestas de formulario 1.1'!CU$1,#REF!,0)),"")</f>
        <v/>
      </c>
      <c r="CV126" s="56" t="str">
        <f t="array" ref="CV126">IFERROR(INDEX(#REF!,MATCH('Respuestas de formulario 1.1'!$B126,#REF!,0),MATCH('Respuestas de formulario 1.1'!CV$1,#REF!,0)),"")</f>
        <v/>
      </c>
      <c r="CW126" s="56" t="str">
        <f t="array" ref="CW126">IFERROR(INDEX(#REF!,MATCH('Respuestas de formulario 1.1'!$B126,#REF!,0),MATCH('Respuestas de formulario 1.1'!CW$1,#REF!,0)),"")</f>
        <v/>
      </c>
      <c r="CX126" s="56" t="str">
        <f t="array" ref="CX126">IFERROR(INDEX(#REF!,MATCH('Respuestas de formulario 1.1'!$B126,#REF!,0),MATCH('Respuestas de formulario 1.1'!CX$1,#REF!,0)),"")</f>
        <v/>
      </c>
      <c r="CY126" s="56" t="str">
        <f t="array" ref="CY126">IFERROR(INDEX(#REF!,MATCH('Respuestas de formulario 1.1'!$B126,#REF!,0),MATCH('Respuestas de formulario 1.1'!CY$1,#REF!,0)),"")</f>
        <v/>
      </c>
      <c r="CZ126" s="57" t="str">
        <f t="array" ref="CZ126">IFERROR(INDEX(#REF!,MATCH('Respuestas de formulario 1.1'!$B126,#REF!,0),MATCH('Respuestas de formulario 1.1'!CZ$1,#REF!,0)),"")</f>
        <v/>
      </c>
      <c r="DA126" s="45" t="e">
        <f t="array" ref="DA126">INDEX(#REF!,MATCH('Respuestas de formulario 1.1'!$B126,#REF!,0),MATCH('Respuestas de formulario 1.1'!DA$1,#REF!,0))</f>
        <v>#REF!</v>
      </c>
      <c r="DB126" s="45" t="e">
        <f t="array" ref="DB126">INDEX(#REF!,MATCH('Respuestas de formulario 1.1'!$B126,#REF!,0),MATCH('Respuestas de formulario 1.1'!DB$1,#REF!,0))</f>
        <v>#REF!</v>
      </c>
      <c r="DC126" s="45" t="e">
        <f t="array" ref="DC126">INDEX(#REF!,MATCH('Respuestas de formulario 1.1'!$B126,#REF!,0),MATCH('Respuestas de formulario 1.1'!DC$1,#REF!,0))</f>
        <v>#REF!</v>
      </c>
      <c r="DD126" s="45" t="e">
        <f t="array" ref="DD126">INDEX(#REF!,MATCH('Respuestas de formulario 1.1'!$B126,#REF!,0),MATCH('Respuestas de formulario 1.1'!DD$1,#REF!,0))</f>
        <v>#REF!</v>
      </c>
      <c r="DE126" s="45" t="e">
        <f t="array" ref="DE126">INDEX(#REF!,MATCH('Respuestas de formulario 1.1'!$B126,#REF!,0),MATCH('Respuestas de formulario 1.1'!DE$1,#REF!,0))</f>
        <v>#REF!</v>
      </c>
      <c r="DF126" s="45" t="e">
        <f t="array" ref="DF126">INDEX(#REF!,MATCH('Respuestas de formulario 1.1'!$B126,#REF!,0),MATCH('Respuestas de formulario 1.1'!DF$1,#REF!,0))</f>
        <v>#REF!</v>
      </c>
      <c r="DG126" s="45" t="e">
        <f t="array" ref="DG126">INDEX(#REF!,MATCH('Respuestas de formulario 1.1'!$B126,#REF!,0),MATCH('Respuestas de formulario 1.1'!DG$1,#REF!,0))</f>
        <v>#REF!</v>
      </c>
      <c r="DH126" s="45" t="e">
        <f t="array" ref="DH126">INDEX(#REF!,MATCH('Respuestas de formulario 1.1'!$B126,#REF!,0),MATCH('Respuestas de formulario 1.1'!DH$1,#REF!,0))</f>
        <v>#REF!</v>
      </c>
      <c r="DI126" s="48" t="e">
        <f>VLOOKUP(CONCATENATE($DF126," TUTO ",$DC126),#REF!,3,0)</f>
        <v>#REF!</v>
      </c>
      <c r="DJ126" s="48" t="e">
        <f t="array" ref="DJ126">IF('Respuestas de formulario 1.1'!A126="","",INDEX(#REF!,MATCH('Respuestas de formulario 1.1'!B126,#REF!,0),MATCH('Respuestas de formulario 1.1'!$DH$1,#REF!,0)))</f>
        <v>#REF!</v>
      </c>
      <c r="DK126" s="52" t="str">
        <f>CONCATENATE("http://doc.google.com/uc?id=",MID('Respuestas de formulario 1.1'!G126,34,33))</f>
        <v>http://doc.google.com/uc?id=1sRzQCgB6lZ-pHSI6mrQH2SoFlWgUjPs8</v>
      </c>
      <c r="DL126" s="49" t="str">
        <f>CONCATENATE("http://doc.google.com/uc?id=",MID('Respuestas de formulario 1.1'!AH126,34,33))</f>
        <v>http://doc.google.com/uc?id=1FTRg2va8Wo49V1mTHxZjQZgJ6AN_2eW1</v>
      </c>
      <c r="DM126" s="50" t="str">
        <f>CONCATENATE("http://doc.google.com/uc?id=",MID('Respuestas de formulario 1.1'!AW126,34,33))</f>
        <v>http://doc.google.com/uc?id=1y2300Vx0BNbfETQt7ZajX_UwfAMuPo6q</v>
      </c>
      <c r="DN126" s="53" t="str">
        <f>CONCATENATE("http://doc.google.com/uc?id=",MID('Respuestas de formulario 1.1'!$BI126,34,33))</f>
        <v>http://doc.google.com/uc?id=1GahYvH7TJF_4OOjD5N-lAdyeH3MmmeyK</v>
      </c>
      <c r="DO126" s="45" t="str">
        <f>IFERROR(VLOOKUP(CONCATENATE('Respuestas de formulario 1.1'!$B126,MID('Respuestas de formulario 1.1'!DO$1,2,1)),#REF!,12,0),"")</f>
        <v/>
      </c>
      <c r="DP126" s="45" t="str">
        <f>IFERROR(VLOOKUP(CONCATENATE('Respuestas de formulario 1.1'!$B126,MID('Respuestas de formulario 1.1'!DP$1,2,1)),#REF!,12,0),"")</f>
        <v/>
      </c>
      <c r="DQ126" s="45" t="str">
        <f>IFERROR(VLOOKUP(CONCATENATE('Respuestas de formulario 1.1'!$B126,MID('Respuestas de formulario 1.1'!DQ$1,2,1)),#REF!,12,0),"")</f>
        <v/>
      </c>
      <c r="DR126" s="45" t="str">
        <f>IFERROR(VLOOKUP(CONCATENATE('Respuestas de formulario 1.1'!$B126,MID('Respuestas de formulario 1.1'!DR$1,2,1)),#REF!,12,0),"")</f>
        <v/>
      </c>
      <c r="DS126" s="45" t="str">
        <f>IFERROR(VLOOKUP(CONCATENATE('Respuestas de formulario 1.1'!$B126,MID('Respuestas de formulario 1.1'!DS$1,2,1)),#REF!,12,0),"")</f>
        <v/>
      </c>
      <c r="DT126" s="45" t="str">
        <f>IFERROR(VLOOKUP(CONCATENATE('Respuestas de formulario 1.1'!$B126,MID('Respuestas de formulario 1.1'!DT$1,2,1)),#REF!,12,0),"")</f>
        <v/>
      </c>
      <c r="DU126" s="45" t="str">
        <f>IFERROR(VLOOKUP(CONCATENATE('Respuestas de formulario 1.1'!$B126,MID('Respuestas de formulario 1.1'!DU$1,2,1)),#REF!,12,0),"")</f>
        <v/>
      </c>
      <c r="DV126" s="45" t="str">
        <f>IFERROR(VLOOKUP(CONCATENATE('Respuestas de formulario 1.1'!$B126,MID('Respuestas de formulario 1.1'!DV$1,2,1)),#REF!,12,0),"")</f>
        <v/>
      </c>
      <c r="DW126" s="45" t="str">
        <f>IFERROR(VLOOKUP(CONCATENATE('Respuestas de formulario 1.1'!$B126,MID('Respuestas de formulario 1.1'!DW$1,2,1)),#REF!,12,0),"")</f>
        <v/>
      </c>
      <c r="DX126" s="45" t="str">
        <f>IFERROR(VLOOKUP(CONCATENATE('Respuestas de formulario 1.1'!$B126,MID('Respuestas de formulario 1.1'!DX$1,2,1)),#REF!,12,0),"")</f>
        <v/>
      </c>
      <c r="DY126" s="45" t="str">
        <f>IFERROR(VLOOKUP(CONCATENATE('Respuestas de formulario 1.1'!$B126,MID('Respuestas de formulario 1.1'!DY$1,2,1)),#REF!,12,0),"")</f>
        <v/>
      </c>
      <c r="DZ126" s="45" t="str">
        <f>IFERROR(VLOOKUP(CONCATENATE('Respuestas de formulario 1.1'!$B126,MID('Respuestas de formulario 1.1'!DZ$1,2,1)),#REF!,12,0),"")</f>
        <v/>
      </c>
      <c r="EA126" s="45" t="str">
        <f>IFERROR(VLOOKUP(CONCATENATE('Respuestas de formulario 1.1'!$B126,MID('Respuestas de formulario 1.1'!EA$1,2,1)),#REF!,12,0),"")</f>
        <v/>
      </c>
      <c r="EB126" s="45" t="str">
        <f>IFERROR(VLOOKUP(CONCATENATE('Respuestas de formulario 1.1'!$B126,MID('Respuestas de formulario 1.1'!EB$1,2,1)),#REF!,12,0),"")</f>
        <v/>
      </c>
      <c r="EC126" s="45" t="str">
        <f>IFERROR(VLOOKUP(CONCATENATE('Respuestas de formulario 1.1'!$B126,MID('Respuestas de formulario 1.1'!EC$1,2,1)),#REF!,12,0),"")</f>
        <v/>
      </c>
      <c r="ED126" s="45" t="str">
        <f>IFERROR(VLOOKUP(CONCATENATE('Respuestas de formulario 1.1'!$B126,MID('Respuestas de formulario 1.1'!ED$1,2,1)),#REF!,12,0),"")</f>
        <v/>
      </c>
      <c r="EE126" s="45" t="str">
        <f>IFERROR(VLOOKUP(CONCATENATE('Respuestas de formulario 1.1'!$B126,MID('Respuestas de formulario 1.1'!EE$1,2,1)),#REF!,12,0),"")</f>
        <v/>
      </c>
      <c r="EF126" s="45" t="str">
        <f>IFERROR(VLOOKUP(CONCATENATE('Respuestas de formulario 1.1'!$B126,MID('Respuestas de formulario 1.1'!EF$1,2,1)),#REF!,12,0),"")</f>
        <v/>
      </c>
      <c r="EG126" s="45" t="str">
        <f>IFERROR(VLOOKUP(CONCATENATE('Respuestas de formulario 1.1'!$B126,MID('Respuestas de formulario 1.1'!EG$1,2,1)),#REF!,12,0),"")</f>
        <v/>
      </c>
      <c r="EH126" s="45" t="str">
        <f>IFERROR(VLOOKUP(CONCATENATE('Respuestas de formulario 1.1'!$B126,MID('Respuestas de formulario 1.1'!EH$1,2,1)),#REF!,12,0),"")</f>
        <v/>
      </c>
      <c r="EI126" s="45" t="str">
        <f>IFERROR(VLOOKUP(CONCATENATE('Respuestas de formulario 1.1'!$B126,MID('Respuestas de formulario 1.1'!EI$1,2,1)),#REF!,12,0),"")</f>
        <v/>
      </c>
      <c r="EJ126" s="45" t="str">
        <f t="array" ref="EJ126">IF(DO126="","", INDEX(#REF!,MATCH(CONCATENATE('Respuestas de formulario 1.1'!$B126,DO126),#REF!,0),MATCH('Respuestas de formulario 1.1'!EJ$1,#REF!,0)))</f>
        <v/>
      </c>
      <c r="EK126" s="56" t="str">
        <f t="array" ref="EK126">IF(DP126="","", INDEX(#REF!,MATCH(CONCATENATE('Respuestas de formulario 1.1'!$B126,DP126),#REF!,0),MATCH('Respuestas de formulario 1.1'!EK$1,#REF!,0)))</f>
        <v/>
      </c>
      <c r="EL126" s="56" t="str">
        <f t="array" ref="EL126">IF(DQ126="","", INDEX(#REF!,MATCH(CONCATENATE('Respuestas de formulario 1.1'!$B126,DQ126),#REF!,0),MATCH('Respuestas de formulario 1.1'!EL$1,#REF!,0)))</f>
        <v/>
      </c>
      <c r="EM126" s="56" t="str">
        <f t="array" ref="EM126">IF(DR126="","", INDEX(#REF!,MATCH(CONCATENATE('Respuestas de formulario 1.1'!$B126,DR126),#REF!,0),MATCH('Respuestas de formulario 1.1'!EM$1,#REF!,0)))</f>
        <v/>
      </c>
      <c r="EN126" s="56" t="str">
        <f t="array" ref="EN126">IF(DS126="","", INDEX(#REF!,MATCH(CONCATENATE('Respuestas de formulario 1.1'!$B126,DS126),#REF!,0),MATCH('Respuestas de formulario 1.1'!EN$1,#REF!,0)))</f>
        <v/>
      </c>
      <c r="EO126" s="56" t="str">
        <f t="array" ref="EO126">IF(DT126="","", INDEX(#REF!,MATCH(CONCATENATE('Respuestas de formulario 1.1'!$B126,DT126),#REF!,0),MATCH('Respuestas de formulario 1.1'!EO$1,#REF!,0)))</f>
        <v/>
      </c>
      <c r="EP126" s="45" t="str">
        <f t="array" ref="EP126">IF(DU126="","", INDEX(#REF!,MATCH(CONCATENATE('Respuestas de formulario 1.1'!$B126,DU126),#REF!,0),MATCH('Respuestas de formulario 1.1'!EP$1,#REF!,0)))</f>
        <v/>
      </c>
      <c r="EQ126" s="45" t="str">
        <f t="array" ref="EQ126">IF(DP126="","", INDEX(#REF!,MATCH(CONCATENATE('Respuestas de formulario 1.1'!$B126,DP126),#REF!,0),MATCH('Respuestas de formulario 1.1'!EQ$1,#REF!,0)))</f>
        <v/>
      </c>
      <c r="ER126" s="56" t="str">
        <f t="array" ref="ER126">IF(DQ126="","", INDEX(#REF!,MATCH(CONCATENATE('Respuestas de formulario 1.1'!$B126,DQ126),#REF!,0),MATCH('Respuestas de formulario 1.1'!ER$1,#REF!,0)))</f>
        <v/>
      </c>
      <c r="ES126" s="56" t="str">
        <f t="array" ref="ES126">IF(DR126="","", INDEX(#REF!,MATCH(CONCATENATE('Respuestas de formulario 1.1'!$B126,DR126),#REF!,0),MATCH('Respuestas de formulario 1.1'!ES$1,#REF!,0)))</f>
        <v/>
      </c>
      <c r="ET126" s="56" t="str">
        <f t="array" ref="ET126">IF(DS126="","", INDEX(#REF!,MATCH(CONCATENATE('Respuestas de formulario 1.1'!$B126,DS126),#REF!,0),MATCH('Respuestas de formulario 1.1'!ET$1,#REF!,0)))</f>
        <v/>
      </c>
      <c r="EU126" s="56" t="str">
        <f t="array" ref="EU126">IF(DT126="","", INDEX(#REF!,MATCH(CONCATENATE('Respuestas de formulario 1.1'!$B126,DT126),#REF!,0),MATCH('Respuestas de formulario 1.1'!EU$1,#REF!,0)))</f>
        <v/>
      </c>
      <c r="EV126" s="56" t="str">
        <f t="array" ref="EV126">IF(DU126="","", INDEX(#REF!,MATCH(CONCATENATE('Respuestas de formulario 1.1'!$B126,DU126),#REF!,0),MATCH('Respuestas de formulario 1.1'!EV$1,#REF!,0)))</f>
        <v/>
      </c>
      <c r="EW126" s="45" t="str">
        <f t="array" ref="EW126">IF(DV126="","", INDEX(#REF!,MATCH(CONCATENATE('Respuestas de formulario 1.1'!$B126,DV126),#REF!,0),MATCH('Respuestas de formulario 1.1'!EW$1,#REF!,0)))</f>
        <v/>
      </c>
      <c r="EX126" s="45" t="str">
        <f t="array" ref="EX126">IF($DQ126="","", INDEX(#REF!,MATCH(CONCATENATE('Respuestas de formulario 1.1'!$B126,$DQ126),#REF!,0),MATCH('Respuestas de formulario 1.1'!EX$1,#REF!,0)))</f>
        <v/>
      </c>
      <c r="EY126" s="56" t="str">
        <f t="array" ref="EY126">IF($DQ126="","", INDEX(#REF!,MATCH(CONCATENATE('Respuestas de formulario 1.1'!$B126,$DQ126),#REF!,0),MATCH('Respuestas de formulario 1.1'!EY$1,#REF!,0)))</f>
        <v/>
      </c>
      <c r="EZ126" s="56" t="str">
        <f t="array" ref="EZ126">IF($DQ126="","", INDEX(#REF!,MATCH(CONCATENATE('Respuestas de formulario 1.1'!$B126,$DQ126),#REF!,0),MATCH('Respuestas de formulario 1.1'!EZ$1,#REF!,0)))</f>
        <v/>
      </c>
      <c r="FA126" s="56" t="str">
        <f t="array" ref="FA126">IF($DQ126="","", INDEX(#REF!,MATCH(CONCATENATE('Respuestas de formulario 1.1'!$B126,$DQ126),#REF!,0),MATCH('Respuestas de formulario 1.1'!FA$1,#REF!,0)))</f>
        <v/>
      </c>
      <c r="FB126" s="56" t="str">
        <f t="array" ref="FB126">IF($DQ126="","", INDEX(#REF!,MATCH(CONCATENATE('Respuestas de formulario 1.1'!$B126,$DQ126),#REF!,0),MATCH('Respuestas de formulario 1.1'!FB$1,#REF!,0)))</f>
        <v/>
      </c>
      <c r="FC126" s="56" t="str">
        <f t="array" ref="FC126">IF($DQ126="","", INDEX(#REF!,MATCH(CONCATENATE('Respuestas de formulario 1.1'!$B126,$DQ126),#REF!,0),MATCH('Respuestas de formulario 1.1'!FC$1,#REF!,0)))</f>
        <v/>
      </c>
      <c r="FD126" s="45" t="str">
        <f t="array" ref="FD126">IF($DQ126="","", INDEX(#REF!,MATCH(CONCATENATE('Respuestas de formulario 1.1'!$B126,$DQ126),#REF!,0),MATCH('Respuestas de formulario 1.1'!FD$1,#REF!,0)))</f>
        <v/>
      </c>
      <c r="FE126" s="45" t="str">
        <f t="array" ref="FE126">IF($DR126="","", INDEX(#REF!,MATCH(CONCATENATE(#REF!,$DR126),#REF!,0),MATCH(#REF!,#REF!,0)))</f>
        <v/>
      </c>
      <c r="FF126" s="56" t="str">
        <f t="array" ref="FF126">IF($DR126="","", INDEX(#REF!,MATCH(CONCATENATE(#REF!,$DR126),#REF!,0),MATCH(#REF!,#REF!,0)))</f>
        <v/>
      </c>
      <c r="FG126" s="56" t="str">
        <f t="array" ref="FG126">IF($DR126="","", INDEX(#REF!,MATCH(CONCATENATE(#REF!,$DR126),#REF!,0),MATCH(#REF!,#REF!,0)))</f>
        <v/>
      </c>
      <c r="FH126" s="56" t="str">
        <f t="array" ref="FH126">IF($DR126="","", INDEX(#REF!,MATCH(CONCATENATE(#REF!,$DR126),#REF!,0),MATCH(#REF!,#REF!,0)))</f>
        <v/>
      </c>
      <c r="FI126" s="56" t="str">
        <f t="array" ref="FI126">IF($DR126="","", INDEX(#REF!,MATCH(CONCATENATE(#REF!,$DR126),#REF!,0),MATCH(#REF!,#REF!,0)))</f>
        <v/>
      </c>
      <c r="FJ126" s="56" t="str">
        <f t="array" ref="FJ126">IF($DR126="","", INDEX(#REF!,MATCH(CONCATENATE(#REF!,$DR126),#REF!,0),MATCH(#REF!,#REF!,0)))</f>
        <v/>
      </c>
      <c r="FK126" s="45" t="str">
        <f t="array" ref="FK126">IF($DR126="","", INDEX(#REF!,MATCH(CONCATENATE(#REF!,$DR126),#REF!,0),MATCH(#REF!,#REF!,0)))</f>
        <v/>
      </c>
      <c r="FL126" s="45" t="str">
        <f t="array" ref="FL126">IF($DT126="","", INDEX(#REF!,MATCH(CONCATENATE('Respuestas de formulario 1.1'!$B126,$DS126),#REF!,0),MATCH('Respuestas de formulario 1.1'!FL$1,#REF!,0)))</f>
        <v/>
      </c>
      <c r="FM126" s="56" t="str">
        <f t="array" ref="FM126">IF($DT126="","", INDEX(#REF!,MATCH(CONCATENATE('Respuestas de formulario 1.1'!$B126,$DS126),#REF!,0),MATCH('Respuestas de formulario 1.1'!FM$1,#REF!,0)))</f>
        <v/>
      </c>
      <c r="FN126" s="56" t="str">
        <f t="array" ref="FN126">IF($DT126="","", INDEX(#REF!,MATCH(CONCATENATE('Respuestas de formulario 1.1'!$B126,$DS126),#REF!,0),MATCH('Respuestas de formulario 1.1'!FN$1,#REF!,0)))</f>
        <v/>
      </c>
      <c r="FO126" s="56" t="str">
        <f t="array" ref="FO126">IF($DT126="","", INDEX(#REF!,MATCH(CONCATENATE('Respuestas de formulario 1.1'!$B126,$DS126),#REF!,0),MATCH('Respuestas de formulario 1.1'!FO$1,#REF!,0)))</f>
        <v/>
      </c>
      <c r="FP126" s="56" t="str">
        <f t="array" ref="FP126">IF($DT126="","", INDEX(#REF!,MATCH(CONCATENATE('Respuestas de formulario 1.1'!$B126,$DS126),#REF!,0),MATCH('Respuestas de formulario 1.1'!FP$1,#REF!,0)))</f>
        <v/>
      </c>
      <c r="FQ126" s="56" t="str">
        <f t="array" ref="FQ126">IF($DT126="","", INDEX(#REF!,MATCH(CONCATENATE('Respuestas de formulario 1.1'!$B126,$DS126),#REF!,0),MATCH('Respuestas de formulario 1.1'!FQ$1,#REF!,0)))</f>
        <v/>
      </c>
      <c r="FR126" s="45" t="str">
        <f t="array" ref="FR126">IF($DT126="","", INDEX(#REF!,MATCH(CONCATENATE('Respuestas de formulario 1.1'!$B126,$DS126),#REF!,0),MATCH('Respuestas de formulario 1.1'!FR$1,#REF!,0)))</f>
        <v/>
      </c>
      <c r="FS126" s="45" t="str">
        <f t="array" ref="FS126">IF($DU126="","", INDEX(#REF!,MATCH(CONCATENATE('Respuestas de formulario 1.1'!$B126,$DT126),#REF!,0),MATCH('Respuestas de formulario 1.1'!FS$1,#REF!,0)))</f>
        <v/>
      </c>
      <c r="FT126" s="56" t="str">
        <f t="array" ref="FT126">IF($DU126="","", INDEX(#REF!,MATCH(CONCATENATE('Respuestas de formulario 1.1'!$B126,$DT126),#REF!,0),MATCH('Respuestas de formulario 1.1'!FT$1,#REF!,0)))</f>
        <v/>
      </c>
      <c r="FU126" s="56" t="str">
        <f t="array" ref="FU126">IF($DU126="","", INDEX(#REF!,MATCH(CONCATENATE('Respuestas de formulario 1.1'!$B126,$DT126),#REF!,0),MATCH('Respuestas de formulario 1.1'!FU$1,#REF!,0)))</f>
        <v/>
      </c>
      <c r="FV126" s="56" t="str">
        <f t="array" ref="FV126">IF($DU126="","", INDEX(#REF!,MATCH(CONCATENATE('Respuestas de formulario 1.1'!$B126,$DT126),#REF!,0),MATCH('Respuestas de formulario 1.1'!FV$1,#REF!,0)))</f>
        <v/>
      </c>
      <c r="FW126" s="56" t="str">
        <f t="array" ref="FW126">IF($DU126="","", INDEX(#REF!,MATCH(CONCATENATE('Respuestas de formulario 1.1'!$B126,$DT126),#REF!,0),MATCH('Respuestas de formulario 1.1'!FW$1,#REF!,0)))</f>
        <v/>
      </c>
      <c r="FX126" s="56" t="str">
        <f t="array" ref="FX126">IF($DU126="","", INDEX(#REF!,MATCH(CONCATENATE('Respuestas de formulario 1.1'!$B126,$DT126),#REF!,0),MATCH('Respuestas de formulario 1.1'!FX$1,#REF!,0)))</f>
        <v/>
      </c>
      <c r="FY126" s="45" t="str">
        <f t="array" ref="FY126">IF($DU126="","", INDEX(#REF!,MATCH(CONCATENATE('Respuestas de formulario 1.1'!$B126,$DT126),#REF!,0),MATCH('Respuestas de formulario 1.1'!FY$1,#REF!,0)))</f>
        <v/>
      </c>
      <c r="FZ126" s="3" t="s">
        <v>2860</v>
      </c>
      <c r="GA126" s="1" t="s">
        <v>4994</v>
      </c>
      <c r="GB126" s="5" t="s">
        <v>4995</v>
      </c>
      <c r="GC126" s="4" t="str">
        <f>HYPERLINK("https://drive.google.com/file/d/1zgZUDD67DtReOVRFuS8uU0qcMEwoDYUW/view?usp=drivesdk","ROMUALDO CAMACHO ENRIQUE Formato de reinscripción y pago 2022-2")</f>
        <v>ROMUALDO CAMACHO ENRIQUE Formato de reinscripción y pago 2022-2</v>
      </c>
      <c r="GD126" s="1" t="s">
        <v>4996</v>
      </c>
      <c r="GE126" s="1"/>
      <c r="GF126" s="1"/>
      <c r="GG126" s="1"/>
      <c r="GH126" s="1"/>
      <c r="GI126" s="1" t="s">
        <v>4997</v>
      </c>
      <c r="GJ126" s="5" t="s">
        <v>4998</v>
      </c>
      <c r="GK126" s="5" t="str">
        <f>HYPERLINK("https://drive.google.com/file/d/1H5gXq1mKz5WhsAW6ns6nhLmiex1WW5pv/view?usp=drivesdk","ROMUALDO CAMACHO ENRIQUE Formato de reinscripción y pago 2022-2")</f>
        <v>ROMUALDO CAMACHO ENRIQUE Formato de reinscripción y pago 2022-2</v>
      </c>
      <c r="GL126" s="1" t="s">
        <v>4999</v>
      </c>
    </row>
    <row r="127" spans="1:194" ht="38.25" x14ac:dyDescent="0.2">
      <c r="A127" s="2">
        <v>45139.440433888885</v>
      </c>
      <c r="B127" s="1" t="s">
        <v>533</v>
      </c>
      <c r="C127" s="1" t="s">
        <v>534</v>
      </c>
      <c r="D127" s="1" t="s">
        <v>525</v>
      </c>
      <c r="E127" s="1" t="s">
        <v>535</v>
      </c>
      <c r="F127" s="1" t="s">
        <v>223</v>
      </c>
      <c r="G127" s="5" t="s">
        <v>5000</v>
      </c>
      <c r="H127" s="41">
        <v>38889</v>
      </c>
      <c r="I127" s="1">
        <v>17</v>
      </c>
      <c r="J127" s="1">
        <v>5616775244</v>
      </c>
      <c r="K127" s="1">
        <v>5556914440</v>
      </c>
      <c r="L127" s="1" t="s">
        <v>536</v>
      </c>
      <c r="M127" s="1">
        <v>21309060570478</v>
      </c>
      <c r="N127" s="1" t="s">
        <v>1108</v>
      </c>
      <c r="O127" s="1" t="s">
        <v>247</v>
      </c>
      <c r="P127" s="1" t="s">
        <v>226</v>
      </c>
      <c r="Q127" s="1" t="s">
        <v>227</v>
      </c>
      <c r="R127" s="1" t="s">
        <v>236</v>
      </c>
      <c r="S127" s="1" t="s">
        <v>228</v>
      </c>
      <c r="T127" s="1" t="s">
        <v>229</v>
      </c>
      <c r="U127" s="1" t="s">
        <v>249</v>
      </c>
      <c r="V127" s="1" t="s">
        <v>228</v>
      </c>
      <c r="W127" s="1" t="s">
        <v>537</v>
      </c>
      <c r="X127" s="1" t="s">
        <v>249</v>
      </c>
      <c r="Y127" s="1" t="s">
        <v>542</v>
      </c>
      <c r="Z127" s="1" t="s">
        <v>240</v>
      </c>
      <c r="AA127" s="44" t="s">
        <v>538</v>
      </c>
      <c r="AB127" s="1">
        <v>335</v>
      </c>
      <c r="AC127" s="1">
        <v>0</v>
      </c>
      <c r="AD127" s="1" t="s">
        <v>5001</v>
      </c>
      <c r="AE127" s="1" t="s">
        <v>5002</v>
      </c>
      <c r="AF127" s="1" t="s">
        <v>461</v>
      </c>
      <c r="AG127" s="1">
        <v>38</v>
      </c>
      <c r="AH127" s="5" t="s">
        <v>5003</v>
      </c>
      <c r="AI127" s="1">
        <v>5617050459</v>
      </c>
      <c r="AJ127" s="1">
        <v>5556914440</v>
      </c>
      <c r="AK127" s="1" t="s">
        <v>541</v>
      </c>
      <c r="AL127" s="1" t="s">
        <v>525</v>
      </c>
      <c r="AM127" s="1" t="s">
        <v>611</v>
      </c>
      <c r="AN127" s="1" t="s">
        <v>593</v>
      </c>
      <c r="AO127" s="1" t="s">
        <v>493</v>
      </c>
      <c r="AP127" s="1">
        <v>64</v>
      </c>
      <c r="AQ127" s="1" t="s">
        <v>1472</v>
      </c>
      <c r="AR127" s="42">
        <v>0</v>
      </c>
      <c r="AS127" s="42">
        <v>0</v>
      </c>
      <c r="AT127" s="1">
        <v>5627738737</v>
      </c>
      <c r="AU127" s="1">
        <v>5556914440</v>
      </c>
      <c r="AV127" s="1" t="s">
        <v>539</v>
      </c>
      <c r="AW127" s="5" t="s">
        <v>5004</v>
      </c>
      <c r="AX127" s="1" t="s">
        <v>534</v>
      </c>
      <c r="AY127" s="1" t="s">
        <v>525</v>
      </c>
      <c r="AZ127" s="1" t="s">
        <v>540</v>
      </c>
      <c r="BA127" s="1" t="s">
        <v>461</v>
      </c>
      <c r="BB127" s="1">
        <v>38</v>
      </c>
      <c r="BC127" s="1" t="s">
        <v>5005</v>
      </c>
      <c r="BD127" s="43">
        <v>0.35416666666424135</v>
      </c>
      <c r="BE127" s="43">
        <v>0.60416666666424135</v>
      </c>
      <c r="BF127" s="1">
        <v>5617050459</v>
      </c>
      <c r="BG127" s="1">
        <v>5556914440</v>
      </c>
      <c r="BH127" s="1" t="s">
        <v>541</v>
      </c>
      <c r="BI127" s="5" t="s">
        <v>5006</v>
      </c>
      <c r="BJ127" s="1" t="s">
        <v>236</v>
      </c>
      <c r="BL127" s="1">
        <v>1.5</v>
      </c>
      <c r="BM127" s="1">
        <v>58</v>
      </c>
      <c r="BN127" s="1" t="s">
        <v>236</v>
      </c>
      <c r="BO127" s="1" t="s">
        <v>228</v>
      </c>
      <c r="BQ127" s="1" t="s">
        <v>228</v>
      </c>
      <c r="BR127" s="1" t="s">
        <v>237</v>
      </c>
      <c r="BS127" s="1" t="s">
        <v>228</v>
      </c>
      <c r="BT127" s="1" t="s">
        <v>237</v>
      </c>
      <c r="BU127" s="1" t="s">
        <v>228</v>
      </c>
      <c r="BW127" s="1" t="s">
        <v>272</v>
      </c>
      <c r="BX127" s="1">
        <v>60</v>
      </c>
      <c r="BY127" s="1">
        <v>20</v>
      </c>
      <c r="BZ127" s="1" t="s">
        <v>253</v>
      </c>
      <c r="CA127" s="1" t="s">
        <v>343</v>
      </c>
      <c r="CB127" s="1" t="s">
        <v>240</v>
      </c>
      <c r="CC127" s="1" t="s">
        <v>255</v>
      </c>
      <c r="CD127" s="1">
        <v>3000</v>
      </c>
      <c r="CE127" s="1">
        <v>1500</v>
      </c>
      <c r="CF127" s="1" t="s">
        <v>236</v>
      </c>
      <c r="CG127" s="1" t="s">
        <v>242</v>
      </c>
      <c r="CH127" s="1" t="s">
        <v>243</v>
      </c>
      <c r="CI127" s="1" t="s">
        <v>243</v>
      </c>
      <c r="CJ127" s="1" t="s">
        <v>2848</v>
      </c>
      <c r="CL127" s="5" t="s">
        <v>5007</v>
      </c>
      <c r="CM127" s="1">
        <v>15210607733</v>
      </c>
      <c r="CN127" s="1" t="s">
        <v>228</v>
      </c>
      <c r="CQ127" s="42">
        <v>0.33333333333575865</v>
      </c>
      <c r="CR127" s="42">
        <v>0.60416666666424135</v>
      </c>
      <c r="CT127" s="45" t="str">
        <f t="array" ref="CT127">IFERROR(INDEX(#REF!,MATCH('Respuestas de formulario 1.1'!$B127,#REF!,0),MATCH('Respuestas de formulario 1.1'!CT$1,#REF!,0)),"")</f>
        <v/>
      </c>
      <c r="CU127" s="56" t="str">
        <f t="array" ref="CU127">IFERROR(INDEX(#REF!,MATCH('Respuestas de formulario 1.1'!$B127,#REF!,0),MATCH('Respuestas de formulario 1.1'!CU$1,#REF!,0)),"")</f>
        <v/>
      </c>
      <c r="CV127" s="56" t="str">
        <f t="array" ref="CV127">IFERROR(INDEX(#REF!,MATCH('Respuestas de formulario 1.1'!$B127,#REF!,0),MATCH('Respuestas de formulario 1.1'!CV$1,#REF!,0)),"")</f>
        <v/>
      </c>
      <c r="CW127" s="56" t="str">
        <f t="array" ref="CW127">IFERROR(INDEX(#REF!,MATCH('Respuestas de formulario 1.1'!$B127,#REF!,0),MATCH('Respuestas de formulario 1.1'!CW$1,#REF!,0)),"")</f>
        <v/>
      </c>
      <c r="CX127" s="56" t="str">
        <f t="array" ref="CX127">IFERROR(INDEX(#REF!,MATCH('Respuestas de formulario 1.1'!$B127,#REF!,0),MATCH('Respuestas de formulario 1.1'!CX$1,#REF!,0)),"")</f>
        <v/>
      </c>
      <c r="CY127" s="56" t="str">
        <f t="array" ref="CY127">IFERROR(INDEX(#REF!,MATCH('Respuestas de formulario 1.1'!$B127,#REF!,0),MATCH('Respuestas de formulario 1.1'!CY$1,#REF!,0)),"")</f>
        <v/>
      </c>
      <c r="CZ127" s="57" t="str">
        <f t="array" ref="CZ127">IFERROR(INDEX(#REF!,MATCH('Respuestas de formulario 1.1'!$B127,#REF!,0),MATCH('Respuestas de formulario 1.1'!CZ$1,#REF!,0)),"")</f>
        <v/>
      </c>
      <c r="DA127" s="45" t="e">
        <f t="array" ref="DA127">INDEX(#REF!,MATCH('Respuestas de formulario 1.1'!$B127,#REF!,0),MATCH('Respuestas de formulario 1.1'!DA$1,#REF!,0))</f>
        <v>#REF!</v>
      </c>
      <c r="DB127" s="45" t="e">
        <f t="array" ref="DB127">INDEX(#REF!,MATCH('Respuestas de formulario 1.1'!$B127,#REF!,0),MATCH('Respuestas de formulario 1.1'!DB$1,#REF!,0))</f>
        <v>#REF!</v>
      </c>
      <c r="DC127" s="45" t="e">
        <f t="array" ref="DC127">INDEX(#REF!,MATCH('Respuestas de formulario 1.1'!$B127,#REF!,0),MATCH('Respuestas de formulario 1.1'!DC$1,#REF!,0))</f>
        <v>#REF!</v>
      </c>
      <c r="DD127" s="45" t="e">
        <f t="array" ref="DD127">INDEX(#REF!,MATCH('Respuestas de formulario 1.1'!$B127,#REF!,0),MATCH('Respuestas de formulario 1.1'!DD$1,#REF!,0))</f>
        <v>#REF!</v>
      </c>
      <c r="DE127" s="45" t="e">
        <f t="array" ref="DE127">INDEX(#REF!,MATCH('Respuestas de formulario 1.1'!$B127,#REF!,0),MATCH('Respuestas de formulario 1.1'!DE$1,#REF!,0))</f>
        <v>#REF!</v>
      </c>
      <c r="DF127" s="45" t="e">
        <f t="array" ref="DF127">INDEX(#REF!,MATCH('Respuestas de formulario 1.1'!$B127,#REF!,0),MATCH('Respuestas de formulario 1.1'!DF$1,#REF!,0))</f>
        <v>#REF!</v>
      </c>
      <c r="DG127" s="45" t="e">
        <f t="array" ref="DG127">INDEX(#REF!,MATCH('Respuestas de formulario 1.1'!$B127,#REF!,0),MATCH('Respuestas de formulario 1.1'!DG$1,#REF!,0))</f>
        <v>#REF!</v>
      </c>
      <c r="DH127" s="45" t="e">
        <f t="array" ref="DH127">INDEX(#REF!,MATCH('Respuestas de formulario 1.1'!$B127,#REF!,0),MATCH('Respuestas de formulario 1.1'!DH$1,#REF!,0))</f>
        <v>#REF!</v>
      </c>
      <c r="DI127" s="48" t="e">
        <f>VLOOKUP(CONCATENATE($DF127," TUTO ",$DC127),#REF!,3,0)</f>
        <v>#REF!</v>
      </c>
      <c r="DJ127" s="48" t="e">
        <f t="array" ref="DJ127">IF('Respuestas de formulario 1.1'!A127="","",INDEX(#REF!,MATCH('Respuestas de formulario 1.1'!B127,#REF!,0),MATCH('Respuestas de formulario 1.1'!$DH$1,#REF!,0)))</f>
        <v>#REF!</v>
      </c>
      <c r="DK127" s="52" t="str">
        <f>CONCATENATE("http://doc.google.com/uc?id=",MID('Respuestas de formulario 1.1'!G127,34,33))</f>
        <v>http://doc.google.com/uc?id=16JG2nR_K4Ejp_U2Kw813oidAsba476Na</v>
      </c>
      <c r="DL127" s="49" t="str">
        <f>CONCATENATE("http://doc.google.com/uc?id=",MID('Respuestas de formulario 1.1'!AH127,34,33))</f>
        <v>http://doc.google.com/uc?id=1tV6-2_kVtyyYdS_9VVDjS9HSUV-BVIUV</v>
      </c>
      <c r="DM127" s="50" t="str">
        <f>CONCATENATE("http://doc.google.com/uc?id=",MID('Respuestas de formulario 1.1'!AW127,34,33))</f>
        <v>http://doc.google.com/uc?id=1amWMMvLxMrIdIm7w3R6FDC4fASrxJzf0</v>
      </c>
      <c r="DN127" s="53" t="str">
        <f>CONCATENATE("http://doc.google.com/uc?id=",MID('Respuestas de formulario 1.1'!$BI127,34,33))</f>
        <v>http://doc.google.com/uc?id=1pcR8HkYRH4UzZ-jvxQoDXJYhN6JcgpUC</v>
      </c>
      <c r="DO127" s="45" t="str">
        <f>IFERROR(VLOOKUP(CONCATENATE('Respuestas de formulario 1.1'!$B127,MID('Respuestas de formulario 1.1'!DO$1,2,1)),#REF!,12,0),"")</f>
        <v/>
      </c>
      <c r="DP127" s="45" t="str">
        <f>IFERROR(VLOOKUP(CONCATENATE('Respuestas de formulario 1.1'!$B127,MID('Respuestas de formulario 1.1'!DP$1,2,1)),#REF!,12,0),"")</f>
        <v/>
      </c>
      <c r="DQ127" s="45" t="str">
        <f>IFERROR(VLOOKUP(CONCATENATE('Respuestas de formulario 1.1'!$B127,MID('Respuestas de formulario 1.1'!DQ$1,2,1)),#REF!,12,0),"")</f>
        <v/>
      </c>
      <c r="DR127" s="45" t="str">
        <f>IFERROR(VLOOKUP(CONCATENATE('Respuestas de formulario 1.1'!$B127,MID('Respuestas de formulario 1.1'!DR$1,2,1)),#REF!,12,0),"")</f>
        <v/>
      </c>
      <c r="DS127" s="45" t="str">
        <f>IFERROR(VLOOKUP(CONCATENATE('Respuestas de formulario 1.1'!$B127,MID('Respuestas de formulario 1.1'!DS$1,2,1)),#REF!,12,0),"")</f>
        <v/>
      </c>
      <c r="DT127" s="45" t="str">
        <f>IFERROR(VLOOKUP(CONCATENATE('Respuestas de formulario 1.1'!$B127,MID('Respuestas de formulario 1.1'!DT$1,2,1)),#REF!,12,0),"")</f>
        <v/>
      </c>
      <c r="DU127" s="45" t="str">
        <f>IFERROR(VLOOKUP(CONCATENATE('Respuestas de formulario 1.1'!$B127,MID('Respuestas de formulario 1.1'!DU$1,2,1)),#REF!,12,0),"")</f>
        <v/>
      </c>
      <c r="DV127" s="45" t="str">
        <f>IFERROR(VLOOKUP(CONCATENATE('Respuestas de formulario 1.1'!$B127,MID('Respuestas de formulario 1.1'!DV$1,2,1)),#REF!,12,0),"")</f>
        <v/>
      </c>
      <c r="DW127" s="45" t="str">
        <f>IFERROR(VLOOKUP(CONCATENATE('Respuestas de formulario 1.1'!$B127,MID('Respuestas de formulario 1.1'!DW$1,2,1)),#REF!,12,0),"")</f>
        <v/>
      </c>
      <c r="DX127" s="45" t="str">
        <f>IFERROR(VLOOKUP(CONCATENATE('Respuestas de formulario 1.1'!$B127,MID('Respuestas de formulario 1.1'!DX$1,2,1)),#REF!,12,0),"")</f>
        <v/>
      </c>
      <c r="DY127" s="45" t="str">
        <f>IFERROR(VLOOKUP(CONCATENATE('Respuestas de formulario 1.1'!$B127,MID('Respuestas de formulario 1.1'!DY$1,2,1)),#REF!,12,0),"")</f>
        <v/>
      </c>
      <c r="DZ127" s="45" t="str">
        <f>IFERROR(VLOOKUP(CONCATENATE('Respuestas de formulario 1.1'!$B127,MID('Respuestas de formulario 1.1'!DZ$1,2,1)),#REF!,12,0),"")</f>
        <v/>
      </c>
      <c r="EA127" s="45" t="str">
        <f>IFERROR(VLOOKUP(CONCATENATE('Respuestas de formulario 1.1'!$B127,MID('Respuestas de formulario 1.1'!EA$1,2,1)),#REF!,12,0),"")</f>
        <v/>
      </c>
      <c r="EB127" s="45" t="str">
        <f>IFERROR(VLOOKUP(CONCATENATE('Respuestas de formulario 1.1'!$B127,MID('Respuestas de formulario 1.1'!EB$1,2,1)),#REF!,12,0),"")</f>
        <v/>
      </c>
      <c r="EC127" s="45" t="str">
        <f>IFERROR(VLOOKUP(CONCATENATE('Respuestas de formulario 1.1'!$B127,MID('Respuestas de formulario 1.1'!EC$1,2,1)),#REF!,12,0),"")</f>
        <v/>
      </c>
      <c r="ED127" s="45" t="str">
        <f>IFERROR(VLOOKUP(CONCATENATE('Respuestas de formulario 1.1'!$B127,MID('Respuestas de formulario 1.1'!ED$1,2,1)),#REF!,12,0),"")</f>
        <v/>
      </c>
      <c r="EE127" s="45" t="str">
        <f>IFERROR(VLOOKUP(CONCATENATE('Respuestas de formulario 1.1'!$B127,MID('Respuestas de formulario 1.1'!EE$1,2,1)),#REF!,12,0),"")</f>
        <v/>
      </c>
      <c r="EF127" s="45" t="str">
        <f>IFERROR(VLOOKUP(CONCATENATE('Respuestas de formulario 1.1'!$B127,MID('Respuestas de formulario 1.1'!EF$1,2,1)),#REF!,12,0),"")</f>
        <v/>
      </c>
      <c r="EG127" s="45" t="str">
        <f>IFERROR(VLOOKUP(CONCATENATE('Respuestas de formulario 1.1'!$B127,MID('Respuestas de formulario 1.1'!EG$1,2,1)),#REF!,12,0),"")</f>
        <v/>
      </c>
      <c r="EH127" s="45" t="str">
        <f>IFERROR(VLOOKUP(CONCATENATE('Respuestas de formulario 1.1'!$B127,MID('Respuestas de formulario 1.1'!EH$1,2,1)),#REF!,12,0),"")</f>
        <v/>
      </c>
      <c r="EI127" s="45" t="str">
        <f>IFERROR(VLOOKUP(CONCATENATE('Respuestas de formulario 1.1'!$B127,MID('Respuestas de formulario 1.1'!EI$1,2,1)),#REF!,12,0),"")</f>
        <v/>
      </c>
      <c r="EJ127" s="45" t="str">
        <f t="array" ref="EJ127">IF(DO127="","", INDEX(#REF!,MATCH(CONCATENATE('Respuestas de formulario 1.1'!$B127,DO127),#REF!,0),MATCH('Respuestas de formulario 1.1'!EJ$1,#REF!,0)))</f>
        <v/>
      </c>
      <c r="EK127" s="56" t="str">
        <f t="array" ref="EK127">IF(DP127="","", INDEX(#REF!,MATCH(CONCATENATE('Respuestas de formulario 1.1'!$B127,DP127),#REF!,0),MATCH('Respuestas de formulario 1.1'!EK$1,#REF!,0)))</f>
        <v/>
      </c>
      <c r="EL127" s="56" t="str">
        <f t="array" ref="EL127">IF(DQ127="","", INDEX(#REF!,MATCH(CONCATENATE('Respuestas de formulario 1.1'!$B127,DQ127),#REF!,0),MATCH('Respuestas de formulario 1.1'!EL$1,#REF!,0)))</f>
        <v/>
      </c>
      <c r="EM127" s="56" t="str">
        <f t="array" ref="EM127">IF(DR127="","", INDEX(#REF!,MATCH(CONCATENATE('Respuestas de formulario 1.1'!$B127,DR127),#REF!,0),MATCH('Respuestas de formulario 1.1'!EM$1,#REF!,0)))</f>
        <v/>
      </c>
      <c r="EN127" s="56" t="str">
        <f t="array" ref="EN127">IF(DS127="","", INDEX(#REF!,MATCH(CONCATENATE('Respuestas de formulario 1.1'!$B127,DS127),#REF!,0),MATCH('Respuestas de formulario 1.1'!EN$1,#REF!,0)))</f>
        <v/>
      </c>
      <c r="EO127" s="56" t="str">
        <f t="array" ref="EO127">IF(DT127="","", INDEX(#REF!,MATCH(CONCATENATE('Respuestas de formulario 1.1'!$B127,DT127),#REF!,0),MATCH('Respuestas de formulario 1.1'!EO$1,#REF!,0)))</f>
        <v/>
      </c>
      <c r="EP127" s="45" t="str">
        <f t="array" ref="EP127">IF(DU127="","", INDEX(#REF!,MATCH(CONCATENATE('Respuestas de formulario 1.1'!$B127,DU127),#REF!,0),MATCH('Respuestas de formulario 1.1'!EP$1,#REF!,0)))</f>
        <v/>
      </c>
      <c r="EQ127" s="45" t="str">
        <f t="array" ref="EQ127">IF(DP127="","", INDEX(#REF!,MATCH(CONCATENATE('Respuestas de formulario 1.1'!$B127,DP127),#REF!,0),MATCH('Respuestas de formulario 1.1'!EQ$1,#REF!,0)))</f>
        <v/>
      </c>
      <c r="ER127" s="56" t="str">
        <f t="array" ref="ER127">IF(DQ127="","", INDEX(#REF!,MATCH(CONCATENATE('Respuestas de formulario 1.1'!$B127,DQ127),#REF!,0),MATCH('Respuestas de formulario 1.1'!ER$1,#REF!,0)))</f>
        <v/>
      </c>
      <c r="ES127" s="56" t="str">
        <f t="array" ref="ES127">IF(DR127="","", INDEX(#REF!,MATCH(CONCATENATE('Respuestas de formulario 1.1'!$B127,DR127),#REF!,0),MATCH('Respuestas de formulario 1.1'!ES$1,#REF!,0)))</f>
        <v/>
      </c>
      <c r="ET127" s="56" t="str">
        <f t="array" ref="ET127">IF(DS127="","", INDEX(#REF!,MATCH(CONCATENATE('Respuestas de formulario 1.1'!$B127,DS127),#REF!,0),MATCH('Respuestas de formulario 1.1'!ET$1,#REF!,0)))</f>
        <v/>
      </c>
      <c r="EU127" s="56" t="str">
        <f t="array" ref="EU127">IF(DT127="","", INDEX(#REF!,MATCH(CONCATENATE('Respuestas de formulario 1.1'!$B127,DT127),#REF!,0),MATCH('Respuestas de formulario 1.1'!EU$1,#REF!,0)))</f>
        <v/>
      </c>
      <c r="EV127" s="56" t="str">
        <f t="array" ref="EV127">IF(DU127="","", INDEX(#REF!,MATCH(CONCATENATE('Respuestas de formulario 1.1'!$B127,DU127),#REF!,0),MATCH('Respuestas de formulario 1.1'!EV$1,#REF!,0)))</f>
        <v/>
      </c>
      <c r="EW127" s="45" t="str">
        <f t="array" ref="EW127">IF(DV127="","", INDEX(#REF!,MATCH(CONCATENATE('Respuestas de formulario 1.1'!$B127,DV127),#REF!,0),MATCH('Respuestas de formulario 1.1'!EW$1,#REF!,0)))</f>
        <v/>
      </c>
      <c r="EX127" s="45" t="str">
        <f t="array" ref="EX127">IF($DQ127="","", INDEX(#REF!,MATCH(CONCATENATE('Respuestas de formulario 1.1'!$B127,$DQ127),#REF!,0),MATCH('Respuestas de formulario 1.1'!EX$1,#REF!,0)))</f>
        <v/>
      </c>
      <c r="EY127" s="56" t="str">
        <f t="array" ref="EY127">IF($DQ127="","", INDEX(#REF!,MATCH(CONCATENATE('Respuestas de formulario 1.1'!$B127,$DQ127),#REF!,0),MATCH('Respuestas de formulario 1.1'!EY$1,#REF!,0)))</f>
        <v/>
      </c>
      <c r="EZ127" s="56" t="str">
        <f t="array" ref="EZ127">IF($DQ127="","", INDEX(#REF!,MATCH(CONCATENATE('Respuestas de formulario 1.1'!$B127,$DQ127),#REF!,0),MATCH('Respuestas de formulario 1.1'!EZ$1,#REF!,0)))</f>
        <v/>
      </c>
      <c r="FA127" s="56" t="str">
        <f t="array" ref="FA127">IF($DQ127="","", INDEX(#REF!,MATCH(CONCATENATE('Respuestas de formulario 1.1'!$B127,$DQ127),#REF!,0),MATCH('Respuestas de formulario 1.1'!FA$1,#REF!,0)))</f>
        <v/>
      </c>
      <c r="FB127" s="56" t="str">
        <f t="array" ref="FB127">IF($DQ127="","", INDEX(#REF!,MATCH(CONCATENATE('Respuestas de formulario 1.1'!$B127,$DQ127),#REF!,0),MATCH('Respuestas de formulario 1.1'!FB$1,#REF!,0)))</f>
        <v/>
      </c>
      <c r="FC127" s="56" t="str">
        <f t="array" ref="FC127">IF($DQ127="","", INDEX(#REF!,MATCH(CONCATENATE('Respuestas de formulario 1.1'!$B127,$DQ127),#REF!,0),MATCH('Respuestas de formulario 1.1'!FC$1,#REF!,0)))</f>
        <v/>
      </c>
      <c r="FD127" s="45" t="str">
        <f t="array" ref="FD127">IF($DQ127="","", INDEX(#REF!,MATCH(CONCATENATE('Respuestas de formulario 1.1'!$B127,$DQ127),#REF!,0),MATCH('Respuestas de formulario 1.1'!FD$1,#REF!,0)))</f>
        <v/>
      </c>
      <c r="FE127" s="45" t="str">
        <f t="array" ref="FE127">IF($DR127="","", INDEX(#REF!,MATCH(CONCATENATE(#REF!,$DR127),#REF!,0),MATCH(#REF!,#REF!,0)))</f>
        <v/>
      </c>
      <c r="FF127" s="56" t="str">
        <f t="array" ref="FF127">IF($DR127="","", INDEX(#REF!,MATCH(CONCATENATE(#REF!,$DR127),#REF!,0),MATCH(#REF!,#REF!,0)))</f>
        <v/>
      </c>
      <c r="FG127" s="56" t="str">
        <f t="array" ref="FG127">IF($DR127="","", INDEX(#REF!,MATCH(CONCATENATE(#REF!,$DR127),#REF!,0),MATCH(#REF!,#REF!,0)))</f>
        <v/>
      </c>
      <c r="FH127" s="56" t="str">
        <f t="array" ref="FH127">IF($DR127="","", INDEX(#REF!,MATCH(CONCATENATE(#REF!,$DR127),#REF!,0),MATCH(#REF!,#REF!,0)))</f>
        <v/>
      </c>
      <c r="FI127" s="56" t="str">
        <f t="array" ref="FI127">IF($DR127="","", INDEX(#REF!,MATCH(CONCATENATE(#REF!,$DR127),#REF!,0),MATCH(#REF!,#REF!,0)))</f>
        <v/>
      </c>
      <c r="FJ127" s="56" t="str">
        <f t="array" ref="FJ127">IF($DR127="","", INDEX(#REF!,MATCH(CONCATENATE(#REF!,$DR127),#REF!,0),MATCH(#REF!,#REF!,0)))</f>
        <v/>
      </c>
      <c r="FK127" s="45" t="str">
        <f t="array" ref="FK127">IF($DR127="","", INDEX(#REF!,MATCH(CONCATENATE(#REF!,$DR127),#REF!,0),MATCH(#REF!,#REF!,0)))</f>
        <v/>
      </c>
      <c r="FL127" s="45" t="str">
        <f t="array" ref="FL127">IF($DT127="","", INDEX(#REF!,MATCH(CONCATENATE('Respuestas de formulario 1.1'!$B127,$DS127),#REF!,0),MATCH('Respuestas de formulario 1.1'!FL$1,#REF!,0)))</f>
        <v/>
      </c>
      <c r="FM127" s="56" t="str">
        <f t="array" ref="FM127">IF($DT127="","", INDEX(#REF!,MATCH(CONCATENATE('Respuestas de formulario 1.1'!$B127,$DS127),#REF!,0),MATCH('Respuestas de formulario 1.1'!FM$1,#REF!,0)))</f>
        <v/>
      </c>
      <c r="FN127" s="56" t="str">
        <f t="array" ref="FN127">IF($DT127="","", INDEX(#REF!,MATCH(CONCATENATE('Respuestas de formulario 1.1'!$B127,$DS127),#REF!,0),MATCH('Respuestas de formulario 1.1'!FN$1,#REF!,0)))</f>
        <v/>
      </c>
      <c r="FO127" s="56" t="str">
        <f t="array" ref="FO127">IF($DT127="","", INDEX(#REF!,MATCH(CONCATENATE('Respuestas de formulario 1.1'!$B127,$DS127),#REF!,0),MATCH('Respuestas de formulario 1.1'!FO$1,#REF!,0)))</f>
        <v/>
      </c>
      <c r="FP127" s="56" t="str">
        <f t="array" ref="FP127">IF($DT127="","", INDEX(#REF!,MATCH(CONCATENATE('Respuestas de formulario 1.1'!$B127,$DS127),#REF!,0),MATCH('Respuestas de formulario 1.1'!FP$1,#REF!,0)))</f>
        <v/>
      </c>
      <c r="FQ127" s="56" t="str">
        <f t="array" ref="FQ127">IF($DT127="","", INDEX(#REF!,MATCH(CONCATENATE('Respuestas de formulario 1.1'!$B127,$DS127),#REF!,0),MATCH('Respuestas de formulario 1.1'!FQ$1,#REF!,0)))</f>
        <v/>
      </c>
      <c r="FR127" s="45" t="str">
        <f t="array" ref="FR127">IF($DT127="","", INDEX(#REF!,MATCH(CONCATENATE('Respuestas de formulario 1.1'!$B127,$DS127),#REF!,0),MATCH('Respuestas de formulario 1.1'!FR$1,#REF!,0)))</f>
        <v/>
      </c>
      <c r="FS127" s="45" t="str">
        <f t="array" ref="FS127">IF($DU127="","", INDEX(#REF!,MATCH(CONCATENATE('Respuestas de formulario 1.1'!$B127,$DT127),#REF!,0),MATCH('Respuestas de formulario 1.1'!FS$1,#REF!,0)))</f>
        <v/>
      </c>
      <c r="FT127" s="56" t="str">
        <f t="array" ref="FT127">IF($DU127="","", INDEX(#REF!,MATCH(CONCATENATE('Respuestas de formulario 1.1'!$B127,$DT127),#REF!,0),MATCH('Respuestas de formulario 1.1'!FT$1,#REF!,0)))</f>
        <v/>
      </c>
      <c r="FU127" s="56" t="str">
        <f t="array" ref="FU127">IF($DU127="","", INDEX(#REF!,MATCH(CONCATENATE('Respuestas de formulario 1.1'!$B127,$DT127),#REF!,0),MATCH('Respuestas de formulario 1.1'!FU$1,#REF!,0)))</f>
        <v/>
      </c>
      <c r="FV127" s="56" t="str">
        <f t="array" ref="FV127">IF($DU127="","", INDEX(#REF!,MATCH(CONCATENATE('Respuestas de formulario 1.1'!$B127,$DT127),#REF!,0),MATCH('Respuestas de formulario 1.1'!FV$1,#REF!,0)))</f>
        <v/>
      </c>
      <c r="FW127" s="56" t="str">
        <f t="array" ref="FW127">IF($DU127="","", INDEX(#REF!,MATCH(CONCATENATE('Respuestas de formulario 1.1'!$B127,$DT127),#REF!,0),MATCH('Respuestas de formulario 1.1'!FW$1,#REF!,0)))</f>
        <v/>
      </c>
      <c r="FX127" s="56" t="str">
        <f t="array" ref="FX127">IF($DU127="","", INDEX(#REF!,MATCH(CONCATENATE('Respuestas de formulario 1.1'!$B127,$DT127),#REF!,0),MATCH('Respuestas de formulario 1.1'!FX$1,#REF!,0)))</f>
        <v/>
      </c>
      <c r="FY127" s="45" t="str">
        <f t="array" ref="FY127">IF($DU127="","", INDEX(#REF!,MATCH(CONCATENATE('Respuestas de formulario 1.1'!$B127,$DT127),#REF!,0),MATCH('Respuestas de formulario 1.1'!FY$1,#REF!,0)))</f>
        <v/>
      </c>
      <c r="FZ127" s="3" t="s">
        <v>2860</v>
      </c>
      <c r="GA127" s="1" t="s">
        <v>5008</v>
      </c>
      <c r="GB127" s="5" t="s">
        <v>5009</v>
      </c>
      <c r="GC127" s="4" t="str">
        <f>HYPERLINK("https://drive.google.com/file/d/1VsYbWmPRol4b18rms4fLUK2jMJa8VpKQ/view?usp=drivesdk","ROBLES FLORES BARBARA ITZEL Formato de reinscripción y pago 2022-2")</f>
        <v>ROBLES FLORES BARBARA ITZEL Formato de reinscripción y pago 2022-2</v>
      </c>
      <c r="GD127" s="1" t="s">
        <v>5010</v>
      </c>
      <c r="GE127" s="1"/>
      <c r="GF127" s="1"/>
      <c r="GG127" s="1"/>
      <c r="GH127" s="1"/>
      <c r="GI127" s="1" t="s">
        <v>5011</v>
      </c>
      <c r="GJ127" s="5" t="s">
        <v>5012</v>
      </c>
      <c r="GK127" s="5" t="str">
        <f>HYPERLINK("https://drive.google.com/file/d/1l0DqIRIWH8jt4-vg44SAUQiYqZM2GNT9/view?usp=drivesdk","ROBLES FLORES BARBARA ITZEL Formato de reinscripción y pago 2022-2")</f>
        <v>ROBLES FLORES BARBARA ITZEL Formato de reinscripción y pago 2022-2</v>
      </c>
      <c r="GL127" s="1" t="s">
        <v>5013</v>
      </c>
    </row>
    <row r="128" spans="1:194" ht="38.25" x14ac:dyDescent="0.2">
      <c r="A128" s="2">
        <v>45139.441121840282</v>
      </c>
      <c r="B128" s="1" t="s">
        <v>2032</v>
      </c>
      <c r="C128" s="1" t="s">
        <v>2272</v>
      </c>
      <c r="D128" s="1" t="s">
        <v>1349</v>
      </c>
      <c r="E128" s="1" t="s">
        <v>821</v>
      </c>
      <c r="F128" s="1" t="s">
        <v>223</v>
      </c>
      <c r="G128" s="5" t="s">
        <v>5014</v>
      </c>
      <c r="H128" s="41">
        <v>38833</v>
      </c>
      <c r="I128" s="1">
        <v>17</v>
      </c>
      <c r="J128" s="1">
        <v>5612660862</v>
      </c>
      <c r="K128" s="1">
        <v>5592938375</v>
      </c>
      <c r="L128" s="1" t="s">
        <v>2033</v>
      </c>
      <c r="M128" s="1">
        <v>21309060570311</v>
      </c>
      <c r="N128" s="1" t="s">
        <v>1108</v>
      </c>
      <c r="O128" s="1" t="s">
        <v>247</v>
      </c>
      <c r="P128" s="1" t="s">
        <v>226</v>
      </c>
      <c r="Q128" s="1" t="s">
        <v>227</v>
      </c>
      <c r="R128" s="1" t="s">
        <v>236</v>
      </c>
      <c r="S128" s="1" t="s">
        <v>228</v>
      </c>
      <c r="T128" s="1" t="s">
        <v>411</v>
      </c>
      <c r="U128" s="1" t="s">
        <v>249</v>
      </c>
      <c r="V128" s="1" t="s">
        <v>228</v>
      </c>
      <c r="W128" s="1" t="s">
        <v>2034</v>
      </c>
      <c r="X128" s="1" t="s">
        <v>249</v>
      </c>
      <c r="Y128" s="1" t="s">
        <v>1356</v>
      </c>
      <c r="Z128" s="1" t="s">
        <v>240</v>
      </c>
      <c r="AA128" s="44" t="s">
        <v>346</v>
      </c>
      <c r="AB128" s="1" t="s">
        <v>2035</v>
      </c>
      <c r="AC128" s="1" t="s">
        <v>2650</v>
      </c>
      <c r="AD128" s="1" t="s">
        <v>5015</v>
      </c>
      <c r="AE128" s="1" t="s">
        <v>5016</v>
      </c>
      <c r="AF128" s="1" t="s">
        <v>488</v>
      </c>
      <c r="AG128" s="1">
        <v>19</v>
      </c>
      <c r="AH128" s="5" t="s">
        <v>5017</v>
      </c>
      <c r="AI128" s="1">
        <v>5536076509</v>
      </c>
      <c r="AJ128" s="1">
        <v>5592938375</v>
      </c>
      <c r="AK128" s="1"/>
      <c r="AL128" s="1" t="s">
        <v>5018</v>
      </c>
      <c r="AM128" s="1" t="s">
        <v>1585</v>
      </c>
      <c r="AN128" s="1" t="s">
        <v>2579</v>
      </c>
      <c r="AO128" s="1" t="s">
        <v>5019</v>
      </c>
      <c r="AP128" s="1">
        <v>21</v>
      </c>
      <c r="AQ128" s="1" t="s">
        <v>303</v>
      </c>
      <c r="AR128" s="42">
        <v>0.29166666666424135</v>
      </c>
      <c r="AS128" s="42">
        <v>0.125</v>
      </c>
      <c r="AT128" s="1">
        <v>5536076509</v>
      </c>
      <c r="AU128" s="1">
        <v>5592938375</v>
      </c>
      <c r="AV128" s="1"/>
      <c r="AW128" s="5" t="s">
        <v>5020</v>
      </c>
      <c r="AX128" s="1" t="s">
        <v>1349</v>
      </c>
      <c r="AY128" s="1" t="s">
        <v>2036</v>
      </c>
      <c r="AZ128" s="1" t="s">
        <v>1170</v>
      </c>
      <c r="BA128" s="1" t="s">
        <v>265</v>
      </c>
      <c r="BB128" s="1">
        <v>37</v>
      </c>
      <c r="BC128" s="1" t="s">
        <v>454</v>
      </c>
      <c r="BD128" s="43">
        <v>4.1666666664241347E-2</v>
      </c>
      <c r="BE128" s="43">
        <v>1</v>
      </c>
      <c r="BF128" s="1">
        <v>5631116727</v>
      </c>
      <c r="BG128" s="1">
        <v>5592938375</v>
      </c>
      <c r="BH128" s="1"/>
      <c r="BI128" s="5" t="s">
        <v>5021</v>
      </c>
      <c r="BJ128" s="1" t="s">
        <v>236</v>
      </c>
      <c r="BL128" s="1">
        <v>1.64</v>
      </c>
      <c r="BM128" s="1">
        <v>63</v>
      </c>
      <c r="BN128" s="1" t="s">
        <v>236</v>
      </c>
      <c r="BO128" s="1" t="s">
        <v>228</v>
      </c>
      <c r="BQ128" s="1" t="s">
        <v>228</v>
      </c>
      <c r="BR128" s="1" t="s">
        <v>237</v>
      </c>
      <c r="BS128" s="1" t="s">
        <v>236</v>
      </c>
      <c r="BT128" s="1" t="s">
        <v>462</v>
      </c>
      <c r="BU128" s="1" t="s">
        <v>228</v>
      </c>
      <c r="BW128" s="1" t="s">
        <v>238</v>
      </c>
      <c r="BX128" s="1">
        <v>30</v>
      </c>
      <c r="BY128" s="1">
        <v>70</v>
      </c>
      <c r="BZ128" s="1" t="s">
        <v>253</v>
      </c>
      <c r="CA128" s="1" t="s">
        <v>343</v>
      </c>
      <c r="CB128" s="1" t="s">
        <v>240</v>
      </c>
      <c r="CC128" s="1" t="s">
        <v>484</v>
      </c>
      <c r="CD128" s="1">
        <v>4500</v>
      </c>
      <c r="CE128" s="1">
        <v>1000</v>
      </c>
      <c r="CF128" s="1" t="s">
        <v>236</v>
      </c>
      <c r="CG128" s="1" t="s">
        <v>242</v>
      </c>
      <c r="CH128" s="1" t="s">
        <v>243</v>
      </c>
      <c r="CI128" s="1" t="s">
        <v>243</v>
      </c>
      <c r="CJ128" s="1" t="s">
        <v>2848</v>
      </c>
      <c r="CL128" s="5" t="s">
        <v>5022</v>
      </c>
      <c r="CM128" s="1">
        <v>55210675298</v>
      </c>
      <c r="CN128" s="1" t="s">
        <v>228</v>
      </c>
      <c r="CQ128" s="42">
        <v>0.29166666666424135</v>
      </c>
      <c r="CR128" s="42">
        <v>0.125</v>
      </c>
      <c r="CT128" s="45" t="str">
        <f t="array" ref="CT128">IFERROR(INDEX(#REF!,MATCH('Respuestas de formulario 1.1'!$B128,#REF!,0),MATCH('Respuestas de formulario 1.1'!CT$1,#REF!,0)),"")</f>
        <v/>
      </c>
      <c r="CU128" s="56" t="str">
        <f t="array" ref="CU128">IFERROR(INDEX(#REF!,MATCH('Respuestas de formulario 1.1'!$B128,#REF!,0),MATCH('Respuestas de formulario 1.1'!CU$1,#REF!,0)),"")</f>
        <v/>
      </c>
      <c r="CV128" s="56" t="str">
        <f t="array" ref="CV128">IFERROR(INDEX(#REF!,MATCH('Respuestas de formulario 1.1'!$B128,#REF!,0),MATCH('Respuestas de formulario 1.1'!CV$1,#REF!,0)),"")</f>
        <v/>
      </c>
      <c r="CW128" s="56" t="str">
        <f t="array" ref="CW128">IFERROR(INDEX(#REF!,MATCH('Respuestas de formulario 1.1'!$B128,#REF!,0),MATCH('Respuestas de formulario 1.1'!CW$1,#REF!,0)),"")</f>
        <v/>
      </c>
      <c r="CX128" s="56" t="str">
        <f t="array" ref="CX128">IFERROR(INDEX(#REF!,MATCH('Respuestas de formulario 1.1'!$B128,#REF!,0),MATCH('Respuestas de formulario 1.1'!CX$1,#REF!,0)),"")</f>
        <v/>
      </c>
      <c r="CY128" s="56" t="str">
        <f t="array" ref="CY128">IFERROR(INDEX(#REF!,MATCH('Respuestas de formulario 1.1'!$B128,#REF!,0),MATCH('Respuestas de formulario 1.1'!CY$1,#REF!,0)),"")</f>
        <v/>
      </c>
      <c r="CZ128" s="57" t="str">
        <f t="array" ref="CZ128">IFERROR(INDEX(#REF!,MATCH('Respuestas de formulario 1.1'!$B128,#REF!,0),MATCH('Respuestas de formulario 1.1'!CZ$1,#REF!,0)),"")</f>
        <v/>
      </c>
      <c r="DA128" s="45" t="e">
        <f t="array" ref="DA128">INDEX(#REF!,MATCH('Respuestas de formulario 1.1'!$B128,#REF!,0),MATCH('Respuestas de formulario 1.1'!DA$1,#REF!,0))</f>
        <v>#REF!</v>
      </c>
      <c r="DB128" s="45" t="e">
        <f t="array" ref="DB128">INDEX(#REF!,MATCH('Respuestas de formulario 1.1'!$B128,#REF!,0),MATCH('Respuestas de formulario 1.1'!DB$1,#REF!,0))</f>
        <v>#REF!</v>
      </c>
      <c r="DC128" s="45" t="e">
        <f t="array" ref="DC128">INDEX(#REF!,MATCH('Respuestas de formulario 1.1'!$B128,#REF!,0),MATCH('Respuestas de formulario 1.1'!DC$1,#REF!,0))</f>
        <v>#REF!</v>
      </c>
      <c r="DD128" s="45" t="e">
        <f t="array" ref="DD128">INDEX(#REF!,MATCH('Respuestas de formulario 1.1'!$B128,#REF!,0),MATCH('Respuestas de formulario 1.1'!DD$1,#REF!,0))</f>
        <v>#REF!</v>
      </c>
      <c r="DE128" s="45" t="e">
        <f t="array" ref="DE128">INDEX(#REF!,MATCH('Respuestas de formulario 1.1'!$B128,#REF!,0),MATCH('Respuestas de formulario 1.1'!DE$1,#REF!,0))</f>
        <v>#REF!</v>
      </c>
      <c r="DF128" s="45" t="e">
        <f t="array" ref="DF128">INDEX(#REF!,MATCH('Respuestas de formulario 1.1'!$B128,#REF!,0),MATCH('Respuestas de formulario 1.1'!DF$1,#REF!,0))</f>
        <v>#REF!</v>
      </c>
      <c r="DG128" s="45" t="e">
        <f t="array" ref="DG128">INDEX(#REF!,MATCH('Respuestas de formulario 1.1'!$B128,#REF!,0),MATCH('Respuestas de formulario 1.1'!DG$1,#REF!,0))</f>
        <v>#REF!</v>
      </c>
      <c r="DH128" s="45" t="e">
        <f t="array" ref="DH128">INDEX(#REF!,MATCH('Respuestas de formulario 1.1'!$B128,#REF!,0),MATCH('Respuestas de formulario 1.1'!DH$1,#REF!,0))</f>
        <v>#REF!</v>
      </c>
      <c r="DI128" s="48" t="e">
        <f>VLOOKUP(CONCATENATE($DF128," TUTO ",$DC128),#REF!,3,0)</f>
        <v>#REF!</v>
      </c>
      <c r="DJ128" s="48" t="e">
        <f t="array" ref="DJ128">IF('Respuestas de formulario 1.1'!A128="","",INDEX(#REF!,MATCH('Respuestas de formulario 1.1'!B128,#REF!,0),MATCH('Respuestas de formulario 1.1'!$DH$1,#REF!,0)))</f>
        <v>#REF!</v>
      </c>
      <c r="DK128" s="52" t="str">
        <f>CONCATENATE("http://doc.google.com/uc?id=",MID('Respuestas de formulario 1.1'!G128,34,33))</f>
        <v>http://doc.google.com/uc?id=1QuoqL9XZ0DHa2jMFcjcJDtuQGyml1Lh4</v>
      </c>
      <c r="DL128" s="49" t="str">
        <f>CONCATENATE("http://doc.google.com/uc?id=",MID('Respuestas de formulario 1.1'!AH128,34,33))</f>
        <v>http://doc.google.com/uc?id=1JhlKN9FxxdWz2Zy0B16pDRumBcIQ_e37</v>
      </c>
      <c r="DM128" s="50" t="str">
        <f>CONCATENATE("http://doc.google.com/uc?id=",MID('Respuestas de formulario 1.1'!AW128,34,33))</f>
        <v>http://doc.google.com/uc?id=1jBM2SyNPJ4Y299rPTLUgscTfebGt1hn_</v>
      </c>
      <c r="DN128" s="53" t="str">
        <f>CONCATENATE("http://doc.google.com/uc?id=",MID('Respuestas de formulario 1.1'!$BI128,34,33))</f>
        <v>http://doc.google.com/uc?id=1F1lSbBq4nlEACzjSrRb18_Z-O7TyWlVK</v>
      </c>
      <c r="DO128" s="45" t="str">
        <f>IFERROR(VLOOKUP(CONCATENATE('Respuestas de formulario 1.1'!$B128,MID('Respuestas de formulario 1.1'!DO$1,2,1)),#REF!,12,0),"")</f>
        <v/>
      </c>
      <c r="DP128" s="45" t="str">
        <f>IFERROR(VLOOKUP(CONCATENATE('Respuestas de formulario 1.1'!$B128,MID('Respuestas de formulario 1.1'!DP$1,2,1)),#REF!,12,0),"")</f>
        <v/>
      </c>
      <c r="DQ128" s="45" t="str">
        <f>IFERROR(VLOOKUP(CONCATENATE('Respuestas de formulario 1.1'!$B128,MID('Respuestas de formulario 1.1'!DQ$1,2,1)),#REF!,12,0),"")</f>
        <v/>
      </c>
      <c r="DR128" s="45" t="str">
        <f>IFERROR(VLOOKUP(CONCATENATE('Respuestas de formulario 1.1'!$B128,MID('Respuestas de formulario 1.1'!DR$1,2,1)),#REF!,12,0),"")</f>
        <v/>
      </c>
      <c r="DS128" s="45" t="str">
        <f>IFERROR(VLOOKUP(CONCATENATE('Respuestas de formulario 1.1'!$B128,MID('Respuestas de formulario 1.1'!DS$1,2,1)),#REF!,12,0),"")</f>
        <v/>
      </c>
      <c r="DT128" s="45" t="str">
        <f>IFERROR(VLOOKUP(CONCATENATE('Respuestas de formulario 1.1'!$B128,MID('Respuestas de formulario 1.1'!DT$1,2,1)),#REF!,12,0),"")</f>
        <v/>
      </c>
      <c r="DU128" s="45" t="str">
        <f>IFERROR(VLOOKUP(CONCATENATE('Respuestas de formulario 1.1'!$B128,MID('Respuestas de formulario 1.1'!DU$1,2,1)),#REF!,12,0),"")</f>
        <v/>
      </c>
      <c r="DV128" s="45" t="str">
        <f>IFERROR(VLOOKUP(CONCATENATE('Respuestas de formulario 1.1'!$B128,MID('Respuestas de formulario 1.1'!DV$1,2,1)),#REF!,12,0),"")</f>
        <v/>
      </c>
      <c r="DW128" s="45" t="str">
        <f>IFERROR(VLOOKUP(CONCATENATE('Respuestas de formulario 1.1'!$B128,MID('Respuestas de formulario 1.1'!DW$1,2,1)),#REF!,12,0),"")</f>
        <v/>
      </c>
      <c r="DX128" s="45" t="str">
        <f>IFERROR(VLOOKUP(CONCATENATE('Respuestas de formulario 1.1'!$B128,MID('Respuestas de formulario 1.1'!DX$1,2,1)),#REF!,12,0),"")</f>
        <v/>
      </c>
      <c r="DY128" s="45" t="str">
        <f>IFERROR(VLOOKUP(CONCATENATE('Respuestas de formulario 1.1'!$B128,MID('Respuestas de formulario 1.1'!DY$1,2,1)),#REF!,12,0),"")</f>
        <v/>
      </c>
      <c r="DZ128" s="45" t="str">
        <f>IFERROR(VLOOKUP(CONCATENATE('Respuestas de formulario 1.1'!$B128,MID('Respuestas de formulario 1.1'!DZ$1,2,1)),#REF!,12,0),"")</f>
        <v/>
      </c>
      <c r="EA128" s="45" t="str">
        <f>IFERROR(VLOOKUP(CONCATENATE('Respuestas de formulario 1.1'!$B128,MID('Respuestas de formulario 1.1'!EA$1,2,1)),#REF!,12,0),"")</f>
        <v/>
      </c>
      <c r="EB128" s="45" t="str">
        <f>IFERROR(VLOOKUP(CONCATENATE('Respuestas de formulario 1.1'!$B128,MID('Respuestas de formulario 1.1'!EB$1,2,1)),#REF!,12,0),"")</f>
        <v/>
      </c>
      <c r="EC128" s="45" t="str">
        <f>IFERROR(VLOOKUP(CONCATENATE('Respuestas de formulario 1.1'!$B128,MID('Respuestas de formulario 1.1'!EC$1,2,1)),#REF!,12,0),"")</f>
        <v/>
      </c>
      <c r="ED128" s="45" t="str">
        <f>IFERROR(VLOOKUP(CONCATENATE('Respuestas de formulario 1.1'!$B128,MID('Respuestas de formulario 1.1'!ED$1,2,1)),#REF!,12,0),"")</f>
        <v/>
      </c>
      <c r="EE128" s="45" t="str">
        <f>IFERROR(VLOOKUP(CONCATENATE('Respuestas de formulario 1.1'!$B128,MID('Respuestas de formulario 1.1'!EE$1,2,1)),#REF!,12,0),"")</f>
        <v/>
      </c>
      <c r="EF128" s="45" t="str">
        <f>IFERROR(VLOOKUP(CONCATENATE('Respuestas de formulario 1.1'!$B128,MID('Respuestas de formulario 1.1'!EF$1,2,1)),#REF!,12,0),"")</f>
        <v/>
      </c>
      <c r="EG128" s="45" t="str">
        <f>IFERROR(VLOOKUP(CONCATENATE('Respuestas de formulario 1.1'!$B128,MID('Respuestas de formulario 1.1'!EG$1,2,1)),#REF!,12,0),"")</f>
        <v/>
      </c>
      <c r="EH128" s="45" t="str">
        <f>IFERROR(VLOOKUP(CONCATENATE('Respuestas de formulario 1.1'!$B128,MID('Respuestas de formulario 1.1'!EH$1,2,1)),#REF!,12,0),"")</f>
        <v/>
      </c>
      <c r="EI128" s="45" t="str">
        <f>IFERROR(VLOOKUP(CONCATENATE('Respuestas de formulario 1.1'!$B128,MID('Respuestas de formulario 1.1'!EI$1,2,1)),#REF!,12,0),"")</f>
        <v/>
      </c>
      <c r="EJ128" s="45" t="str">
        <f t="array" ref="EJ128">IF(DO128="","", INDEX(#REF!,MATCH(CONCATENATE('Respuestas de formulario 1.1'!$B128,DO128),#REF!,0),MATCH('Respuestas de formulario 1.1'!EJ$1,#REF!,0)))</f>
        <v/>
      </c>
      <c r="EK128" s="56" t="str">
        <f t="array" ref="EK128">IF(DP128="","", INDEX(#REF!,MATCH(CONCATENATE('Respuestas de formulario 1.1'!$B128,DP128),#REF!,0),MATCH('Respuestas de formulario 1.1'!EK$1,#REF!,0)))</f>
        <v/>
      </c>
      <c r="EL128" s="56" t="str">
        <f t="array" ref="EL128">IF(DQ128="","", INDEX(#REF!,MATCH(CONCATENATE('Respuestas de formulario 1.1'!$B128,DQ128),#REF!,0),MATCH('Respuestas de formulario 1.1'!EL$1,#REF!,0)))</f>
        <v/>
      </c>
      <c r="EM128" s="56" t="str">
        <f t="array" ref="EM128">IF(DR128="","", INDEX(#REF!,MATCH(CONCATENATE('Respuestas de formulario 1.1'!$B128,DR128),#REF!,0),MATCH('Respuestas de formulario 1.1'!EM$1,#REF!,0)))</f>
        <v/>
      </c>
      <c r="EN128" s="56" t="str">
        <f t="array" ref="EN128">IF(DS128="","", INDEX(#REF!,MATCH(CONCATENATE('Respuestas de formulario 1.1'!$B128,DS128),#REF!,0),MATCH('Respuestas de formulario 1.1'!EN$1,#REF!,0)))</f>
        <v/>
      </c>
      <c r="EO128" s="56" t="str">
        <f t="array" ref="EO128">IF(DT128="","", INDEX(#REF!,MATCH(CONCATENATE('Respuestas de formulario 1.1'!$B128,DT128),#REF!,0),MATCH('Respuestas de formulario 1.1'!EO$1,#REF!,0)))</f>
        <v/>
      </c>
      <c r="EP128" s="45" t="str">
        <f t="array" ref="EP128">IF(DU128="","", INDEX(#REF!,MATCH(CONCATENATE('Respuestas de formulario 1.1'!$B128,DU128),#REF!,0),MATCH('Respuestas de formulario 1.1'!EP$1,#REF!,0)))</f>
        <v/>
      </c>
      <c r="EQ128" s="45" t="str">
        <f t="array" ref="EQ128">IF(DP128="","", INDEX(#REF!,MATCH(CONCATENATE('Respuestas de formulario 1.1'!$B128,DP128),#REF!,0),MATCH('Respuestas de formulario 1.1'!EQ$1,#REF!,0)))</f>
        <v/>
      </c>
      <c r="ER128" s="56" t="str">
        <f t="array" ref="ER128">IF(DQ128="","", INDEX(#REF!,MATCH(CONCATENATE('Respuestas de formulario 1.1'!$B128,DQ128),#REF!,0),MATCH('Respuestas de formulario 1.1'!ER$1,#REF!,0)))</f>
        <v/>
      </c>
      <c r="ES128" s="56" t="str">
        <f t="array" ref="ES128">IF(DR128="","", INDEX(#REF!,MATCH(CONCATENATE('Respuestas de formulario 1.1'!$B128,DR128),#REF!,0),MATCH('Respuestas de formulario 1.1'!ES$1,#REF!,0)))</f>
        <v/>
      </c>
      <c r="ET128" s="56" t="str">
        <f t="array" ref="ET128">IF(DS128="","", INDEX(#REF!,MATCH(CONCATENATE('Respuestas de formulario 1.1'!$B128,DS128),#REF!,0),MATCH('Respuestas de formulario 1.1'!ET$1,#REF!,0)))</f>
        <v/>
      </c>
      <c r="EU128" s="56" t="str">
        <f t="array" ref="EU128">IF(DT128="","", INDEX(#REF!,MATCH(CONCATENATE('Respuestas de formulario 1.1'!$B128,DT128),#REF!,0),MATCH('Respuestas de formulario 1.1'!EU$1,#REF!,0)))</f>
        <v/>
      </c>
      <c r="EV128" s="56" t="str">
        <f t="array" ref="EV128">IF(DU128="","", INDEX(#REF!,MATCH(CONCATENATE('Respuestas de formulario 1.1'!$B128,DU128),#REF!,0),MATCH('Respuestas de formulario 1.1'!EV$1,#REF!,0)))</f>
        <v/>
      </c>
      <c r="EW128" s="45" t="str">
        <f t="array" ref="EW128">IF(DV128="","", INDEX(#REF!,MATCH(CONCATENATE('Respuestas de formulario 1.1'!$B128,DV128),#REF!,0),MATCH('Respuestas de formulario 1.1'!EW$1,#REF!,0)))</f>
        <v/>
      </c>
      <c r="EX128" s="45" t="str">
        <f t="array" ref="EX128">IF($DQ128="","", INDEX(#REF!,MATCH(CONCATENATE('Respuestas de formulario 1.1'!$B128,$DQ128),#REF!,0),MATCH('Respuestas de formulario 1.1'!EX$1,#REF!,0)))</f>
        <v/>
      </c>
      <c r="EY128" s="56" t="str">
        <f t="array" ref="EY128">IF($DQ128="","", INDEX(#REF!,MATCH(CONCATENATE('Respuestas de formulario 1.1'!$B128,$DQ128),#REF!,0),MATCH('Respuestas de formulario 1.1'!EY$1,#REF!,0)))</f>
        <v/>
      </c>
      <c r="EZ128" s="56" t="str">
        <f t="array" ref="EZ128">IF($DQ128="","", INDEX(#REF!,MATCH(CONCATENATE('Respuestas de formulario 1.1'!$B128,$DQ128),#REF!,0),MATCH('Respuestas de formulario 1.1'!EZ$1,#REF!,0)))</f>
        <v/>
      </c>
      <c r="FA128" s="56" t="str">
        <f t="array" ref="FA128">IF($DQ128="","", INDEX(#REF!,MATCH(CONCATENATE('Respuestas de formulario 1.1'!$B128,$DQ128),#REF!,0),MATCH('Respuestas de formulario 1.1'!FA$1,#REF!,0)))</f>
        <v/>
      </c>
      <c r="FB128" s="56" t="str">
        <f t="array" ref="FB128">IF($DQ128="","", INDEX(#REF!,MATCH(CONCATENATE('Respuestas de formulario 1.1'!$B128,$DQ128),#REF!,0),MATCH('Respuestas de formulario 1.1'!FB$1,#REF!,0)))</f>
        <v/>
      </c>
      <c r="FC128" s="56" t="str">
        <f t="array" ref="FC128">IF($DQ128="","", INDEX(#REF!,MATCH(CONCATENATE('Respuestas de formulario 1.1'!$B128,$DQ128),#REF!,0),MATCH('Respuestas de formulario 1.1'!FC$1,#REF!,0)))</f>
        <v/>
      </c>
      <c r="FD128" s="45" t="str">
        <f t="array" ref="FD128">IF($DQ128="","", INDEX(#REF!,MATCH(CONCATENATE('Respuestas de formulario 1.1'!$B128,$DQ128),#REF!,0),MATCH('Respuestas de formulario 1.1'!FD$1,#REF!,0)))</f>
        <v/>
      </c>
      <c r="FE128" s="45" t="str">
        <f t="array" ref="FE128">IF($DR128="","", INDEX(#REF!,MATCH(CONCATENATE(#REF!,$DR128),#REF!,0),MATCH(#REF!,#REF!,0)))</f>
        <v/>
      </c>
      <c r="FF128" s="56" t="str">
        <f t="array" ref="FF128">IF($DR128="","", INDEX(#REF!,MATCH(CONCATENATE(#REF!,$DR128),#REF!,0),MATCH(#REF!,#REF!,0)))</f>
        <v/>
      </c>
      <c r="FG128" s="56" t="str">
        <f t="array" ref="FG128">IF($DR128="","", INDEX(#REF!,MATCH(CONCATENATE(#REF!,$DR128),#REF!,0),MATCH(#REF!,#REF!,0)))</f>
        <v/>
      </c>
      <c r="FH128" s="56" t="str">
        <f t="array" ref="FH128">IF($DR128="","", INDEX(#REF!,MATCH(CONCATENATE(#REF!,$DR128),#REF!,0),MATCH(#REF!,#REF!,0)))</f>
        <v/>
      </c>
      <c r="FI128" s="56" t="str">
        <f t="array" ref="FI128">IF($DR128="","", INDEX(#REF!,MATCH(CONCATENATE(#REF!,$DR128),#REF!,0),MATCH(#REF!,#REF!,0)))</f>
        <v/>
      </c>
      <c r="FJ128" s="56" t="str">
        <f t="array" ref="FJ128">IF($DR128="","", INDEX(#REF!,MATCH(CONCATENATE(#REF!,$DR128),#REF!,0),MATCH(#REF!,#REF!,0)))</f>
        <v/>
      </c>
      <c r="FK128" s="45" t="str">
        <f t="array" ref="FK128">IF($DR128="","", INDEX(#REF!,MATCH(CONCATENATE(#REF!,$DR128),#REF!,0),MATCH(#REF!,#REF!,0)))</f>
        <v/>
      </c>
      <c r="FL128" s="45" t="str">
        <f t="array" ref="FL128">IF($DT128="","", INDEX(#REF!,MATCH(CONCATENATE('Respuestas de formulario 1.1'!$B128,$DS128),#REF!,0),MATCH('Respuestas de formulario 1.1'!FL$1,#REF!,0)))</f>
        <v/>
      </c>
      <c r="FM128" s="56" t="str">
        <f t="array" ref="FM128">IF($DT128="","", INDEX(#REF!,MATCH(CONCATENATE('Respuestas de formulario 1.1'!$B128,$DS128),#REF!,0),MATCH('Respuestas de formulario 1.1'!FM$1,#REF!,0)))</f>
        <v/>
      </c>
      <c r="FN128" s="56" t="str">
        <f t="array" ref="FN128">IF($DT128="","", INDEX(#REF!,MATCH(CONCATENATE('Respuestas de formulario 1.1'!$B128,$DS128),#REF!,0),MATCH('Respuestas de formulario 1.1'!FN$1,#REF!,0)))</f>
        <v/>
      </c>
      <c r="FO128" s="56" t="str">
        <f t="array" ref="FO128">IF($DT128="","", INDEX(#REF!,MATCH(CONCATENATE('Respuestas de formulario 1.1'!$B128,$DS128),#REF!,0),MATCH('Respuestas de formulario 1.1'!FO$1,#REF!,0)))</f>
        <v/>
      </c>
      <c r="FP128" s="56" t="str">
        <f t="array" ref="FP128">IF($DT128="","", INDEX(#REF!,MATCH(CONCATENATE('Respuestas de formulario 1.1'!$B128,$DS128),#REF!,0),MATCH('Respuestas de formulario 1.1'!FP$1,#REF!,0)))</f>
        <v/>
      </c>
      <c r="FQ128" s="56" t="str">
        <f t="array" ref="FQ128">IF($DT128="","", INDEX(#REF!,MATCH(CONCATENATE('Respuestas de formulario 1.1'!$B128,$DS128),#REF!,0),MATCH('Respuestas de formulario 1.1'!FQ$1,#REF!,0)))</f>
        <v/>
      </c>
      <c r="FR128" s="45" t="str">
        <f t="array" ref="FR128">IF($DT128="","", INDEX(#REF!,MATCH(CONCATENATE('Respuestas de formulario 1.1'!$B128,$DS128),#REF!,0),MATCH('Respuestas de formulario 1.1'!FR$1,#REF!,0)))</f>
        <v/>
      </c>
      <c r="FS128" s="45" t="str">
        <f t="array" ref="FS128">IF($DU128="","", INDEX(#REF!,MATCH(CONCATENATE('Respuestas de formulario 1.1'!$B128,$DT128),#REF!,0),MATCH('Respuestas de formulario 1.1'!FS$1,#REF!,0)))</f>
        <v/>
      </c>
      <c r="FT128" s="56" t="str">
        <f t="array" ref="FT128">IF($DU128="","", INDEX(#REF!,MATCH(CONCATENATE('Respuestas de formulario 1.1'!$B128,$DT128),#REF!,0),MATCH('Respuestas de formulario 1.1'!FT$1,#REF!,0)))</f>
        <v/>
      </c>
      <c r="FU128" s="56" t="str">
        <f t="array" ref="FU128">IF($DU128="","", INDEX(#REF!,MATCH(CONCATENATE('Respuestas de formulario 1.1'!$B128,$DT128),#REF!,0),MATCH('Respuestas de formulario 1.1'!FU$1,#REF!,0)))</f>
        <v/>
      </c>
      <c r="FV128" s="56" t="str">
        <f t="array" ref="FV128">IF($DU128="","", INDEX(#REF!,MATCH(CONCATENATE('Respuestas de formulario 1.1'!$B128,$DT128),#REF!,0),MATCH('Respuestas de formulario 1.1'!FV$1,#REF!,0)))</f>
        <v/>
      </c>
      <c r="FW128" s="56" t="str">
        <f t="array" ref="FW128">IF($DU128="","", INDEX(#REF!,MATCH(CONCATENATE('Respuestas de formulario 1.1'!$B128,$DT128),#REF!,0),MATCH('Respuestas de formulario 1.1'!FW$1,#REF!,0)))</f>
        <v/>
      </c>
      <c r="FX128" s="56" t="str">
        <f t="array" ref="FX128">IF($DU128="","", INDEX(#REF!,MATCH(CONCATENATE('Respuestas de formulario 1.1'!$B128,$DT128),#REF!,0),MATCH('Respuestas de formulario 1.1'!FX$1,#REF!,0)))</f>
        <v/>
      </c>
      <c r="FY128" s="45" t="str">
        <f t="array" ref="FY128">IF($DU128="","", INDEX(#REF!,MATCH(CONCATENATE('Respuestas de formulario 1.1'!$B128,$DT128),#REF!,0),MATCH('Respuestas de formulario 1.1'!FY$1,#REF!,0)))</f>
        <v/>
      </c>
      <c r="FZ128" s="3" t="s">
        <v>2860</v>
      </c>
      <c r="GA128" s="1" t="s">
        <v>5023</v>
      </c>
      <c r="GB128" s="5" t="s">
        <v>5024</v>
      </c>
      <c r="GC128" s="4" t="str">
        <f>HYPERLINK("https://drive.google.com/file/d/1rg3nzynwVGPqAyW9ilneL43ilHy_V3ku/view?usp=drivesdk","SAAVEDRA  NERI CAMILA Formato de reinscripción y pago 2022-2")</f>
        <v>SAAVEDRA  NERI CAMILA Formato de reinscripción y pago 2022-2</v>
      </c>
      <c r="GD128" s="1" t="s">
        <v>5025</v>
      </c>
      <c r="GE128" s="1"/>
      <c r="GF128" s="1"/>
      <c r="GG128" s="1"/>
      <c r="GH128" s="1"/>
      <c r="GI128" s="1" t="s">
        <v>5026</v>
      </c>
      <c r="GJ128" s="5" t="s">
        <v>5027</v>
      </c>
      <c r="GK128" s="5" t="str">
        <f>HYPERLINK("https://drive.google.com/file/d/1FOmZZyrcF0MKEMfkJzqfD7SfbupxAgxq/view?usp=drivesdk","SAAVEDRA  NERI CAMILA Formato de reinscripción y pago 2022-2")</f>
        <v>SAAVEDRA  NERI CAMILA Formato de reinscripción y pago 2022-2</v>
      </c>
      <c r="GL128" s="1" t="s">
        <v>5028</v>
      </c>
    </row>
    <row r="129" spans="1:194" ht="38.25" x14ac:dyDescent="0.2">
      <c r="A129" s="2">
        <v>45139.443528321761</v>
      </c>
      <c r="B129" s="1" t="s">
        <v>1364</v>
      </c>
      <c r="C129" s="1" t="s">
        <v>1365</v>
      </c>
      <c r="D129" s="1" t="s">
        <v>433</v>
      </c>
      <c r="E129" s="1" t="s">
        <v>1366</v>
      </c>
      <c r="F129" s="1" t="s">
        <v>223</v>
      </c>
      <c r="G129" s="5" t="s">
        <v>5029</v>
      </c>
      <c r="H129" s="41">
        <v>39165</v>
      </c>
      <c r="I129" s="1">
        <v>16</v>
      </c>
      <c r="J129" s="1">
        <v>5582922247</v>
      </c>
      <c r="K129" s="1">
        <v>8</v>
      </c>
      <c r="L129" s="1" t="s">
        <v>1367</v>
      </c>
      <c r="M129" s="1">
        <v>22309060570273</v>
      </c>
      <c r="N129" s="1" t="s">
        <v>562</v>
      </c>
      <c r="O129" s="1" t="s">
        <v>225</v>
      </c>
      <c r="P129" s="1" t="s">
        <v>278</v>
      </c>
      <c r="Q129" s="1" t="s">
        <v>248</v>
      </c>
      <c r="R129" s="1" t="s">
        <v>236</v>
      </c>
      <c r="S129" s="1" t="s">
        <v>228</v>
      </c>
      <c r="T129" s="1" t="s">
        <v>229</v>
      </c>
      <c r="U129" s="1" t="s">
        <v>249</v>
      </c>
      <c r="V129" s="1" t="s">
        <v>228</v>
      </c>
      <c r="W129" s="1" t="s">
        <v>5030</v>
      </c>
      <c r="X129" s="1" t="s">
        <v>249</v>
      </c>
      <c r="Y129" s="1" t="s">
        <v>1030</v>
      </c>
      <c r="Z129" s="1" t="s">
        <v>240</v>
      </c>
      <c r="AA129" s="44" t="s">
        <v>555</v>
      </c>
      <c r="AB129" s="1">
        <v>8</v>
      </c>
      <c r="AC129" s="1">
        <v>8</v>
      </c>
      <c r="AD129" s="1" t="s">
        <v>5031</v>
      </c>
      <c r="AE129" s="1" t="s">
        <v>5032</v>
      </c>
      <c r="AF129" s="1" t="s">
        <v>461</v>
      </c>
      <c r="AG129" s="1">
        <v>37</v>
      </c>
      <c r="AH129" s="5" t="s">
        <v>5033</v>
      </c>
      <c r="AI129" s="1">
        <v>5621266407</v>
      </c>
      <c r="AJ129" s="1">
        <v>5621266407</v>
      </c>
      <c r="AK129" s="1" t="s">
        <v>5034</v>
      </c>
      <c r="AL129" s="1" t="s">
        <v>1365</v>
      </c>
      <c r="AM129" s="1" t="s">
        <v>433</v>
      </c>
      <c r="AN129" s="1" t="s">
        <v>5035</v>
      </c>
      <c r="AO129" s="1" t="s">
        <v>493</v>
      </c>
      <c r="AP129" s="1">
        <v>60</v>
      </c>
      <c r="AQ129" s="1" t="s">
        <v>1020</v>
      </c>
      <c r="AR129" s="42">
        <v>0.33333333333575865</v>
      </c>
      <c r="AS129" s="42">
        <v>0.625</v>
      </c>
      <c r="AT129" s="1">
        <v>5515898697</v>
      </c>
      <c r="AU129" s="1">
        <v>5515898697</v>
      </c>
      <c r="AV129" s="1" t="s">
        <v>5036</v>
      </c>
      <c r="AW129" s="5" t="s">
        <v>5037</v>
      </c>
      <c r="AX129" s="1" t="s">
        <v>1365</v>
      </c>
      <c r="AY129" s="1" t="s">
        <v>259</v>
      </c>
      <c r="AZ129" s="1" t="s">
        <v>313</v>
      </c>
      <c r="BA129" s="1" t="s">
        <v>2220</v>
      </c>
      <c r="BB129" s="1">
        <v>28</v>
      </c>
      <c r="BC129" s="1" t="s">
        <v>729</v>
      </c>
      <c r="BD129" s="43">
        <v>0.29166666666424135</v>
      </c>
      <c r="BE129" s="43">
        <v>0.58333333333575865</v>
      </c>
      <c r="BF129" s="1">
        <v>5578205000</v>
      </c>
      <c r="BG129" s="1">
        <v>5578205000</v>
      </c>
      <c r="BH129" s="1" t="s">
        <v>5034</v>
      </c>
      <c r="BI129" s="5" t="s">
        <v>5038</v>
      </c>
      <c r="BJ129" s="1" t="s">
        <v>236</v>
      </c>
      <c r="BL129" s="1">
        <v>1.6</v>
      </c>
      <c r="BM129" s="1">
        <v>60</v>
      </c>
      <c r="BN129" s="1" t="s">
        <v>236</v>
      </c>
      <c r="BO129" s="1" t="s">
        <v>228</v>
      </c>
      <c r="BQ129" s="1" t="s">
        <v>228</v>
      </c>
      <c r="BR129" s="1" t="s">
        <v>237</v>
      </c>
      <c r="BS129" s="1" t="s">
        <v>228</v>
      </c>
      <c r="BT129" s="1" t="s">
        <v>237</v>
      </c>
      <c r="BU129" s="1" t="s">
        <v>228</v>
      </c>
      <c r="BW129" s="1" t="s">
        <v>238</v>
      </c>
      <c r="BX129" s="1">
        <v>2</v>
      </c>
      <c r="BY129" s="1">
        <v>35</v>
      </c>
      <c r="BZ129" s="1" t="s">
        <v>253</v>
      </c>
      <c r="CA129" s="1" t="s">
        <v>2359</v>
      </c>
      <c r="CB129" s="1" t="s">
        <v>240</v>
      </c>
      <c r="CC129" s="1" t="s">
        <v>255</v>
      </c>
      <c r="CD129" s="1">
        <v>1200</v>
      </c>
      <c r="CE129" s="1">
        <v>2500</v>
      </c>
      <c r="CF129" s="1" t="s">
        <v>236</v>
      </c>
      <c r="CG129" s="1" t="s">
        <v>242</v>
      </c>
      <c r="CH129" s="1" t="s">
        <v>243</v>
      </c>
      <c r="CI129" s="1" t="s">
        <v>243</v>
      </c>
      <c r="CJ129" s="1" t="s">
        <v>2848</v>
      </c>
      <c r="CL129" s="5" t="s">
        <v>5039</v>
      </c>
      <c r="CM129" s="44" t="s">
        <v>1368</v>
      </c>
      <c r="CN129" s="1" t="s">
        <v>236</v>
      </c>
      <c r="CO129" s="1" t="s">
        <v>2762</v>
      </c>
      <c r="CP129" s="1" t="s">
        <v>237</v>
      </c>
      <c r="CQ129" s="42">
        <v>0.29166666666424135</v>
      </c>
      <c r="CR129" s="42">
        <v>0.5</v>
      </c>
      <c r="CT129" s="45" t="str">
        <f t="array" ref="CT129">IFERROR(INDEX(#REF!,MATCH('Respuestas de formulario 1.1'!$B129,#REF!,0),MATCH('Respuestas de formulario 1.1'!CT$1,#REF!,0)),"")</f>
        <v/>
      </c>
      <c r="CU129" s="56" t="str">
        <f t="array" ref="CU129">IFERROR(INDEX(#REF!,MATCH('Respuestas de formulario 1.1'!$B129,#REF!,0),MATCH('Respuestas de formulario 1.1'!CU$1,#REF!,0)),"")</f>
        <v/>
      </c>
      <c r="CV129" s="56" t="str">
        <f t="array" ref="CV129">IFERROR(INDEX(#REF!,MATCH('Respuestas de formulario 1.1'!$B129,#REF!,0),MATCH('Respuestas de formulario 1.1'!CV$1,#REF!,0)),"")</f>
        <v/>
      </c>
      <c r="CW129" s="56" t="str">
        <f t="array" ref="CW129">IFERROR(INDEX(#REF!,MATCH('Respuestas de formulario 1.1'!$B129,#REF!,0),MATCH('Respuestas de formulario 1.1'!CW$1,#REF!,0)),"")</f>
        <v/>
      </c>
      <c r="CX129" s="56" t="str">
        <f t="array" ref="CX129">IFERROR(INDEX(#REF!,MATCH('Respuestas de formulario 1.1'!$B129,#REF!,0),MATCH('Respuestas de formulario 1.1'!CX$1,#REF!,0)),"")</f>
        <v/>
      </c>
      <c r="CY129" s="56" t="str">
        <f t="array" ref="CY129">IFERROR(INDEX(#REF!,MATCH('Respuestas de formulario 1.1'!$B129,#REF!,0),MATCH('Respuestas de formulario 1.1'!CY$1,#REF!,0)),"")</f>
        <v/>
      </c>
      <c r="CZ129" s="57" t="str">
        <f t="array" ref="CZ129">IFERROR(INDEX(#REF!,MATCH('Respuestas de formulario 1.1'!$B129,#REF!,0),MATCH('Respuestas de formulario 1.1'!CZ$1,#REF!,0)),"")</f>
        <v/>
      </c>
      <c r="DA129" s="45" t="e">
        <f t="array" ref="DA129">INDEX(#REF!,MATCH('Respuestas de formulario 1.1'!$B129,#REF!,0),MATCH('Respuestas de formulario 1.1'!DA$1,#REF!,0))</f>
        <v>#REF!</v>
      </c>
      <c r="DB129" s="45" t="e">
        <f t="array" ref="DB129">INDEX(#REF!,MATCH('Respuestas de formulario 1.1'!$B129,#REF!,0),MATCH('Respuestas de formulario 1.1'!DB$1,#REF!,0))</f>
        <v>#REF!</v>
      </c>
      <c r="DC129" s="45" t="e">
        <f t="array" ref="DC129">INDEX(#REF!,MATCH('Respuestas de formulario 1.1'!$B129,#REF!,0),MATCH('Respuestas de formulario 1.1'!DC$1,#REF!,0))</f>
        <v>#REF!</v>
      </c>
      <c r="DD129" s="45" t="e">
        <f t="array" ref="DD129">INDEX(#REF!,MATCH('Respuestas de formulario 1.1'!$B129,#REF!,0),MATCH('Respuestas de formulario 1.1'!DD$1,#REF!,0))</f>
        <v>#REF!</v>
      </c>
      <c r="DE129" s="45" t="e">
        <f t="array" ref="DE129">INDEX(#REF!,MATCH('Respuestas de formulario 1.1'!$B129,#REF!,0),MATCH('Respuestas de formulario 1.1'!DE$1,#REF!,0))</f>
        <v>#REF!</v>
      </c>
      <c r="DF129" s="45" t="e">
        <f t="array" ref="DF129">INDEX(#REF!,MATCH('Respuestas de formulario 1.1'!$B129,#REF!,0),MATCH('Respuestas de formulario 1.1'!DF$1,#REF!,0))</f>
        <v>#REF!</v>
      </c>
      <c r="DG129" s="45" t="e">
        <f t="array" ref="DG129">INDEX(#REF!,MATCH('Respuestas de formulario 1.1'!$B129,#REF!,0),MATCH('Respuestas de formulario 1.1'!DG$1,#REF!,0))</f>
        <v>#REF!</v>
      </c>
      <c r="DH129" s="45" t="e">
        <f t="array" ref="DH129">INDEX(#REF!,MATCH('Respuestas de formulario 1.1'!$B129,#REF!,0),MATCH('Respuestas de formulario 1.1'!DH$1,#REF!,0))</f>
        <v>#REF!</v>
      </c>
      <c r="DI129" s="48" t="e">
        <f>VLOOKUP(CONCATENATE($DF129," TUTO ",$DC129),#REF!,3,0)</f>
        <v>#REF!</v>
      </c>
      <c r="DJ129" s="48" t="e">
        <f t="array" ref="DJ129">IF('Respuestas de formulario 1.1'!A129="","",INDEX(#REF!,MATCH('Respuestas de formulario 1.1'!B129,#REF!,0),MATCH('Respuestas de formulario 1.1'!$DH$1,#REF!,0)))</f>
        <v>#REF!</v>
      </c>
      <c r="DK129" s="52" t="str">
        <f>CONCATENATE("http://doc.google.com/uc?id=",MID('Respuestas de formulario 1.1'!G129,34,33))</f>
        <v>http://doc.google.com/uc?id=1kJjVK1Jj81H2sBA10OviPAQeMPFQNdgt</v>
      </c>
      <c r="DL129" s="49" t="str">
        <f>CONCATENATE("http://doc.google.com/uc?id=",MID('Respuestas de formulario 1.1'!AH129,34,33))</f>
        <v>http://doc.google.com/uc?id=1wUzCar1P0FmeYJyF6GHrXwGqkfJ82_A7</v>
      </c>
      <c r="DM129" s="50" t="str">
        <f>CONCATENATE("http://doc.google.com/uc?id=",MID('Respuestas de formulario 1.1'!AW129,34,33))</f>
        <v>http://doc.google.com/uc?id=1OMEHSaI4qBnhOIpJMKda1XQWDqLgYddk</v>
      </c>
      <c r="DN129" s="53" t="str">
        <f>CONCATENATE("http://doc.google.com/uc?id=",MID('Respuestas de formulario 1.1'!$BI129,34,33))</f>
        <v>http://doc.google.com/uc?id=1uQiQN4rDGgK9LmMCd3et2DD5D68FzMr7</v>
      </c>
      <c r="DO129" s="45" t="str">
        <f>IFERROR(VLOOKUP(CONCATENATE('Respuestas de formulario 1.1'!$B129,MID('Respuestas de formulario 1.1'!DO$1,2,1)),#REF!,12,0),"")</f>
        <v/>
      </c>
      <c r="DP129" s="45" t="str">
        <f>IFERROR(VLOOKUP(CONCATENATE('Respuestas de formulario 1.1'!$B129,MID('Respuestas de formulario 1.1'!DP$1,2,1)),#REF!,12,0),"")</f>
        <v/>
      </c>
      <c r="DQ129" s="45" t="str">
        <f>IFERROR(VLOOKUP(CONCATENATE('Respuestas de formulario 1.1'!$B129,MID('Respuestas de formulario 1.1'!DQ$1,2,1)),#REF!,12,0),"")</f>
        <v/>
      </c>
      <c r="DR129" s="45" t="str">
        <f>IFERROR(VLOOKUP(CONCATENATE('Respuestas de formulario 1.1'!$B129,MID('Respuestas de formulario 1.1'!DR$1,2,1)),#REF!,12,0),"")</f>
        <v/>
      </c>
      <c r="DS129" s="45" t="str">
        <f>IFERROR(VLOOKUP(CONCATENATE('Respuestas de formulario 1.1'!$B129,MID('Respuestas de formulario 1.1'!DS$1,2,1)),#REF!,12,0),"")</f>
        <v/>
      </c>
      <c r="DT129" s="45" t="str">
        <f>IFERROR(VLOOKUP(CONCATENATE('Respuestas de formulario 1.1'!$B129,MID('Respuestas de formulario 1.1'!DT$1,2,1)),#REF!,12,0),"")</f>
        <v/>
      </c>
      <c r="DU129" s="45" t="str">
        <f>IFERROR(VLOOKUP(CONCATENATE('Respuestas de formulario 1.1'!$B129,MID('Respuestas de formulario 1.1'!DU$1,2,1)),#REF!,12,0),"")</f>
        <v/>
      </c>
      <c r="DV129" s="45" t="str">
        <f>IFERROR(VLOOKUP(CONCATENATE('Respuestas de formulario 1.1'!$B129,MID('Respuestas de formulario 1.1'!DV$1,2,1)),#REF!,12,0),"")</f>
        <v/>
      </c>
      <c r="DW129" s="45" t="str">
        <f>IFERROR(VLOOKUP(CONCATENATE('Respuestas de formulario 1.1'!$B129,MID('Respuestas de formulario 1.1'!DW$1,2,1)),#REF!,12,0),"")</f>
        <v/>
      </c>
      <c r="DX129" s="45" t="str">
        <f>IFERROR(VLOOKUP(CONCATENATE('Respuestas de formulario 1.1'!$B129,MID('Respuestas de formulario 1.1'!DX$1,2,1)),#REF!,12,0),"")</f>
        <v/>
      </c>
      <c r="DY129" s="45" t="str">
        <f>IFERROR(VLOOKUP(CONCATENATE('Respuestas de formulario 1.1'!$B129,MID('Respuestas de formulario 1.1'!DY$1,2,1)),#REF!,12,0),"")</f>
        <v/>
      </c>
      <c r="DZ129" s="45" t="str">
        <f>IFERROR(VLOOKUP(CONCATENATE('Respuestas de formulario 1.1'!$B129,MID('Respuestas de formulario 1.1'!DZ$1,2,1)),#REF!,12,0),"")</f>
        <v/>
      </c>
      <c r="EA129" s="45" t="str">
        <f>IFERROR(VLOOKUP(CONCATENATE('Respuestas de formulario 1.1'!$B129,MID('Respuestas de formulario 1.1'!EA$1,2,1)),#REF!,12,0),"")</f>
        <v/>
      </c>
      <c r="EB129" s="45" t="str">
        <f>IFERROR(VLOOKUP(CONCATENATE('Respuestas de formulario 1.1'!$B129,MID('Respuestas de formulario 1.1'!EB$1,2,1)),#REF!,12,0),"")</f>
        <v/>
      </c>
      <c r="EC129" s="45" t="str">
        <f>IFERROR(VLOOKUP(CONCATENATE('Respuestas de formulario 1.1'!$B129,MID('Respuestas de formulario 1.1'!EC$1,2,1)),#REF!,12,0),"")</f>
        <v/>
      </c>
      <c r="ED129" s="45" t="str">
        <f>IFERROR(VLOOKUP(CONCATENATE('Respuestas de formulario 1.1'!$B129,MID('Respuestas de formulario 1.1'!ED$1,2,1)),#REF!,12,0),"")</f>
        <v/>
      </c>
      <c r="EE129" s="45" t="str">
        <f>IFERROR(VLOOKUP(CONCATENATE('Respuestas de formulario 1.1'!$B129,MID('Respuestas de formulario 1.1'!EE$1,2,1)),#REF!,12,0),"")</f>
        <v/>
      </c>
      <c r="EF129" s="45" t="str">
        <f>IFERROR(VLOOKUP(CONCATENATE('Respuestas de formulario 1.1'!$B129,MID('Respuestas de formulario 1.1'!EF$1,2,1)),#REF!,12,0),"")</f>
        <v/>
      </c>
      <c r="EG129" s="45" t="str">
        <f>IFERROR(VLOOKUP(CONCATENATE('Respuestas de formulario 1.1'!$B129,MID('Respuestas de formulario 1.1'!EG$1,2,1)),#REF!,12,0),"")</f>
        <v/>
      </c>
      <c r="EH129" s="45" t="str">
        <f>IFERROR(VLOOKUP(CONCATENATE('Respuestas de formulario 1.1'!$B129,MID('Respuestas de formulario 1.1'!EH$1,2,1)),#REF!,12,0),"")</f>
        <v/>
      </c>
      <c r="EI129" s="45" t="str">
        <f>IFERROR(VLOOKUP(CONCATENATE('Respuestas de formulario 1.1'!$B129,MID('Respuestas de formulario 1.1'!EI$1,2,1)),#REF!,12,0),"")</f>
        <v/>
      </c>
      <c r="EJ129" s="45" t="str">
        <f t="array" ref="EJ129">IF(DO129="","", INDEX(#REF!,MATCH(CONCATENATE('Respuestas de formulario 1.1'!$B129,DO129),#REF!,0),MATCH('Respuestas de formulario 1.1'!EJ$1,#REF!,0)))</f>
        <v/>
      </c>
      <c r="EK129" s="56" t="str">
        <f t="array" ref="EK129">IF(DP129="","", INDEX(#REF!,MATCH(CONCATENATE('Respuestas de formulario 1.1'!$B129,DP129),#REF!,0),MATCH('Respuestas de formulario 1.1'!EK$1,#REF!,0)))</f>
        <v/>
      </c>
      <c r="EL129" s="56" t="str">
        <f t="array" ref="EL129">IF(DQ129="","", INDEX(#REF!,MATCH(CONCATENATE('Respuestas de formulario 1.1'!$B129,DQ129),#REF!,0),MATCH('Respuestas de formulario 1.1'!EL$1,#REF!,0)))</f>
        <v/>
      </c>
      <c r="EM129" s="56" t="str">
        <f t="array" ref="EM129">IF(DR129="","", INDEX(#REF!,MATCH(CONCATENATE('Respuestas de formulario 1.1'!$B129,DR129),#REF!,0),MATCH('Respuestas de formulario 1.1'!EM$1,#REF!,0)))</f>
        <v/>
      </c>
      <c r="EN129" s="56" t="str">
        <f t="array" ref="EN129">IF(DS129="","", INDEX(#REF!,MATCH(CONCATENATE('Respuestas de formulario 1.1'!$B129,DS129),#REF!,0),MATCH('Respuestas de formulario 1.1'!EN$1,#REF!,0)))</f>
        <v/>
      </c>
      <c r="EO129" s="56" t="str">
        <f t="array" ref="EO129">IF(DT129="","", INDEX(#REF!,MATCH(CONCATENATE('Respuestas de formulario 1.1'!$B129,DT129),#REF!,0),MATCH('Respuestas de formulario 1.1'!EO$1,#REF!,0)))</f>
        <v/>
      </c>
      <c r="EP129" s="45" t="str">
        <f t="array" ref="EP129">IF(DU129="","", INDEX(#REF!,MATCH(CONCATENATE('Respuestas de formulario 1.1'!$B129,DU129),#REF!,0),MATCH('Respuestas de formulario 1.1'!EP$1,#REF!,0)))</f>
        <v/>
      </c>
      <c r="EQ129" s="45" t="str">
        <f t="array" ref="EQ129">IF(DP129="","", INDEX(#REF!,MATCH(CONCATENATE('Respuestas de formulario 1.1'!$B129,DP129),#REF!,0),MATCH('Respuestas de formulario 1.1'!EQ$1,#REF!,0)))</f>
        <v/>
      </c>
      <c r="ER129" s="56" t="str">
        <f t="array" ref="ER129">IF(DQ129="","", INDEX(#REF!,MATCH(CONCATENATE('Respuestas de formulario 1.1'!$B129,DQ129),#REF!,0),MATCH('Respuestas de formulario 1.1'!ER$1,#REF!,0)))</f>
        <v/>
      </c>
      <c r="ES129" s="56" t="str">
        <f t="array" ref="ES129">IF(DR129="","", INDEX(#REF!,MATCH(CONCATENATE('Respuestas de formulario 1.1'!$B129,DR129),#REF!,0),MATCH('Respuestas de formulario 1.1'!ES$1,#REF!,0)))</f>
        <v/>
      </c>
      <c r="ET129" s="56" t="str">
        <f t="array" ref="ET129">IF(DS129="","", INDEX(#REF!,MATCH(CONCATENATE('Respuestas de formulario 1.1'!$B129,DS129),#REF!,0),MATCH('Respuestas de formulario 1.1'!ET$1,#REF!,0)))</f>
        <v/>
      </c>
      <c r="EU129" s="56" t="str">
        <f t="array" ref="EU129">IF(DT129="","", INDEX(#REF!,MATCH(CONCATENATE('Respuestas de formulario 1.1'!$B129,DT129),#REF!,0),MATCH('Respuestas de formulario 1.1'!EU$1,#REF!,0)))</f>
        <v/>
      </c>
      <c r="EV129" s="56" t="str">
        <f t="array" ref="EV129">IF(DU129="","", INDEX(#REF!,MATCH(CONCATENATE('Respuestas de formulario 1.1'!$B129,DU129),#REF!,0),MATCH('Respuestas de formulario 1.1'!EV$1,#REF!,0)))</f>
        <v/>
      </c>
      <c r="EW129" s="45" t="str">
        <f t="array" ref="EW129">IF(DV129="","", INDEX(#REF!,MATCH(CONCATENATE('Respuestas de formulario 1.1'!$B129,DV129),#REF!,0),MATCH('Respuestas de formulario 1.1'!EW$1,#REF!,0)))</f>
        <v/>
      </c>
      <c r="EX129" s="45" t="str">
        <f t="array" ref="EX129">IF($DQ129="","", INDEX(#REF!,MATCH(CONCATENATE('Respuestas de formulario 1.1'!$B129,$DQ129),#REF!,0),MATCH('Respuestas de formulario 1.1'!EX$1,#REF!,0)))</f>
        <v/>
      </c>
      <c r="EY129" s="56" t="str">
        <f t="array" ref="EY129">IF($DQ129="","", INDEX(#REF!,MATCH(CONCATENATE('Respuestas de formulario 1.1'!$B129,$DQ129),#REF!,0),MATCH('Respuestas de formulario 1.1'!EY$1,#REF!,0)))</f>
        <v/>
      </c>
      <c r="EZ129" s="56" t="str">
        <f t="array" ref="EZ129">IF($DQ129="","", INDEX(#REF!,MATCH(CONCATENATE('Respuestas de formulario 1.1'!$B129,$DQ129),#REF!,0),MATCH('Respuestas de formulario 1.1'!EZ$1,#REF!,0)))</f>
        <v/>
      </c>
      <c r="FA129" s="56" t="str">
        <f t="array" ref="FA129">IF($DQ129="","", INDEX(#REF!,MATCH(CONCATENATE('Respuestas de formulario 1.1'!$B129,$DQ129),#REF!,0),MATCH('Respuestas de formulario 1.1'!FA$1,#REF!,0)))</f>
        <v/>
      </c>
      <c r="FB129" s="56" t="str">
        <f t="array" ref="FB129">IF($DQ129="","", INDEX(#REF!,MATCH(CONCATENATE('Respuestas de formulario 1.1'!$B129,$DQ129),#REF!,0),MATCH('Respuestas de formulario 1.1'!FB$1,#REF!,0)))</f>
        <v/>
      </c>
      <c r="FC129" s="56" t="str">
        <f t="array" ref="FC129">IF($DQ129="","", INDEX(#REF!,MATCH(CONCATENATE('Respuestas de formulario 1.1'!$B129,$DQ129),#REF!,0),MATCH('Respuestas de formulario 1.1'!FC$1,#REF!,0)))</f>
        <v/>
      </c>
      <c r="FD129" s="45" t="str">
        <f t="array" ref="FD129">IF($DQ129="","", INDEX(#REF!,MATCH(CONCATENATE('Respuestas de formulario 1.1'!$B129,$DQ129),#REF!,0),MATCH('Respuestas de formulario 1.1'!FD$1,#REF!,0)))</f>
        <v/>
      </c>
      <c r="FE129" s="45" t="str">
        <f t="array" ref="FE129">IF($DR129="","", INDEX(#REF!,MATCH(CONCATENATE(#REF!,$DR129),#REF!,0),MATCH(#REF!,#REF!,0)))</f>
        <v/>
      </c>
      <c r="FF129" s="56" t="str">
        <f t="array" ref="FF129">IF($DR129="","", INDEX(#REF!,MATCH(CONCATENATE(#REF!,$DR129),#REF!,0),MATCH(#REF!,#REF!,0)))</f>
        <v/>
      </c>
      <c r="FG129" s="56" t="str">
        <f t="array" ref="FG129">IF($DR129="","", INDEX(#REF!,MATCH(CONCATENATE(#REF!,$DR129),#REF!,0),MATCH(#REF!,#REF!,0)))</f>
        <v/>
      </c>
      <c r="FH129" s="56" t="str">
        <f t="array" ref="FH129">IF($DR129="","", INDEX(#REF!,MATCH(CONCATENATE(#REF!,$DR129),#REF!,0),MATCH(#REF!,#REF!,0)))</f>
        <v/>
      </c>
      <c r="FI129" s="56" t="str">
        <f t="array" ref="FI129">IF($DR129="","", INDEX(#REF!,MATCH(CONCATENATE(#REF!,$DR129),#REF!,0),MATCH(#REF!,#REF!,0)))</f>
        <v/>
      </c>
      <c r="FJ129" s="56" t="str">
        <f t="array" ref="FJ129">IF($DR129="","", INDEX(#REF!,MATCH(CONCATENATE(#REF!,$DR129),#REF!,0),MATCH(#REF!,#REF!,0)))</f>
        <v/>
      </c>
      <c r="FK129" s="45" t="str">
        <f t="array" ref="FK129">IF($DR129="","", INDEX(#REF!,MATCH(CONCATENATE(#REF!,$DR129),#REF!,0),MATCH(#REF!,#REF!,0)))</f>
        <v/>
      </c>
      <c r="FL129" s="45" t="str">
        <f t="array" ref="FL129">IF($DT129="","", INDEX(#REF!,MATCH(CONCATENATE('Respuestas de formulario 1.1'!$B129,$DS129),#REF!,0),MATCH('Respuestas de formulario 1.1'!FL$1,#REF!,0)))</f>
        <v/>
      </c>
      <c r="FM129" s="56" t="str">
        <f t="array" ref="FM129">IF($DT129="","", INDEX(#REF!,MATCH(CONCATENATE('Respuestas de formulario 1.1'!$B129,$DS129),#REF!,0),MATCH('Respuestas de formulario 1.1'!FM$1,#REF!,0)))</f>
        <v/>
      </c>
      <c r="FN129" s="56" t="str">
        <f t="array" ref="FN129">IF($DT129="","", INDEX(#REF!,MATCH(CONCATENATE('Respuestas de formulario 1.1'!$B129,$DS129),#REF!,0),MATCH('Respuestas de formulario 1.1'!FN$1,#REF!,0)))</f>
        <v/>
      </c>
      <c r="FO129" s="56" t="str">
        <f t="array" ref="FO129">IF($DT129="","", INDEX(#REF!,MATCH(CONCATENATE('Respuestas de formulario 1.1'!$B129,$DS129),#REF!,0),MATCH('Respuestas de formulario 1.1'!FO$1,#REF!,0)))</f>
        <v/>
      </c>
      <c r="FP129" s="56" t="str">
        <f t="array" ref="FP129">IF($DT129="","", INDEX(#REF!,MATCH(CONCATENATE('Respuestas de formulario 1.1'!$B129,$DS129),#REF!,0),MATCH('Respuestas de formulario 1.1'!FP$1,#REF!,0)))</f>
        <v/>
      </c>
      <c r="FQ129" s="56" t="str">
        <f t="array" ref="FQ129">IF($DT129="","", INDEX(#REF!,MATCH(CONCATENATE('Respuestas de formulario 1.1'!$B129,$DS129),#REF!,0),MATCH('Respuestas de formulario 1.1'!FQ$1,#REF!,0)))</f>
        <v/>
      </c>
      <c r="FR129" s="45" t="str">
        <f t="array" ref="FR129">IF($DT129="","", INDEX(#REF!,MATCH(CONCATENATE('Respuestas de formulario 1.1'!$B129,$DS129),#REF!,0),MATCH('Respuestas de formulario 1.1'!FR$1,#REF!,0)))</f>
        <v/>
      </c>
      <c r="FS129" s="45" t="str">
        <f t="array" ref="FS129">IF($DU129="","", INDEX(#REF!,MATCH(CONCATENATE('Respuestas de formulario 1.1'!$B129,$DT129),#REF!,0),MATCH('Respuestas de formulario 1.1'!FS$1,#REF!,0)))</f>
        <v/>
      </c>
      <c r="FT129" s="56" t="str">
        <f t="array" ref="FT129">IF($DU129="","", INDEX(#REF!,MATCH(CONCATENATE('Respuestas de formulario 1.1'!$B129,$DT129),#REF!,0),MATCH('Respuestas de formulario 1.1'!FT$1,#REF!,0)))</f>
        <v/>
      </c>
      <c r="FU129" s="56" t="str">
        <f t="array" ref="FU129">IF($DU129="","", INDEX(#REF!,MATCH(CONCATENATE('Respuestas de formulario 1.1'!$B129,$DT129),#REF!,0),MATCH('Respuestas de formulario 1.1'!FU$1,#REF!,0)))</f>
        <v/>
      </c>
      <c r="FV129" s="56" t="str">
        <f t="array" ref="FV129">IF($DU129="","", INDEX(#REF!,MATCH(CONCATENATE('Respuestas de formulario 1.1'!$B129,$DT129),#REF!,0),MATCH('Respuestas de formulario 1.1'!FV$1,#REF!,0)))</f>
        <v/>
      </c>
      <c r="FW129" s="56" t="str">
        <f t="array" ref="FW129">IF($DU129="","", INDEX(#REF!,MATCH(CONCATENATE('Respuestas de formulario 1.1'!$B129,$DT129),#REF!,0),MATCH('Respuestas de formulario 1.1'!FW$1,#REF!,0)))</f>
        <v/>
      </c>
      <c r="FX129" s="56" t="str">
        <f t="array" ref="FX129">IF($DU129="","", INDEX(#REF!,MATCH(CONCATENATE('Respuestas de formulario 1.1'!$B129,$DT129),#REF!,0),MATCH('Respuestas de formulario 1.1'!FX$1,#REF!,0)))</f>
        <v/>
      </c>
      <c r="FY129" s="45" t="str">
        <f t="array" ref="FY129">IF($DU129="","", INDEX(#REF!,MATCH(CONCATENATE('Respuestas de formulario 1.1'!$B129,$DT129),#REF!,0),MATCH('Respuestas de formulario 1.1'!FY$1,#REF!,0)))</f>
        <v/>
      </c>
      <c r="FZ129" s="3" t="s">
        <v>2860</v>
      </c>
      <c r="GA129" s="1" t="s">
        <v>5040</v>
      </c>
      <c r="GB129" s="5" t="s">
        <v>5041</v>
      </c>
      <c r="GC129" s="4" t="str">
        <f>HYPERLINK("https://drive.google.com/file/d/121J9u3wzV3fXLkHAB_vjKOCJkbW5pxsC/view?usp=drivesdk","GUERRERO  MARTINEZ SANDRA  Formato de reinscripción y pago 2022-2")</f>
        <v>GUERRERO  MARTINEZ SANDRA  Formato de reinscripción y pago 2022-2</v>
      </c>
      <c r="GD129" s="1" t="s">
        <v>5042</v>
      </c>
      <c r="GE129" s="1"/>
      <c r="GF129" s="1"/>
      <c r="GG129" s="1"/>
      <c r="GH129" s="1"/>
      <c r="GI129" s="1" t="s">
        <v>5043</v>
      </c>
      <c r="GJ129" s="5" t="s">
        <v>5044</v>
      </c>
      <c r="GK129" s="5" t="str">
        <f>HYPERLINK("https://drive.google.com/file/d/1Wze7hi36t-dg8bYaR681IJVtoIIN4zK7/view?usp=drivesdk","GUERRERO  MARTINEZ SANDRA  Formato de reinscripción y pago 2022-2")</f>
        <v>GUERRERO  MARTINEZ SANDRA  Formato de reinscripción y pago 2022-2</v>
      </c>
      <c r="GL129" s="1" t="s">
        <v>5045</v>
      </c>
    </row>
    <row r="130" spans="1:194" ht="38.25" x14ac:dyDescent="0.2">
      <c r="A130" s="2">
        <v>45139.443592870375</v>
      </c>
      <c r="B130" s="1" t="s">
        <v>1565</v>
      </c>
      <c r="C130" s="1" t="s">
        <v>259</v>
      </c>
      <c r="D130" s="1" t="s">
        <v>385</v>
      </c>
      <c r="E130" s="1" t="s">
        <v>5046</v>
      </c>
      <c r="F130" s="1" t="s">
        <v>223</v>
      </c>
      <c r="G130" s="5" t="s">
        <v>5047</v>
      </c>
      <c r="H130" s="41">
        <v>39424</v>
      </c>
      <c r="I130" s="1">
        <v>15</v>
      </c>
      <c r="J130" s="1">
        <v>5579817722</v>
      </c>
      <c r="K130" s="1">
        <v>5561856685</v>
      </c>
      <c r="L130" s="1" t="s">
        <v>5048</v>
      </c>
      <c r="M130" s="1">
        <v>22309060570521</v>
      </c>
      <c r="N130" s="1" t="s">
        <v>562</v>
      </c>
      <c r="O130" s="1" t="s">
        <v>247</v>
      </c>
      <c r="P130" s="1" t="s">
        <v>226</v>
      </c>
      <c r="Q130" s="1" t="s">
        <v>227</v>
      </c>
      <c r="R130" s="1" t="s">
        <v>236</v>
      </c>
      <c r="S130" s="1" t="s">
        <v>228</v>
      </c>
      <c r="T130" s="1" t="s">
        <v>411</v>
      </c>
      <c r="U130" s="1" t="s">
        <v>289</v>
      </c>
      <c r="V130" s="1" t="s">
        <v>228</v>
      </c>
      <c r="W130" s="1" t="s">
        <v>5049</v>
      </c>
      <c r="X130" s="1" t="s">
        <v>289</v>
      </c>
      <c r="Y130" s="1" t="s">
        <v>2536</v>
      </c>
      <c r="Z130" s="1" t="s">
        <v>231</v>
      </c>
      <c r="AA130" s="1">
        <v>56553</v>
      </c>
      <c r="AB130" s="1">
        <v>30</v>
      </c>
      <c r="AC130" s="1">
        <v>19</v>
      </c>
      <c r="AD130" s="1" t="s">
        <v>5050</v>
      </c>
      <c r="AE130" s="1" t="s">
        <v>5051</v>
      </c>
      <c r="AF130" s="1" t="s">
        <v>265</v>
      </c>
      <c r="AG130" s="1">
        <v>50</v>
      </c>
      <c r="AH130" s="5" t="s">
        <v>5052</v>
      </c>
      <c r="AI130" s="1">
        <v>5561856686</v>
      </c>
      <c r="AJ130" s="1">
        <v>5561856685</v>
      </c>
      <c r="AK130" s="1" t="s">
        <v>1567</v>
      </c>
      <c r="AL130" s="1" t="s">
        <v>259</v>
      </c>
      <c r="AM130" s="1" t="s">
        <v>1085</v>
      </c>
      <c r="AN130" s="1" t="s">
        <v>5053</v>
      </c>
      <c r="AO130" s="1" t="s">
        <v>435</v>
      </c>
      <c r="AP130" s="1">
        <v>51</v>
      </c>
      <c r="AQ130" s="1" t="s">
        <v>1877</v>
      </c>
      <c r="AR130" s="42">
        <v>0</v>
      </c>
      <c r="AS130" s="42">
        <v>0</v>
      </c>
      <c r="AT130" s="1">
        <v>5544635811</v>
      </c>
      <c r="AU130" s="1">
        <v>5544635811</v>
      </c>
      <c r="AV130" s="1" t="s">
        <v>1568</v>
      </c>
      <c r="AW130" s="5" t="s">
        <v>5054</v>
      </c>
      <c r="AX130" s="1" t="s">
        <v>304</v>
      </c>
      <c r="AY130" s="1" t="s">
        <v>385</v>
      </c>
      <c r="AZ130" s="1" t="s">
        <v>5055</v>
      </c>
      <c r="BA130" s="1" t="s">
        <v>2220</v>
      </c>
      <c r="BB130" s="1">
        <v>23</v>
      </c>
      <c r="BC130" s="1" t="s">
        <v>303</v>
      </c>
      <c r="BD130" s="43">
        <v>0.29166666666424135</v>
      </c>
      <c r="BE130" s="43">
        <v>8.3333333335758653E-2</v>
      </c>
      <c r="BF130" s="1">
        <v>5577928281</v>
      </c>
      <c r="BG130" s="1">
        <v>5577928281</v>
      </c>
      <c r="BH130" s="1" t="s">
        <v>1566</v>
      </c>
      <c r="BI130" s="5" t="s">
        <v>5056</v>
      </c>
      <c r="BJ130" s="1" t="s">
        <v>236</v>
      </c>
      <c r="BL130" s="1">
        <v>155</v>
      </c>
      <c r="BM130" s="1">
        <v>70</v>
      </c>
      <c r="BN130" s="1" t="s">
        <v>236</v>
      </c>
      <c r="BO130" s="1" t="s">
        <v>228</v>
      </c>
      <c r="BQ130" s="1" t="s">
        <v>236</v>
      </c>
      <c r="BR130" s="1" t="s">
        <v>348</v>
      </c>
      <c r="BS130" s="1" t="s">
        <v>236</v>
      </c>
      <c r="BT130" s="1" t="s">
        <v>462</v>
      </c>
      <c r="BU130" s="1" t="s">
        <v>228</v>
      </c>
      <c r="BW130" s="1" t="s">
        <v>272</v>
      </c>
      <c r="BX130" s="1">
        <v>160</v>
      </c>
      <c r="BY130" s="1">
        <v>250</v>
      </c>
      <c r="BZ130" s="1" t="s">
        <v>253</v>
      </c>
      <c r="CA130" s="1" t="s">
        <v>343</v>
      </c>
      <c r="CB130" s="1" t="s">
        <v>240</v>
      </c>
      <c r="CC130" s="1" t="s">
        <v>274</v>
      </c>
      <c r="CD130" s="1">
        <v>2850</v>
      </c>
      <c r="CE130" s="1">
        <v>2300</v>
      </c>
      <c r="CF130" s="1" t="s">
        <v>236</v>
      </c>
      <c r="CG130" s="1" t="s">
        <v>242</v>
      </c>
      <c r="CH130" s="1" t="s">
        <v>243</v>
      </c>
      <c r="CI130" s="1" t="s">
        <v>243</v>
      </c>
      <c r="CJ130" s="1" t="s">
        <v>2848</v>
      </c>
      <c r="CL130" s="5" t="s">
        <v>5057</v>
      </c>
      <c r="CM130" s="1">
        <v>12220733179</v>
      </c>
      <c r="CN130" s="1" t="s">
        <v>228</v>
      </c>
      <c r="CQ130" s="42">
        <v>0</v>
      </c>
      <c r="CR130" s="42">
        <v>0</v>
      </c>
      <c r="CT130" s="45" t="str">
        <f t="array" ref="CT130">IFERROR(INDEX(#REF!,MATCH('Respuestas de formulario 1.1'!$B130,#REF!,0),MATCH('Respuestas de formulario 1.1'!CT$1,#REF!,0)),"")</f>
        <v/>
      </c>
      <c r="CU130" s="56" t="str">
        <f t="array" ref="CU130">IFERROR(INDEX(#REF!,MATCH('Respuestas de formulario 1.1'!$B130,#REF!,0),MATCH('Respuestas de formulario 1.1'!CU$1,#REF!,0)),"")</f>
        <v/>
      </c>
      <c r="CV130" s="56" t="str">
        <f t="array" ref="CV130">IFERROR(INDEX(#REF!,MATCH('Respuestas de formulario 1.1'!$B130,#REF!,0),MATCH('Respuestas de formulario 1.1'!CV$1,#REF!,0)),"")</f>
        <v/>
      </c>
      <c r="CW130" s="56" t="str">
        <f t="array" ref="CW130">IFERROR(INDEX(#REF!,MATCH('Respuestas de formulario 1.1'!$B130,#REF!,0),MATCH('Respuestas de formulario 1.1'!CW$1,#REF!,0)),"")</f>
        <v/>
      </c>
      <c r="CX130" s="56" t="str">
        <f t="array" ref="CX130">IFERROR(INDEX(#REF!,MATCH('Respuestas de formulario 1.1'!$B130,#REF!,0),MATCH('Respuestas de formulario 1.1'!CX$1,#REF!,0)),"")</f>
        <v/>
      </c>
      <c r="CY130" s="56" t="str">
        <f t="array" ref="CY130">IFERROR(INDEX(#REF!,MATCH('Respuestas de formulario 1.1'!$B130,#REF!,0),MATCH('Respuestas de formulario 1.1'!CY$1,#REF!,0)),"")</f>
        <v/>
      </c>
      <c r="CZ130" s="57" t="str">
        <f t="array" ref="CZ130">IFERROR(INDEX(#REF!,MATCH('Respuestas de formulario 1.1'!$B130,#REF!,0),MATCH('Respuestas de formulario 1.1'!CZ$1,#REF!,0)),"")</f>
        <v/>
      </c>
      <c r="DA130" s="45" t="e">
        <f t="array" ref="DA130">INDEX(#REF!,MATCH('Respuestas de formulario 1.1'!$B130,#REF!,0),MATCH('Respuestas de formulario 1.1'!DA$1,#REF!,0))</f>
        <v>#REF!</v>
      </c>
      <c r="DB130" s="45" t="e">
        <f t="array" ref="DB130">INDEX(#REF!,MATCH('Respuestas de formulario 1.1'!$B130,#REF!,0),MATCH('Respuestas de formulario 1.1'!DB$1,#REF!,0))</f>
        <v>#REF!</v>
      </c>
      <c r="DC130" s="45" t="e">
        <f t="array" ref="DC130">INDEX(#REF!,MATCH('Respuestas de formulario 1.1'!$B130,#REF!,0),MATCH('Respuestas de formulario 1.1'!DC$1,#REF!,0))</f>
        <v>#REF!</v>
      </c>
      <c r="DD130" s="45" t="e">
        <f t="array" ref="DD130">INDEX(#REF!,MATCH('Respuestas de formulario 1.1'!$B130,#REF!,0),MATCH('Respuestas de formulario 1.1'!DD$1,#REF!,0))</f>
        <v>#REF!</v>
      </c>
      <c r="DE130" s="45" t="e">
        <f t="array" ref="DE130">INDEX(#REF!,MATCH('Respuestas de formulario 1.1'!$B130,#REF!,0),MATCH('Respuestas de formulario 1.1'!DE$1,#REF!,0))</f>
        <v>#REF!</v>
      </c>
      <c r="DF130" s="45" t="e">
        <f t="array" ref="DF130">INDEX(#REF!,MATCH('Respuestas de formulario 1.1'!$B130,#REF!,0),MATCH('Respuestas de formulario 1.1'!DF$1,#REF!,0))</f>
        <v>#REF!</v>
      </c>
      <c r="DG130" s="45" t="e">
        <f t="array" ref="DG130">INDEX(#REF!,MATCH('Respuestas de formulario 1.1'!$B130,#REF!,0),MATCH('Respuestas de formulario 1.1'!DG$1,#REF!,0))</f>
        <v>#REF!</v>
      </c>
      <c r="DH130" s="45" t="e">
        <f t="array" ref="DH130">INDEX(#REF!,MATCH('Respuestas de formulario 1.1'!$B130,#REF!,0),MATCH('Respuestas de formulario 1.1'!DH$1,#REF!,0))</f>
        <v>#REF!</v>
      </c>
      <c r="DI130" s="48" t="e">
        <f>VLOOKUP(CONCATENATE($DF130," TUTO ",$DC130),#REF!,3,0)</f>
        <v>#REF!</v>
      </c>
      <c r="DJ130" s="48" t="e">
        <f t="array" ref="DJ130">IF('Respuestas de formulario 1.1'!A130="","",INDEX(#REF!,MATCH('Respuestas de formulario 1.1'!B130,#REF!,0),MATCH('Respuestas de formulario 1.1'!$DH$1,#REF!,0)))</f>
        <v>#REF!</v>
      </c>
      <c r="DK130" s="52" t="str">
        <f>CONCATENATE("http://doc.google.com/uc?id=",MID('Respuestas de formulario 1.1'!G130,34,33))</f>
        <v>http://doc.google.com/uc?id=1VloaIIfIn-Gq4MyqC4jIjlkWid303J0t</v>
      </c>
      <c r="DL130" s="49" t="str">
        <f>CONCATENATE("http://doc.google.com/uc?id=",MID('Respuestas de formulario 1.1'!AH130,34,33))</f>
        <v>http://doc.google.com/uc?id=1mwC8obdjrjsbOuhn0WZbOC1sznLat_H3</v>
      </c>
      <c r="DM130" s="50" t="str">
        <f>CONCATENATE("http://doc.google.com/uc?id=",MID('Respuestas de formulario 1.1'!AW130,34,33))</f>
        <v>http://doc.google.com/uc?id=1a9Fjdsn-gYmQ6z33STrTQPYaNeBSfRLy</v>
      </c>
      <c r="DN130" s="53" t="str">
        <f>CONCATENATE("http://doc.google.com/uc?id=",MID('Respuestas de formulario 1.1'!$BI130,34,33))</f>
        <v>http://doc.google.com/uc?id=1_MFxr0SZdLORZAOGtddiAish021NEFal</v>
      </c>
      <c r="DO130" s="45" t="str">
        <f>IFERROR(VLOOKUP(CONCATENATE('Respuestas de formulario 1.1'!$B130,MID('Respuestas de formulario 1.1'!DO$1,2,1)),#REF!,12,0),"")</f>
        <v/>
      </c>
      <c r="DP130" s="45" t="str">
        <f>IFERROR(VLOOKUP(CONCATENATE('Respuestas de formulario 1.1'!$B130,MID('Respuestas de formulario 1.1'!DP$1,2,1)),#REF!,12,0),"")</f>
        <v/>
      </c>
      <c r="DQ130" s="45" t="str">
        <f>IFERROR(VLOOKUP(CONCATENATE('Respuestas de formulario 1.1'!$B130,MID('Respuestas de formulario 1.1'!DQ$1,2,1)),#REF!,12,0),"")</f>
        <v/>
      </c>
      <c r="DR130" s="45" t="str">
        <f>IFERROR(VLOOKUP(CONCATENATE('Respuestas de formulario 1.1'!$B130,MID('Respuestas de formulario 1.1'!DR$1,2,1)),#REF!,12,0),"")</f>
        <v/>
      </c>
      <c r="DS130" s="45" t="str">
        <f>IFERROR(VLOOKUP(CONCATENATE('Respuestas de formulario 1.1'!$B130,MID('Respuestas de formulario 1.1'!DS$1,2,1)),#REF!,12,0),"")</f>
        <v/>
      </c>
      <c r="DT130" s="45" t="str">
        <f>IFERROR(VLOOKUP(CONCATENATE('Respuestas de formulario 1.1'!$B130,MID('Respuestas de formulario 1.1'!DT$1,2,1)),#REF!,12,0),"")</f>
        <v/>
      </c>
      <c r="DU130" s="45" t="str">
        <f>IFERROR(VLOOKUP(CONCATENATE('Respuestas de formulario 1.1'!$B130,MID('Respuestas de formulario 1.1'!DU$1,2,1)),#REF!,12,0),"")</f>
        <v/>
      </c>
      <c r="DV130" s="45" t="str">
        <f>IFERROR(VLOOKUP(CONCATENATE('Respuestas de formulario 1.1'!$B130,MID('Respuestas de formulario 1.1'!DV$1,2,1)),#REF!,12,0),"")</f>
        <v/>
      </c>
      <c r="DW130" s="45" t="str">
        <f>IFERROR(VLOOKUP(CONCATENATE('Respuestas de formulario 1.1'!$B130,MID('Respuestas de formulario 1.1'!DW$1,2,1)),#REF!,12,0),"")</f>
        <v/>
      </c>
      <c r="DX130" s="45" t="str">
        <f>IFERROR(VLOOKUP(CONCATENATE('Respuestas de formulario 1.1'!$B130,MID('Respuestas de formulario 1.1'!DX$1,2,1)),#REF!,12,0),"")</f>
        <v/>
      </c>
      <c r="DY130" s="45" t="str">
        <f>IFERROR(VLOOKUP(CONCATENATE('Respuestas de formulario 1.1'!$B130,MID('Respuestas de formulario 1.1'!DY$1,2,1)),#REF!,12,0),"")</f>
        <v/>
      </c>
      <c r="DZ130" s="45" t="str">
        <f>IFERROR(VLOOKUP(CONCATENATE('Respuestas de formulario 1.1'!$B130,MID('Respuestas de formulario 1.1'!DZ$1,2,1)),#REF!,12,0),"")</f>
        <v/>
      </c>
      <c r="EA130" s="45" t="str">
        <f>IFERROR(VLOOKUP(CONCATENATE('Respuestas de formulario 1.1'!$B130,MID('Respuestas de formulario 1.1'!EA$1,2,1)),#REF!,12,0),"")</f>
        <v/>
      </c>
      <c r="EB130" s="45" t="str">
        <f>IFERROR(VLOOKUP(CONCATENATE('Respuestas de formulario 1.1'!$B130,MID('Respuestas de formulario 1.1'!EB$1,2,1)),#REF!,12,0),"")</f>
        <v/>
      </c>
      <c r="EC130" s="45" t="str">
        <f>IFERROR(VLOOKUP(CONCATENATE('Respuestas de formulario 1.1'!$B130,MID('Respuestas de formulario 1.1'!EC$1,2,1)),#REF!,12,0),"")</f>
        <v/>
      </c>
      <c r="ED130" s="45" t="str">
        <f>IFERROR(VLOOKUP(CONCATENATE('Respuestas de formulario 1.1'!$B130,MID('Respuestas de formulario 1.1'!ED$1,2,1)),#REF!,12,0),"")</f>
        <v/>
      </c>
      <c r="EE130" s="45" t="str">
        <f>IFERROR(VLOOKUP(CONCATENATE('Respuestas de formulario 1.1'!$B130,MID('Respuestas de formulario 1.1'!EE$1,2,1)),#REF!,12,0),"")</f>
        <v/>
      </c>
      <c r="EF130" s="45" t="str">
        <f>IFERROR(VLOOKUP(CONCATENATE('Respuestas de formulario 1.1'!$B130,MID('Respuestas de formulario 1.1'!EF$1,2,1)),#REF!,12,0),"")</f>
        <v/>
      </c>
      <c r="EG130" s="45" t="str">
        <f>IFERROR(VLOOKUP(CONCATENATE('Respuestas de formulario 1.1'!$B130,MID('Respuestas de formulario 1.1'!EG$1,2,1)),#REF!,12,0),"")</f>
        <v/>
      </c>
      <c r="EH130" s="45" t="str">
        <f>IFERROR(VLOOKUP(CONCATENATE('Respuestas de formulario 1.1'!$B130,MID('Respuestas de formulario 1.1'!EH$1,2,1)),#REF!,12,0),"")</f>
        <v/>
      </c>
      <c r="EI130" s="45" t="str">
        <f>IFERROR(VLOOKUP(CONCATENATE('Respuestas de formulario 1.1'!$B130,MID('Respuestas de formulario 1.1'!EI$1,2,1)),#REF!,12,0),"")</f>
        <v/>
      </c>
      <c r="EJ130" s="45" t="str">
        <f t="array" ref="EJ130">IF(DO130="","", INDEX(#REF!,MATCH(CONCATENATE('Respuestas de formulario 1.1'!$B130,DO130),#REF!,0),MATCH('Respuestas de formulario 1.1'!EJ$1,#REF!,0)))</f>
        <v/>
      </c>
      <c r="EK130" s="56" t="str">
        <f t="array" ref="EK130">IF(DP130="","", INDEX(#REF!,MATCH(CONCATENATE('Respuestas de formulario 1.1'!$B130,DP130),#REF!,0),MATCH('Respuestas de formulario 1.1'!EK$1,#REF!,0)))</f>
        <v/>
      </c>
      <c r="EL130" s="56" t="str">
        <f t="array" ref="EL130">IF(DQ130="","", INDEX(#REF!,MATCH(CONCATENATE('Respuestas de formulario 1.1'!$B130,DQ130),#REF!,0),MATCH('Respuestas de formulario 1.1'!EL$1,#REF!,0)))</f>
        <v/>
      </c>
      <c r="EM130" s="56" t="str">
        <f t="array" ref="EM130">IF(DR130="","", INDEX(#REF!,MATCH(CONCATENATE('Respuestas de formulario 1.1'!$B130,DR130),#REF!,0),MATCH('Respuestas de formulario 1.1'!EM$1,#REF!,0)))</f>
        <v/>
      </c>
      <c r="EN130" s="56" t="str">
        <f t="array" ref="EN130">IF(DS130="","", INDEX(#REF!,MATCH(CONCATENATE('Respuestas de formulario 1.1'!$B130,DS130),#REF!,0),MATCH('Respuestas de formulario 1.1'!EN$1,#REF!,0)))</f>
        <v/>
      </c>
      <c r="EO130" s="56" t="str">
        <f t="array" ref="EO130">IF(DT130="","", INDEX(#REF!,MATCH(CONCATENATE('Respuestas de formulario 1.1'!$B130,DT130),#REF!,0),MATCH('Respuestas de formulario 1.1'!EO$1,#REF!,0)))</f>
        <v/>
      </c>
      <c r="EP130" s="45" t="str">
        <f t="array" ref="EP130">IF(DU130="","", INDEX(#REF!,MATCH(CONCATENATE('Respuestas de formulario 1.1'!$B130,DU130),#REF!,0),MATCH('Respuestas de formulario 1.1'!EP$1,#REF!,0)))</f>
        <v/>
      </c>
      <c r="EQ130" s="45" t="str">
        <f t="array" ref="EQ130">IF(DP130="","", INDEX(#REF!,MATCH(CONCATENATE('Respuestas de formulario 1.1'!$B130,DP130),#REF!,0),MATCH('Respuestas de formulario 1.1'!EQ$1,#REF!,0)))</f>
        <v/>
      </c>
      <c r="ER130" s="56" t="str">
        <f t="array" ref="ER130">IF(DQ130="","", INDEX(#REF!,MATCH(CONCATENATE('Respuestas de formulario 1.1'!$B130,DQ130),#REF!,0),MATCH('Respuestas de formulario 1.1'!ER$1,#REF!,0)))</f>
        <v/>
      </c>
      <c r="ES130" s="56" t="str">
        <f t="array" ref="ES130">IF(DR130="","", INDEX(#REF!,MATCH(CONCATENATE('Respuestas de formulario 1.1'!$B130,DR130),#REF!,0),MATCH('Respuestas de formulario 1.1'!ES$1,#REF!,0)))</f>
        <v/>
      </c>
      <c r="ET130" s="56" t="str">
        <f t="array" ref="ET130">IF(DS130="","", INDEX(#REF!,MATCH(CONCATENATE('Respuestas de formulario 1.1'!$B130,DS130),#REF!,0),MATCH('Respuestas de formulario 1.1'!ET$1,#REF!,0)))</f>
        <v/>
      </c>
      <c r="EU130" s="56" t="str">
        <f t="array" ref="EU130">IF(DT130="","", INDEX(#REF!,MATCH(CONCATENATE('Respuestas de formulario 1.1'!$B130,DT130),#REF!,0),MATCH('Respuestas de formulario 1.1'!EU$1,#REF!,0)))</f>
        <v/>
      </c>
      <c r="EV130" s="56" t="str">
        <f t="array" ref="EV130">IF(DU130="","", INDEX(#REF!,MATCH(CONCATENATE('Respuestas de formulario 1.1'!$B130,DU130),#REF!,0),MATCH('Respuestas de formulario 1.1'!EV$1,#REF!,0)))</f>
        <v/>
      </c>
      <c r="EW130" s="45" t="str">
        <f t="array" ref="EW130">IF(DV130="","", INDEX(#REF!,MATCH(CONCATENATE('Respuestas de formulario 1.1'!$B130,DV130),#REF!,0),MATCH('Respuestas de formulario 1.1'!EW$1,#REF!,0)))</f>
        <v/>
      </c>
      <c r="EX130" s="45" t="str">
        <f t="array" ref="EX130">IF($DQ130="","", INDEX(#REF!,MATCH(CONCATENATE('Respuestas de formulario 1.1'!$B130,$DQ130),#REF!,0),MATCH('Respuestas de formulario 1.1'!EX$1,#REF!,0)))</f>
        <v/>
      </c>
      <c r="EY130" s="56" t="str">
        <f t="array" ref="EY130">IF($DQ130="","", INDEX(#REF!,MATCH(CONCATENATE('Respuestas de formulario 1.1'!$B130,$DQ130),#REF!,0),MATCH('Respuestas de formulario 1.1'!EY$1,#REF!,0)))</f>
        <v/>
      </c>
      <c r="EZ130" s="56" t="str">
        <f t="array" ref="EZ130">IF($DQ130="","", INDEX(#REF!,MATCH(CONCATENATE('Respuestas de formulario 1.1'!$B130,$DQ130),#REF!,0),MATCH('Respuestas de formulario 1.1'!EZ$1,#REF!,0)))</f>
        <v/>
      </c>
      <c r="FA130" s="56" t="str">
        <f t="array" ref="FA130">IF($DQ130="","", INDEX(#REF!,MATCH(CONCATENATE('Respuestas de formulario 1.1'!$B130,$DQ130),#REF!,0),MATCH('Respuestas de formulario 1.1'!FA$1,#REF!,0)))</f>
        <v/>
      </c>
      <c r="FB130" s="56" t="str">
        <f t="array" ref="FB130">IF($DQ130="","", INDEX(#REF!,MATCH(CONCATENATE('Respuestas de formulario 1.1'!$B130,$DQ130),#REF!,0),MATCH('Respuestas de formulario 1.1'!FB$1,#REF!,0)))</f>
        <v/>
      </c>
      <c r="FC130" s="56" t="str">
        <f t="array" ref="FC130">IF($DQ130="","", INDEX(#REF!,MATCH(CONCATENATE('Respuestas de formulario 1.1'!$B130,$DQ130),#REF!,0),MATCH('Respuestas de formulario 1.1'!FC$1,#REF!,0)))</f>
        <v/>
      </c>
      <c r="FD130" s="45" t="str">
        <f t="array" ref="FD130">IF($DQ130="","", INDEX(#REF!,MATCH(CONCATENATE('Respuestas de formulario 1.1'!$B130,$DQ130),#REF!,0),MATCH('Respuestas de formulario 1.1'!FD$1,#REF!,0)))</f>
        <v/>
      </c>
      <c r="FE130" s="45" t="str">
        <f t="array" ref="FE130">IF($DR130="","", INDEX(#REF!,MATCH(CONCATENATE(#REF!,$DR130),#REF!,0),MATCH(#REF!,#REF!,0)))</f>
        <v/>
      </c>
      <c r="FF130" s="56" t="str">
        <f t="array" ref="FF130">IF($DR130="","", INDEX(#REF!,MATCH(CONCATENATE(#REF!,$DR130),#REF!,0),MATCH(#REF!,#REF!,0)))</f>
        <v/>
      </c>
      <c r="FG130" s="56" t="str">
        <f t="array" ref="FG130">IF($DR130="","", INDEX(#REF!,MATCH(CONCATENATE(#REF!,$DR130),#REF!,0),MATCH(#REF!,#REF!,0)))</f>
        <v/>
      </c>
      <c r="FH130" s="56" t="str">
        <f t="array" ref="FH130">IF($DR130="","", INDEX(#REF!,MATCH(CONCATENATE(#REF!,$DR130),#REF!,0),MATCH(#REF!,#REF!,0)))</f>
        <v/>
      </c>
      <c r="FI130" s="56" t="str">
        <f t="array" ref="FI130">IF($DR130="","", INDEX(#REF!,MATCH(CONCATENATE(#REF!,$DR130),#REF!,0),MATCH(#REF!,#REF!,0)))</f>
        <v/>
      </c>
      <c r="FJ130" s="56" t="str">
        <f t="array" ref="FJ130">IF($DR130="","", INDEX(#REF!,MATCH(CONCATENATE(#REF!,$DR130),#REF!,0),MATCH(#REF!,#REF!,0)))</f>
        <v/>
      </c>
      <c r="FK130" s="45" t="str">
        <f t="array" ref="FK130">IF($DR130="","", INDEX(#REF!,MATCH(CONCATENATE(#REF!,$DR130),#REF!,0),MATCH(#REF!,#REF!,0)))</f>
        <v/>
      </c>
      <c r="FL130" s="45" t="str">
        <f t="array" ref="FL130">IF($DT130="","", INDEX(#REF!,MATCH(CONCATENATE('Respuestas de formulario 1.1'!$B130,$DS130),#REF!,0),MATCH('Respuestas de formulario 1.1'!FL$1,#REF!,0)))</f>
        <v/>
      </c>
      <c r="FM130" s="56" t="str">
        <f t="array" ref="FM130">IF($DT130="","", INDEX(#REF!,MATCH(CONCATENATE('Respuestas de formulario 1.1'!$B130,$DS130),#REF!,0),MATCH('Respuestas de formulario 1.1'!FM$1,#REF!,0)))</f>
        <v/>
      </c>
      <c r="FN130" s="56" t="str">
        <f t="array" ref="FN130">IF($DT130="","", INDEX(#REF!,MATCH(CONCATENATE('Respuestas de formulario 1.1'!$B130,$DS130),#REF!,0),MATCH('Respuestas de formulario 1.1'!FN$1,#REF!,0)))</f>
        <v/>
      </c>
      <c r="FO130" s="56" t="str">
        <f t="array" ref="FO130">IF($DT130="","", INDEX(#REF!,MATCH(CONCATENATE('Respuestas de formulario 1.1'!$B130,$DS130),#REF!,0),MATCH('Respuestas de formulario 1.1'!FO$1,#REF!,0)))</f>
        <v/>
      </c>
      <c r="FP130" s="56" t="str">
        <f t="array" ref="FP130">IF($DT130="","", INDEX(#REF!,MATCH(CONCATENATE('Respuestas de formulario 1.1'!$B130,$DS130),#REF!,0),MATCH('Respuestas de formulario 1.1'!FP$1,#REF!,0)))</f>
        <v/>
      </c>
      <c r="FQ130" s="56" t="str">
        <f t="array" ref="FQ130">IF($DT130="","", INDEX(#REF!,MATCH(CONCATENATE('Respuestas de formulario 1.1'!$B130,$DS130),#REF!,0),MATCH('Respuestas de formulario 1.1'!FQ$1,#REF!,0)))</f>
        <v/>
      </c>
      <c r="FR130" s="45" t="str">
        <f t="array" ref="FR130">IF($DT130="","", INDEX(#REF!,MATCH(CONCATENATE('Respuestas de formulario 1.1'!$B130,$DS130),#REF!,0),MATCH('Respuestas de formulario 1.1'!FR$1,#REF!,0)))</f>
        <v/>
      </c>
      <c r="FS130" s="45" t="str">
        <f t="array" ref="FS130">IF($DU130="","", INDEX(#REF!,MATCH(CONCATENATE('Respuestas de formulario 1.1'!$B130,$DT130),#REF!,0),MATCH('Respuestas de formulario 1.1'!FS$1,#REF!,0)))</f>
        <v/>
      </c>
      <c r="FT130" s="56" t="str">
        <f t="array" ref="FT130">IF($DU130="","", INDEX(#REF!,MATCH(CONCATENATE('Respuestas de formulario 1.1'!$B130,$DT130),#REF!,0),MATCH('Respuestas de formulario 1.1'!FT$1,#REF!,0)))</f>
        <v/>
      </c>
      <c r="FU130" s="56" t="str">
        <f t="array" ref="FU130">IF($DU130="","", INDEX(#REF!,MATCH(CONCATENATE('Respuestas de formulario 1.1'!$B130,$DT130),#REF!,0),MATCH('Respuestas de formulario 1.1'!FU$1,#REF!,0)))</f>
        <v/>
      </c>
      <c r="FV130" s="56" t="str">
        <f t="array" ref="FV130">IF($DU130="","", INDEX(#REF!,MATCH(CONCATENATE('Respuestas de formulario 1.1'!$B130,$DT130),#REF!,0),MATCH('Respuestas de formulario 1.1'!FV$1,#REF!,0)))</f>
        <v/>
      </c>
      <c r="FW130" s="56" t="str">
        <f t="array" ref="FW130">IF($DU130="","", INDEX(#REF!,MATCH(CONCATENATE('Respuestas de formulario 1.1'!$B130,$DT130),#REF!,0),MATCH('Respuestas de formulario 1.1'!FW$1,#REF!,0)))</f>
        <v/>
      </c>
      <c r="FX130" s="56" t="str">
        <f t="array" ref="FX130">IF($DU130="","", INDEX(#REF!,MATCH(CONCATENATE('Respuestas de formulario 1.1'!$B130,$DT130),#REF!,0),MATCH('Respuestas de formulario 1.1'!FX$1,#REF!,0)))</f>
        <v/>
      </c>
      <c r="FY130" s="45" t="str">
        <f t="array" ref="FY130">IF($DU130="","", INDEX(#REF!,MATCH(CONCATENATE('Respuestas de formulario 1.1'!$B130,$DT130),#REF!,0),MATCH('Respuestas de formulario 1.1'!FY$1,#REF!,0)))</f>
        <v/>
      </c>
      <c r="FZ130" s="3" t="s">
        <v>2860</v>
      </c>
      <c r="GA130" s="1" t="s">
        <v>5058</v>
      </c>
      <c r="GB130" s="5" t="s">
        <v>5059</v>
      </c>
      <c r="GC130" s="4" t="str">
        <f>HYPERLINK("https://drive.google.com/file/d/1MiqH5gTxNaZC7gzQhtobMFGvn0gpsNTN/view?usp=drivesdk","MARTINEZ  AVILA ZULY YEARIM Formato de reinscripción y pago 2022-2")</f>
        <v>MARTINEZ  AVILA ZULY YEARIM Formato de reinscripción y pago 2022-2</v>
      </c>
      <c r="GD130" s="1" t="s">
        <v>5060</v>
      </c>
      <c r="GE130" s="1"/>
      <c r="GF130" s="1"/>
      <c r="GG130" s="1"/>
      <c r="GH130" s="1"/>
      <c r="GI130" s="1" t="s">
        <v>5061</v>
      </c>
      <c r="GJ130" s="5" t="s">
        <v>5062</v>
      </c>
      <c r="GK130" s="5" t="str">
        <f>HYPERLINK("https://drive.google.com/file/d/14ceatyfWda6e4wXLUCuhdvWwdTRftbIl/view?usp=drivesdk","MARTINEZ  AVILA ZULY YEARIM Formato de reinscripción y pago 2022-2")</f>
        <v>MARTINEZ  AVILA ZULY YEARIM Formato de reinscripción y pago 2022-2</v>
      </c>
      <c r="GL130" s="1" t="s">
        <v>5063</v>
      </c>
    </row>
    <row r="131" spans="1:194" ht="38.25" x14ac:dyDescent="0.2">
      <c r="A131" s="2">
        <v>45139.443887534726</v>
      </c>
      <c r="B131" s="1" t="s">
        <v>2729</v>
      </c>
      <c r="C131" s="1" t="s">
        <v>244</v>
      </c>
      <c r="D131" s="1" t="s">
        <v>244</v>
      </c>
      <c r="E131" s="1" t="s">
        <v>551</v>
      </c>
      <c r="F131" s="1" t="s">
        <v>223</v>
      </c>
      <c r="G131" s="5" t="s">
        <v>5064</v>
      </c>
      <c r="H131" s="41">
        <v>38614</v>
      </c>
      <c r="I131" s="1">
        <v>17</v>
      </c>
      <c r="J131" s="1">
        <v>5571469768</v>
      </c>
      <c r="K131" s="1">
        <v>5541214376</v>
      </c>
      <c r="L131" s="1" t="s">
        <v>5065</v>
      </c>
      <c r="M131" s="1">
        <v>21309060570484</v>
      </c>
      <c r="N131" s="1" t="s">
        <v>1108</v>
      </c>
      <c r="O131" s="1" t="s">
        <v>247</v>
      </c>
      <c r="P131" s="1" t="s">
        <v>226</v>
      </c>
      <c r="Q131" s="1" t="s">
        <v>227</v>
      </c>
      <c r="R131" s="1" t="s">
        <v>228</v>
      </c>
      <c r="S131" s="1" t="s">
        <v>236</v>
      </c>
      <c r="T131" s="1" t="s">
        <v>411</v>
      </c>
      <c r="U131" s="1" t="s">
        <v>249</v>
      </c>
      <c r="V131" s="1" t="s">
        <v>228</v>
      </c>
      <c r="W131" s="1" t="s">
        <v>5066</v>
      </c>
      <c r="X131" s="1" t="s">
        <v>394</v>
      </c>
      <c r="Y131" s="1" t="s">
        <v>767</v>
      </c>
      <c r="Z131" s="1" t="s">
        <v>231</v>
      </c>
      <c r="AA131" s="1">
        <v>56490</v>
      </c>
      <c r="AB131" s="1" t="s">
        <v>4199</v>
      </c>
      <c r="AC131" s="1" t="s">
        <v>5067</v>
      </c>
      <c r="AD131" s="1" t="s">
        <v>5068</v>
      </c>
      <c r="AE131" s="1" t="s">
        <v>5069</v>
      </c>
      <c r="AF131" s="1" t="s">
        <v>265</v>
      </c>
      <c r="AG131" s="1">
        <v>45</v>
      </c>
      <c r="AH131" s="5" t="s">
        <v>5070</v>
      </c>
      <c r="AI131" s="1">
        <v>5533418169</v>
      </c>
      <c r="AJ131" s="1">
        <v>5541214376</v>
      </c>
      <c r="AK131" s="1" t="s">
        <v>5071</v>
      </c>
      <c r="AL131" s="1" t="s">
        <v>392</v>
      </c>
      <c r="AM131" s="1" t="s">
        <v>244</v>
      </c>
      <c r="AN131" s="1" t="s">
        <v>5072</v>
      </c>
      <c r="AO131" s="1" t="s">
        <v>488</v>
      </c>
      <c r="AP131" s="1">
        <v>25</v>
      </c>
      <c r="AQ131" s="1" t="s">
        <v>5073</v>
      </c>
      <c r="AR131" s="42">
        <v>0.33333333333575865</v>
      </c>
      <c r="AS131" s="42">
        <v>0.79166666666424135</v>
      </c>
      <c r="AT131" s="1">
        <v>5587080658</v>
      </c>
      <c r="AU131" s="1">
        <v>5541214376</v>
      </c>
      <c r="AV131" s="1" t="s">
        <v>2557</v>
      </c>
      <c r="AW131" s="5" t="s">
        <v>5074</v>
      </c>
      <c r="AX131" s="1" t="s">
        <v>688</v>
      </c>
      <c r="AY131" s="1" t="s">
        <v>688</v>
      </c>
      <c r="AZ131" s="1" t="s">
        <v>612</v>
      </c>
      <c r="BA131" s="1" t="s">
        <v>437</v>
      </c>
      <c r="BB131" s="44" t="s">
        <v>659</v>
      </c>
      <c r="BC131" s="1" t="s">
        <v>437</v>
      </c>
      <c r="BD131" s="43">
        <v>5.0000000002910383E-2</v>
      </c>
      <c r="BE131" s="43">
        <v>0.45303240740759065</v>
      </c>
      <c r="BF131" s="44" t="s">
        <v>594</v>
      </c>
      <c r="BG131" s="44" t="s">
        <v>594</v>
      </c>
      <c r="BH131" s="1" t="s">
        <v>5071</v>
      </c>
      <c r="BI131" s="5" t="s">
        <v>5075</v>
      </c>
      <c r="BJ131" s="1" t="s">
        <v>236</v>
      </c>
      <c r="BL131" s="1">
        <v>154</v>
      </c>
      <c r="BM131" s="1">
        <v>41.5</v>
      </c>
      <c r="BN131" s="1" t="s">
        <v>228</v>
      </c>
      <c r="BO131" s="1" t="s">
        <v>228</v>
      </c>
      <c r="BQ131" s="1" t="s">
        <v>228</v>
      </c>
      <c r="BR131" s="1" t="s">
        <v>237</v>
      </c>
      <c r="BS131" s="1" t="s">
        <v>228</v>
      </c>
      <c r="BT131" s="1" t="s">
        <v>237</v>
      </c>
      <c r="BU131" s="1" t="s">
        <v>228</v>
      </c>
      <c r="BW131" s="1" t="s">
        <v>272</v>
      </c>
      <c r="BX131" s="1">
        <v>2</v>
      </c>
      <c r="BY131" s="1">
        <v>400</v>
      </c>
      <c r="BZ131" s="1" t="s">
        <v>253</v>
      </c>
      <c r="CA131" s="1" t="s">
        <v>509</v>
      </c>
      <c r="CB131" s="1" t="s">
        <v>240</v>
      </c>
      <c r="CC131" s="1" t="s">
        <v>274</v>
      </c>
      <c r="CD131" s="1">
        <v>3000</v>
      </c>
      <c r="CE131" s="1">
        <v>1000</v>
      </c>
      <c r="CF131" s="1" t="s">
        <v>236</v>
      </c>
      <c r="CG131" s="1" t="s">
        <v>242</v>
      </c>
      <c r="CH131" s="1" t="s">
        <v>243</v>
      </c>
      <c r="CI131" s="1" t="s">
        <v>243</v>
      </c>
      <c r="CJ131" s="1" t="s">
        <v>2848</v>
      </c>
      <c r="CL131" s="5" t="s">
        <v>5076</v>
      </c>
      <c r="CM131" s="1">
        <v>35190545919</v>
      </c>
      <c r="CN131" s="1" t="s">
        <v>228</v>
      </c>
      <c r="CQ131" s="42">
        <v>0</v>
      </c>
      <c r="CR131" s="42">
        <v>0</v>
      </c>
      <c r="CT131" s="45" t="str">
        <f t="array" ref="CT131">IFERROR(INDEX(#REF!,MATCH('Respuestas de formulario 1.1'!$B131,#REF!,0),MATCH('Respuestas de formulario 1.1'!CT$1,#REF!,0)),"")</f>
        <v/>
      </c>
      <c r="CU131" s="56" t="str">
        <f t="array" ref="CU131">IFERROR(INDEX(#REF!,MATCH('Respuestas de formulario 1.1'!$B131,#REF!,0),MATCH('Respuestas de formulario 1.1'!CU$1,#REF!,0)),"")</f>
        <v/>
      </c>
      <c r="CV131" s="56" t="str">
        <f t="array" ref="CV131">IFERROR(INDEX(#REF!,MATCH('Respuestas de formulario 1.1'!$B131,#REF!,0),MATCH('Respuestas de formulario 1.1'!CV$1,#REF!,0)),"")</f>
        <v/>
      </c>
      <c r="CW131" s="56" t="str">
        <f t="array" ref="CW131">IFERROR(INDEX(#REF!,MATCH('Respuestas de formulario 1.1'!$B131,#REF!,0),MATCH('Respuestas de formulario 1.1'!CW$1,#REF!,0)),"")</f>
        <v/>
      </c>
      <c r="CX131" s="56" t="str">
        <f t="array" ref="CX131">IFERROR(INDEX(#REF!,MATCH('Respuestas de formulario 1.1'!$B131,#REF!,0),MATCH('Respuestas de formulario 1.1'!CX$1,#REF!,0)),"")</f>
        <v/>
      </c>
      <c r="CY131" s="56" t="str">
        <f t="array" ref="CY131">IFERROR(INDEX(#REF!,MATCH('Respuestas de formulario 1.1'!$B131,#REF!,0),MATCH('Respuestas de formulario 1.1'!CY$1,#REF!,0)),"")</f>
        <v/>
      </c>
      <c r="CZ131" s="57" t="str">
        <f t="array" ref="CZ131">IFERROR(INDEX(#REF!,MATCH('Respuestas de formulario 1.1'!$B131,#REF!,0),MATCH('Respuestas de formulario 1.1'!CZ$1,#REF!,0)),"")</f>
        <v/>
      </c>
      <c r="DA131" s="45" t="e">
        <f t="array" ref="DA131">INDEX(#REF!,MATCH('Respuestas de formulario 1.1'!$B131,#REF!,0),MATCH('Respuestas de formulario 1.1'!DA$1,#REF!,0))</f>
        <v>#REF!</v>
      </c>
      <c r="DB131" s="45" t="e">
        <f t="array" ref="DB131">INDEX(#REF!,MATCH('Respuestas de formulario 1.1'!$B131,#REF!,0),MATCH('Respuestas de formulario 1.1'!DB$1,#REF!,0))</f>
        <v>#REF!</v>
      </c>
      <c r="DC131" s="45" t="e">
        <f t="array" ref="DC131">INDEX(#REF!,MATCH('Respuestas de formulario 1.1'!$B131,#REF!,0),MATCH('Respuestas de formulario 1.1'!DC$1,#REF!,0))</f>
        <v>#REF!</v>
      </c>
      <c r="DD131" s="45" t="e">
        <f t="array" ref="DD131">INDEX(#REF!,MATCH('Respuestas de formulario 1.1'!$B131,#REF!,0),MATCH('Respuestas de formulario 1.1'!DD$1,#REF!,0))</f>
        <v>#REF!</v>
      </c>
      <c r="DE131" s="45" t="e">
        <f t="array" ref="DE131">INDEX(#REF!,MATCH('Respuestas de formulario 1.1'!$B131,#REF!,0),MATCH('Respuestas de formulario 1.1'!DE$1,#REF!,0))</f>
        <v>#REF!</v>
      </c>
      <c r="DF131" s="45" t="e">
        <f t="array" ref="DF131">INDEX(#REF!,MATCH('Respuestas de formulario 1.1'!$B131,#REF!,0),MATCH('Respuestas de formulario 1.1'!DF$1,#REF!,0))</f>
        <v>#REF!</v>
      </c>
      <c r="DG131" s="45" t="e">
        <f t="array" ref="DG131">INDEX(#REF!,MATCH('Respuestas de formulario 1.1'!$B131,#REF!,0),MATCH('Respuestas de formulario 1.1'!DG$1,#REF!,0))</f>
        <v>#REF!</v>
      </c>
      <c r="DH131" s="45" t="e">
        <f t="array" ref="DH131">INDEX(#REF!,MATCH('Respuestas de formulario 1.1'!$B131,#REF!,0),MATCH('Respuestas de formulario 1.1'!DH$1,#REF!,0))</f>
        <v>#REF!</v>
      </c>
      <c r="DI131" s="48" t="e">
        <f>VLOOKUP(CONCATENATE($DF131," TUTO ",$DC131),#REF!,3,0)</f>
        <v>#REF!</v>
      </c>
      <c r="DJ131" s="48" t="e">
        <f t="array" ref="DJ131">IF('Respuestas de formulario 1.1'!A131="","",INDEX(#REF!,MATCH('Respuestas de formulario 1.1'!B131,#REF!,0),MATCH('Respuestas de formulario 1.1'!$DH$1,#REF!,0)))</f>
        <v>#REF!</v>
      </c>
      <c r="DK131" s="52" t="str">
        <f>CONCATENATE("http://doc.google.com/uc?id=",MID('Respuestas de formulario 1.1'!G131,34,33))</f>
        <v>http://doc.google.com/uc?id=10iGtkPxHn6AIJrQhZjoi1iTqUBMm-3Jk</v>
      </c>
      <c r="DL131" s="49" t="str">
        <f>CONCATENATE("http://doc.google.com/uc?id=",MID('Respuestas de formulario 1.1'!AH131,34,33))</f>
        <v>http://doc.google.com/uc?id=19jnen82F8qzCxC83XjOepEw8ekmgRC1x</v>
      </c>
      <c r="DM131" s="50" t="str">
        <f>CONCATENATE("http://doc.google.com/uc?id=",MID('Respuestas de formulario 1.1'!AW131,34,33))</f>
        <v>http://doc.google.com/uc?id=12cRO8shJfJ4TTsx4KyCmBPl4XWT1DZl3</v>
      </c>
      <c r="DN131" s="53" t="str">
        <f>CONCATENATE("http://doc.google.com/uc?id=",MID('Respuestas de formulario 1.1'!$BI131,34,33))</f>
        <v>http://doc.google.com/uc?id=14JA2lpSSMQXKbKei41AI8yXk1iEQejtc</v>
      </c>
      <c r="DO131" s="45" t="str">
        <f>IFERROR(VLOOKUP(CONCATENATE('Respuestas de formulario 1.1'!$B131,MID('Respuestas de formulario 1.1'!DO$1,2,1)),#REF!,12,0),"")</f>
        <v/>
      </c>
      <c r="DP131" s="45" t="str">
        <f>IFERROR(VLOOKUP(CONCATENATE('Respuestas de formulario 1.1'!$B131,MID('Respuestas de formulario 1.1'!DP$1,2,1)),#REF!,12,0),"")</f>
        <v/>
      </c>
      <c r="DQ131" s="45" t="str">
        <f>IFERROR(VLOOKUP(CONCATENATE('Respuestas de formulario 1.1'!$B131,MID('Respuestas de formulario 1.1'!DQ$1,2,1)),#REF!,12,0),"")</f>
        <v/>
      </c>
      <c r="DR131" s="45" t="str">
        <f>IFERROR(VLOOKUP(CONCATENATE('Respuestas de formulario 1.1'!$B131,MID('Respuestas de formulario 1.1'!DR$1,2,1)),#REF!,12,0),"")</f>
        <v/>
      </c>
      <c r="DS131" s="45" t="str">
        <f>IFERROR(VLOOKUP(CONCATENATE('Respuestas de formulario 1.1'!$B131,MID('Respuestas de formulario 1.1'!DS$1,2,1)),#REF!,12,0),"")</f>
        <v/>
      </c>
      <c r="DT131" s="45" t="str">
        <f>IFERROR(VLOOKUP(CONCATENATE('Respuestas de formulario 1.1'!$B131,MID('Respuestas de formulario 1.1'!DT$1,2,1)),#REF!,12,0),"")</f>
        <v/>
      </c>
      <c r="DU131" s="45" t="str">
        <f>IFERROR(VLOOKUP(CONCATENATE('Respuestas de formulario 1.1'!$B131,MID('Respuestas de formulario 1.1'!DU$1,2,1)),#REF!,12,0),"")</f>
        <v/>
      </c>
      <c r="DV131" s="45" t="str">
        <f>IFERROR(VLOOKUP(CONCATENATE('Respuestas de formulario 1.1'!$B131,MID('Respuestas de formulario 1.1'!DV$1,2,1)),#REF!,12,0),"")</f>
        <v/>
      </c>
      <c r="DW131" s="45" t="str">
        <f>IFERROR(VLOOKUP(CONCATENATE('Respuestas de formulario 1.1'!$B131,MID('Respuestas de formulario 1.1'!DW$1,2,1)),#REF!,12,0),"")</f>
        <v/>
      </c>
      <c r="DX131" s="45" t="str">
        <f>IFERROR(VLOOKUP(CONCATENATE('Respuestas de formulario 1.1'!$B131,MID('Respuestas de formulario 1.1'!DX$1,2,1)),#REF!,12,0),"")</f>
        <v/>
      </c>
      <c r="DY131" s="45" t="str">
        <f>IFERROR(VLOOKUP(CONCATENATE('Respuestas de formulario 1.1'!$B131,MID('Respuestas de formulario 1.1'!DY$1,2,1)),#REF!,12,0),"")</f>
        <v/>
      </c>
      <c r="DZ131" s="45" t="str">
        <f>IFERROR(VLOOKUP(CONCATENATE('Respuestas de formulario 1.1'!$B131,MID('Respuestas de formulario 1.1'!DZ$1,2,1)),#REF!,12,0),"")</f>
        <v/>
      </c>
      <c r="EA131" s="45" t="str">
        <f>IFERROR(VLOOKUP(CONCATENATE('Respuestas de formulario 1.1'!$B131,MID('Respuestas de formulario 1.1'!EA$1,2,1)),#REF!,12,0),"")</f>
        <v/>
      </c>
      <c r="EB131" s="45" t="str">
        <f>IFERROR(VLOOKUP(CONCATENATE('Respuestas de formulario 1.1'!$B131,MID('Respuestas de formulario 1.1'!EB$1,2,1)),#REF!,12,0),"")</f>
        <v/>
      </c>
      <c r="EC131" s="45" t="str">
        <f>IFERROR(VLOOKUP(CONCATENATE('Respuestas de formulario 1.1'!$B131,MID('Respuestas de formulario 1.1'!EC$1,2,1)),#REF!,12,0),"")</f>
        <v/>
      </c>
      <c r="ED131" s="45" t="str">
        <f>IFERROR(VLOOKUP(CONCATENATE('Respuestas de formulario 1.1'!$B131,MID('Respuestas de formulario 1.1'!ED$1,2,1)),#REF!,12,0),"")</f>
        <v/>
      </c>
      <c r="EE131" s="45" t="str">
        <f>IFERROR(VLOOKUP(CONCATENATE('Respuestas de formulario 1.1'!$B131,MID('Respuestas de formulario 1.1'!EE$1,2,1)),#REF!,12,0),"")</f>
        <v/>
      </c>
      <c r="EF131" s="45" t="str">
        <f>IFERROR(VLOOKUP(CONCATENATE('Respuestas de formulario 1.1'!$B131,MID('Respuestas de formulario 1.1'!EF$1,2,1)),#REF!,12,0),"")</f>
        <v/>
      </c>
      <c r="EG131" s="45" t="str">
        <f>IFERROR(VLOOKUP(CONCATENATE('Respuestas de formulario 1.1'!$B131,MID('Respuestas de formulario 1.1'!EG$1,2,1)),#REF!,12,0),"")</f>
        <v/>
      </c>
      <c r="EH131" s="45" t="str">
        <f>IFERROR(VLOOKUP(CONCATENATE('Respuestas de formulario 1.1'!$B131,MID('Respuestas de formulario 1.1'!EH$1,2,1)),#REF!,12,0),"")</f>
        <v/>
      </c>
      <c r="EI131" s="45" t="str">
        <f>IFERROR(VLOOKUP(CONCATENATE('Respuestas de formulario 1.1'!$B131,MID('Respuestas de formulario 1.1'!EI$1,2,1)),#REF!,12,0),"")</f>
        <v/>
      </c>
      <c r="EJ131" s="45" t="str">
        <f t="array" ref="EJ131">IF(DO131="","", INDEX(#REF!,MATCH(CONCATENATE('Respuestas de formulario 1.1'!$B131,DO131),#REF!,0),MATCH('Respuestas de formulario 1.1'!EJ$1,#REF!,0)))</f>
        <v/>
      </c>
      <c r="EK131" s="56" t="str">
        <f t="array" ref="EK131">IF(DP131="","", INDEX(#REF!,MATCH(CONCATENATE('Respuestas de formulario 1.1'!$B131,DP131),#REF!,0),MATCH('Respuestas de formulario 1.1'!EK$1,#REF!,0)))</f>
        <v/>
      </c>
      <c r="EL131" s="56" t="str">
        <f t="array" ref="EL131">IF(DQ131="","", INDEX(#REF!,MATCH(CONCATENATE('Respuestas de formulario 1.1'!$B131,DQ131),#REF!,0),MATCH('Respuestas de formulario 1.1'!EL$1,#REF!,0)))</f>
        <v/>
      </c>
      <c r="EM131" s="56" t="str">
        <f t="array" ref="EM131">IF(DR131="","", INDEX(#REF!,MATCH(CONCATENATE('Respuestas de formulario 1.1'!$B131,DR131),#REF!,0),MATCH('Respuestas de formulario 1.1'!EM$1,#REF!,0)))</f>
        <v/>
      </c>
      <c r="EN131" s="56" t="str">
        <f t="array" ref="EN131">IF(DS131="","", INDEX(#REF!,MATCH(CONCATENATE('Respuestas de formulario 1.1'!$B131,DS131),#REF!,0),MATCH('Respuestas de formulario 1.1'!EN$1,#REF!,0)))</f>
        <v/>
      </c>
      <c r="EO131" s="56" t="str">
        <f t="array" ref="EO131">IF(DT131="","", INDEX(#REF!,MATCH(CONCATENATE('Respuestas de formulario 1.1'!$B131,DT131),#REF!,0),MATCH('Respuestas de formulario 1.1'!EO$1,#REF!,0)))</f>
        <v/>
      </c>
      <c r="EP131" s="45" t="str">
        <f t="array" ref="EP131">IF(DU131="","", INDEX(#REF!,MATCH(CONCATENATE('Respuestas de formulario 1.1'!$B131,DU131),#REF!,0),MATCH('Respuestas de formulario 1.1'!EP$1,#REF!,0)))</f>
        <v/>
      </c>
      <c r="EQ131" s="45" t="str">
        <f t="array" ref="EQ131">IF(DP131="","", INDEX(#REF!,MATCH(CONCATENATE('Respuestas de formulario 1.1'!$B131,DP131),#REF!,0),MATCH('Respuestas de formulario 1.1'!EQ$1,#REF!,0)))</f>
        <v/>
      </c>
      <c r="ER131" s="56" t="str">
        <f t="array" ref="ER131">IF(DQ131="","", INDEX(#REF!,MATCH(CONCATENATE('Respuestas de formulario 1.1'!$B131,DQ131),#REF!,0),MATCH('Respuestas de formulario 1.1'!ER$1,#REF!,0)))</f>
        <v/>
      </c>
      <c r="ES131" s="56" t="str">
        <f t="array" ref="ES131">IF(DR131="","", INDEX(#REF!,MATCH(CONCATENATE('Respuestas de formulario 1.1'!$B131,DR131),#REF!,0),MATCH('Respuestas de formulario 1.1'!ES$1,#REF!,0)))</f>
        <v/>
      </c>
      <c r="ET131" s="56" t="str">
        <f t="array" ref="ET131">IF(DS131="","", INDEX(#REF!,MATCH(CONCATENATE('Respuestas de formulario 1.1'!$B131,DS131),#REF!,0),MATCH('Respuestas de formulario 1.1'!ET$1,#REF!,0)))</f>
        <v/>
      </c>
      <c r="EU131" s="56" t="str">
        <f t="array" ref="EU131">IF(DT131="","", INDEX(#REF!,MATCH(CONCATENATE('Respuestas de formulario 1.1'!$B131,DT131),#REF!,0),MATCH('Respuestas de formulario 1.1'!EU$1,#REF!,0)))</f>
        <v/>
      </c>
      <c r="EV131" s="56" t="str">
        <f t="array" ref="EV131">IF(DU131="","", INDEX(#REF!,MATCH(CONCATENATE('Respuestas de formulario 1.1'!$B131,DU131),#REF!,0),MATCH('Respuestas de formulario 1.1'!EV$1,#REF!,0)))</f>
        <v/>
      </c>
      <c r="EW131" s="45" t="str">
        <f t="array" ref="EW131">IF(DV131="","", INDEX(#REF!,MATCH(CONCATENATE('Respuestas de formulario 1.1'!$B131,DV131),#REF!,0),MATCH('Respuestas de formulario 1.1'!EW$1,#REF!,0)))</f>
        <v/>
      </c>
      <c r="EX131" s="45" t="str">
        <f t="array" ref="EX131">IF($DQ131="","", INDEX(#REF!,MATCH(CONCATENATE('Respuestas de formulario 1.1'!$B131,$DQ131),#REF!,0),MATCH('Respuestas de formulario 1.1'!EX$1,#REF!,0)))</f>
        <v/>
      </c>
      <c r="EY131" s="56" t="str">
        <f t="array" ref="EY131">IF($DQ131="","", INDEX(#REF!,MATCH(CONCATENATE('Respuestas de formulario 1.1'!$B131,$DQ131),#REF!,0),MATCH('Respuestas de formulario 1.1'!EY$1,#REF!,0)))</f>
        <v/>
      </c>
      <c r="EZ131" s="56" t="str">
        <f t="array" ref="EZ131">IF($DQ131="","", INDEX(#REF!,MATCH(CONCATENATE('Respuestas de formulario 1.1'!$B131,$DQ131),#REF!,0),MATCH('Respuestas de formulario 1.1'!EZ$1,#REF!,0)))</f>
        <v/>
      </c>
      <c r="FA131" s="56" t="str">
        <f t="array" ref="FA131">IF($DQ131="","", INDEX(#REF!,MATCH(CONCATENATE('Respuestas de formulario 1.1'!$B131,$DQ131),#REF!,0),MATCH('Respuestas de formulario 1.1'!FA$1,#REF!,0)))</f>
        <v/>
      </c>
      <c r="FB131" s="56" t="str">
        <f t="array" ref="FB131">IF($DQ131="","", INDEX(#REF!,MATCH(CONCATENATE('Respuestas de formulario 1.1'!$B131,$DQ131),#REF!,0),MATCH('Respuestas de formulario 1.1'!FB$1,#REF!,0)))</f>
        <v/>
      </c>
      <c r="FC131" s="56" t="str">
        <f t="array" ref="FC131">IF($DQ131="","", INDEX(#REF!,MATCH(CONCATENATE('Respuestas de formulario 1.1'!$B131,$DQ131),#REF!,0),MATCH('Respuestas de formulario 1.1'!FC$1,#REF!,0)))</f>
        <v/>
      </c>
      <c r="FD131" s="45" t="str">
        <f t="array" ref="FD131">IF($DQ131="","", INDEX(#REF!,MATCH(CONCATENATE('Respuestas de formulario 1.1'!$B131,$DQ131),#REF!,0),MATCH('Respuestas de formulario 1.1'!FD$1,#REF!,0)))</f>
        <v/>
      </c>
      <c r="FE131" s="45" t="str">
        <f t="array" ref="FE131">IF($DR131="","", INDEX(#REF!,MATCH(CONCATENATE(#REF!,$DR131),#REF!,0),MATCH(#REF!,#REF!,0)))</f>
        <v/>
      </c>
      <c r="FF131" s="56" t="str">
        <f t="array" ref="FF131">IF($DR131="","", INDEX(#REF!,MATCH(CONCATENATE(#REF!,$DR131),#REF!,0),MATCH(#REF!,#REF!,0)))</f>
        <v/>
      </c>
      <c r="FG131" s="56" t="str">
        <f t="array" ref="FG131">IF($DR131="","", INDEX(#REF!,MATCH(CONCATENATE(#REF!,$DR131),#REF!,0),MATCH(#REF!,#REF!,0)))</f>
        <v/>
      </c>
      <c r="FH131" s="56" t="str">
        <f t="array" ref="FH131">IF($DR131="","", INDEX(#REF!,MATCH(CONCATENATE(#REF!,$DR131),#REF!,0),MATCH(#REF!,#REF!,0)))</f>
        <v/>
      </c>
      <c r="FI131" s="56" t="str">
        <f t="array" ref="FI131">IF($DR131="","", INDEX(#REF!,MATCH(CONCATENATE(#REF!,$DR131),#REF!,0),MATCH(#REF!,#REF!,0)))</f>
        <v/>
      </c>
      <c r="FJ131" s="56" t="str">
        <f t="array" ref="FJ131">IF($DR131="","", INDEX(#REF!,MATCH(CONCATENATE(#REF!,$DR131),#REF!,0),MATCH(#REF!,#REF!,0)))</f>
        <v/>
      </c>
      <c r="FK131" s="45" t="str">
        <f t="array" ref="FK131">IF($DR131="","", INDEX(#REF!,MATCH(CONCATENATE(#REF!,$DR131),#REF!,0),MATCH(#REF!,#REF!,0)))</f>
        <v/>
      </c>
      <c r="FL131" s="45" t="str">
        <f t="array" ref="FL131">IF($DT131="","", INDEX(#REF!,MATCH(CONCATENATE('Respuestas de formulario 1.1'!$B131,$DS131),#REF!,0),MATCH('Respuestas de formulario 1.1'!FL$1,#REF!,0)))</f>
        <v/>
      </c>
      <c r="FM131" s="56" t="str">
        <f t="array" ref="FM131">IF($DT131="","", INDEX(#REF!,MATCH(CONCATENATE('Respuestas de formulario 1.1'!$B131,$DS131),#REF!,0),MATCH('Respuestas de formulario 1.1'!FM$1,#REF!,0)))</f>
        <v/>
      </c>
      <c r="FN131" s="56" t="str">
        <f t="array" ref="FN131">IF($DT131="","", INDEX(#REF!,MATCH(CONCATENATE('Respuestas de formulario 1.1'!$B131,$DS131),#REF!,0),MATCH('Respuestas de formulario 1.1'!FN$1,#REF!,0)))</f>
        <v/>
      </c>
      <c r="FO131" s="56" t="str">
        <f t="array" ref="FO131">IF($DT131="","", INDEX(#REF!,MATCH(CONCATENATE('Respuestas de formulario 1.1'!$B131,$DS131),#REF!,0),MATCH('Respuestas de formulario 1.1'!FO$1,#REF!,0)))</f>
        <v/>
      </c>
      <c r="FP131" s="56" t="str">
        <f t="array" ref="FP131">IF($DT131="","", INDEX(#REF!,MATCH(CONCATENATE('Respuestas de formulario 1.1'!$B131,$DS131),#REF!,0),MATCH('Respuestas de formulario 1.1'!FP$1,#REF!,0)))</f>
        <v/>
      </c>
      <c r="FQ131" s="56" t="str">
        <f t="array" ref="FQ131">IF($DT131="","", INDEX(#REF!,MATCH(CONCATENATE('Respuestas de formulario 1.1'!$B131,$DS131),#REF!,0),MATCH('Respuestas de formulario 1.1'!FQ$1,#REF!,0)))</f>
        <v/>
      </c>
      <c r="FR131" s="45" t="str">
        <f t="array" ref="FR131">IF($DT131="","", INDEX(#REF!,MATCH(CONCATENATE('Respuestas de formulario 1.1'!$B131,$DS131),#REF!,0),MATCH('Respuestas de formulario 1.1'!FR$1,#REF!,0)))</f>
        <v/>
      </c>
      <c r="FS131" s="45" t="str">
        <f t="array" ref="FS131">IF($DU131="","", INDEX(#REF!,MATCH(CONCATENATE('Respuestas de formulario 1.1'!$B131,$DT131),#REF!,0),MATCH('Respuestas de formulario 1.1'!FS$1,#REF!,0)))</f>
        <v/>
      </c>
      <c r="FT131" s="56" t="str">
        <f t="array" ref="FT131">IF($DU131="","", INDEX(#REF!,MATCH(CONCATENATE('Respuestas de formulario 1.1'!$B131,$DT131),#REF!,0),MATCH('Respuestas de formulario 1.1'!FT$1,#REF!,0)))</f>
        <v/>
      </c>
      <c r="FU131" s="56" t="str">
        <f t="array" ref="FU131">IF($DU131="","", INDEX(#REF!,MATCH(CONCATENATE('Respuestas de formulario 1.1'!$B131,$DT131),#REF!,0),MATCH('Respuestas de formulario 1.1'!FU$1,#REF!,0)))</f>
        <v/>
      </c>
      <c r="FV131" s="56" t="str">
        <f t="array" ref="FV131">IF($DU131="","", INDEX(#REF!,MATCH(CONCATENATE('Respuestas de formulario 1.1'!$B131,$DT131),#REF!,0),MATCH('Respuestas de formulario 1.1'!FV$1,#REF!,0)))</f>
        <v/>
      </c>
      <c r="FW131" s="56" t="str">
        <f t="array" ref="FW131">IF($DU131="","", INDEX(#REF!,MATCH(CONCATENATE('Respuestas de formulario 1.1'!$B131,$DT131),#REF!,0),MATCH('Respuestas de formulario 1.1'!FW$1,#REF!,0)))</f>
        <v/>
      </c>
      <c r="FX131" s="56" t="str">
        <f t="array" ref="FX131">IF($DU131="","", INDEX(#REF!,MATCH(CONCATENATE('Respuestas de formulario 1.1'!$B131,$DT131),#REF!,0),MATCH('Respuestas de formulario 1.1'!FX$1,#REF!,0)))</f>
        <v/>
      </c>
      <c r="FY131" s="45" t="str">
        <f t="array" ref="FY131">IF($DU131="","", INDEX(#REF!,MATCH(CONCATENATE('Respuestas de formulario 1.1'!$B131,$DT131),#REF!,0),MATCH('Respuestas de formulario 1.1'!FY$1,#REF!,0)))</f>
        <v/>
      </c>
      <c r="FZ131" s="3" t="s">
        <v>2860</v>
      </c>
      <c r="GA131" s="1" t="s">
        <v>5077</v>
      </c>
      <c r="GB131" s="5" t="s">
        <v>5078</v>
      </c>
      <c r="GC131" s="4" t="str">
        <f>HYPERLINK("https://drive.google.com/file/d/1P0Yc3XuYE7ua5m1CQVl0wVOqsHWI7s1e/view?usp=drivesdk","HERNANDEZ HERNANDEZ SUSANA Formato de reinscripción y pago 2022-2")</f>
        <v>HERNANDEZ HERNANDEZ SUSANA Formato de reinscripción y pago 2022-2</v>
      </c>
      <c r="GD131" s="1" t="s">
        <v>5079</v>
      </c>
      <c r="GE131" s="1"/>
      <c r="GF131" s="1"/>
      <c r="GG131" s="1"/>
      <c r="GH131" s="1"/>
      <c r="GI131" s="1" t="s">
        <v>5080</v>
      </c>
      <c r="GJ131" s="5" t="s">
        <v>5081</v>
      </c>
      <c r="GK131" s="5" t="str">
        <f>HYPERLINK("https://drive.google.com/file/d/1r1eEqsHQyOLqC48RUojB_6JUMkgsJoJM/view?usp=drivesdk","HERNANDEZ HERNANDEZ SUSANA Formato de reinscripción y pago 2022-2")</f>
        <v>HERNANDEZ HERNANDEZ SUSANA Formato de reinscripción y pago 2022-2</v>
      </c>
      <c r="GL131" s="1" t="s">
        <v>5082</v>
      </c>
    </row>
    <row r="132" spans="1:194" ht="38.25" x14ac:dyDescent="0.2">
      <c r="A132" s="2">
        <v>45139.444729027775</v>
      </c>
      <c r="B132" s="1" t="s">
        <v>1745</v>
      </c>
      <c r="C132" s="1" t="s">
        <v>600</v>
      </c>
      <c r="D132" s="1" t="s">
        <v>860</v>
      </c>
      <c r="E132" s="1" t="s">
        <v>1746</v>
      </c>
      <c r="F132" s="1" t="s">
        <v>223</v>
      </c>
      <c r="G132" s="5" t="s">
        <v>5083</v>
      </c>
      <c r="H132" s="41">
        <v>38818</v>
      </c>
      <c r="I132" s="1">
        <v>17</v>
      </c>
      <c r="J132" s="1">
        <v>5586454446</v>
      </c>
      <c r="K132" s="1">
        <v>5619871137</v>
      </c>
      <c r="L132" s="1" t="s">
        <v>1747</v>
      </c>
      <c r="M132" s="1">
        <v>21309060570113</v>
      </c>
      <c r="N132" s="1" t="s">
        <v>1108</v>
      </c>
      <c r="O132" s="1" t="s">
        <v>247</v>
      </c>
      <c r="P132" s="1" t="s">
        <v>226</v>
      </c>
      <c r="Q132" s="1" t="s">
        <v>248</v>
      </c>
      <c r="R132" s="1" t="s">
        <v>236</v>
      </c>
      <c r="S132" s="1" t="s">
        <v>236</v>
      </c>
      <c r="T132" s="1" t="s">
        <v>411</v>
      </c>
      <c r="U132" s="1" t="s">
        <v>434</v>
      </c>
      <c r="V132" s="1" t="s">
        <v>228</v>
      </c>
      <c r="W132" s="1" t="s">
        <v>5084</v>
      </c>
      <c r="X132" s="1" t="s">
        <v>434</v>
      </c>
      <c r="Y132" s="1" t="s">
        <v>1753</v>
      </c>
      <c r="Z132" s="1" t="s">
        <v>231</v>
      </c>
      <c r="AA132" s="1">
        <v>56619</v>
      </c>
      <c r="AB132" s="1">
        <v>50</v>
      </c>
      <c r="AC132" s="1">
        <v>4</v>
      </c>
      <c r="AD132" s="1" t="s">
        <v>5085</v>
      </c>
      <c r="AE132" s="1" t="s">
        <v>1748</v>
      </c>
      <c r="AF132" s="1" t="s">
        <v>265</v>
      </c>
      <c r="AG132" s="1">
        <v>36</v>
      </c>
      <c r="AH132" s="5" t="s">
        <v>5086</v>
      </c>
      <c r="AI132" s="1">
        <v>5619871137</v>
      </c>
      <c r="AJ132" s="1">
        <v>5619871137</v>
      </c>
      <c r="AK132" s="1" t="s">
        <v>1749</v>
      </c>
      <c r="AL132" s="1" t="s">
        <v>1779</v>
      </c>
      <c r="AM132" s="1" t="s">
        <v>1750</v>
      </c>
      <c r="AN132" s="1" t="s">
        <v>2442</v>
      </c>
      <c r="AO132" s="1" t="s">
        <v>435</v>
      </c>
      <c r="AP132" s="1">
        <v>43</v>
      </c>
      <c r="AQ132" s="1" t="s">
        <v>2529</v>
      </c>
      <c r="AR132" s="42">
        <v>0.33333333333575865</v>
      </c>
      <c r="AS132" s="42">
        <v>0.875</v>
      </c>
      <c r="AT132" s="1">
        <v>5570487704</v>
      </c>
      <c r="AU132" s="1">
        <v>5570487704</v>
      </c>
      <c r="AV132" s="1"/>
      <c r="AW132" s="5" t="s">
        <v>5087</v>
      </c>
      <c r="AX132" s="1" t="s">
        <v>1560</v>
      </c>
      <c r="AY132" s="1" t="s">
        <v>5088</v>
      </c>
      <c r="AZ132" s="1" t="s">
        <v>1582</v>
      </c>
      <c r="BA132" s="1" t="s">
        <v>968</v>
      </c>
      <c r="BB132" s="1">
        <v>59</v>
      </c>
      <c r="BC132" s="1" t="s">
        <v>328</v>
      </c>
      <c r="BD132" s="43">
        <v>0</v>
      </c>
      <c r="BE132" s="43">
        <v>0</v>
      </c>
      <c r="BF132" s="1">
        <v>5557338684</v>
      </c>
      <c r="BG132" s="1">
        <v>5521298487</v>
      </c>
      <c r="BH132" s="1"/>
      <c r="BI132" s="5" t="s">
        <v>5089</v>
      </c>
      <c r="BJ132" s="1" t="s">
        <v>236</v>
      </c>
      <c r="BL132" s="1">
        <v>159</v>
      </c>
      <c r="BM132" s="1">
        <v>46</v>
      </c>
      <c r="BN132" s="1" t="s">
        <v>228</v>
      </c>
      <c r="BO132" s="1" t="s">
        <v>236</v>
      </c>
      <c r="BP132" s="1" t="s">
        <v>5090</v>
      </c>
      <c r="BQ132" s="1" t="s">
        <v>228</v>
      </c>
      <c r="BR132" s="1" t="s">
        <v>237</v>
      </c>
      <c r="BS132" s="1" t="s">
        <v>236</v>
      </c>
      <c r="BT132" s="1" t="s">
        <v>271</v>
      </c>
      <c r="BU132" s="1" t="s">
        <v>228</v>
      </c>
      <c r="BW132" s="1" t="s">
        <v>238</v>
      </c>
      <c r="BX132" s="1">
        <v>2</v>
      </c>
      <c r="BY132" s="1">
        <v>180</v>
      </c>
      <c r="BZ132" s="1" t="s">
        <v>2346</v>
      </c>
      <c r="CA132" s="1" t="s">
        <v>237</v>
      </c>
      <c r="CB132" s="1" t="s">
        <v>240</v>
      </c>
      <c r="CC132" s="1" t="s">
        <v>274</v>
      </c>
      <c r="CD132" s="1">
        <v>1000</v>
      </c>
      <c r="CE132" s="1">
        <v>1500</v>
      </c>
      <c r="CF132" s="1" t="s">
        <v>236</v>
      </c>
      <c r="CG132" s="1" t="s">
        <v>242</v>
      </c>
      <c r="CH132" s="1" t="s">
        <v>243</v>
      </c>
      <c r="CI132" s="1" t="s">
        <v>243</v>
      </c>
      <c r="CJ132" s="1" t="s">
        <v>2848</v>
      </c>
      <c r="CL132" s="5" t="s">
        <v>5091</v>
      </c>
      <c r="CM132" s="1">
        <v>15210656003</v>
      </c>
      <c r="CN132" s="1" t="s">
        <v>228</v>
      </c>
      <c r="CQ132" s="42">
        <v>0.33333333333575865</v>
      </c>
      <c r="CR132" s="42">
        <v>0.58333333333575865</v>
      </c>
      <c r="CT132" s="45" t="str">
        <f t="array" ref="CT132">IFERROR(INDEX(#REF!,MATCH('Respuestas de formulario 1.1'!$B132,#REF!,0),MATCH('Respuestas de formulario 1.1'!CT$1,#REF!,0)),"")</f>
        <v/>
      </c>
      <c r="CU132" s="56" t="str">
        <f t="array" ref="CU132">IFERROR(INDEX(#REF!,MATCH('Respuestas de formulario 1.1'!$B132,#REF!,0),MATCH('Respuestas de formulario 1.1'!CU$1,#REF!,0)),"")</f>
        <v/>
      </c>
      <c r="CV132" s="56" t="str">
        <f t="array" ref="CV132">IFERROR(INDEX(#REF!,MATCH('Respuestas de formulario 1.1'!$B132,#REF!,0),MATCH('Respuestas de formulario 1.1'!CV$1,#REF!,0)),"")</f>
        <v/>
      </c>
      <c r="CW132" s="56" t="str">
        <f t="array" ref="CW132">IFERROR(INDEX(#REF!,MATCH('Respuestas de formulario 1.1'!$B132,#REF!,0),MATCH('Respuestas de formulario 1.1'!CW$1,#REF!,0)),"")</f>
        <v/>
      </c>
      <c r="CX132" s="56" t="str">
        <f t="array" ref="CX132">IFERROR(INDEX(#REF!,MATCH('Respuestas de formulario 1.1'!$B132,#REF!,0),MATCH('Respuestas de formulario 1.1'!CX$1,#REF!,0)),"")</f>
        <v/>
      </c>
      <c r="CY132" s="56" t="str">
        <f t="array" ref="CY132">IFERROR(INDEX(#REF!,MATCH('Respuestas de formulario 1.1'!$B132,#REF!,0),MATCH('Respuestas de formulario 1.1'!CY$1,#REF!,0)),"")</f>
        <v/>
      </c>
      <c r="CZ132" s="57" t="str">
        <f t="array" ref="CZ132">IFERROR(INDEX(#REF!,MATCH('Respuestas de formulario 1.1'!$B132,#REF!,0),MATCH('Respuestas de formulario 1.1'!CZ$1,#REF!,0)),"")</f>
        <v/>
      </c>
      <c r="DA132" s="45" t="e">
        <f t="array" ref="DA132">INDEX(#REF!,MATCH('Respuestas de formulario 1.1'!$B132,#REF!,0),MATCH('Respuestas de formulario 1.1'!DA$1,#REF!,0))</f>
        <v>#REF!</v>
      </c>
      <c r="DB132" s="45" t="e">
        <f t="array" ref="DB132">INDEX(#REF!,MATCH('Respuestas de formulario 1.1'!$B132,#REF!,0),MATCH('Respuestas de formulario 1.1'!DB$1,#REF!,0))</f>
        <v>#REF!</v>
      </c>
      <c r="DC132" s="45" t="e">
        <f t="array" ref="DC132">INDEX(#REF!,MATCH('Respuestas de formulario 1.1'!$B132,#REF!,0),MATCH('Respuestas de formulario 1.1'!DC$1,#REF!,0))</f>
        <v>#REF!</v>
      </c>
      <c r="DD132" s="45" t="e">
        <f t="array" ref="DD132">INDEX(#REF!,MATCH('Respuestas de formulario 1.1'!$B132,#REF!,0),MATCH('Respuestas de formulario 1.1'!DD$1,#REF!,0))</f>
        <v>#REF!</v>
      </c>
      <c r="DE132" s="45" t="e">
        <f t="array" ref="DE132">INDEX(#REF!,MATCH('Respuestas de formulario 1.1'!$B132,#REF!,0),MATCH('Respuestas de formulario 1.1'!DE$1,#REF!,0))</f>
        <v>#REF!</v>
      </c>
      <c r="DF132" s="45" t="e">
        <f t="array" ref="DF132">INDEX(#REF!,MATCH('Respuestas de formulario 1.1'!$B132,#REF!,0),MATCH('Respuestas de formulario 1.1'!DF$1,#REF!,0))</f>
        <v>#REF!</v>
      </c>
      <c r="DG132" s="45" t="e">
        <f t="array" ref="DG132">INDEX(#REF!,MATCH('Respuestas de formulario 1.1'!$B132,#REF!,0),MATCH('Respuestas de formulario 1.1'!DG$1,#REF!,0))</f>
        <v>#REF!</v>
      </c>
      <c r="DH132" s="45" t="e">
        <f t="array" ref="DH132">INDEX(#REF!,MATCH('Respuestas de formulario 1.1'!$B132,#REF!,0),MATCH('Respuestas de formulario 1.1'!DH$1,#REF!,0))</f>
        <v>#REF!</v>
      </c>
      <c r="DI132" s="48" t="e">
        <f>VLOOKUP(CONCATENATE($DF132," TUTO ",$DC132),#REF!,3,0)</f>
        <v>#REF!</v>
      </c>
      <c r="DJ132" s="48" t="e">
        <f t="array" ref="DJ132">IF('Respuestas de formulario 1.1'!A132="","",INDEX(#REF!,MATCH('Respuestas de formulario 1.1'!B132,#REF!,0),MATCH('Respuestas de formulario 1.1'!$DH$1,#REF!,0)))</f>
        <v>#REF!</v>
      </c>
      <c r="DK132" s="52" t="str">
        <f>CONCATENATE("http://doc.google.com/uc?id=",MID('Respuestas de formulario 1.1'!G132,34,33))</f>
        <v>http://doc.google.com/uc?id=1HcuruOX6s7vS20vlncxJvSMkczArJnqP</v>
      </c>
      <c r="DL132" s="49" t="str">
        <f>CONCATENATE("http://doc.google.com/uc?id=",MID('Respuestas de formulario 1.1'!AH132,34,33))</f>
        <v>http://doc.google.com/uc?id=1hgTTdKWf9_MzKCtMIw1GBfxYmXTgocVX</v>
      </c>
      <c r="DM132" s="50" t="str">
        <f>CONCATENATE("http://doc.google.com/uc?id=",MID('Respuestas de formulario 1.1'!AW132,34,33))</f>
        <v>http://doc.google.com/uc?id=1heGm0brv-DuUa5cx-Jy3gQIp6Uny8nHs</v>
      </c>
      <c r="DN132" s="53" t="str">
        <f>CONCATENATE("http://doc.google.com/uc?id=",MID('Respuestas de formulario 1.1'!$BI132,34,33))</f>
        <v>http://doc.google.com/uc?id=1cin2wLXYHvqJn9HkQVrA1w2acdNSUF8F</v>
      </c>
      <c r="DO132" s="45" t="str">
        <f>IFERROR(VLOOKUP(CONCATENATE('Respuestas de formulario 1.1'!$B132,MID('Respuestas de formulario 1.1'!DO$1,2,1)),#REF!,12,0),"")</f>
        <v/>
      </c>
      <c r="DP132" s="45" t="str">
        <f>IFERROR(VLOOKUP(CONCATENATE('Respuestas de formulario 1.1'!$B132,MID('Respuestas de formulario 1.1'!DP$1,2,1)),#REF!,12,0),"")</f>
        <v/>
      </c>
      <c r="DQ132" s="45" t="str">
        <f>IFERROR(VLOOKUP(CONCATENATE('Respuestas de formulario 1.1'!$B132,MID('Respuestas de formulario 1.1'!DQ$1,2,1)),#REF!,12,0),"")</f>
        <v/>
      </c>
      <c r="DR132" s="45" t="str">
        <f>IFERROR(VLOOKUP(CONCATENATE('Respuestas de formulario 1.1'!$B132,MID('Respuestas de formulario 1.1'!DR$1,2,1)),#REF!,12,0),"")</f>
        <v/>
      </c>
      <c r="DS132" s="45" t="str">
        <f>IFERROR(VLOOKUP(CONCATENATE('Respuestas de formulario 1.1'!$B132,MID('Respuestas de formulario 1.1'!DS$1,2,1)),#REF!,12,0),"")</f>
        <v/>
      </c>
      <c r="DT132" s="45" t="str">
        <f>IFERROR(VLOOKUP(CONCATENATE('Respuestas de formulario 1.1'!$B132,MID('Respuestas de formulario 1.1'!DT$1,2,1)),#REF!,12,0),"")</f>
        <v/>
      </c>
      <c r="DU132" s="45" t="str">
        <f>IFERROR(VLOOKUP(CONCATENATE('Respuestas de formulario 1.1'!$B132,MID('Respuestas de formulario 1.1'!DU$1,2,1)),#REF!,12,0),"")</f>
        <v/>
      </c>
      <c r="DV132" s="45" t="str">
        <f>IFERROR(VLOOKUP(CONCATENATE('Respuestas de formulario 1.1'!$B132,MID('Respuestas de formulario 1.1'!DV$1,2,1)),#REF!,12,0),"")</f>
        <v/>
      </c>
      <c r="DW132" s="45" t="str">
        <f>IFERROR(VLOOKUP(CONCATENATE('Respuestas de formulario 1.1'!$B132,MID('Respuestas de formulario 1.1'!DW$1,2,1)),#REF!,12,0),"")</f>
        <v/>
      </c>
      <c r="DX132" s="45" t="str">
        <f>IFERROR(VLOOKUP(CONCATENATE('Respuestas de formulario 1.1'!$B132,MID('Respuestas de formulario 1.1'!DX$1,2,1)),#REF!,12,0),"")</f>
        <v/>
      </c>
      <c r="DY132" s="45" t="str">
        <f>IFERROR(VLOOKUP(CONCATENATE('Respuestas de formulario 1.1'!$B132,MID('Respuestas de formulario 1.1'!DY$1,2,1)),#REF!,12,0),"")</f>
        <v/>
      </c>
      <c r="DZ132" s="45" t="str">
        <f>IFERROR(VLOOKUP(CONCATENATE('Respuestas de formulario 1.1'!$B132,MID('Respuestas de formulario 1.1'!DZ$1,2,1)),#REF!,12,0),"")</f>
        <v/>
      </c>
      <c r="EA132" s="45" t="str">
        <f>IFERROR(VLOOKUP(CONCATENATE('Respuestas de formulario 1.1'!$B132,MID('Respuestas de formulario 1.1'!EA$1,2,1)),#REF!,12,0),"")</f>
        <v/>
      </c>
      <c r="EB132" s="45" t="str">
        <f>IFERROR(VLOOKUP(CONCATENATE('Respuestas de formulario 1.1'!$B132,MID('Respuestas de formulario 1.1'!EB$1,2,1)),#REF!,12,0),"")</f>
        <v/>
      </c>
      <c r="EC132" s="45" t="str">
        <f>IFERROR(VLOOKUP(CONCATENATE('Respuestas de formulario 1.1'!$B132,MID('Respuestas de formulario 1.1'!EC$1,2,1)),#REF!,12,0),"")</f>
        <v/>
      </c>
      <c r="ED132" s="45" t="str">
        <f>IFERROR(VLOOKUP(CONCATENATE('Respuestas de formulario 1.1'!$B132,MID('Respuestas de formulario 1.1'!ED$1,2,1)),#REF!,12,0),"")</f>
        <v/>
      </c>
      <c r="EE132" s="45" t="str">
        <f>IFERROR(VLOOKUP(CONCATENATE('Respuestas de formulario 1.1'!$B132,MID('Respuestas de formulario 1.1'!EE$1,2,1)),#REF!,12,0),"")</f>
        <v/>
      </c>
      <c r="EF132" s="45" t="str">
        <f>IFERROR(VLOOKUP(CONCATENATE('Respuestas de formulario 1.1'!$B132,MID('Respuestas de formulario 1.1'!EF$1,2,1)),#REF!,12,0),"")</f>
        <v/>
      </c>
      <c r="EG132" s="45" t="str">
        <f>IFERROR(VLOOKUP(CONCATENATE('Respuestas de formulario 1.1'!$B132,MID('Respuestas de formulario 1.1'!EG$1,2,1)),#REF!,12,0),"")</f>
        <v/>
      </c>
      <c r="EH132" s="45" t="str">
        <f>IFERROR(VLOOKUP(CONCATENATE('Respuestas de formulario 1.1'!$B132,MID('Respuestas de formulario 1.1'!EH$1,2,1)),#REF!,12,0),"")</f>
        <v/>
      </c>
      <c r="EI132" s="45" t="str">
        <f>IFERROR(VLOOKUP(CONCATENATE('Respuestas de formulario 1.1'!$B132,MID('Respuestas de formulario 1.1'!EI$1,2,1)),#REF!,12,0),"")</f>
        <v/>
      </c>
      <c r="EJ132" s="45" t="str">
        <f t="array" ref="EJ132">IF(DO132="","", INDEX(#REF!,MATCH(CONCATENATE('Respuestas de formulario 1.1'!$B132,DO132),#REF!,0),MATCH('Respuestas de formulario 1.1'!EJ$1,#REF!,0)))</f>
        <v/>
      </c>
      <c r="EK132" s="56" t="str">
        <f t="array" ref="EK132">IF(DP132="","", INDEX(#REF!,MATCH(CONCATENATE('Respuestas de formulario 1.1'!$B132,DP132),#REF!,0),MATCH('Respuestas de formulario 1.1'!EK$1,#REF!,0)))</f>
        <v/>
      </c>
      <c r="EL132" s="56" t="str">
        <f t="array" ref="EL132">IF(DQ132="","", INDEX(#REF!,MATCH(CONCATENATE('Respuestas de formulario 1.1'!$B132,DQ132),#REF!,0),MATCH('Respuestas de formulario 1.1'!EL$1,#REF!,0)))</f>
        <v/>
      </c>
      <c r="EM132" s="56" t="str">
        <f t="array" ref="EM132">IF(DR132="","", INDEX(#REF!,MATCH(CONCATENATE('Respuestas de formulario 1.1'!$B132,DR132),#REF!,0),MATCH('Respuestas de formulario 1.1'!EM$1,#REF!,0)))</f>
        <v/>
      </c>
      <c r="EN132" s="56" t="str">
        <f t="array" ref="EN132">IF(DS132="","", INDEX(#REF!,MATCH(CONCATENATE('Respuestas de formulario 1.1'!$B132,DS132),#REF!,0),MATCH('Respuestas de formulario 1.1'!EN$1,#REF!,0)))</f>
        <v/>
      </c>
      <c r="EO132" s="56" t="str">
        <f t="array" ref="EO132">IF(DT132="","", INDEX(#REF!,MATCH(CONCATENATE('Respuestas de formulario 1.1'!$B132,DT132),#REF!,0),MATCH('Respuestas de formulario 1.1'!EO$1,#REF!,0)))</f>
        <v/>
      </c>
      <c r="EP132" s="45" t="str">
        <f t="array" ref="EP132">IF(DU132="","", INDEX(#REF!,MATCH(CONCATENATE('Respuestas de formulario 1.1'!$B132,DU132),#REF!,0),MATCH('Respuestas de formulario 1.1'!EP$1,#REF!,0)))</f>
        <v/>
      </c>
      <c r="EQ132" s="45" t="str">
        <f t="array" ref="EQ132">IF(DP132="","", INDEX(#REF!,MATCH(CONCATENATE('Respuestas de formulario 1.1'!$B132,DP132),#REF!,0),MATCH('Respuestas de formulario 1.1'!EQ$1,#REF!,0)))</f>
        <v/>
      </c>
      <c r="ER132" s="56" t="str">
        <f t="array" ref="ER132">IF(DQ132="","", INDEX(#REF!,MATCH(CONCATENATE('Respuestas de formulario 1.1'!$B132,DQ132),#REF!,0),MATCH('Respuestas de formulario 1.1'!ER$1,#REF!,0)))</f>
        <v/>
      </c>
      <c r="ES132" s="56" t="str">
        <f t="array" ref="ES132">IF(DR132="","", INDEX(#REF!,MATCH(CONCATENATE('Respuestas de formulario 1.1'!$B132,DR132),#REF!,0),MATCH('Respuestas de formulario 1.1'!ES$1,#REF!,0)))</f>
        <v/>
      </c>
      <c r="ET132" s="56" t="str">
        <f t="array" ref="ET132">IF(DS132="","", INDEX(#REF!,MATCH(CONCATENATE('Respuestas de formulario 1.1'!$B132,DS132),#REF!,0),MATCH('Respuestas de formulario 1.1'!ET$1,#REF!,0)))</f>
        <v/>
      </c>
      <c r="EU132" s="56" t="str">
        <f t="array" ref="EU132">IF(DT132="","", INDEX(#REF!,MATCH(CONCATENATE('Respuestas de formulario 1.1'!$B132,DT132),#REF!,0),MATCH('Respuestas de formulario 1.1'!EU$1,#REF!,0)))</f>
        <v/>
      </c>
      <c r="EV132" s="56" t="str">
        <f t="array" ref="EV132">IF(DU132="","", INDEX(#REF!,MATCH(CONCATENATE('Respuestas de formulario 1.1'!$B132,DU132),#REF!,0),MATCH('Respuestas de formulario 1.1'!EV$1,#REF!,0)))</f>
        <v/>
      </c>
      <c r="EW132" s="45" t="str">
        <f t="array" ref="EW132">IF(DV132="","", INDEX(#REF!,MATCH(CONCATENATE('Respuestas de formulario 1.1'!$B132,DV132),#REF!,0),MATCH('Respuestas de formulario 1.1'!EW$1,#REF!,0)))</f>
        <v/>
      </c>
      <c r="EX132" s="45" t="str">
        <f t="array" ref="EX132">IF($DQ132="","", INDEX(#REF!,MATCH(CONCATENATE('Respuestas de formulario 1.1'!$B132,$DQ132),#REF!,0),MATCH('Respuestas de formulario 1.1'!EX$1,#REF!,0)))</f>
        <v/>
      </c>
      <c r="EY132" s="56" t="str">
        <f t="array" ref="EY132">IF($DQ132="","", INDEX(#REF!,MATCH(CONCATENATE('Respuestas de formulario 1.1'!$B132,$DQ132),#REF!,0),MATCH('Respuestas de formulario 1.1'!EY$1,#REF!,0)))</f>
        <v/>
      </c>
      <c r="EZ132" s="56" t="str">
        <f t="array" ref="EZ132">IF($DQ132="","", INDEX(#REF!,MATCH(CONCATENATE('Respuestas de formulario 1.1'!$B132,$DQ132),#REF!,0),MATCH('Respuestas de formulario 1.1'!EZ$1,#REF!,0)))</f>
        <v/>
      </c>
      <c r="FA132" s="56" t="str">
        <f t="array" ref="FA132">IF($DQ132="","", INDEX(#REF!,MATCH(CONCATENATE('Respuestas de formulario 1.1'!$B132,$DQ132),#REF!,0),MATCH('Respuestas de formulario 1.1'!FA$1,#REF!,0)))</f>
        <v/>
      </c>
      <c r="FB132" s="56" t="str">
        <f t="array" ref="FB132">IF($DQ132="","", INDEX(#REF!,MATCH(CONCATENATE('Respuestas de formulario 1.1'!$B132,$DQ132),#REF!,0),MATCH('Respuestas de formulario 1.1'!FB$1,#REF!,0)))</f>
        <v/>
      </c>
      <c r="FC132" s="56" t="str">
        <f t="array" ref="FC132">IF($DQ132="","", INDEX(#REF!,MATCH(CONCATENATE('Respuestas de formulario 1.1'!$B132,$DQ132),#REF!,0),MATCH('Respuestas de formulario 1.1'!FC$1,#REF!,0)))</f>
        <v/>
      </c>
      <c r="FD132" s="45" t="str">
        <f t="array" ref="FD132">IF($DQ132="","", INDEX(#REF!,MATCH(CONCATENATE('Respuestas de formulario 1.1'!$B132,$DQ132),#REF!,0),MATCH('Respuestas de formulario 1.1'!FD$1,#REF!,0)))</f>
        <v/>
      </c>
      <c r="FE132" s="45" t="str">
        <f t="array" ref="FE132">IF($DR132="","", INDEX(#REF!,MATCH(CONCATENATE(#REF!,$DR132),#REF!,0),MATCH(#REF!,#REF!,0)))</f>
        <v/>
      </c>
      <c r="FF132" s="56" t="str">
        <f t="array" ref="FF132">IF($DR132="","", INDEX(#REF!,MATCH(CONCATENATE(#REF!,$DR132),#REF!,0),MATCH(#REF!,#REF!,0)))</f>
        <v/>
      </c>
      <c r="FG132" s="56" t="str">
        <f t="array" ref="FG132">IF($DR132="","", INDEX(#REF!,MATCH(CONCATENATE(#REF!,$DR132),#REF!,0),MATCH(#REF!,#REF!,0)))</f>
        <v/>
      </c>
      <c r="FH132" s="56" t="str">
        <f t="array" ref="FH132">IF($DR132="","", INDEX(#REF!,MATCH(CONCATENATE(#REF!,$DR132),#REF!,0),MATCH(#REF!,#REF!,0)))</f>
        <v/>
      </c>
      <c r="FI132" s="56" t="str">
        <f t="array" ref="FI132">IF($DR132="","", INDEX(#REF!,MATCH(CONCATENATE(#REF!,$DR132),#REF!,0),MATCH(#REF!,#REF!,0)))</f>
        <v/>
      </c>
      <c r="FJ132" s="56" t="str">
        <f t="array" ref="FJ132">IF($DR132="","", INDEX(#REF!,MATCH(CONCATENATE(#REF!,$DR132),#REF!,0),MATCH(#REF!,#REF!,0)))</f>
        <v/>
      </c>
      <c r="FK132" s="45" t="str">
        <f t="array" ref="FK132">IF($DR132="","", INDEX(#REF!,MATCH(CONCATENATE(#REF!,$DR132),#REF!,0),MATCH(#REF!,#REF!,0)))</f>
        <v/>
      </c>
      <c r="FL132" s="45" t="str">
        <f t="array" ref="FL132">IF($DT132="","", INDEX(#REF!,MATCH(CONCATENATE('Respuestas de formulario 1.1'!$B132,$DS132),#REF!,0),MATCH('Respuestas de formulario 1.1'!FL$1,#REF!,0)))</f>
        <v/>
      </c>
      <c r="FM132" s="56" t="str">
        <f t="array" ref="FM132">IF($DT132="","", INDEX(#REF!,MATCH(CONCATENATE('Respuestas de formulario 1.1'!$B132,$DS132),#REF!,0),MATCH('Respuestas de formulario 1.1'!FM$1,#REF!,0)))</f>
        <v/>
      </c>
      <c r="FN132" s="56" t="str">
        <f t="array" ref="FN132">IF($DT132="","", INDEX(#REF!,MATCH(CONCATENATE('Respuestas de formulario 1.1'!$B132,$DS132),#REF!,0),MATCH('Respuestas de formulario 1.1'!FN$1,#REF!,0)))</f>
        <v/>
      </c>
      <c r="FO132" s="56" t="str">
        <f t="array" ref="FO132">IF($DT132="","", INDEX(#REF!,MATCH(CONCATENATE('Respuestas de formulario 1.1'!$B132,$DS132),#REF!,0),MATCH('Respuestas de formulario 1.1'!FO$1,#REF!,0)))</f>
        <v/>
      </c>
      <c r="FP132" s="56" t="str">
        <f t="array" ref="FP132">IF($DT132="","", INDEX(#REF!,MATCH(CONCATENATE('Respuestas de formulario 1.1'!$B132,$DS132),#REF!,0),MATCH('Respuestas de formulario 1.1'!FP$1,#REF!,0)))</f>
        <v/>
      </c>
      <c r="FQ132" s="56" t="str">
        <f t="array" ref="FQ132">IF($DT132="","", INDEX(#REF!,MATCH(CONCATENATE('Respuestas de formulario 1.1'!$B132,$DS132),#REF!,0),MATCH('Respuestas de formulario 1.1'!FQ$1,#REF!,0)))</f>
        <v/>
      </c>
      <c r="FR132" s="45" t="str">
        <f t="array" ref="FR132">IF($DT132="","", INDEX(#REF!,MATCH(CONCATENATE('Respuestas de formulario 1.1'!$B132,$DS132),#REF!,0),MATCH('Respuestas de formulario 1.1'!FR$1,#REF!,0)))</f>
        <v/>
      </c>
      <c r="FS132" s="45" t="str">
        <f t="array" ref="FS132">IF($DU132="","", INDEX(#REF!,MATCH(CONCATENATE('Respuestas de formulario 1.1'!$B132,$DT132),#REF!,0),MATCH('Respuestas de formulario 1.1'!FS$1,#REF!,0)))</f>
        <v/>
      </c>
      <c r="FT132" s="56" t="str">
        <f t="array" ref="FT132">IF($DU132="","", INDEX(#REF!,MATCH(CONCATENATE('Respuestas de formulario 1.1'!$B132,$DT132),#REF!,0),MATCH('Respuestas de formulario 1.1'!FT$1,#REF!,0)))</f>
        <v/>
      </c>
      <c r="FU132" s="56" t="str">
        <f t="array" ref="FU132">IF($DU132="","", INDEX(#REF!,MATCH(CONCATENATE('Respuestas de formulario 1.1'!$B132,$DT132),#REF!,0),MATCH('Respuestas de formulario 1.1'!FU$1,#REF!,0)))</f>
        <v/>
      </c>
      <c r="FV132" s="56" t="str">
        <f t="array" ref="FV132">IF($DU132="","", INDEX(#REF!,MATCH(CONCATENATE('Respuestas de formulario 1.1'!$B132,$DT132),#REF!,0),MATCH('Respuestas de formulario 1.1'!FV$1,#REF!,0)))</f>
        <v/>
      </c>
      <c r="FW132" s="56" t="str">
        <f t="array" ref="FW132">IF($DU132="","", INDEX(#REF!,MATCH(CONCATENATE('Respuestas de formulario 1.1'!$B132,$DT132),#REF!,0),MATCH('Respuestas de formulario 1.1'!FW$1,#REF!,0)))</f>
        <v/>
      </c>
      <c r="FX132" s="56" t="str">
        <f t="array" ref="FX132">IF($DU132="","", INDEX(#REF!,MATCH(CONCATENATE('Respuestas de formulario 1.1'!$B132,$DT132),#REF!,0),MATCH('Respuestas de formulario 1.1'!FX$1,#REF!,0)))</f>
        <v/>
      </c>
      <c r="FY132" s="45" t="str">
        <f t="array" ref="FY132">IF($DU132="","", INDEX(#REF!,MATCH(CONCATENATE('Respuestas de formulario 1.1'!$B132,$DT132),#REF!,0),MATCH('Respuestas de formulario 1.1'!FY$1,#REF!,0)))</f>
        <v/>
      </c>
      <c r="FZ132" s="3" t="s">
        <v>2860</v>
      </c>
      <c r="GA132" s="1" t="s">
        <v>5092</v>
      </c>
      <c r="GB132" s="5" t="s">
        <v>5093</v>
      </c>
      <c r="GC132" s="4" t="str">
        <f>HYPERLINK("https://drive.google.com/file/d/15RTQ85Z5KebHIQ56MpFDIGbhZyM64tJX/view?usp=drivesdk","RUIZ SOTO  SILVANA  Formato de reinscripción y pago 2022-2")</f>
        <v>RUIZ SOTO  SILVANA  Formato de reinscripción y pago 2022-2</v>
      </c>
      <c r="GD132" s="1" t="s">
        <v>5094</v>
      </c>
      <c r="GE132" s="1"/>
      <c r="GF132" s="1"/>
      <c r="GG132" s="1"/>
      <c r="GH132" s="1"/>
      <c r="GI132" s="1" t="s">
        <v>5095</v>
      </c>
      <c r="GJ132" s="5" t="s">
        <v>5096</v>
      </c>
      <c r="GK132" s="5" t="str">
        <f>HYPERLINK("https://drive.google.com/file/d/1rvWKEYJUFVLiQGWWH4xpZJllrEPLqKEZ/view?usp=drivesdk","RUIZ SOTO  &lt;&lt;Nombre(S)&gt;&gt; Formato de reinscripción y pago 2022-2")</f>
        <v>RUIZ SOTO  &lt;&lt;Nombre(S)&gt;&gt; Formato de reinscripción y pago 2022-2</v>
      </c>
      <c r="GL132" s="1" t="s">
        <v>5097</v>
      </c>
    </row>
    <row r="133" spans="1:194" ht="38.25" x14ac:dyDescent="0.2">
      <c r="A133" s="2">
        <v>45139.445254710648</v>
      </c>
      <c r="B133" s="1" t="s">
        <v>2444</v>
      </c>
      <c r="C133" s="1" t="s">
        <v>433</v>
      </c>
      <c r="D133" s="1" t="s">
        <v>304</v>
      </c>
      <c r="E133" s="1" t="s">
        <v>5098</v>
      </c>
      <c r="F133" s="1" t="s">
        <v>223</v>
      </c>
      <c r="G133" s="5" t="s">
        <v>5099</v>
      </c>
      <c r="H133" s="41">
        <v>38700</v>
      </c>
      <c r="I133" s="1">
        <v>17</v>
      </c>
      <c r="J133" s="1">
        <v>5537124778</v>
      </c>
      <c r="K133" s="1">
        <v>5574533099</v>
      </c>
      <c r="L133" s="1" t="s">
        <v>5100</v>
      </c>
      <c r="M133" s="1">
        <v>21309060570644</v>
      </c>
      <c r="N133" s="1" t="s">
        <v>1108</v>
      </c>
      <c r="O133" s="1" t="s">
        <v>225</v>
      </c>
      <c r="P133" s="1" t="s">
        <v>226</v>
      </c>
      <c r="Q133" s="1" t="s">
        <v>315</v>
      </c>
      <c r="R133" s="1" t="s">
        <v>236</v>
      </c>
      <c r="S133" s="1" t="s">
        <v>228</v>
      </c>
      <c r="T133" s="1" t="s">
        <v>411</v>
      </c>
      <c r="U133" s="1" t="s">
        <v>393</v>
      </c>
      <c r="V133" s="1" t="s">
        <v>228</v>
      </c>
      <c r="W133" s="1" t="s">
        <v>5101</v>
      </c>
      <c r="X133" s="1" t="s">
        <v>249</v>
      </c>
      <c r="Y133" s="1" t="s">
        <v>1415</v>
      </c>
      <c r="Z133" s="1" t="s">
        <v>231</v>
      </c>
      <c r="AA133" s="44" t="s">
        <v>957</v>
      </c>
      <c r="AB133" s="1" t="s">
        <v>2030</v>
      </c>
      <c r="AC133" s="1" t="s">
        <v>2030</v>
      </c>
      <c r="AD133" s="1" t="s">
        <v>5102</v>
      </c>
      <c r="AE133" s="1" t="s">
        <v>5103</v>
      </c>
      <c r="AF133" s="1" t="s">
        <v>265</v>
      </c>
      <c r="AG133" s="1">
        <v>34</v>
      </c>
      <c r="AH133" s="5" t="s">
        <v>5104</v>
      </c>
      <c r="AI133" s="1">
        <v>5537124778</v>
      </c>
      <c r="AJ133" s="1">
        <v>5574533099</v>
      </c>
      <c r="AK133" s="1" t="s">
        <v>2445</v>
      </c>
      <c r="AL133" s="1" t="s">
        <v>433</v>
      </c>
      <c r="AM133" s="1" t="s">
        <v>304</v>
      </c>
      <c r="AN133" s="1" t="s">
        <v>5098</v>
      </c>
      <c r="AO133" s="1" t="s">
        <v>265</v>
      </c>
      <c r="AP133" s="1">
        <v>34</v>
      </c>
      <c r="AQ133" s="1" t="s">
        <v>328</v>
      </c>
      <c r="AR133" s="42">
        <v>0.29166666666424135</v>
      </c>
      <c r="AS133" s="42">
        <v>0.45833333333575865</v>
      </c>
      <c r="AT133" s="1">
        <v>5537124778</v>
      </c>
      <c r="AU133" s="1">
        <v>5574533099</v>
      </c>
      <c r="AV133" s="1" t="s">
        <v>2445</v>
      </c>
      <c r="AW133" s="5" t="s">
        <v>5105</v>
      </c>
      <c r="AX133" s="1" t="s">
        <v>433</v>
      </c>
      <c r="AY133" s="1" t="s">
        <v>304</v>
      </c>
      <c r="AZ133" s="1" t="s">
        <v>996</v>
      </c>
      <c r="BA133" s="1" t="s">
        <v>265</v>
      </c>
      <c r="BB133" s="1">
        <v>34</v>
      </c>
      <c r="BC133" s="1" t="s">
        <v>328</v>
      </c>
      <c r="BD133" s="43">
        <v>0.29166666666424135</v>
      </c>
      <c r="BE133" s="43">
        <v>0.45833333333575865</v>
      </c>
      <c r="BF133" s="1">
        <v>5537124778</v>
      </c>
      <c r="BG133" s="1">
        <v>5574533099</v>
      </c>
      <c r="BH133" s="1" t="s">
        <v>2445</v>
      </c>
      <c r="BI133" s="5" t="s">
        <v>5106</v>
      </c>
      <c r="BJ133" s="1" t="s">
        <v>236</v>
      </c>
      <c r="BL133" s="1">
        <v>1.6</v>
      </c>
      <c r="BM133" s="1">
        <v>54</v>
      </c>
      <c r="BN133" s="1" t="s">
        <v>236</v>
      </c>
      <c r="BO133" s="1" t="s">
        <v>228</v>
      </c>
      <c r="BQ133" s="1" t="s">
        <v>228</v>
      </c>
      <c r="BR133" s="1" t="s">
        <v>237</v>
      </c>
      <c r="BS133" s="1" t="s">
        <v>228</v>
      </c>
      <c r="BT133" s="1" t="s">
        <v>237</v>
      </c>
      <c r="BU133" s="1" t="s">
        <v>228</v>
      </c>
      <c r="BW133" s="1" t="s">
        <v>272</v>
      </c>
      <c r="BX133" s="1">
        <v>60</v>
      </c>
      <c r="BY133" s="1">
        <v>330</v>
      </c>
      <c r="BZ133" s="1" t="s">
        <v>253</v>
      </c>
      <c r="CA133" s="1" t="s">
        <v>321</v>
      </c>
      <c r="CB133" s="1" t="s">
        <v>240</v>
      </c>
      <c r="CC133" s="1" t="s">
        <v>322</v>
      </c>
      <c r="CD133" s="1">
        <v>3000</v>
      </c>
      <c r="CE133" s="1">
        <v>2500</v>
      </c>
      <c r="CF133" s="1" t="s">
        <v>236</v>
      </c>
      <c r="CG133" s="1" t="s">
        <v>242</v>
      </c>
      <c r="CH133" s="1" t="s">
        <v>243</v>
      </c>
      <c r="CI133" s="1" t="s">
        <v>243</v>
      </c>
      <c r="CJ133" s="1" t="s">
        <v>2848</v>
      </c>
      <c r="CL133" s="5" t="s">
        <v>5107</v>
      </c>
      <c r="CM133" s="44" t="s">
        <v>2446</v>
      </c>
      <c r="CN133" s="1" t="s">
        <v>228</v>
      </c>
      <c r="CQ133" s="42">
        <v>0.33333333333575865</v>
      </c>
      <c r="CR133" s="42">
        <v>0.45833333333575865</v>
      </c>
      <c r="CT133" s="45" t="str">
        <f t="array" ref="CT133">IFERROR(INDEX(#REF!,MATCH('Respuestas de formulario 1.1'!$B133,#REF!,0),MATCH('Respuestas de formulario 1.1'!CT$1,#REF!,0)),"")</f>
        <v/>
      </c>
      <c r="CU133" s="56" t="str">
        <f t="array" ref="CU133">IFERROR(INDEX(#REF!,MATCH('Respuestas de formulario 1.1'!$B133,#REF!,0),MATCH('Respuestas de formulario 1.1'!CU$1,#REF!,0)),"")</f>
        <v/>
      </c>
      <c r="CV133" s="56" t="str">
        <f t="array" ref="CV133">IFERROR(INDEX(#REF!,MATCH('Respuestas de formulario 1.1'!$B133,#REF!,0),MATCH('Respuestas de formulario 1.1'!CV$1,#REF!,0)),"")</f>
        <v/>
      </c>
      <c r="CW133" s="56" t="str">
        <f t="array" ref="CW133">IFERROR(INDEX(#REF!,MATCH('Respuestas de formulario 1.1'!$B133,#REF!,0),MATCH('Respuestas de formulario 1.1'!CW$1,#REF!,0)),"")</f>
        <v/>
      </c>
      <c r="CX133" s="56" t="str">
        <f t="array" ref="CX133">IFERROR(INDEX(#REF!,MATCH('Respuestas de formulario 1.1'!$B133,#REF!,0),MATCH('Respuestas de formulario 1.1'!CX$1,#REF!,0)),"")</f>
        <v/>
      </c>
      <c r="CY133" s="56" t="str">
        <f t="array" ref="CY133">IFERROR(INDEX(#REF!,MATCH('Respuestas de formulario 1.1'!$B133,#REF!,0),MATCH('Respuestas de formulario 1.1'!CY$1,#REF!,0)),"")</f>
        <v/>
      </c>
      <c r="CZ133" s="57" t="str">
        <f t="array" ref="CZ133">IFERROR(INDEX(#REF!,MATCH('Respuestas de formulario 1.1'!$B133,#REF!,0),MATCH('Respuestas de formulario 1.1'!CZ$1,#REF!,0)),"")</f>
        <v/>
      </c>
      <c r="DA133" s="45" t="e">
        <f t="array" ref="DA133">INDEX(#REF!,MATCH('Respuestas de formulario 1.1'!$B133,#REF!,0),MATCH('Respuestas de formulario 1.1'!DA$1,#REF!,0))</f>
        <v>#REF!</v>
      </c>
      <c r="DB133" s="45" t="e">
        <f t="array" ref="DB133">INDEX(#REF!,MATCH('Respuestas de formulario 1.1'!$B133,#REF!,0),MATCH('Respuestas de formulario 1.1'!DB$1,#REF!,0))</f>
        <v>#REF!</v>
      </c>
      <c r="DC133" s="45" t="e">
        <f t="array" ref="DC133">INDEX(#REF!,MATCH('Respuestas de formulario 1.1'!$B133,#REF!,0),MATCH('Respuestas de formulario 1.1'!DC$1,#REF!,0))</f>
        <v>#REF!</v>
      </c>
      <c r="DD133" s="45" t="e">
        <f t="array" ref="DD133">INDEX(#REF!,MATCH('Respuestas de formulario 1.1'!$B133,#REF!,0),MATCH('Respuestas de formulario 1.1'!DD$1,#REF!,0))</f>
        <v>#REF!</v>
      </c>
      <c r="DE133" s="45" t="e">
        <f t="array" ref="DE133">INDEX(#REF!,MATCH('Respuestas de formulario 1.1'!$B133,#REF!,0),MATCH('Respuestas de formulario 1.1'!DE$1,#REF!,0))</f>
        <v>#REF!</v>
      </c>
      <c r="DF133" s="45" t="e">
        <f t="array" ref="DF133">INDEX(#REF!,MATCH('Respuestas de formulario 1.1'!$B133,#REF!,0),MATCH('Respuestas de formulario 1.1'!DF$1,#REF!,0))</f>
        <v>#REF!</v>
      </c>
      <c r="DG133" s="45" t="e">
        <f t="array" ref="DG133">INDEX(#REF!,MATCH('Respuestas de formulario 1.1'!$B133,#REF!,0),MATCH('Respuestas de formulario 1.1'!DG$1,#REF!,0))</f>
        <v>#REF!</v>
      </c>
      <c r="DH133" s="45" t="e">
        <f t="array" ref="DH133">INDEX(#REF!,MATCH('Respuestas de formulario 1.1'!$B133,#REF!,0),MATCH('Respuestas de formulario 1.1'!DH$1,#REF!,0))</f>
        <v>#REF!</v>
      </c>
      <c r="DI133" s="48" t="e">
        <f>VLOOKUP(CONCATENATE($DF133," TUTO ",$DC133),#REF!,3,0)</f>
        <v>#REF!</v>
      </c>
      <c r="DJ133" s="48" t="e">
        <f t="array" ref="DJ133">IF('Respuestas de formulario 1.1'!A133="","",INDEX(#REF!,MATCH('Respuestas de formulario 1.1'!B133,#REF!,0),MATCH('Respuestas de formulario 1.1'!$DH$1,#REF!,0)))</f>
        <v>#REF!</v>
      </c>
      <c r="DK133" s="52" t="str">
        <f>CONCATENATE("http://doc.google.com/uc?id=",MID('Respuestas de formulario 1.1'!G133,34,33))</f>
        <v>http://doc.google.com/uc?id=1ICVL96h3aXCgBA3Wm_aR6xChcJiDnbIg</v>
      </c>
      <c r="DL133" s="49" t="str">
        <f>CONCATENATE("http://doc.google.com/uc?id=",MID('Respuestas de formulario 1.1'!AH133,34,33))</f>
        <v>http://doc.google.com/uc?id=1HB1xXpEtocCcpvAbqVTngTLw9abzcRr1</v>
      </c>
      <c r="DM133" s="50" t="str">
        <f>CONCATENATE("http://doc.google.com/uc?id=",MID('Respuestas de formulario 1.1'!AW133,34,33))</f>
        <v>http://doc.google.com/uc?id=1w8TURSDPs9uFkU4a_qJrjadVo4uGv4-R</v>
      </c>
      <c r="DN133" s="53" t="str">
        <f>CONCATENATE("http://doc.google.com/uc?id=",MID('Respuestas de formulario 1.1'!$BI133,34,33))</f>
        <v>http://doc.google.com/uc?id=1jo-20qQHCIfy8d-SfRU2BcYD5GEPYaYc</v>
      </c>
      <c r="DO133" s="45" t="str">
        <f>IFERROR(VLOOKUP(CONCATENATE('Respuestas de formulario 1.1'!$B133,MID('Respuestas de formulario 1.1'!DO$1,2,1)),#REF!,12,0),"")</f>
        <v/>
      </c>
      <c r="DP133" s="45" t="str">
        <f>IFERROR(VLOOKUP(CONCATENATE('Respuestas de formulario 1.1'!$B133,MID('Respuestas de formulario 1.1'!DP$1,2,1)),#REF!,12,0),"")</f>
        <v/>
      </c>
      <c r="DQ133" s="45" t="str">
        <f>IFERROR(VLOOKUP(CONCATENATE('Respuestas de formulario 1.1'!$B133,MID('Respuestas de formulario 1.1'!DQ$1,2,1)),#REF!,12,0),"")</f>
        <v/>
      </c>
      <c r="DR133" s="45" t="str">
        <f>IFERROR(VLOOKUP(CONCATENATE('Respuestas de formulario 1.1'!$B133,MID('Respuestas de formulario 1.1'!DR$1,2,1)),#REF!,12,0),"")</f>
        <v/>
      </c>
      <c r="DS133" s="45" t="str">
        <f>IFERROR(VLOOKUP(CONCATENATE('Respuestas de formulario 1.1'!$B133,MID('Respuestas de formulario 1.1'!DS$1,2,1)),#REF!,12,0),"")</f>
        <v/>
      </c>
      <c r="DT133" s="45" t="str">
        <f>IFERROR(VLOOKUP(CONCATENATE('Respuestas de formulario 1.1'!$B133,MID('Respuestas de formulario 1.1'!DT$1,2,1)),#REF!,12,0),"")</f>
        <v/>
      </c>
      <c r="DU133" s="45" t="str">
        <f>IFERROR(VLOOKUP(CONCATENATE('Respuestas de formulario 1.1'!$B133,MID('Respuestas de formulario 1.1'!DU$1,2,1)),#REF!,12,0),"")</f>
        <v/>
      </c>
      <c r="DV133" s="45" t="str">
        <f>IFERROR(VLOOKUP(CONCATENATE('Respuestas de formulario 1.1'!$B133,MID('Respuestas de formulario 1.1'!DV$1,2,1)),#REF!,12,0),"")</f>
        <v/>
      </c>
      <c r="DW133" s="45" t="str">
        <f>IFERROR(VLOOKUP(CONCATENATE('Respuestas de formulario 1.1'!$B133,MID('Respuestas de formulario 1.1'!DW$1,2,1)),#REF!,12,0),"")</f>
        <v/>
      </c>
      <c r="DX133" s="45" t="str">
        <f>IFERROR(VLOOKUP(CONCATENATE('Respuestas de formulario 1.1'!$B133,MID('Respuestas de formulario 1.1'!DX$1,2,1)),#REF!,12,0),"")</f>
        <v/>
      </c>
      <c r="DY133" s="45" t="str">
        <f>IFERROR(VLOOKUP(CONCATENATE('Respuestas de formulario 1.1'!$B133,MID('Respuestas de formulario 1.1'!DY$1,2,1)),#REF!,12,0),"")</f>
        <v/>
      </c>
      <c r="DZ133" s="45" t="str">
        <f>IFERROR(VLOOKUP(CONCATENATE('Respuestas de formulario 1.1'!$B133,MID('Respuestas de formulario 1.1'!DZ$1,2,1)),#REF!,12,0),"")</f>
        <v/>
      </c>
      <c r="EA133" s="45" t="str">
        <f>IFERROR(VLOOKUP(CONCATENATE('Respuestas de formulario 1.1'!$B133,MID('Respuestas de formulario 1.1'!EA$1,2,1)),#REF!,12,0),"")</f>
        <v/>
      </c>
      <c r="EB133" s="45" t="str">
        <f>IFERROR(VLOOKUP(CONCATENATE('Respuestas de formulario 1.1'!$B133,MID('Respuestas de formulario 1.1'!EB$1,2,1)),#REF!,12,0),"")</f>
        <v/>
      </c>
      <c r="EC133" s="45" t="str">
        <f>IFERROR(VLOOKUP(CONCATENATE('Respuestas de formulario 1.1'!$B133,MID('Respuestas de formulario 1.1'!EC$1,2,1)),#REF!,12,0),"")</f>
        <v/>
      </c>
      <c r="ED133" s="45" t="str">
        <f>IFERROR(VLOOKUP(CONCATENATE('Respuestas de formulario 1.1'!$B133,MID('Respuestas de formulario 1.1'!ED$1,2,1)),#REF!,12,0),"")</f>
        <v/>
      </c>
      <c r="EE133" s="45" t="str">
        <f>IFERROR(VLOOKUP(CONCATENATE('Respuestas de formulario 1.1'!$B133,MID('Respuestas de formulario 1.1'!EE$1,2,1)),#REF!,12,0),"")</f>
        <v/>
      </c>
      <c r="EF133" s="45" t="str">
        <f>IFERROR(VLOOKUP(CONCATENATE('Respuestas de formulario 1.1'!$B133,MID('Respuestas de formulario 1.1'!EF$1,2,1)),#REF!,12,0),"")</f>
        <v/>
      </c>
      <c r="EG133" s="45" t="str">
        <f>IFERROR(VLOOKUP(CONCATENATE('Respuestas de formulario 1.1'!$B133,MID('Respuestas de formulario 1.1'!EG$1,2,1)),#REF!,12,0),"")</f>
        <v/>
      </c>
      <c r="EH133" s="45" t="str">
        <f>IFERROR(VLOOKUP(CONCATENATE('Respuestas de formulario 1.1'!$B133,MID('Respuestas de formulario 1.1'!EH$1,2,1)),#REF!,12,0),"")</f>
        <v/>
      </c>
      <c r="EI133" s="45" t="str">
        <f>IFERROR(VLOOKUP(CONCATENATE('Respuestas de formulario 1.1'!$B133,MID('Respuestas de formulario 1.1'!EI$1,2,1)),#REF!,12,0),"")</f>
        <v/>
      </c>
      <c r="EJ133" s="45" t="str">
        <f t="array" ref="EJ133">IF(DO133="","", INDEX(#REF!,MATCH(CONCATENATE('Respuestas de formulario 1.1'!$B133,DO133),#REF!,0),MATCH('Respuestas de formulario 1.1'!EJ$1,#REF!,0)))</f>
        <v/>
      </c>
      <c r="EK133" s="56" t="str">
        <f t="array" ref="EK133">IF(DP133="","", INDEX(#REF!,MATCH(CONCATENATE('Respuestas de formulario 1.1'!$B133,DP133),#REF!,0),MATCH('Respuestas de formulario 1.1'!EK$1,#REF!,0)))</f>
        <v/>
      </c>
      <c r="EL133" s="56" t="str">
        <f t="array" ref="EL133">IF(DQ133="","", INDEX(#REF!,MATCH(CONCATENATE('Respuestas de formulario 1.1'!$B133,DQ133),#REF!,0),MATCH('Respuestas de formulario 1.1'!EL$1,#REF!,0)))</f>
        <v/>
      </c>
      <c r="EM133" s="56" t="str">
        <f t="array" ref="EM133">IF(DR133="","", INDEX(#REF!,MATCH(CONCATENATE('Respuestas de formulario 1.1'!$B133,DR133),#REF!,0),MATCH('Respuestas de formulario 1.1'!EM$1,#REF!,0)))</f>
        <v/>
      </c>
      <c r="EN133" s="56" t="str">
        <f t="array" ref="EN133">IF(DS133="","", INDEX(#REF!,MATCH(CONCATENATE('Respuestas de formulario 1.1'!$B133,DS133),#REF!,0),MATCH('Respuestas de formulario 1.1'!EN$1,#REF!,0)))</f>
        <v/>
      </c>
      <c r="EO133" s="56" t="str">
        <f t="array" ref="EO133">IF(DT133="","", INDEX(#REF!,MATCH(CONCATENATE('Respuestas de formulario 1.1'!$B133,DT133),#REF!,0),MATCH('Respuestas de formulario 1.1'!EO$1,#REF!,0)))</f>
        <v/>
      </c>
      <c r="EP133" s="45" t="str">
        <f t="array" ref="EP133">IF(DU133="","", INDEX(#REF!,MATCH(CONCATENATE('Respuestas de formulario 1.1'!$B133,DU133),#REF!,0),MATCH('Respuestas de formulario 1.1'!EP$1,#REF!,0)))</f>
        <v/>
      </c>
      <c r="EQ133" s="45" t="str">
        <f t="array" ref="EQ133">IF(DP133="","", INDEX(#REF!,MATCH(CONCATENATE('Respuestas de formulario 1.1'!$B133,DP133),#REF!,0),MATCH('Respuestas de formulario 1.1'!EQ$1,#REF!,0)))</f>
        <v/>
      </c>
      <c r="ER133" s="56" t="str">
        <f t="array" ref="ER133">IF(DQ133="","", INDEX(#REF!,MATCH(CONCATENATE('Respuestas de formulario 1.1'!$B133,DQ133),#REF!,0),MATCH('Respuestas de formulario 1.1'!ER$1,#REF!,0)))</f>
        <v/>
      </c>
      <c r="ES133" s="56" t="str">
        <f t="array" ref="ES133">IF(DR133="","", INDEX(#REF!,MATCH(CONCATENATE('Respuestas de formulario 1.1'!$B133,DR133),#REF!,0),MATCH('Respuestas de formulario 1.1'!ES$1,#REF!,0)))</f>
        <v/>
      </c>
      <c r="ET133" s="56" t="str">
        <f t="array" ref="ET133">IF(DS133="","", INDEX(#REF!,MATCH(CONCATENATE('Respuestas de formulario 1.1'!$B133,DS133),#REF!,0),MATCH('Respuestas de formulario 1.1'!ET$1,#REF!,0)))</f>
        <v/>
      </c>
      <c r="EU133" s="56" t="str">
        <f t="array" ref="EU133">IF(DT133="","", INDEX(#REF!,MATCH(CONCATENATE('Respuestas de formulario 1.1'!$B133,DT133),#REF!,0),MATCH('Respuestas de formulario 1.1'!EU$1,#REF!,0)))</f>
        <v/>
      </c>
      <c r="EV133" s="56" t="str">
        <f t="array" ref="EV133">IF(DU133="","", INDEX(#REF!,MATCH(CONCATENATE('Respuestas de formulario 1.1'!$B133,DU133),#REF!,0),MATCH('Respuestas de formulario 1.1'!EV$1,#REF!,0)))</f>
        <v/>
      </c>
      <c r="EW133" s="45" t="str">
        <f t="array" ref="EW133">IF(DV133="","", INDEX(#REF!,MATCH(CONCATENATE('Respuestas de formulario 1.1'!$B133,DV133),#REF!,0),MATCH('Respuestas de formulario 1.1'!EW$1,#REF!,0)))</f>
        <v/>
      </c>
      <c r="EX133" s="45" t="str">
        <f t="array" ref="EX133">IF($DQ133="","", INDEX(#REF!,MATCH(CONCATENATE('Respuestas de formulario 1.1'!$B133,$DQ133),#REF!,0),MATCH('Respuestas de formulario 1.1'!EX$1,#REF!,0)))</f>
        <v/>
      </c>
      <c r="EY133" s="56" t="str">
        <f t="array" ref="EY133">IF($DQ133="","", INDEX(#REF!,MATCH(CONCATENATE('Respuestas de formulario 1.1'!$B133,$DQ133),#REF!,0),MATCH('Respuestas de formulario 1.1'!EY$1,#REF!,0)))</f>
        <v/>
      </c>
      <c r="EZ133" s="56" t="str">
        <f t="array" ref="EZ133">IF($DQ133="","", INDEX(#REF!,MATCH(CONCATENATE('Respuestas de formulario 1.1'!$B133,$DQ133),#REF!,0),MATCH('Respuestas de formulario 1.1'!EZ$1,#REF!,0)))</f>
        <v/>
      </c>
      <c r="FA133" s="56" t="str">
        <f t="array" ref="FA133">IF($DQ133="","", INDEX(#REF!,MATCH(CONCATENATE('Respuestas de formulario 1.1'!$B133,$DQ133),#REF!,0),MATCH('Respuestas de formulario 1.1'!FA$1,#REF!,0)))</f>
        <v/>
      </c>
      <c r="FB133" s="56" t="str">
        <f t="array" ref="FB133">IF($DQ133="","", INDEX(#REF!,MATCH(CONCATENATE('Respuestas de formulario 1.1'!$B133,$DQ133),#REF!,0),MATCH('Respuestas de formulario 1.1'!FB$1,#REF!,0)))</f>
        <v/>
      </c>
      <c r="FC133" s="56" t="str">
        <f t="array" ref="FC133">IF($DQ133="","", INDEX(#REF!,MATCH(CONCATENATE('Respuestas de formulario 1.1'!$B133,$DQ133),#REF!,0),MATCH('Respuestas de formulario 1.1'!FC$1,#REF!,0)))</f>
        <v/>
      </c>
      <c r="FD133" s="45" t="str">
        <f t="array" ref="FD133">IF($DQ133="","", INDEX(#REF!,MATCH(CONCATENATE('Respuestas de formulario 1.1'!$B133,$DQ133),#REF!,0),MATCH('Respuestas de formulario 1.1'!FD$1,#REF!,0)))</f>
        <v/>
      </c>
      <c r="FE133" s="45" t="str">
        <f t="array" ref="FE133">IF($DR133="","", INDEX(#REF!,MATCH(CONCATENATE(#REF!,$DR133),#REF!,0),MATCH(#REF!,#REF!,0)))</f>
        <v/>
      </c>
      <c r="FF133" s="56" t="str">
        <f t="array" ref="FF133">IF($DR133="","", INDEX(#REF!,MATCH(CONCATENATE(#REF!,$DR133),#REF!,0),MATCH(#REF!,#REF!,0)))</f>
        <v/>
      </c>
      <c r="FG133" s="56" t="str">
        <f t="array" ref="FG133">IF($DR133="","", INDEX(#REF!,MATCH(CONCATENATE(#REF!,$DR133),#REF!,0),MATCH(#REF!,#REF!,0)))</f>
        <v/>
      </c>
      <c r="FH133" s="56" t="str">
        <f t="array" ref="FH133">IF($DR133="","", INDEX(#REF!,MATCH(CONCATENATE(#REF!,$DR133),#REF!,0),MATCH(#REF!,#REF!,0)))</f>
        <v/>
      </c>
      <c r="FI133" s="56" t="str">
        <f t="array" ref="FI133">IF($DR133="","", INDEX(#REF!,MATCH(CONCATENATE(#REF!,$DR133),#REF!,0),MATCH(#REF!,#REF!,0)))</f>
        <v/>
      </c>
      <c r="FJ133" s="56" t="str">
        <f t="array" ref="FJ133">IF($DR133="","", INDEX(#REF!,MATCH(CONCATENATE(#REF!,$DR133),#REF!,0),MATCH(#REF!,#REF!,0)))</f>
        <v/>
      </c>
      <c r="FK133" s="45" t="str">
        <f t="array" ref="FK133">IF($DR133="","", INDEX(#REF!,MATCH(CONCATENATE(#REF!,$DR133),#REF!,0),MATCH(#REF!,#REF!,0)))</f>
        <v/>
      </c>
      <c r="FL133" s="45" t="str">
        <f t="array" ref="FL133">IF($DT133="","", INDEX(#REF!,MATCH(CONCATENATE('Respuestas de formulario 1.1'!$B133,$DS133),#REF!,0),MATCH('Respuestas de formulario 1.1'!FL$1,#REF!,0)))</f>
        <v/>
      </c>
      <c r="FM133" s="56" t="str">
        <f t="array" ref="FM133">IF($DT133="","", INDEX(#REF!,MATCH(CONCATENATE('Respuestas de formulario 1.1'!$B133,$DS133),#REF!,0),MATCH('Respuestas de formulario 1.1'!FM$1,#REF!,0)))</f>
        <v/>
      </c>
      <c r="FN133" s="56" t="str">
        <f t="array" ref="FN133">IF($DT133="","", INDEX(#REF!,MATCH(CONCATENATE('Respuestas de formulario 1.1'!$B133,$DS133),#REF!,0),MATCH('Respuestas de formulario 1.1'!FN$1,#REF!,0)))</f>
        <v/>
      </c>
      <c r="FO133" s="56" t="str">
        <f t="array" ref="FO133">IF($DT133="","", INDEX(#REF!,MATCH(CONCATENATE('Respuestas de formulario 1.1'!$B133,$DS133),#REF!,0),MATCH('Respuestas de formulario 1.1'!FO$1,#REF!,0)))</f>
        <v/>
      </c>
      <c r="FP133" s="56" t="str">
        <f t="array" ref="FP133">IF($DT133="","", INDEX(#REF!,MATCH(CONCATENATE('Respuestas de formulario 1.1'!$B133,$DS133),#REF!,0),MATCH('Respuestas de formulario 1.1'!FP$1,#REF!,0)))</f>
        <v/>
      </c>
      <c r="FQ133" s="56" t="str">
        <f t="array" ref="FQ133">IF($DT133="","", INDEX(#REF!,MATCH(CONCATENATE('Respuestas de formulario 1.1'!$B133,$DS133),#REF!,0),MATCH('Respuestas de formulario 1.1'!FQ$1,#REF!,0)))</f>
        <v/>
      </c>
      <c r="FR133" s="45" t="str">
        <f t="array" ref="FR133">IF($DT133="","", INDEX(#REF!,MATCH(CONCATENATE('Respuestas de formulario 1.1'!$B133,$DS133),#REF!,0),MATCH('Respuestas de formulario 1.1'!FR$1,#REF!,0)))</f>
        <v/>
      </c>
      <c r="FS133" s="45" t="str">
        <f t="array" ref="FS133">IF($DU133="","", INDEX(#REF!,MATCH(CONCATENATE('Respuestas de formulario 1.1'!$B133,$DT133),#REF!,0),MATCH('Respuestas de formulario 1.1'!FS$1,#REF!,0)))</f>
        <v/>
      </c>
      <c r="FT133" s="56" t="str">
        <f t="array" ref="FT133">IF($DU133="","", INDEX(#REF!,MATCH(CONCATENATE('Respuestas de formulario 1.1'!$B133,$DT133),#REF!,0),MATCH('Respuestas de formulario 1.1'!FT$1,#REF!,0)))</f>
        <v/>
      </c>
      <c r="FU133" s="56" t="str">
        <f t="array" ref="FU133">IF($DU133="","", INDEX(#REF!,MATCH(CONCATENATE('Respuestas de formulario 1.1'!$B133,$DT133),#REF!,0),MATCH('Respuestas de formulario 1.1'!FU$1,#REF!,0)))</f>
        <v/>
      </c>
      <c r="FV133" s="56" t="str">
        <f t="array" ref="FV133">IF($DU133="","", INDEX(#REF!,MATCH(CONCATENATE('Respuestas de formulario 1.1'!$B133,$DT133),#REF!,0),MATCH('Respuestas de formulario 1.1'!FV$1,#REF!,0)))</f>
        <v/>
      </c>
      <c r="FW133" s="56" t="str">
        <f t="array" ref="FW133">IF($DU133="","", INDEX(#REF!,MATCH(CONCATENATE('Respuestas de formulario 1.1'!$B133,$DT133),#REF!,0),MATCH('Respuestas de formulario 1.1'!FW$1,#REF!,0)))</f>
        <v/>
      </c>
      <c r="FX133" s="56" t="str">
        <f t="array" ref="FX133">IF($DU133="","", INDEX(#REF!,MATCH(CONCATENATE('Respuestas de formulario 1.1'!$B133,$DT133),#REF!,0),MATCH('Respuestas de formulario 1.1'!FX$1,#REF!,0)))</f>
        <v/>
      </c>
      <c r="FY133" s="45" t="str">
        <f t="array" ref="FY133">IF($DU133="","", INDEX(#REF!,MATCH(CONCATENATE('Respuestas de formulario 1.1'!$B133,$DT133),#REF!,0),MATCH('Respuestas de formulario 1.1'!FY$1,#REF!,0)))</f>
        <v/>
      </c>
      <c r="FZ133" s="3" t="s">
        <v>2860</v>
      </c>
      <c r="GA133" s="1" t="s">
        <v>5108</v>
      </c>
      <c r="GB133" s="5" t="s">
        <v>5109</v>
      </c>
      <c r="GC133" s="4" t="str">
        <f>HYPERLINK("https://drive.google.com/file/d/1AGDjwKBsgBG2MxFw221JxoQOvhYhs7wh/view?usp=drivesdk","MARTINEZ GARCIA DANNA RUTH Formato de reinscripción y pago 2022-2")</f>
        <v>MARTINEZ GARCIA DANNA RUTH Formato de reinscripción y pago 2022-2</v>
      </c>
      <c r="GD133" s="1" t="s">
        <v>5110</v>
      </c>
      <c r="GE133" s="1"/>
      <c r="GF133" s="1"/>
      <c r="GG133" s="1"/>
      <c r="GH133" s="1"/>
      <c r="GI133" s="1" t="s">
        <v>5111</v>
      </c>
      <c r="GJ133" s="5" t="s">
        <v>5112</v>
      </c>
      <c r="GK133" s="5" t="str">
        <f>HYPERLINK("https://drive.google.com/file/d/1kGvsJmVgpQ9zz5S3Pwuba3OlI838-QRN/view?usp=drivesdk","MARTINEZ GARCIA &lt;&lt;Nombre(S)&gt;&gt; Formato de reinscripción y pago 2022-2")</f>
        <v>MARTINEZ GARCIA &lt;&lt;Nombre(S)&gt;&gt; Formato de reinscripción y pago 2022-2</v>
      </c>
      <c r="GL133" s="1" t="s">
        <v>5113</v>
      </c>
    </row>
    <row r="134" spans="1:194" ht="38.25" x14ac:dyDescent="0.2">
      <c r="A134" s="2">
        <v>45139.445578043982</v>
      </c>
      <c r="B134" s="1" t="s">
        <v>1766</v>
      </c>
      <c r="C134" s="1" t="s">
        <v>474</v>
      </c>
      <c r="D134" s="1" t="s">
        <v>1273</v>
      </c>
      <c r="E134" s="1" t="s">
        <v>1767</v>
      </c>
      <c r="F134" s="1" t="s">
        <v>223</v>
      </c>
      <c r="G134" s="5" t="s">
        <v>5114</v>
      </c>
      <c r="H134" s="41">
        <v>38969</v>
      </c>
      <c r="I134" s="1">
        <v>16</v>
      </c>
      <c r="J134" s="1">
        <v>5568961924</v>
      </c>
      <c r="K134" s="1">
        <v>5559428794</v>
      </c>
      <c r="L134" s="1" t="s">
        <v>1768</v>
      </c>
      <c r="M134" s="1">
        <v>21309060570169</v>
      </c>
      <c r="N134" s="1" t="s">
        <v>1108</v>
      </c>
      <c r="O134" s="1" t="s">
        <v>247</v>
      </c>
      <c r="P134" s="1" t="s">
        <v>226</v>
      </c>
      <c r="Q134" s="1" t="s">
        <v>263</v>
      </c>
      <c r="R134" s="1" t="s">
        <v>236</v>
      </c>
      <c r="S134" s="1" t="s">
        <v>228</v>
      </c>
      <c r="T134" s="1" t="s">
        <v>411</v>
      </c>
      <c r="U134" s="1" t="s">
        <v>289</v>
      </c>
      <c r="V134" s="1" t="s">
        <v>228</v>
      </c>
      <c r="W134" s="1" t="s">
        <v>1769</v>
      </c>
      <c r="X134" s="1" t="s">
        <v>289</v>
      </c>
      <c r="Y134" s="1" t="s">
        <v>1594</v>
      </c>
      <c r="Z134" s="1" t="s">
        <v>231</v>
      </c>
      <c r="AA134" s="1">
        <v>56577</v>
      </c>
      <c r="AB134" s="1" t="s">
        <v>1770</v>
      </c>
      <c r="AC134" s="1" t="s">
        <v>1771</v>
      </c>
      <c r="AD134" s="1" t="s">
        <v>5115</v>
      </c>
      <c r="AE134" s="1" t="s">
        <v>5116</v>
      </c>
      <c r="AF134" s="1" t="s">
        <v>265</v>
      </c>
      <c r="AG134" s="1">
        <v>45</v>
      </c>
      <c r="AH134" s="5" t="s">
        <v>5117</v>
      </c>
      <c r="AI134" s="1">
        <v>5551726328</v>
      </c>
      <c r="AJ134" s="1">
        <v>5559428794</v>
      </c>
      <c r="AK134" s="1" t="s">
        <v>1773</v>
      </c>
      <c r="AL134" s="1" t="s">
        <v>1074</v>
      </c>
      <c r="AM134" s="1" t="s">
        <v>1774</v>
      </c>
      <c r="AN134" s="1" t="s">
        <v>1775</v>
      </c>
      <c r="AO134" s="1" t="s">
        <v>435</v>
      </c>
      <c r="AP134" s="1">
        <v>44</v>
      </c>
      <c r="AQ134" s="1" t="s">
        <v>405</v>
      </c>
      <c r="AR134" s="42">
        <v>0.33333333333575865</v>
      </c>
      <c r="AS134" s="42">
        <v>0.75</v>
      </c>
      <c r="AT134" s="1">
        <v>5522641789</v>
      </c>
      <c r="AU134" s="1">
        <v>5522641789</v>
      </c>
      <c r="AV134" s="1" t="s">
        <v>1776</v>
      </c>
      <c r="AW134" s="5" t="s">
        <v>5118</v>
      </c>
      <c r="AX134" s="1" t="s">
        <v>474</v>
      </c>
      <c r="AY134" s="1" t="s">
        <v>1273</v>
      </c>
      <c r="AZ134" s="1" t="s">
        <v>5119</v>
      </c>
      <c r="BA134" s="1" t="s">
        <v>403</v>
      </c>
      <c r="BB134" s="1">
        <v>19</v>
      </c>
      <c r="BC134" s="1" t="s">
        <v>303</v>
      </c>
      <c r="BD134" s="43">
        <v>0.29166666666424135</v>
      </c>
      <c r="BE134" s="43">
        <v>0.66666666666424135</v>
      </c>
      <c r="BF134" s="1">
        <v>5561655686</v>
      </c>
      <c r="BG134" s="1">
        <v>5561655686</v>
      </c>
      <c r="BH134" s="1" t="s">
        <v>1772</v>
      </c>
      <c r="BI134" s="5" t="s">
        <v>5120</v>
      </c>
      <c r="BJ134" s="1" t="s">
        <v>236</v>
      </c>
      <c r="BL134" s="1">
        <v>1.52</v>
      </c>
      <c r="BM134" s="1">
        <v>73</v>
      </c>
      <c r="BN134" s="1" t="s">
        <v>236</v>
      </c>
      <c r="BO134" s="1" t="s">
        <v>228</v>
      </c>
      <c r="BQ134" s="1" t="s">
        <v>228</v>
      </c>
      <c r="BR134" s="1" t="s">
        <v>237</v>
      </c>
      <c r="BS134" s="1" t="s">
        <v>228</v>
      </c>
      <c r="BT134" s="1" t="s">
        <v>237</v>
      </c>
      <c r="BU134" s="1" t="s">
        <v>228</v>
      </c>
      <c r="BW134" s="1" t="s">
        <v>238</v>
      </c>
      <c r="BX134" s="1">
        <v>200</v>
      </c>
      <c r="BY134" s="1">
        <v>280</v>
      </c>
      <c r="BZ134" s="1" t="s">
        <v>1777</v>
      </c>
      <c r="CA134" s="1" t="s">
        <v>5121</v>
      </c>
      <c r="CB134" s="1" t="s">
        <v>231</v>
      </c>
      <c r="CC134" s="1" t="s">
        <v>5122</v>
      </c>
      <c r="CD134" s="1">
        <v>1100</v>
      </c>
      <c r="CE134" s="1">
        <v>2000</v>
      </c>
      <c r="CF134" s="1" t="s">
        <v>236</v>
      </c>
      <c r="CG134" s="1" t="s">
        <v>242</v>
      </c>
      <c r="CH134" s="1" t="s">
        <v>243</v>
      </c>
      <c r="CI134" s="1" t="s">
        <v>243</v>
      </c>
      <c r="CJ134" s="1" t="s">
        <v>2848</v>
      </c>
      <c r="CL134" s="5" t="s">
        <v>5123</v>
      </c>
      <c r="CM134" s="44" t="s">
        <v>1778</v>
      </c>
      <c r="CN134" s="1" t="s">
        <v>228</v>
      </c>
      <c r="CQ134" s="42">
        <v>0.20833333333575865</v>
      </c>
      <c r="CR134" s="42">
        <v>0.91666666666424135</v>
      </c>
      <c r="CT134" s="45" t="str">
        <f t="array" ref="CT134">IFERROR(INDEX(#REF!,MATCH('Respuestas de formulario 1.1'!$B134,#REF!,0),MATCH('Respuestas de formulario 1.1'!CT$1,#REF!,0)),"")</f>
        <v/>
      </c>
      <c r="CU134" s="56" t="str">
        <f t="array" ref="CU134">IFERROR(INDEX(#REF!,MATCH('Respuestas de formulario 1.1'!$B134,#REF!,0),MATCH('Respuestas de formulario 1.1'!CU$1,#REF!,0)),"")</f>
        <v/>
      </c>
      <c r="CV134" s="56" t="str">
        <f t="array" ref="CV134">IFERROR(INDEX(#REF!,MATCH('Respuestas de formulario 1.1'!$B134,#REF!,0),MATCH('Respuestas de formulario 1.1'!CV$1,#REF!,0)),"")</f>
        <v/>
      </c>
      <c r="CW134" s="56" t="str">
        <f t="array" ref="CW134">IFERROR(INDEX(#REF!,MATCH('Respuestas de formulario 1.1'!$B134,#REF!,0),MATCH('Respuestas de formulario 1.1'!CW$1,#REF!,0)),"")</f>
        <v/>
      </c>
      <c r="CX134" s="56" t="str">
        <f t="array" ref="CX134">IFERROR(INDEX(#REF!,MATCH('Respuestas de formulario 1.1'!$B134,#REF!,0),MATCH('Respuestas de formulario 1.1'!CX$1,#REF!,0)),"")</f>
        <v/>
      </c>
      <c r="CY134" s="56" t="str">
        <f t="array" ref="CY134">IFERROR(INDEX(#REF!,MATCH('Respuestas de formulario 1.1'!$B134,#REF!,0),MATCH('Respuestas de formulario 1.1'!CY$1,#REF!,0)),"")</f>
        <v/>
      </c>
      <c r="CZ134" s="57" t="str">
        <f t="array" ref="CZ134">IFERROR(INDEX(#REF!,MATCH('Respuestas de formulario 1.1'!$B134,#REF!,0),MATCH('Respuestas de formulario 1.1'!CZ$1,#REF!,0)),"")</f>
        <v/>
      </c>
      <c r="DA134" s="45" t="e">
        <f t="array" ref="DA134">INDEX(#REF!,MATCH('Respuestas de formulario 1.1'!$B134,#REF!,0),MATCH('Respuestas de formulario 1.1'!DA$1,#REF!,0))</f>
        <v>#REF!</v>
      </c>
      <c r="DB134" s="45" t="e">
        <f t="array" ref="DB134">INDEX(#REF!,MATCH('Respuestas de formulario 1.1'!$B134,#REF!,0),MATCH('Respuestas de formulario 1.1'!DB$1,#REF!,0))</f>
        <v>#REF!</v>
      </c>
      <c r="DC134" s="45" t="e">
        <f t="array" ref="DC134">INDEX(#REF!,MATCH('Respuestas de formulario 1.1'!$B134,#REF!,0),MATCH('Respuestas de formulario 1.1'!DC$1,#REF!,0))</f>
        <v>#REF!</v>
      </c>
      <c r="DD134" s="45" t="e">
        <f t="array" ref="DD134">INDEX(#REF!,MATCH('Respuestas de formulario 1.1'!$B134,#REF!,0),MATCH('Respuestas de formulario 1.1'!DD$1,#REF!,0))</f>
        <v>#REF!</v>
      </c>
      <c r="DE134" s="45" t="e">
        <f t="array" ref="DE134">INDEX(#REF!,MATCH('Respuestas de formulario 1.1'!$B134,#REF!,0),MATCH('Respuestas de formulario 1.1'!DE$1,#REF!,0))</f>
        <v>#REF!</v>
      </c>
      <c r="DF134" s="45" t="e">
        <f t="array" ref="DF134">INDEX(#REF!,MATCH('Respuestas de formulario 1.1'!$B134,#REF!,0),MATCH('Respuestas de formulario 1.1'!DF$1,#REF!,0))</f>
        <v>#REF!</v>
      </c>
      <c r="DG134" s="45" t="e">
        <f t="array" ref="DG134">INDEX(#REF!,MATCH('Respuestas de formulario 1.1'!$B134,#REF!,0),MATCH('Respuestas de formulario 1.1'!DG$1,#REF!,0))</f>
        <v>#REF!</v>
      </c>
      <c r="DH134" s="45" t="e">
        <f t="array" ref="DH134">INDEX(#REF!,MATCH('Respuestas de formulario 1.1'!$B134,#REF!,0),MATCH('Respuestas de formulario 1.1'!DH$1,#REF!,0))</f>
        <v>#REF!</v>
      </c>
      <c r="DI134" s="48" t="e">
        <f>VLOOKUP(CONCATENATE($DF134," TUTO ",$DC134),#REF!,3,0)</f>
        <v>#REF!</v>
      </c>
      <c r="DJ134" s="48" t="e">
        <f t="array" ref="DJ134">IF('Respuestas de formulario 1.1'!A134="","",INDEX(#REF!,MATCH('Respuestas de formulario 1.1'!B134,#REF!,0),MATCH('Respuestas de formulario 1.1'!$DH$1,#REF!,0)))</f>
        <v>#REF!</v>
      </c>
      <c r="DK134" s="52" t="str">
        <f>CONCATENATE("http://doc.google.com/uc?id=",MID('Respuestas de formulario 1.1'!G134,34,33))</f>
        <v>http://doc.google.com/uc?id=1NBkJlhHoY9QCDLbza-gRy7ipJWrYk745</v>
      </c>
      <c r="DL134" s="49" t="str">
        <f>CONCATENATE("http://doc.google.com/uc?id=",MID('Respuestas de formulario 1.1'!AH134,34,33))</f>
        <v>http://doc.google.com/uc?id=1ZdL403NvmUYu6D6owrkR3omYzfQPypbW</v>
      </c>
      <c r="DM134" s="50" t="str">
        <f>CONCATENATE("http://doc.google.com/uc?id=",MID('Respuestas de formulario 1.1'!AW134,34,33))</f>
        <v>http://doc.google.com/uc?id=1k8ITPa-xIpPHQuc_fwQb4aVUa-e4oUtf</v>
      </c>
      <c r="DN134" s="53" t="str">
        <f>CONCATENATE("http://doc.google.com/uc?id=",MID('Respuestas de formulario 1.1'!$BI134,34,33))</f>
        <v>http://doc.google.com/uc?id=1MmIyCKGT_rnEJoDRc75RY7F80A9dr_O4</v>
      </c>
      <c r="DO134" s="45" t="str">
        <f>IFERROR(VLOOKUP(CONCATENATE('Respuestas de formulario 1.1'!$B134,MID('Respuestas de formulario 1.1'!DO$1,2,1)),#REF!,12,0),"")</f>
        <v/>
      </c>
      <c r="DP134" s="45" t="str">
        <f>IFERROR(VLOOKUP(CONCATENATE('Respuestas de formulario 1.1'!$B134,MID('Respuestas de formulario 1.1'!DP$1,2,1)),#REF!,12,0),"")</f>
        <v/>
      </c>
      <c r="DQ134" s="45" t="str">
        <f>IFERROR(VLOOKUP(CONCATENATE('Respuestas de formulario 1.1'!$B134,MID('Respuestas de formulario 1.1'!DQ$1,2,1)),#REF!,12,0),"")</f>
        <v/>
      </c>
      <c r="DR134" s="45" t="str">
        <f>IFERROR(VLOOKUP(CONCATENATE('Respuestas de formulario 1.1'!$B134,MID('Respuestas de formulario 1.1'!DR$1,2,1)),#REF!,12,0),"")</f>
        <v/>
      </c>
      <c r="DS134" s="45" t="str">
        <f>IFERROR(VLOOKUP(CONCATENATE('Respuestas de formulario 1.1'!$B134,MID('Respuestas de formulario 1.1'!DS$1,2,1)),#REF!,12,0),"")</f>
        <v/>
      </c>
      <c r="DT134" s="45" t="str">
        <f>IFERROR(VLOOKUP(CONCATENATE('Respuestas de formulario 1.1'!$B134,MID('Respuestas de formulario 1.1'!DT$1,2,1)),#REF!,12,0),"")</f>
        <v/>
      </c>
      <c r="DU134" s="45" t="str">
        <f>IFERROR(VLOOKUP(CONCATENATE('Respuestas de formulario 1.1'!$B134,MID('Respuestas de formulario 1.1'!DU$1,2,1)),#REF!,12,0),"")</f>
        <v/>
      </c>
      <c r="DV134" s="45" t="str">
        <f>IFERROR(VLOOKUP(CONCATENATE('Respuestas de formulario 1.1'!$B134,MID('Respuestas de formulario 1.1'!DV$1,2,1)),#REF!,12,0),"")</f>
        <v/>
      </c>
      <c r="DW134" s="45" t="str">
        <f>IFERROR(VLOOKUP(CONCATENATE('Respuestas de formulario 1.1'!$B134,MID('Respuestas de formulario 1.1'!DW$1,2,1)),#REF!,12,0),"")</f>
        <v/>
      </c>
      <c r="DX134" s="45" t="str">
        <f>IFERROR(VLOOKUP(CONCATENATE('Respuestas de formulario 1.1'!$B134,MID('Respuestas de formulario 1.1'!DX$1,2,1)),#REF!,12,0),"")</f>
        <v/>
      </c>
      <c r="DY134" s="45" t="str">
        <f>IFERROR(VLOOKUP(CONCATENATE('Respuestas de formulario 1.1'!$B134,MID('Respuestas de formulario 1.1'!DY$1,2,1)),#REF!,12,0),"")</f>
        <v/>
      </c>
      <c r="DZ134" s="45" t="str">
        <f>IFERROR(VLOOKUP(CONCATENATE('Respuestas de formulario 1.1'!$B134,MID('Respuestas de formulario 1.1'!DZ$1,2,1)),#REF!,12,0),"")</f>
        <v/>
      </c>
      <c r="EA134" s="45" t="str">
        <f>IFERROR(VLOOKUP(CONCATENATE('Respuestas de formulario 1.1'!$B134,MID('Respuestas de formulario 1.1'!EA$1,2,1)),#REF!,12,0),"")</f>
        <v/>
      </c>
      <c r="EB134" s="45" t="str">
        <f>IFERROR(VLOOKUP(CONCATENATE('Respuestas de formulario 1.1'!$B134,MID('Respuestas de formulario 1.1'!EB$1,2,1)),#REF!,12,0),"")</f>
        <v/>
      </c>
      <c r="EC134" s="45" t="str">
        <f>IFERROR(VLOOKUP(CONCATENATE('Respuestas de formulario 1.1'!$B134,MID('Respuestas de formulario 1.1'!EC$1,2,1)),#REF!,12,0),"")</f>
        <v/>
      </c>
      <c r="ED134" s="45" t="str">
        <f>IFERROR(VLOOKUP(CONCATENATE('Respuestas de formulario 1.1'!$B134,MID('Respuestas de formulario 1.1'!ED$1,2,1)),#REF!,12,0),"")</f>
        <v/>
      </c>
      <c r="EE134" s="45" t="str">
        <f>IFERROR(VLOOKUP(CONCATENATE('Respuestas de formulario 1.1'!$B134,MID('Respuestas de formulario 1.1'!EE$1,2,1)),#REF!,12,0),"")</f>
        <v/>
      </c>
      <c r="EF134" s="45" t="str">
        <f>IFERROR(VLOOKUP(CONCATENATE('Respuestas de formulario 1.1'!$B134,MID('Respuestas de formulario 1.1'!EF$1,2,1)),#REF!,12,0),"")</f>
        <v/>
      </c>
      <c r="EG134" s="45" t="str">
        <f>IFERROR(VLOOKUP(CONCATENATE('Respuestas de formulario 1.1'!$B134,MID('Respuestas de formulario 1.1'!EG$1,2,1)),#REF!,12,0),"")</f>
        <v/>
      </c>
      <c r="EH134" s="45" t="str">
        <f>IFERROR(VLOOKUP(CONCATENATE('Respuestas de formulario 1.1'!$B134,MID('Respuestas de formulario 1.1'!EH$1,2,1)),#REF!,12,0),"")</f>
        <v/>
      </c>
      <c r="EI134" s="45" t="str">
        <f>IFERROR(VLOOKUP(CONCATENATE('Respuestas de formulario 1.1'!$B134,MID('Respuestas de formulario 1.1'!EI$1,2,1)),#REF!,12,0),"")</f>
        <v/>
      </c>
      <c r="EJ134" s="45" t="str">
        <f t="array" ref="EJ134">IF(DO134="","", INDEX(#REF!,MATCH(CONCATENATE('Respuestas de formulario 1.1'!$B134,DO134),#REF!,0),MATCH('Respuestas de formulario 1.1'!EJ$1,#REF!,0)))</f>
        <v/>
      </c>
      <c r="EK134" s="56" t="str">
        <f t="array" ref="EK134">IF(DP134="","", INDEX(#REF!,MATCH(CONCATENATE('Respuestas de formulario 1.1'!$B134,DP134),#REF!,0),MATCH('Respuestas de formulario 1.1'!EK$1,#REF!,0)))</f>
        <v/>
      </c>
      <c r="EL134" s="56" t="str">
        <f t="array" ref="EL134">IF(DQ134="","", INDEX(#REF!,MATCH(CONCATENATE('Respuestas de formulario 1.1'!$B134,DQ134),#REF!,0),MATCH('Respuestas de formulario 1.1'!EL$1,#REF!,0)))</f>
        <v/>
      </c>
      <c r="EM134" s="56" t="str">
        <f t="array" ref="EM134">IF(DR134="","", INDEX(#REF!,MATCH(CONCATENATE('Respuestas de formulario 1.1'!$B134,DR134),#REF!,0),MATCH('Respuestas de formulario 1.1'!EM$1,#REF!,0)))</f>
        <v/>
      </c>
      <c r="EN134" s="56" t="str">
        <f t="array" ref="EN134">IF(DS134="","", INDEX(#REF!,MATCH(CONCATENATE('Respuestas de formulario 1.1'!$B134,DS134),#REF!,0),MATCH('Respuestas de formulario 1.1'!EN$1,#REF!,0)))</f>
        <v/>
      </c>
      <c r="EO134" s="56" t="str">
        <f t="array" ref="EO134">IF(DT134="","", INDEX(#REF!,MATCH(CONCATENATE('Respuestas de formulario 1.1'!$B134,DT134),#REF!,0),MATCH('Respuestas de formulario 1.1'!EO$1,#REF!,0)))</f>
        <v/>
      </c>
      <c r="EP134" s="45" t="str">
        <f t="array" ref="EP134">IF(DU134="","", INDEX(#REF!,MATCH(CONCATENATE('Respuestas de formulario 1.1'!$B134,DU134),#REF!,0),MATCH('Respuestas de formulario 1.1'!EP$1,#REF!,0)))</f>
        <v/>
      </c>
      <c r="EQ134" s="45" t="str">
        <f t="array" ref="EQ134">IF(DP134="","", INDEX(#REF!,MATCH(CONCATENATE('Respuestas de formulario 1.1'!$B134,DP134),#REF!,0),MATCH('Respuestas de formulario 1.1'!EQ$1,#REF!,0)))</f>
        <v/>
      </c>
      <c r="ER134" s="56" t="str">
        <f t="array" ref="ER134">IF(DQ134="","", INDEX(#REF!,MATCH(CONCATENATE('Respuestas de formulario 1.1'!$B134,DQ134),#REF!,0),MATCH('Respuestas de formulario 1.1'!ER$1,#REF!,0)))</f>
        <v/>
      </c>
      <c r="ES134" s="56" t="str">
        <f t="array" ref="ES134">IF(DR134="","", INDEX(#REF!,MATCH(CONCATENATE('Respuestas de formulario 1.1'!$B134,DR134),#REF!,0),MATCH('Respuestas de formulario 1.1'!ES$1,#REF!,0)))</f>
        <v/>
      </c>
      <c r="ET134" s="56" t="str">
        <f t="array" ref="ET134">IF(DS134="","", INDEX(#REF!,MATCH(CONCATENATE('Respuestas de formulario 1.1'!$B134,DS134),#REF!,0),MATCH('Respuestas de formulario 1.1'!ET$1,#REF!,0)))</f>
        <v/>
      </c>
      <c r="EU134" s="56" t="str">
        <f t="array" ref="EU134">IF(DT134="","", INDEX(#REF!,MATCH(CONCATENATE('Respuestas de formulario 1.1'!$B134,DT134),#REF!,0),MATCH('Respuestas de formulario 1.1'!EU$1,#REF!,0)))</f>
        <v/>
      </c>
      <c r="EV134" s="56" t="str">
        <f t="array" ref="EV134">IF(DU134="","", INDEX(#REF!,MATCH(CONCATENATE('Respuestas de formulario 1.1'!$B134,DU134),#REF!,0),MATCH('Respuestas de formulario 1.1'!EV$1,#REF!,0)))</f>
        <v/>
      </c>
      <c r="EW134" s="45" t="str">
        <f t="array" ref="EW134">IF(DV134="","", INDEX(#REF!,MATCH(CONCATENATE('Respuestas de formulario 1.1'!$B134,DV134),#REF!,0),MATCH('Respuestas de formulario 1.1'!EW$1,#REF!,0)))</f>
        <v/>
      </c>
      <c r="EX134" s="45" t="str">
        <f t="array" ref="EX134">IF($DQ134="","", INDEX(#REF!,MATCH(CONCATENATE('Respuestas de formulario 1.1'!$B134,$DQ134),#REF!,0),MATCH('Respuestas de formulario 1.1'!EX$1,#REF!,0)))</f>
        <v/>
      </c>
      <c r="EY134" s="56" t="str">
        <f t="array" ref="EY134">IF($DQ134="","", INDEX(#REF!,MATCH(CONCATENATE('Respuestas de formulario 1.1'!$B134,$DQ134),#REF!,0),MATCH('Respuestas de formulario 1.1'!EY$1,#REF!,0)))</f>
        <v/>
      </c>
      <c r="EZ134" s="56" t="str">
        <f t="array" ref="EZ134">IF($DQ134="","", INDEX(#REF!,MATCH(CONCATENATE('Respuestas de formulario 1.1'!$B134,$DQ134),#REF!,0),MATCH('Respuestas de formulario 1.1'!EZ$1,#REF!,0)))</f>
        <v/>
      </c>
      <c r="FA134" s="56" t="str">
        <f t="array" ref="FA134">IF($DQ134="","", INDEX(#REF!,MATCH(CONCATENATE('Respuestas de formulario 1.1'!$B134,$DQ134),#REF!,0),MATCH('Respuestas de formulario 1.1'!FA$1,#REF!,0)))</f>
        <v/>
      </c>
      <c r="FB134" s="56" t="str">
        <f t="array" ref="FB134">IF($DQ134="","", INDEX(#REF!,MATCH(CONCATENATE('Respuestas de formulario 1.1'!$B134,$DQ134),#REF!,0),MATCH('Respuestas de formulario 1.1'!FB$1,#REF!,0)))</f>
        <v/>
      </c>
      <c r="FC134" s="56" t="str">
        <f t="array" ref="FC134">IF($DQ134="","", INDEX(#REF!,MATCH(CONCATENATE('Respuestas de formulario 1.1'!$B134,$DQ134),#REF!,0),MATCH('Respuestas de formulario 1.1'!FC$1,#REF!,0)))</f>
        <v/>
      </c>
      <c r="FD134" s="45" t="str">
        <f t="array" ref="FD134">IF($DQ134="","", INDEX(#REF!,MATCH(CONCATENATE('Respuestas de formulario 1.1'!$B134,$DQ134),#REF!,0),MATCH('Respuestas de formulario 1.1'!FD$1,#REF!,0)))</f>
        <v/>
      </c>
      <c r="FE134" s="45" t="str">
        <f t="array" ref="FE134">IF($DR134="","", INDEX(#REF!,MATCH(CONCATENATE(#REF!,$DR134),#REF!,0),MATCH(#REF!,#REF!,0)))</f>
        <v/>
      </c>
      <c r="FF134" s="56" t="str">
        <f t="array" ref="FF134">IF($DR134="","", INDEX(#REF!,MATCH(CONCATENATE(#REF!,$DR134),#REF!,0),MATCH(#REF!,#REF!,0)))</f>
        <v/>
      </c>
      <c r="FG134" s="56" t="str">
        <f t="array" ref="FG134">IF($DR134="","", INDEX(#REF!,MATCH(CONCATENATE(#REF!,$DR134),#REF!,0),MATCH(#REF!,#REF!,0)))</f>
        <v/>
      </c>
      <c r="FH134" s="56" t="str">
        <f t="array" ref="FH134">IF($DR134="","", INDEX(#REF!,MATCH(CONCATENATE(#REF!,$DR134),#REF!,0),MATCH(#REF!,#REF!,0)))</f>
        <v/>
      </c>
      <c r="FI134" s="56" t="str">
        <f t="array" ref="FI134">IF($DR134="","", INDEX(#REF!,MATCH(CONCATENATE(#REF!,$DR134),#REF!,0),MATCH(#REF!,#REF!,0)))</f>
        <v/>
      </c>
      <c r="FJ134" s="56" t="str">
        <f t="array" ref="FJ134">IF($DR134="","", INDEX(#REF!,MATCH(CONCATENATE(#REF!,$DR134),#REF!,0),MATCH(#REF!,#REF!,0)))</f>
        <v/>
      </c>
      <c r="FK134" s="45" t="str">
        <f t="array" ref="FK134">IF($DR134="","", INDEX(#REF!,MATCH(CONCATENATE(#REF!,$DR134),#REF!,0),MATCH(#REF!,#REF!,0)))</f>
        <v/>
      </c>
      <c r="FL134" s="45" t="str">
        <f t="array" ref="FL134">IF($DT134="","", INDEX(#REF!,MATCH(CONCATENATE('Respuestas de formulario 1.1'!$B134,$DS134),#REF!,0),MATCH('Respuestas de formulario 1.1'!FL$1,#REF!,0)))</f>
        <v/>
      </c>
      <c r="FM134" s="56" t="str">
        <f t="array" ref="FM134">IF($DT134="","", INDEX(#REF!,MATCH(CONCATENATE('Respuestas de formulario 1.1'!$B134,$DS134),#REF!,0),MATCH('Respuestas de formulario 1.1'!FM$1,#REF!,0)))</f>
        <v/>
      </c>
      <c r="FN134" s="56" t="str">
        <f t="array" ref="FN134">IF($DT134="","", INDEX(#REF!,MATCH(CONCATENATE('Respuestas de formulario 1.1'!$B134,$DS134),#REF!,0),MATCH('Respuestas de formulario 1.1'!FN$1,#REF!,0)))</f>
        <v/>
      </c>
      <c r="FO134" s="56" t="str">
        <f t="array" ref="FO134">IF($DT134="","", INDEX(#REF!,MATCH(CONCATENATE('Respuestas de formulario 1.1'!$B134,$DS134),#REF!,0),MATCH('Respuestas de formulario 1.1'!FO$1,#REF!,0)))</f>
        <v/>
      </c>
      <c r="FP134" s="56" t="str">
        <f t="array" ref="FP134">IF($DT134="","", INDEX(#REF!,MATCH(CONCATENATE('Respuestas de formulario 1.1'!$B134,$DS134),#REF!,0),MATCH('Respuestas de formulario 1.1'!FP$1,#REF!,0)))</f>
        <v/>
      </c>
      <c r="FQ134" s="56" t="str">
        <f t="array" ref="FQ134">IF($DT134="","", INDEX(#REF!,MATCH(CONCATENATE('Respuestas de formulario 1.1'!$B134,$DS134),#REF!,0),MATCH('Respuestas de formulario 1.1'!FQ$1,#REF!,0)))</f>
        <v/>
      </c>
      <c r="FR134" s="45" t="str">
        <f t="array" ref="FR134">IF($DT134="","", INDEX(#REF!,MATCH(CONCATENATE('Respuestas de formulario 1.1'!$B134,$DS134),#REF!,0),MATCH('Respuestas de formulario 1.1'!FR$1,#REF!,0)))</f>
        <v/>
      </c>
      <c r="FS134" s="45" t="str">
        <f t="array" ref="FS134">IF($DU134="","", INDEX(#REF!,MATCH(CONCATENATE('Respuestas de formulario 1.1'!$B134,$DT134),#REF!,0),MATCH('Respuestas de formulario 1.1'!FS$1,#REF!,0)))</f>
        <v/>
      </c>
      <c r="FT134" s="56" t="str">
        <f t="array" ref="FT134">IF($DU134="","", INDEX(#REF!,MATCH(CONCATENATE('Respuestas de formulario 1.1'!$B134,$DT134),#REF!,0),MATCH('Respuestas de formulario 1.1'!FT$1,#REF!,0)))</f>
        <v/>
      </c>
      <c r="FU134" s="56" t="str">
        <f t="array" ref="FU134">IF($DU134="","", INDEX(#REF!,MATCH(CONCATENATE('Respuestas de formulario 1.1'!$B134,$DT134),#REF!,0),MATCH('Respuestas de formulario 1.1'!FU$1,#REF!,0)))</f>
        <v/>
      </c>
      <c r="FV134" s="56" t="str">
        <f t="array" ref="FV134">IF($DU134="","", INDEX(#REF!,MATCH(CONCATENATE('Respuestas de formulario 1.1'!$B134,$DT134),#REF!,0),MATCH('Respuestas de formulario 1.1'!FV$1,#REF!,0)))</f>
        <v/>
      </c>
      <c r="FW134" s="56" t="str">
        <f t="array" ref="FW134">IF($DU134="","", INDEX(#REF!,MATCH(CONCATENATE('Respuestas de formulario 1.1'!$B134,$DT134),#REF!,0),MATCH('Respuestas de formulario 1.1'!FW$1,#REF!,0)))</f>
        <v/>
      </c>
      <c r="FX134" s="56" t="str">
        <f t="array" ref="FX134">IF($DU134="","", INDEX(#REF!,MATCH(CONCATENATE('Respuestas de formulario 1.1'!$B134,$DT134),#REF!,0),MATCH('Respuestas de formulario 1.1'!FX$1,#REF!,0)))</f>
        <v/>
      </c>
      <c r="FY134" s="45" t="str">
        <f t="array" ref="FY134">IF($DU134="","", INDEX(#REF!,MATCH(CONCATENATE('Respuestas de formulario 1.1'!$B134,$DT134),#REF!,0),MATCH('Respuestas de formulario 1.1'!FY$1,#REF!,0)))</f>
        <v/>
      </c>
      <c r="FZ134" s="3" t="s">
        <v>2860</v>
      </c>
      <c r="GA134" s="1" t="s">
        <v>5124</v>
      </c>
      <c r="GB134" s="5" t="s">
        <v>5125</v>
      </c>
      <c r="GC134" s="4" t="str">
        <f>HYPERLINK("https://drive.google.com/file/d/1ekI0BenVw-kb6B-8YZb1I3oe5dTHPsaQ/view?usp=drivesdk","CRUZ VARGAS MIRIAM PATRICIA Formato de reinscripción y pago 2022-2")</f>
        <v>CRUZ VARGAS MIRIAM PATRICIA Formato de reinscripción y pago 2022-2</v>
      </c>
      <c r="GD134" s="1" t="s">
        <v>5126</v>
      </c>
      <c r="GE134" s="1"/>
      <c r="GF134" s="1"/>
      <c r="GG134" s="1"/>
      <c r="GH134" s="1"/>
      <c r="GI134" s="1" t="s">
        <v>5127</v>
      </c>
      <c r="GJ134" s="5" t="s">
        <v>5128</v>
      </c>
      <c r="GK134" s="5" t="str">
        <f>HYPERLINK("https://drive.google.com/file/d/1hqK6J6vBaEYIaaAVFyrHPPTChrk25-l2/view?usp=drivesdk","CRUZ VARGAS &lt;&lt;Nombre(S)&gt;&gt; Formato de reinscripción y pago 2022-2")</f>
        <v>CRUZ VARGAS &lt;&lt;Nombre(S)&gt;&gt; Formato de reinscripción y pago 2022-2</v>
      </c>
      <c r="GL134" s="1" t="s">
        <v>5129</v>
      </c>
    </row>
    <row r="135" spans="1:194" ht="38.25" x14ac:dyDescent="0.2">
      <c r="A135" s="2">
        <v>45139.446957881941</v>
      </c>
      <c r="B135" s="1" t="s">
        <v>2723</v>
      </c>
      <c r="C135" s="1" t="s">
        <v>2418</v>
      </c>
      <c r="D135" s="1" t="s">
        <v>600</v>
      </c>
      <c r="E135" s="1" t="s">
        <v>2724</v>
      </c>
      <c r="F135" s="1" t="s">
        <v>223</v>
      </c>
      <c r="G135" s="5" t="s">
        <v>5130</v>
      </c>
      <c r="H135" s="41">
        <v>38334</v>
      </c>
      <c r="I135" s="1">
        <v>18</v>
      </c>
      <c r="J135" s="1">
        <v>5519325336</v>
      </c>
      <c r="K135" s="1">
        <v>5519199207</v>
      </c>
      <c r="L135" s="1" t="s">
        <v>2725</v>
      </c>
      <c r="M135" s="1">
        <v>19309060570733</v>
      </c>
      <c r="N135" s="1" t="s">
        <v>1108</v>
      </c>
      <c r="O135" s="1" t="s">
        <v>247</v>
      </c>
      <c r="P135" s="1" t="s">
        <v>226</v>
      </c>
      <c r="Q135" s="1" t="s">
        <v>263</v>
      </c>
      <c r="R135" s="1" t="s">
        <v>228</v>
      </c>
      <c r="S135" s="1" t="s">
        <v>228</v>
      </c>
      <c r="T135" s="1" t="s">
        <v>229</v>
      </c>
      <c r="U135" s="1" t="s">
        <v>249</v>
      </c>
      <c r="V135" s="1" t="s">
        <v>228</v>
      </c>
      <c r="W135" s="1" t="s">
        <v>5131</v>
      </c>
      <c r="X135" s="1" t="s">
        <v>249</v>
      </c>
      <c r="Y135" s="1" t="s">
        <v>775</v>
      </c>
      <c r="Z135" s="1" t="s">
        <v>240</v>
      </c>
      <c r="AA135" s="44" t="s">
        <v>575</v>
      </c>
      <c r="AB135" s="1" t="s">
        <v>2726</v>
      </c>
      <c r="AC135" s="1" t="s">
        <v>2727</v>
      </c>
      <c r="AD135" s="1" t="s">
        <v>5132</v>
      </c>
      <c r="AE135" s="1" t="s">
        <v>5133</v>
      </c>
      <c r="AF135" s="1" t="s">
        <v>265</v>
      </c>
      <c r="AG135" s="1">
        <v>38</v>
      </c>
      <c r="AH135" s="5" t="s">
        <v>5134</v>
      </c>
      <c r="AI135" s="1">
        <v>5519199207</v>
      </c>
      <c r="AJ135" s="1">
        <v>5519199207</v>
      </c>
      <c r="AK135" s="1"/>
      <c r="AL135" s="1" t="s">
        <v>2418</v>
      </c>
      <c r="AM135" s="1" t="s">
        <v>507</v>
      </c>
      <c r="AN135" s="1" t="s">
        <v>1644</v>
      </c>
      <c r="AO135" s="1" t="s">
        <v>435</v>
      </c>
      <c r="AP135" s="1">
        <v>45</v>
      </c>
      <c r="AQ135" s="1" t="s">
        <v>306</v>
      </c>
      <c r="AR135" s="42">
        <v>0.375</v>
      </c>
      <c r="AS135" s="42">
        <v>0.75</v>
      </c>
      <c r="AT135" s="1">
        <v>5516482798</v>
      </c>
      <c r="AU135" s="1">
        <v>5516482798</v>
      </c>
      <c r="AV135" s="1"/>
      <c r="AW135" s="5" t="s">
        <v>5135</v>
      </c>
      <c r="AX135" s="1" t="s">
        <v>600</v>
      </c>
      <c r="AY135" s="1" t="s">
        <v>623</v>
      </c>
      <c r="AZ135" s="1" t="s">
        <v>5136</v>
      </c>
      <c r="BA135" s="1" t="s">
        <v>524</v>
      </c>
      <c r="BB135" s="1">
        <v>63</v>
      </c>
      <c r="BC135" s="1" t="s">
        <v>1134</v>
      </c>
      <c r="BD135" s="43">
        <v>0</v>
      </c>
      <c r="BE135" s="43">
        <v>0</v>
      </c>
      <c r="BF135" s="1">
        <v>5560073203</v>
      </c>
      <c r="BG135" s="1">
        <v>5560073203</v>
      </c>
      <c r="BH135" s="1"/>
      <c r="BI135" s="5" t="s">
        <v>5137</v>
      </c>
      <c r="BJ135" s="1" t="s">
        <v>236</v>
      </c>
      <c r="BL135" s="1">
        <v>155</v>
      </c>
      <c r="BM135" s="1">
        <v>54</v>
      </c>
      <c r="BN135" s="1" t="s">
        <v>236</v>
      </c>
      <c r="BO135" s="1" t="s">
        <v>228</v>
      </c>
      <c r="BQ135" s="1" t="s">
        <v>228</v>
      </c>
      <c r="BR135" s="1" t="s">
        <v>237</v>
      </c>
      <c r="BS135" s="1" t="s">
        <v>228</v>
      </c>
      <c r="BT135" s="1" t="s">
        <v>237</v>
      </c>
      <c r="BU135" s="1" t="s">
        <v>228</v>
      </c>
      <c r="BW135" s="1" t="s">
        <v>238</v>
      </c>
      <c r="BX135" s="1">
        <v>120</v>
      </c>
      <c r="BY135" s="1">
        <v>400</v>
      </c>
      <c r="BZ135" s="1" t="s">
        <v>406</v>
      </c>
      <c r="CA135" s="1" t="s">
        <v>273</v>
      </c>
      <c r="CB135" s="1" t="s">
        <v>240</v>
      </c>
      <c r="CC135" s="1" t="s">
        <v>322</v>
      </c>
      <c r="CD135" s="1">
        <v>1800</v>
      </c>
      <c r="CE135" s="1">
        <v>1500</v>
      </c>
      <c r="CF135" s="1" t="s">
        <v>228</v>
      </c>
      <c r="CG135" s="1" t="s">
        <v>242</v>
      </c>
      <c r="CH135" s="1" t="s">
        <v>243</v>
      </c>
      <c r="CI135" s="1" t="s">
        <v>243</v>
      </c>
      <c r="CJ135" s="1" t="s">
        <v>2848</v>
      </c>
      <c r="CL135" s="5" t="s">
        <v>5138</v>
      </c>
      <c r="CM135" s="1">
        <v>70190481914</v>
      </c>
      <c r="CN135" s="1" t="s">
        <v>228</v>
      </c>
      <c r="CQ135" s="42">
        <v>0</v>
      </c>
      <c r="CR135" s="42">
        <v>0</v>
      </c>
      <c r="CT135" s="45" t="str">
        <f t="array" ref="CT135">IFERROR(INDEX(#REF!,MATCH('Respuestas de formulario 1.1'!$B135,#REF!,0),MATCH('Respuestas de formulario 1.1'!CT$1,#REF!,0)),"")</f>
        <v/>
      </c>
      <c r="CU135" s="56" t="str">
        <f t="array" ref="CU135">IFERROR(INDEX(#REF!,MATCH('Respuestas de formulario 1.1'!$B135,#REF!,0),MATCH('Respuestas de formulario 1.1'!CU$1,#REF!,0)),"")</f>
        <v/>
      </c>
      <c r="CV135" s="56" t="str">
        <f t="array" ref="CV135">IFERROR(INDEX(#REF!,MATCH('Respuestas de formulario 1.1'!$B135,#REF!,0),MATCH('Respuestas de formulario 1.1'!CV$1,#REF!,0)),"")</f>
        <v/>
      </c>
      <c r="CW135" s="56" t="str">
        <f t="array" ref="CW135">IFERROR(INDEX(#REF!,MATCH('Respuestas de formulario 1.1'!$B135,#REF!,0),MATCH('Respuestas de formulario 1.1'!CW$1,#REF!,0)),"")</f>
        <v/>
      </c>
      <c r="CX135" s="56" t="str">
        <f t="array" ref="CX135">IFERROR(INDEX(#REF!,MATCH('Respuestas de formulario 1.1'!$B135,#REF!,0),MATCH('Respuestas de formulario 1.1'!CX$1,#REF!,0)),"")</f>
        <v/>
      </c>
      <c r="CY135" s="56" t="str">
        <f t="array" ref="CY135">IFERROR(INDEX(#REF!,MATCH('Respuestas de formulario 1.1'!$B135,#REF!,0),MATCH('Respuestas de formulario 1.1'!CY$1,#REF!,0)),"")</f>
        <v/>
      </c>
      <c r="CZ135" s="57" t="str">
        <f t="array" ref="CZ135">IFERROR(INDEX(#REF!,MATCH('Respuestas de formulario 1.1'!$B135,#REF!,0),MATCH('Respuestas de formulario 1.1'!CZ$1,#REF!,0)),"")</f>
        <v/>
      </c>
      <c r="DA135" s="45" t="e">
        <f t="array" ref="DA135">INDEX(#REF!,MATCH('Respuestas de formulario 1.1'!$B135,#REF!,0),MATCH('Respuestas de formulario 1.1'!DA$1,#REF!,0))</f>
        <v>#REF!</v>
      </c>
      <c r="DB135" s="45" t="e">
        <f t="array" ref="DB135">INDEX(#REF!,MATCH('Respuestas de formulario 1.1'!$B135,#REF!,0),MATCH('Respuestas de formulario 1.1'!DB$1,#REF!,0))</f>
        <v>#REF!</v>
      </c>
      <c r="DC135" s="45" t="e">
        <f t="array" ref="DC135">INDEX(#REF!,MATCH('Respuestas de formulario 1.1'!$B135,#REF!,0),MATCH('Respuestas de formulario 1.1'!DC$1,#REF!,0))</f>
        <v>#REF!</v>
      </c>
      <c r="DD135" s="45" t="e">
        <f t="array" ref="DD135">INDEX(#REF!,MATCH('Respuestas de formulario 1.1'!$B135,#REF!,0),MATCH('Respuestas de formulario 1.1'!DD$1,#REF!,0))</f>
        <v>#REF!</v>
      </c>
      <c r="DE135" s="45" t="e">
        <f t="array" ref="DE135">INDEX(#REF!,MATCH('Respuestas de formulario 1.1'!$B135,#REF!,0),MATCH('Respuestas de formulario 1.1'!DE$1,#REF!,0))</f>
        <v>#REF!</v>
      </c>
      <c r="DF135" s="45" t="e">
        <f t="array" ref="DF135">INDEX(#REF!,MATCH('Respuestas de formulario 1.1'!$B135,#REF!,0),MATCH('Respuestas de formulario 1.1'!DF$1,#REF!,0))</f>
        <v>#REF!</v>
      </c>
      <c r="DG135" s="45" t="e">
        <f t="array" ref="DG135">INDEX(#REF!,MATCH('Respuestas de formulario 1.1'!$B135,#REF!,0),MATCH('Respuestas de formulario 1.1'!DG$1,#REF!,0))</f>
        <v>#REF!</v>
      </c>
      <c r="DH135" s="45" t="e">
        <f t="array" ref="DH135">INDEX(#REF!,MATCH('Respuestas de formulario 1.1'!$B135,#REF!,0),MATCH('Respuestas de formulario 1.1'!DH$1,#REF!,0))</f>
        <v>#REF!</v>
      </c>
      <c r="DI135" s="48" t="e">
        <f>VLOOKUP(CONCATENATE($DF135," TUTO ",$DC135),#REF!,3,0)</f>
        <v>#REF!</v>
      </c>
      <c r="DJ135" s="48" t="e">
        <f t="array" ref="DJ135">IF('Respuestas de formulario 1.1'!A135="","",INDEX(#REF!,MATCH('Respuestas de formulario 1.1'!B135,#REF!,0),MATCH('Respuestas de formulario 1.1'!$DH$1,#REF!,0)))</f>
        <v>#REF!</v>
      </c>
      <c r="DK135" s="52" t="str">
        <f>CONCATENATE("http://doc.google.com/uc?id=",MID('Respuestas de formulario 1.1'!G135,34,33))</f>
        <v>http://doc.google.com/uc?id=1EnTuELIJ82XYXj4b3RWSDwBqGXYLPr9L</v>
      </c>
      <c r="DL135" s="49" t="str">
        <f>CONCATENATE("http://doc.google.com/uc?id=",MID('Respuestas de formulario 1.1'!AH135,34,33))</f>
        <v>http://doc.google.com/uc?id=16czt7y2Ph7Xvo9I71D5XBivyOKKHwZZ1</v>
      </c>
      <c r="DM135" s="50" t="str">
        <f>CONCATENATE("http://doc.google.com/uc?id=",MID('Respuestas de formulario 1.1'!AW135,34,33))</f>
        <v>http://doc.google.com/uc?id=1UskaHriAGhQIAO7v-GU6qyxp4wWdAMoc</v>
      </c>
      <c r="DN135" s="53" t="str">
        <f>CONCATENATE("http://doc.google.com/uc?id=",MID('Respuestas de formulario 1.1'!$BI135,34,33))</f>
        <v>http://doc.google.com/uc?id=1-wcJUZyaXa9ac4BOIpjj8wWTfViiJmBz</v>
      </c>
      <c r="DO135" s="45" t="str">
        <f>IFERROR(VLOOKUP(CONCATENATE('Respuestas de formulario 1.1'!$B135,MID('Respuestas de formulario 1.1'!DO$1,2,1)),#REF!,12,0),"")</f>
        <v/>
      </c>
      <c r="DP135" s="45" t="str">
        <f>IFERROR(VLOOKUP(CONCATENATE('Respuestas de formulario 1.1'!$B135,MID('Respuestas de formulario 1.1'!DP$1,2,1)),#REF!,12,0),"")</f>
        <v/>
      </c>
      <c r="DQ135" s="45" t="str">
        <f>IFERROR(VLOOKUP(CONCATENATE('Respuestas de formulario 1.1'!$B135,MID('Respuestas de formulario 1.1'!DQ$1,2,1)),#REF!,12,0),"")</f>
        <v/>
      </c>
      <c r="DR135" s="45" t="str">
        <f>IFERROR(VLOOKUP(CONCATENATE('Respuestas de formulario 1.1'!$B135,MID('Respuestas de formulario 1.1'!DR$1,2,1)),#REF!,12,0),"")</f>
        <v/>
      </c>
      <c r="DS135" s="45" t="str">
        <f>IFERROR(VLOOKUP(CONCATENATE('Respuestas de formulario 1.1'!$B135,MID('Respuestas de formulario 1.1'!DS$1,2,1)),#REF!,12,0),"")</f>
        <v/>
      </c>
      <c r="DT135" s="45" t="str">
        <f>IFERROR(VLOOKUP(CONCATENATE('Respuestas de formulario 1.1'!$B135,MID('Respuestas de formulario 1.1'!DT$1,2,1)),#REF!,12,0),"")</f>
        <v/>
      </c>
      <c r="DU135" s="45" t="str">
        <f>IFERROR(VLOOKUP(CONCATENATE('Respuestas de formulario 1.1'!$B135,MID('Respuestas de formulario 1.1'!DU$1,2,1)),#REF!,12,0),"")</f>
        <v/>
      </c>
      <c r="DV135" s="45" t="str">
        <f>IFERROR(VLOOKUP(CONCATENATE('Respuestas de formulario 1.1'!$B135,MID('Respuestas de formulario 1.1'!DV$1,2,1)),#REF!,12,0),"")</f>
        <v/>
      </c>
      <c r="DW135" s="45" t="str">
        <f>IFERROR(VLOOKUP(CONCATENATE('Respuestas de formulario 1.1'!$B135,MID('Respuestas de formulario 1.1'!DW$1,2,1)),#REF!,12,0),"")</f>
        <v/>
      </c>
      <c r="DX135" s="45" t="str">
        <f>IFERROR(VLOOKUP(CONCATENATE('Respuestas de formulario 1.1'!$B135,MID('Respuestas de formulario 1.1'!DX$1,2,1)),#REF!,12,0),"")</f>
        <v/>
      </c>
      <c r="DY135" s="45" t="str">
        <f>IFERROR(VLOOKUP(CONCATENATE('Respuestas de formulario 1.1'!$B135,MID('Respuestas de formulario 1.1'!DY$1,2,1)),#REF!,12,0),"")</f>
        <v/>
      </c>
      <c r="DZ135" s="45" t="str">
        <f>IFERROR(VLOOKUP(CONCATENATE('Respuestas de formulario 1.1'!$B135,MID('Respuestas de formulario 1.1'!DZ$1,2,1)),#REF!,12,0),"")</f>
        <v/>
      </c>
      <c r="EA135" s="45" t="str">
        <f>IFERROR(VLOOKUP(CONCATENATE('Respuestas de formulario 1.1'!$B135,MID('Respuestas de formulario 1.1'!EA$1,2,1)),#REF!,12,0),"")</f>
        <v/>
      </c>
      <c r="EB135" s="45" t="str">
        <f>IFERROR(VLOOKUP(CONCATENATE('Respuestas de formulario 1.1'!$B135,MID('Respuestas de formulario 1.1'!EB$1,2,1)),#REF!,12,0),"")</f>
        <v/>
      </c>
      <c r="EC135" s="45" t="str">
        <f>IFERROR(VLOOKUP(CONCATENATE('Respuestas de formulario 1.1'!$B135,MID('Respuestas de formulario 1.1'!EC$1,2,1)),#REF!,12,0),"")</f>
        <v/>
      </c>
      <c r="ED135" s="45" t="str">
        <f>IFERROR(VLOOKUP(CONCATENATE('Respuestas de formulario 1.1'!$B135,MID('Respuestas de formulario 1.1'!ED$1,2,1)),#REF!,12,0),"")</f>
        <v/>
      </c>
      <c r="EE135" s="45" t="str">
        <f>IFERROR(VLOOKUP(CONCATENATE('Respuestas de formulario 1.1'!$B135,MID('Respuestas de formulario 1.1'!EE$1,2,1)),#REF!,12,0),"")</f>
        <v/>
      </c>
      <c r="EF135" s="45" t="str">
        <f>IFERROR(VLOOKUP(CONCATENATE('Respuestas de formulario 1.1'!$B135,MID('Respuestas de formulario 1.1'!EF$1,2,1)),#REF!,12,0),"")</f>
        <v/>
      </c>
      <c r="EG135" s="45" t="str">
        <f>IFERROR(VLOOKUP(CONCATENATE('Respuestas de formulario 1.1'!$B135,MID('Respuestas de formulario 1.1'!EG$1,2,1)),#REF!,12,0),"")</f>
        <v/>
      </c>
      <c r="EH135" s="45" t="str">
        <f>IFERROR(VLOOKUP(CONCATENATE('Respuestas de formulario 1.1'!$B135,MID('Respuestas de formulario 1.1'!EH$1,2,1)),#REF!,12,0),"")</f>
        <v/>
      </c>
      <c r="EI135" s="45" t="str">
        <f>IFERROR(VLOOKUP(CONCATENATE('Respuestas de formulario 1.1'!$B135,MID('Respuestas de formulario 1.1'!EI$1,2,1)),#REF!,12,0),"")</f>
        <v/>
      </c>
      <c r="EJ135" s="45" t="str">
        <f t="array" ref="EJ135">IF(DO135="","", INDEX(#REF!,MATCH(CONCATENATE('Respuestas de formulario 1.1'!$B135,DO135),#REF!,0),MATCH('Respuestas de formulario 1.1'!EJ$1,#REF!,0)))</f>
        <v/>
      </c>
      <c r="EK135" s="56" t="str">
        <f t="array" ref="EK135">IF(DP135="","", INDEX(#REF!,MATCH(CONCATENATE('Respuestas de formulario 1.1'!$B135,DP135),#REF!,0),MATCH('Respuestas de formulario 1.1'!EK$1,#REF!,0)))</f>
        <v/>
      </c>
      <c r="EL135" s="56" t="str">
        <f t="array" ref="EL135">IF(DQ135="","", INDEX(#REF!,MATCH(CONCATENATE('Respuestas de formulario 1.1'!$B135,DQ135),#REF!,0),MATCH('Respuestas de formulario 1.1'!EL$1,#REF!,0)))</f>
        <v/>
      </c>
      <c r="EM135" s="56" t="str">
        <f t="array" ref="EM135">IF(DR135="","", INDEX(#REF!,MATCH(CONCATENATE('Respuestas de formulario 1.1'!$B135,DR135),#REF!,0),MATCH('Respuestas de formulario 1.1'!EM$1,#REF!,0)))</f>
        <v/>
      </c>
      <c r="EN135" s="56" t="str">
        <f t="array" ref="EN135">IF(DS135="","", INDEX(#REF!,MATCH(CONCATENATE('Respuestas de formulario 1.1'!$B135,DS135),#REF!,0),MATCH('Respuestas de formulario 1.1'!EN$1,#REF!,0)))</f>
        <v/>
      </c>
      <c r="EO135" s="56" t="str">
        <f t="array" ref="EO135">IF(DT135="","", INDEX(#REF!,MATCH(CONCATENATE('Respuestas de formulario 1.1'!$B135,DT135),#REF!,0),MATCH('Respuestas de formulario 1.1'!EO$1,#REF!,0)))</f>
        <v/>
      </c>
      <c r="EP135" s="45" t="str">
        <f t="array" ref="EP135">IF(DU135="","", INDEX(#REF!,MATCH(CONCATENATE('Respuestas de formulario 1.1'!$B135,DU135),#REF!,0),MATCH('Respuestas de formulario 1.1'!EP$1,#REF!,0)))</f>
        <v/>
      </c>
      <c r="EQ135" s="45" t="str">
        <f t="array" ref="EQ135">IF(DP135="","", INDEX(#REF!,MATCH(CONCATENATE('Respuestas de formulario 1.1'!$B135,DP135),#REF!,0),MATCH('Respuestas de formulario 1.1'!EQ$1,#REF!,0)))</f>
        <v/>
      </c>
      <c r="ER135" s="56" t="str">
        <f t="array" ref="ER135">IF(DQ135="","", INDEX(#REF!,MATCH(CONCATENATE('Respuestas de formulario 1.1'!$B135,DQ135),#REF!,0),MATCH('Respuestas de formulario 1.1'!ER$1,#REF!,0)))</f>
        <v/>
      </c>
      <c r="ES135" s="56" t="str">
        <f t="array" ref="ES135">IF(DR135="","", INDEX(#REF!,MATCH(CONCATENATE('Respuestas de formulario 1.1'!$B135,DR135),#REF!,0),MATCH('Respuestas de formulario 1.1'!ES$1,#REF!,0)))</f>
        <v/>
      </c>
      <c r="ET135" s="56" t="str">
        <f t="array" ref="ET135">IF(DS135="","", INDEX(#REF!,MATCH(CONCATENATE('Respuestas de formulario 1.1'!$B135,DS135),#REF!,0),MATCH('Respuestas de formulario 1.1'!ET$1,#REF!,0)))</f>
        <v/>
      </c>
      <c r="EU135" s="56" t="str">
        <f t="array" ref="EU135">IF(DT135="","", INDEX(#REF!,MATCH(CONCATENATE('Respuestas de formulario 1.1'!$B135,DT135),#REF!,0),MATCH('Respuestas de formulario 1.1'!EU$1,#REF!,0)))</f>
        <v/>
      </c>
      <c r="EV135" s="56" t="str">
        <f t="array" ref="EV135">IF(DU135="","", INDEX(#REF!,MATCH(CONCATENATE('Respuestas de formulario 1.1'!$B135,DU135),#REF!,0),MATCH('Respuestas de formulario 1.1'!EV$1,#REF!,0)))</f>
        <v/>
      </c>
      <c r="EW135" s="45" t="str">
        <f t="array" ref="EW135">IF(DV135="","", INDEX(#REF!,MATCH(CONCATENATE('Respuestas de formulario 1.1'!$B135,DV135),#REF!,0),MATCH('Respuestas de formulario 1.1'!EW$1,#REF!,0)))</f>
        <v/>
      </c>
      <c r="EX135" s="45" t="str">
        <f t="array" ref="EX135">IF($DQ135="","", INDEX(#REF!,MATCH(CONCATENATE('Respuestas de formulario 1.1'!$B135,$DQ135),#REF!,0),MATCH('Respuestas de formulario 1.1'!EX$1,#REF!,0)))</f>
        <v/>
      </c>
      <c r="EY135" s="56" t="str">
        <f t="array" ref="EY135">IF($DQ135="","", INDEX(#REF!,MATCH(CONCATENATE('Respuestas de formulario 1.1'!$B135,$DQ135),#REF!,0),MATCH('Respuestas de formulario 1.1'!EY$1,#REF!,0)))</f>
        <v/>
      </c>
      <c r="EZ135" s="56" t="str">
        <f t="array" ref="EZ135">IF($DQ135="","", INDEX(#REF!,MATCH(CONCATENATE('Respuestas de formulario 1.1'!$B135,$DQ135),#REF!,0),MATCH('Respuestas de formulario 1.1'!EZ$1,#REF!,0)))</f>
        <v/>
      </c>
      <c r="FA135" s="56" t="str">
        <f t="array" ref="FA135">IF($DQ135="","", INDEX(#REF!,MATCH(CONCATENATE('Respuestas de formulario 1.1'!$B135,$DQ135),#REF!,0),MATCH('Respuestas de formulario 1.1'!FA$1,#REF!,0)))</f>
        <v/>
      </c>
      <c r="FB135" s="56" t="str">
        <f t="array" ref="FB135">IF($DQ135="","", INDEX(#REF!,MATCH(CONCATENATE('Respuestas de formulario 1.1'!$B135,$DQ135),#REF!,0),MATCH('Respuestas de formulario 1.1'!FB$1,#REF!,0)))</f>
        <v/>
      </c>
      <c r="FC135" s="56" t="str">
        <f t="array" ref="FC135">IF($DQ135="","", INDEX(#REF!,MATCH(CONCATENATE('Respuestas de formulario 1.1'!$B135,$DQ135),#REF!,0),MATCH('Respuestas de formulario 1.1'!FC$1,#REF!,0)))</f>
        <v/>
      </c>
      <c r="FD135" s="45" t="str">
        <f t="array" ref="FD135">IF($DQ135="","", INDEX(#REF!,MATCH(CONCATENATE('Respuestas de formulario 1.1'!$B135,$DQ135),#REF!,0),MATCH('Respuestas de formulario 1.1'!FD$1,#REF!,0)))</f>
        <v/>
      </c>
      <c r="FE135" s="45" t="str">
        <f t="array" ref="FE135">IF($DR135="","", INDEX(#REF!,MATCH(CONCATENATE(#REF!,$DR135),#REF!,0),MATCH(#REF!,#REF!,0)))</f>
        <v/>
      </c>
      <c r="FF135" s="56" t="str">
        <f t="array" ref="FF135">IF($DR135="","", INDEX(#REF!,MATCH(CONCATENATE(#REF!,$DR135),#REF!,0),MATCH(#REF!,#REF!,0)))</f>
        <v/>
      </c>
      <c r="FG135" s="56" t="str">
        <f t="array" ref="FG135">IF($DR135="","", INDEX(#REF!,MATCH(CONCATENATE(#REF!,$DR135),#REF!,0),MATCH(#REF!,#REF!,0)))</f>
        <v/>
      </c>
      <c r="FH135" s="56" t="str">
        <f t="array" ref="FH135">IF($DR135="","", INDEX(#REF!,MATCH(CONCATENATE(#REF!,$DR135),#REF!,0),MATCH(#REF!,#REF!,0)))</f>
        <v/>
      </c>
      <c r="FI135" s="56" t="str">
        <f t="array" ref="FI135">IF($DR135="","", INDEX(#REF!,MATCH(CONCATENATE(#REF!,$DR135),#REF!,0),MATCH(#REF!,#REF!,0)))</f>
        <v/>
      </c>
      <c r="FJ135" s="56" t="str">
        <f t="array" ref="FJ135">IF($DR135="","", INDEX(#REF!,MATCH(CONCATENATE(#REF!,$DR135),#REF!,0),MATCH(#REF!,#REF!,0)))</f>
        <v/>
      </c>
      <c r="FK135" s="45" t="str">
        <f t="array" ref="FK135">IF($DR135="","", INDEX(#REF!,MATCH(CONCATENATE(#REF!,$DR135),#REF!,0),MATCH(#REF!,#REF!,0)))</f>
        <v/>
      </c>
      <c r="FL135" s="45" t="str">
        <f t="array" ref="FL135">IF($DT135="","", INDEX(#REF!,MATCH(CONCATENATE('Respuestas de formulario 1.1'!$B135,$DS135),#REF!,0),MATCH('Respuestas de formulario 1.1'!FL$1,#REF!,0)))</f>
        <v/>
      </c>
      <c r="FM135" s="56" t="str">
        <f t="array" ref="FM135">IF($DT135="","", INDEX(#REF!,MATCH(CONCATENATE('Respuestas de formulario 1.1'!$B135,$DS135),#REF!,0),MATCH('Respuestas de formulario 1.1'!FM$1,#REF!,0)))</f>
        <v/>
      </c>
      <c r="FN135" s="56" t="str">
        <f t="array" ref="FN135">IF($DT135="","", INDEX(#REF!,MATCH(CONCATENATE('Respuestas de formulario 1.1'!$B135,$DS135),#REF!,0),MATCH('Respuestas de formulario 1.1'!FN$1,#REF!,0)))</f>
        <v/>
      </c>
      <c r="FO135" s="56" t="str">
        <f t="array" ref="FO135">IF($DT135="","", INDEX(#REF!,MATCH(CONCATENATE('Respuestas de formulario 1.1'!$B135,$DS135),#REF!,0),MATCH('Respuestas de formulario 1.1'!FO$1,#REF!,0)))</f>
        <v/>
      </c>
      <c r="FP135" s="56" t="str">
        <f t="array" ref="FP135">IF($DT135="","", INDEX(#REF!,MATCH(CONCATENATE('Respuestas de formulario 1.1'!$B135,$DS135),#REF!,0),MATCH('Respuestas de formulario 1.1'!FP$1,#REF!,0)))</f>
        <v/>
      </c>
      <c r="FQ135" s="56" t="str">
        <f t="array" ref="FQ135">IF($DT135="","", INDEX(#REF!,MATCH(CONCATENATE('Respuestas de formulario 1.1'!$B135,$DS135),#REF!,0),MATCH('Respuestas de formulario 1.1'!FQ$1,#REF!,0)))</f>
        <v/>
      </c>
      <c r="FR135" s="45" t="str">
        <f t="array" ref="FR135">IF($DT135="","", INDEX(#REF!,MATCH(CONCATENATE('Respuestas de formulario 1.1'!$B135,$DS135),#REF!,0),MATCH('Respuestas de formulario 1.1'!FR$1,#REF!,0)))</f>
        <v/>
      </c>
      <c r="FS135" s="45" t="str">
        <f t="array" ref="FS135">IF($DU135="","", INDEX(#REF!,MATCH(CONCATENATE('Respuestas de formulario 1.1'!$B135,$DT135),#REF!,0),MATCH('Respuestas de formulario 1.1'!FS$1,#REF!,0)))</f>
        <v/>
      </c>
      <c r="FT135" s="56" t="str">
        <f t="array" ref="FT135">IF($DU135="","", INDEX(#REF!,MATCH(CONCATENATE('Respuestas de formulario 1.1'!$B135,$DT135),#REF!,0),MATCH('Respuestas de formulario 1.1'!FT$1,#REF!,0)))</f>
        <v/>
      </c>
      <c r="FU135" s="56" t="str">
        <f t="array" ref="FU135">IF($DU135="","", INDEX(#REF!,MATCH(CONCATENATE('Respuestas de formulario 1.1'!$B135,$DT135),#REF!,0),MATCH('Respuestas de formulario 1.1'!FU$1,#REF!,0)))</f>
        <v/>
      </c>
      <c r="FV135" s="56" t="str">
        <f t="array" ref="FV135">IF($DU135="","", INDEX(#REF!,MATCH(CONCATENATE('Respuestas de formulario 1.1'!$B135,$DT135),#REF!,0),MATCH('Respuestas de formulario 1.1'!FV$1,#REF!,0)))</f>
        <v/>
      </c>
      <c r="FW135" s="56" t="str">
        <f t="array" ref="FW135">IF($DU135="","", INDEX(#REF!,MATCH(CONCATENATE('Respuestas de formulario 1.1'!$B135,$DT135),#REF!,0),MATCH('Respuestas de formulario 1.1'!FW$1,#REF!,0)))</f>
        <v/>
      </c>
      <c r="FX135" s="56" t="str">
        <f t="array" ref="FX135">IF($DU135="","", INDEX(#REF!,MATCH(CONCATENATE('Respuestas de formulario 1.1'!$B135,$DT135),#REF!,0),MATCH('Respuestas de formulario 1.1'!FX$1,#REF!,0)))</f>
        <v/>
      </c>
      <c r="FY135" s="45" t="str">
        <f t="array" ref="FY135">IF($DU135="","", INDEX(#REF!,MATCH(CONCATENATE('Respuestas de formulario 1.1'!$B135,$DT135),#REF!,0),MATCH('Respuestas de formulario 1.1'!FY$1,#REF!,0)))</f>
        <v/>
      </c>
      <c r="FZ135" s="3" t="s">
        <v>2860</v>
      </c>
      <c r="GA135" s="1" t="s">
        <v>5139</v>
      </c>
      <c r="GB135" s="5" t="s">
        <v>5140</v>
      </c>
      <c r="GC135" s="4" t="str">
        <f>HYPERLINK("https://drive.google.com/file/d/1iErGWENPZBSHq1enB0TSdbow83IAMtlt/view?usp=drivesdk","RIVAS RUIZ JOCELYN AILINE Formato de reinscripción y pago 2022-2")</f>
        <v>RIVAS RUIZ JOCELYN AILINE Formato de reinscripción y pago 2022-2</v>
      </c>
      <c r="GD135" s="1" t="s">
        <v>5141</v>
      </c>
      <c r="GE135" s="1"/>
      <c r="GF135" s="1"/>
      <c r="GG135" s="1"/>
      <c r="GH135" s="1"/>
      <c r="GI135" s="1" t="s">
        <v>5142</v>
      </c>
      <c r="GJ135" s="5" t="s">
        <v>5143</v>
      </c>
      <c r="GK135" s="5" t="str">
        <f>HYPERLINK("https://drive.google.com/file/d/1irFlkVwK-v6d1XgAZUMySecyMycoKQSy/view?usp=drivesdk","RIVAS RUIZ JOCELYN AILINE Formato de reinscripción y pago 2022-2")</f>
        <v>RIVAS RUIZ JOCELYN AILINE Formato de reinscripción y pago 2022-2</v>
      </c>
      <c r="GL135" s="1" t="s">
        <v>5144</v>
      </c>
    </row>
    <row r="136" spans="1:194" ht="14.25" x14ac:dyDescent="0.2">
      <c r="A136" s="2">
        <v>45139.447126354164</v>
      </c>
      <c r="B136" s="1" t="s">
        <v>69</v>
      </c>
      <c r="C136" s="1" t="s">
        <v>390</v>
      </c>
      <c r="D136" s="1" t="s">
        <v>819</v>
      </c>
      <c r="E136" s="1" t="s">
        <v>2136</v>
      </c>
      <c r="F136" s="1" t="s">
        <v>223</v>
      </c>
      <c r="G136" s="5" t="s">
        <v>5145</v>
      </c>
      <c r="H136" s="41">
        <v>39087</v>
      </c>
      <c r="I136" s="1">
        <v>16</v>
      </c>
      <c r="J136" s="1">
        <v>5585170116</v>
      </c>
      <c r="K136" s="1">
        <v>5570915593</v>
      </c>
      <c r="L136" s="1" t="s">
        <v>2137</v>
      </c>
      <c r="M136" s="1">
        <v>22309060570235</v>
      </c>
      <c r="N136" s="1" t="s">
        <v>562</v>
      </c>
      <c r="O136" s="1" t="s">
        <v>225</v>
      </c>
      <c r="P136" s="1" t="s">
        <v>278</v>
      </c>
      <c r="Q136" s="1" t="s">
        <v>315</v>
      </c>
      <c r="R136" s="1" t="s">
        <v>236</v>
      </c>
      <c r="S136" s="1" t="s">
        <v>236</v>
      </c>
      <c r="T136" s="1" t="s">
        <v>411</v>
      </c>
      <c r="U136" s="1" t="s">
        <v>249</v>
      </c>
      <c r="V136" s="1" t="s">
        <v>228</v>
      </c>
      <c r="W136" s="1" t="s">
        <v>5146</v>
      </c>
      <c r="X136" s="1" t="s">
        <v>249</v>
      </c>
      <c r="Y136" s="1" t="s">
        <v>653</v>
      </c>
      <c r="Z136" s="1" t="s">
        <v>240</v>
      </c>
      <c r="AA136" s="44" t="s">
        <v>2103</v>
      </c>
      <c r="AB136" s="1" t="s">
        <v>1864</v>
      </c>
      <c r="AC136" s="1" t="s">
        <v>5147</v>
      </c>
      <c r="AD136" s="1" t="s">
        <v>5148</v>
      </c>
      <c r="AE136" s="1" t="s">
        <v>5149</v>
      </c>
      <c r="AF136" s="1" t="s">
        <v>445</v>
      </c>
      <c r="AG136" s="1">
        <v>34</v>
      </c>
      <c r="AH136" s="5" t="s">
        <v>5150</v>
      </c>
      <c r="AI136" s="1">
        <v>5626344705</v>
      </c>
      <c r="AJ136" s="1">
        <v>5570915593</v>
      </c>
      <c r="AK136" s="1" t="s">
        <v>2139</v>
      </c>
      <c r="AL136" s="1" t="s">
        <v>392</v>
      </c>
      <c r="AM136" s="1" t="s">
        <v>392</v>
      </c>
      <c r="AN136" s="1" t="s">
        <v>2470</v>
      </c>
      <c r="AO136" s="1" t="s">
        <v>359</v>
      </c>
      <c r="AP136" s="1">
        <v>53</v>
      </c>
      <c r="AQ136" s="1" t="s">
        <v>294</v>
      </c>
      <c r="AR136" s="42">
        <v>0.25</v>
      </c>
      <c r="AS136" s="42">
        <v>0.33333333333575865</v>
      </c>
      <c r="AT136" s="1">
        <v>5632674485</v>
      </c>
      <c r="AU136" s="1">
        <v>5632674485</v>
      </c>
      <c r="AV136" s="1" t="s">
        <v>2138</v>
      </c>
      <c r="AW136" s="5" t="s">
        <v>5151</v>
      </c>
      <c r="AX136" s="1" t="s">
        <v>390</v>
      </c>
      <c r="AY136" s="1" t="s">
        <v>1222</v>
      </c>
      <c r="AZ136" s="1" t="s">
        <v>2140</v>
      </c>
      <c r="BA136" s="1" t="s">
        <v>650</v>
      </c>
      <c r="BB136" s="1">
        <v>35</v>
      </c>
      <c r="BC136" s="1" t="s">
        <v>663</v>
      </c>
      <c r="BD136" s="43">
        <v>0.22916666666424135</v>
      </c>
      <c r="BE136" s="43">
        <v>0.27083333333575865</v>
      </c>
      <c r="BF136" s="1">
        <v>5636487629</v>
      </c>
      <c r="BG136" s="1">
        <v>5570915593</v>
      </c>
      <c r="BH136" s="1" t="s">
        <v>2141</v>
      </c>
      <c r="BI136" s="5" t="s">
        <v>5152</v>
      </c>
      <c r="BJ136" s="1" t="s">
        <v>236</v>
      </c>
      <c r="BL136" s="1">
        <v>1.6</v>
      </c>
      <c r="BM136" s="1">
        <v>57</v>
      </c>
      <c r="BN136" s="1" t="s">
        <v>228</v>
      </c>
      <c r="BO136" s="1" t="s">
        <v>228</v>
      </c>
      <c r="BQ136" s="1" t="s">
        <v>228</v>
      </c>
      <c r="BR136" s="1" t="s">
        <v>237</v>
      </c>
      <c r="BS136" s="1" t="s">
        <v>228</v>
      </c>
      <c r="BT136" s="1" t="s">
        <v>237</v>
      </c>
      <c r="BU136" s="1" t="s">
        <v>228</v>
      </c>
      <c r="BW136" s="1" t="s">
        <v>238</v>
      </c>
      <c r="BX136" s="1">
        <v>40</v>
      </c>
      <c r="BY136" s="1">
        <v>150</v>
      </c>
      <c r="BZ136" s="1" t="s">
        <v>298</v>
      </c>
      <c r="CA136" s="1" t="s">
        <v>5153</v>
      </c>
      <c r="CB136" s="1" t="s">
        <v>240</v>
      </c>
      <c r="CC136" s="1" t="s">
        <v>274</v>
      </c>
      <c r="CD136" s="1">
        <v>1500</v>
      </c>
      <c r="CE136" s="1">
        <v>1500</v>
      </c>
      <c r="CF136" s="1" t="s">
        <v>236</v>
      </c>
      <c r="CG136" s="1" t="s">
        <v>242</v>
      </c>
      <c r="CH136" s="1" t="s">
        <v>243</v>
      </c>
      <c r="CI136" s="1" t="s">
        <v>243</v>
      </c>
      <c r="CJ136" s="1" t="s">
        <v>2848</v>
      </c>
      <c r="CL136" s="5" t="s">
        <v>5154</v>
      </c>
      <c r="CM136" s="44" t="s">
        <v>2142</v>
      </c>
      <c r="CN136" s="1" t="s">
        <v>228</v>
      </c>
      <c r="CQ136" s="42">
        <v>0.25</v>
      </c>
      <c r="CR136" s="42">
        <v>0.33333333333575865</v>
      </c>
      <c r="CT136" s="45" t="str">
        <f t="array" ref="CT136">IFERROR(INDEX(#REF!,MATCH('Respuestas de formulario 1.1'!$B136,#REF!,0),MATCH('Respuestas de formulario 1.1'!CT$1,#REF!,0)),"")</f>
        <v/>
      </c>
      <c r="CU136" s="56" t="str">
        <f t="array" ref="CU136">IFERROR(INDEX(#REF!,MATCH('Respuestas de formulario 1.1'!$B136,#REF!,0),MATCH('Respuestas de formulario 1.1'!CU$1,#REF!,0)),"")</f>
        <v/>
      </c>
      <c r="CV136" s="56" t="str">
        <f t="array" ref="CV136">IFERROR(INDEX(#REF!,MATCH('Respuestas de formulario 1.1'!$B136,#REF!,0),MATCH('Respuestas de formulario 1.1'!CV$1,#REF!,0)),"")</f>
        <v/>
      </c>
      <c r="CW136" s="56" t="str">
        <f t="array" ref="CW136">IFERROR(INDEX(#REF!,MATCH('Respuestas de formulario 1.1'!$B136,#REF!,0),MATCH('Respuestas de formulario 1.1'!CW$1,#REF!,0)),"")</f>
        <v/>
      </c>
      <c r="CX136" s="56" t="str">
        <f t="array" ref="CX136">IFERROR(INDEX(#REF!,MATCH('Respuestas de formulario 1.1'!$B136,#REF!,0),MATCH('Respuestas de formulario 1.1'!CX$1,#REF!,0)),"")</f>
        <v/>
      </c>
      <c r="CY136" s="56" t="str">
        <f t="array" ref="CY136">IFERROR(INDEX(#REF!,MATCH('Respuestas de formulario 1.1'!$B136,#REF!,0),MATCH('Respuestas de formulario 1.1'!CY$1,#REF!,0)),"")</f>
        <v/>
      </c>
      <c r="CZ136" s="57" t="str">
        <f t="array" ref="CZ136">IFERROR(INDEX(#REF!,MATCH('Respuestas de formulario 1.1'!$B136,#REF!,0),MATCH('Respuestas de formulario 1.1'!CZ$1,#REF!,0)),"")</f>
        <v/>
      </c>
      <c r="DA136" s="45" t="e">
        <f t="array" ref="DA136">INDEX(#REF!,MATCH('Respuestas de formulario 1.1'!$B136,#REF!,0),MATCH('Respuestas de formulario 1.1'!DA$1,#REF!,0))</f>
        <v>#REF!</v>
      </c>
      <c r="DB136" s="45" t="e">
        <f t="array" ref="DB136">INDEX(#REF!,MATCH('Respuestas de formulario 1.1'!$B136,#REF!,0),MATCH('Respuestas de formulario 1.1'!DB$1,#REF!,0))</f>
        <v>#REF!</v>
      </c>
      <c r="DC136" s="45" t="e">
        <f t="array" ref="DC136">INDEX(#REF!,MATCH('Respuestas de formulario 1.1'!$B136,#REF!,0),MATCH('Respuestas de formulario 1.1'!DC$1,#REF!,0))</f>
        <v>#REF!</v>
      </c>
      <c r="DD136" s="45" t="e">
        <f t="array" ref="DD136">INDEX(#REF!,MATCH('Respuestas de formulario 1.1'!$B136,#REF!,0),MATCH('Respuestas de formulario 1.1'!DD$1,#REF!,0))</f>
        <v>#REF!</v>
      </c>
      <c r="DE136" s="45" t="e">
        <f t="array" ref="DE136">INDEX(#REF!,MATCH('Respuestas de formulario 1.1'!$B136,#REF!,0),MATCH('Respuestas de formulario 1.1'!DE$1,#REF!,0))</f>
        <v>#REF!</v>
      </c>
      <c r="DF136" s="45" t="e">
        <f t="array" ref="DF136">INDEX(#REF!,MATCH('Respuestas de formulario 1.1'!$B136,#REF!,0),MATCH('Respuestas de formulario 1.1'!DF$1,#REF!,0))</f>
        <v>#REF!</v>
      </c>
      <c r="DG136" s="45" t="e">
        <f t="array" ref="DG136">INDEX(#REF!,MATCH('Respuestas de formulario 1.1'!$B136,#REF!,0),MATCH('Respuestas de formulario 1.1'!DG$1,#REF!,0))</f>
        <v>#REF!</v>
      </c>
      <c r="DH136" s="45" t="e">
        <f t="array" ref="DH136">INDEX(#REF!,MATCH('Respuestas de formulario 1.1'!$B136,#REF!,0),MATCH('Respuestas de formulario 1.1'!DH$1,#REF!,0))</f>
        <v>#REF!</v>
      </c>
      <c r="DI136" s="48" t="e">
        <f>VLOOKUP(CONCATENATE($DF136," TUTO ",$DC136),#REF!,3,0)</f>
        <v>#REF!</v>
      </c>
      <c r="DJ136" s="48" t="e">
        <f t="array" ref="DJ136">IF('Respuestas de formulario 1.1'!A136="","",INDEX(#REF!,MATCH('Respuestas de formulario 1.1'!B136,#REF!,0),MATCH('Respuestas de formulario 1.1'!$DH$1,#REF!,0)))</f>
        <v>#REF!</v>
      </c>
      <c r="DK136" s="52" t="str">
        <f>CONCATENATE("http://doc.google.com/uc?id=",MID('Respuestas de formulario 1.1'!G136,34,33))</f>
        <v>http://doc.google.com/uc?id=1eBaUbFY9wv_opQOSw3G31T_w6Y23dsq_</v>
      </c>
      <c r="DL136" s="49" t="str">
        <f>CONCATENATE("http://doc.google.com/uc?id=",MID('Respuestas de formulario 1.1'!AH136,34,33))</f>
        <v>http://doc.google.com/uc?id=1HBD5hByKFmMFvsCPU3Uh4rVvzm8udHBt</v>
      </c>
      <c r="DM136" s="50" t="str">
        <f>CONCATENATE("http://doc.google.com/uc?id=",MID('Respuestas de formulario 1.1'!AW136,34,33))</f>
        <v>http://doc.google.com/uc?id=1ZcLAejg-JIsZJdHKaBKAfwuNnegYm3x4</v>
      </c>
      <c r="DN136" s="53" t="str">
        <f>CONCATENATE("http://doc.google.com/uc?id=",MID('Respuestas de formulario 1.1'!$BI136,34,33))</f>
        <v>http://doc.google.com/uc?id=1odnF695GPXTSf3wYG_ZyrWl9WpePHB5t</v>
      </c>
      <c r="DO136" s="45" t="str">
        <f>IFERROR(VLOOKUP(CONCATENATE('Respuestas de formulario 1.1'!$B136,MID('Respuestas de formulario 1.1'!DO$1,2,1)),#REF!,12,0),"")</f>
        <v/>
      </c>
      <c r="DP136" s="45" t="str">
        <f>IFERROR(VLOOKUP(CONCATENATE('Respuestas de formulario 1.1'!$B136,MID('Respuestas de formulario 1.1'!DP$1,2,1)),#REF!,12,0),"")</f>
        <v/>
      </c>
      <c r="DQ136" s="45" t="str">
        <f>IFERROR(VLOOKUP(CONCATENATE('Respuestas de formulario 1.1'!$B136,MID('Respuestas de formulario 1.1'!DQ$1,2,1)),#REF!,12,0),"")</f>
        <v/>
      </c>
      <c r="DR136" s="45" t="str">
        <f>IFERROR(VLOOKUP(CONCATENATE('Respuestas de formulario 1.1'!$B136,MID('Respuestas de formulario 1.1'!DR$1,2,1)),#REF!,12,0),"")</f>
        <v/>
      </c>
      <c r="DS136" s="45" t="str">
        <f>IFERROR(VLOOKUP(CONCATENATE('Respuestas de formulario 1.1'!$B136,MID('Respuestas de formulario 1.1'!DS$1,2,1)),#REF!,12,0),"")</f>
        <v/>
      </c>
      <c r="DT136" s="45" t="str">
        <f>IFERROR(VLOOKUP(CONCATENATE('Respuestas de formulario 1.1'!$B136,MID('Respuestas de formulario 1.1'!DT$1,2,1)),#REF!,12,0),"")</f>
        <v/>
      </c>
      <c r="DU136" s="45" t="str">
        <f>IFERROR(VLOOKUP(CONCATENATE('Respuestas de formulario 1.1'!$B136,MID('Respuestas de formulario 1.1'!DU$1,2,1)),#REF!,12,0),"")</f>
        <v/>
      </c>
      <c r="DV136" s="45" t="str">
        <f>IFERROR(VLOOKUP(CONCATENATE('Respuestas de formulario 1.1'!$B136,MID('Respuestas de formulario 1.1'!DV$1,2,1)),#REF!,12,0),"")</f>
        <v/>
      </c>
      <c r="DW136" s="45" t="str">
        <f>IFERROR(VLOOKUP(CONCATENATE('Respuestas de formulario 1.1'!$B136,MID('Respuestas de formulario 1.1'!DW$1,2,1)),#REF!,12,0),"")</f>
        <v/>
      </c>
      <c r="DX136" s="45" t="str">
        <f>IFERROR(VLOOKUP(CONCATENATE('Respuestas de formulario 1.1'!$B136,MID('Respuestas de formulario 1.1'!DX$1,2,1)),#REF!,12,0),"")</f>
        <v/>
      </c>
      <c r="DY136" s="45" t="str">
        <f>IFERROR(VLOOKUP(CONCATENATE('Respuestas de formulario 1.1'!$B136,MID('Respuestas de formulario 1.1'!DY$1,2,1)),#REF!,12,0),"")</f>
        <v/>
      </c>
      <c r="DZ136" s="45" t="str">
        <f>IFERROR(VLOOKUP(CONCATENATE('Respuestas de formulario 1.1'!$B136,MID('Respuestas de formulario 1.1'!DZ$1,2,1)),#REF!,12,0),"")</f>
        <v/>
      </c>
      <c r="EA136" s="45" t="str">
        <f>IFERROR(VLOOKUP(CONCATENATE('Respuestas de formulario 1.1'!$B136,MID('Respuestas de formulario 1.1'!EA$1,2,1)),#REF!,12,0),"")</f>
        <v/>
      </c>
      <c r="EB136" s="45" t="str">
        <f>IFERROR(VLOOKUP(CONCATENATE('Respuestas de formulario 1.1'!$B136,MID('Respuestas de formulario 1.1'!EB$1,2,1)),#REF!,12,0),"")</f>
        <v/>
      </c>
      <c r="EC136" s="45" t="str">
        <f>IFERROR(VLOOKUP(CONCATENATE('Respuestas de formulario 1.1'!$B136,MID('Respuestas de formulario 1.1'!EC$1,2,1)),#REF!,12,0),"")</f>
        <v/>
      </c>
      <c r="ED136" s="45" t="str">
        <f>IFERROR(VLOOKUP(CONCATENATE('Respuestas de formulario 1.1'!$B136,MID('Respuestas de formulario 1.1'!ED$1,2,1)),#REF!,12,0),"")</f>
        <v/>
      </c>
      <c r="EE136" s="45" t="str">
        <f>IFERROR(VLOOKUP(CONCATENATE('Respuestas de formulario 1.1'!$B136,MID('Respuestas de formulario 1.1'!EE$1,2,1)),#REF!,12,0),"")</f>
        <v/>
      </c>
      <c r="EF136" s="45" t="str">
        <f>IFERROR(VLOOKUP(CONCATENATE('Respuestas de formulario 1.1'!$B136,MID('Respuestas de formulario 1.1'!EF$1,2,1)),#REF!,12,0),"")</f>
        <v/>
      </c>
      <c r="EG136" s="45" t="str">
        <f>IFERROR(VLOOKUP(CONCATENATE('Respuestas de formulario 1.1'!$B136,MID('Respuestas de formulario 1.1'!EG$1,2,1)),#REF!,12,0),"")</f>
        <v/>
      </c>
      <c r="EH136" s="45" t="str">
        <f>IFERROR(VLOOKUP(CONCATENATE('Respuestas de formulario 1.1'!$B136,MID('Respuestas de formulario 1.1'!EH$1,2,1)),#REF!,12,0),"")</f>
        <v/>
      </c>
      <c r="EI136" s="45" t="str">
        <f>IFERROR(VLOOKUP(CONCATENATE('Respuestas de formulario 1.1'!$B136,MID('Respuestas de formulario 1.1'!EI$1,2,1)),#REF!,12,0),"")</f>
        <v/>
      </c>
      <c r="EJ136" s="45" t="str">
        <f t="array" ref="EJ136">IF(DO136="","", INDEX(#REF!,MATCH(CONCATENATE('Respuestas de formulario 1.1'!$B136,DO136),#REF!,0),MATCH('Respuestas de formulario 1.1'!EJ$1,#REF!,0)))</f>
        <v/>
      </c>
      <c r="EK136" s="56" t="str">
        <f t="array" ref="EK136">IF(DP136="","", INDEX(#REF!,MATCH(CONCATENATE('Respuestas de formulario 1.1'!$B136,DP136),#REF!,0),MATCH('Respuestas de formulario 1.1'!EK$1,#REF!,0)))</f>
        <v/>
      </c>
      <c r="EL136" s="56" t="str">
        <f t="array" ref="EL136">IF(DQ136="","", INDEX(#REF!,MATCH(CONCATENATE('Respuestas de formulario 1.1'!$B136,DQ136),#REF!,0),MATCH('Respuestas de formulario 1.1'!EL$1,#REF!,0)))</f>
        <v/>
      </c>
      <c r="EM136" s="56" t="str">
        <f t="array" ref="EM136">IF(DR136="","", INDEX(#REF!,MATCH(CONCATENATE('Respuestas de formulario 1.1'!$B136,DR136),#REF!,0),MATCH('Respuestas de formulario 1.1'!EM$1,#REF!,0)))</f>
        <v/>
      </c>
      <c r="EN136" s="56" t="str">
        <f t="array" ref="EN136">IF(DS136="","", INDEX(#REF!,MATCH(CONCATENATE('Respuestas de formulario 1.1'!$B136,DS136),#REF!,0),MATCH('Respuestas de formulario 1.1'!EN$1,#REF!,0)))</f>
        <v/>
      </c>
      <c r="EO136" s="56" t="str">
        <f t="array" ref="EO136">IF(DT136="","", INDEX(#REF!,MATCH(CONCATENATE('Respuestas de formulario 1.1'!$B136,DT136),#REF!,0),MATCH('Respuestas de formulario 1.1'!EO$1,#REF!,0)))</f>
        <v/>
      </c>
      <c r="EP136" s="45" t="str">
        <f t="array" ref="EP136">IF(DU136="","", INDEX(#REF!,MATCH(CONCATENATE('Respuestas de formulario 1.1'!$B136,DU136),#REF!,0),MATCH('Respuestas de formulario 1.1'!EP$1,#REF!,0)))</f>
        <v/>
      </c>
      <c r="EQ136" s="45" t="str">
        <f t="array" ref="EQ136">IF(DP136="","", INDEX(#REF!,MATCH(CONCATENATE('Respuestas de formulario 1.1'!$B136,DP136),#REF!,0),MATCH('Respuestas de formulario 1.1'!EQ$1,#REF!,0)))</f>
        <v/>
      </c>
      <c r="ER136" s="56" t="str">
        <f t="array" ref="ER136">IF(DQ136="","", INDEX(#REF!,MATCH(CONCATENATE('Respuestas de formulario 1.1'!$B136,DQ136),#REF!,0),MATCH('Respuestas de formulario 1.1'!ER$1,#REF!,0)))</f>
        <v/>
      </c>
      <c r="ES136" s="56" t="str">
        <f t="array" ref="ES136">IF(DR136="","", INDEX(#REF!,MATCH(CONCATENATE('Respuestas de formulario 1.1'!$B136,DR136),#REF!,0),MATCH('Respuestas de formulario 1.1'!ES$1,#REF!,0)))</f>
        <v/>
      </c>
      <c r="ET136" s="56" t="str">
        <f t="array" ref="ET136">IF(DS136="","", INDEX(#REF!,MATCH(CONCATENATE('Respuestas de formulario 1.1'!$B136,DS136),#REF!,0),MATCH('Respuestas de formulario 1.1'!ET$1,#REF!,0)))</f>
        <v/>
      </c>
      <c r="EU136" s="56" t="str">
        <f t="array" ref="EU136">IF(DT136="","", INDEX(#REF!,MATCH(CONCATENATE('Respuestas de formulario 1.1'!$B136,DT136),#REF!,0),MATCH('Respuestas de formulario 1.1'!EU$1,#REF!,0)))</f>
        <v/>
      </c>
      <c r="EV136" s="56" t="str">
        <f t="array" ref="EV136">IF(DU136="","", INDEX(#REF!,MATCH(CONCATENATE('Respuestas de formulario 1.1'!$B136,DU136),#REF!,0),MATCH('Respuestas de formulario 1.1'!EV$1,#REF!,0)))</f>
        <v/>
      </c>
      <c r="EW136" s="45" t="str">
        <f t="array" ref="EW136">IF(DV136="","", INDEX(#REF!,MATCH(CONCATENATE('Respuestas de formulario 1.1'!$B136,DV136),#REF!,0),MATCH('Respuestas de formulario 1.1'!EW$1,#REF!,0)))</f>
        <v/>
      </c>
      <c r="EX136" s="45" t="str">
        <f t="array" ref="EX136">IF($DQ136="","", INDEX(#REF!,MATCH(CONCATENATE('Respuestas de formulario 1.1'!$B136,$DQ136),#REF!,0),MATCH('Respuestas de formulario 1.1'!EX$1,#REF!,0)))</f>
        <v/>
      </c>
      <c r="EY136" s="56" t="str">
        <f t="array" ref="EY136">IF($DQ136="","", INDEX(#REF!,MATCH(CONCATENATE('Respuestas de formulario 1.1'!$B136,$DQ136),#REF!,0),MATCH('Respuestas de formulario 1.1'!EY$1,#REF!,0)))</f>
        <v/>
      </c>
      <c r="EZ136" s="56" t="str">
        <f t="array" ref="EZ136">IF($DQ136="","", INDEX(#REF!,MATCH(CONCATENATE('Respuestas de formulario 1.1'!$B136,$DQ136),#REF!,0),MATCH('Respuestas de formulario 1.1'!EZ$1,#REF!,0)))</f>
        <v/>
      </c>
      <c r="FA136" s="56" t="str">
        <f t="array" ref="FA136">IF($DQ136="","", INDEX(#REF!,MATCH(CONCATENATE('Respuestas de formulario 1.1'!$B136,$DQ136),#REF!,0),MATCH('Respuestas de formulario 1.1'!FA$1,#REF!,0)))</f>
        <v/>
      </c>
      <c r="FB136" s="56" t="str">
        <f t="array" ref="FB136">IF($DQ136="","", INDEX(#REF!,MATCH(CONCATENATE('Respuestas de formulario 1.1'!$B136,$DQ136),#REF!,0),MATCH('Respuestas de formulario 1.1'!FB$1,#REF!,0)))</f>
        <v/>
      </c>
      <c r="FC136" s="56" t="str">
        <f t="array" ref="FC136">IF($DQ136="","", INDEX(#REF!,MATCH(CONCATENATE('Respuestas de formulario 1.1'!$B136,$DQ136),#REF!,0),MATCH('Respuestas de formulario 1.1'!FC$1,#REF!,0)))</f>
        <v/>
      </c>
      <c r="FD136" s="45" t="str">
        <f t="array" ref="FD136">IF($DQ136="","", INDEX(#REF!,MATCH(CONCATENATE('Respuestas de formulario 1.1'!$B136,$DQ136),#REF!,0),MATCH('Respuestas de formulario 1.1'!FD$1,#REF!,0)))</f>
        <v/>
      </c>
      <c r="FE136" s="45" t="str">
        <f t="array" ref="FE136">IF($DR136="","", INDEX(#REF!,MATCH(CONCATENATE(#REF!,$DR136),#REF!,0),MATCH(#REF!,#REF!,0)))</f>
        <v/>
      </c>
      <c r="FF136" s="56" t="str">
        <f t="array" ref="FF136">IF($DR136="","", INDEX(#REF!,MATCH(CONCATENATE(#REF!,$DR136),#REF!,0),MATCH(#REF!,#REF!,0)))</f>
        <v/>
      </c>
      <c r="FG136" s="56" t="str">
        <f t="array" ref="FG136">IF($DR136="","", INDEX(#REF!,MATCH(CONCATENATE(#REF!,$DR136),#REF!,0),MATCH(#REF!,#REF!,0)))</f>
        <v/>
      </c>
      <c r="FH136" s="56" t="str">
        <f t="array" ref="FH136">IF($DR136="","", INDEX(#REF!,MATCH(CONCATENATE(#REF!,$DR136),#REF!,0),MATCH(#REF!,#REF!,0)))</f>
        <v/>
      </c>
      <c r="FI136" s="56" t="str">
        <f t="array" ref="FI136">IF($DR136="","", INDEX(#REF!,MATCH(CONCATENATE(#REF!,$DR136),#REF!,0),MATCH(#REF!,#REF!,0)))</f>
        <v/>
      </c>
      <c r="FJ136" s="56" t="str">
        <f t="array" ref="FJ136">IF($DR136="","", INDEX(#REF!,MATCH(CONCATENATE(#REF!,$DR136),#REF!,0),MATCH(#REF!,#REF!,0)))</f>
        <v/>
      </c>
      <c r="FK136" s="45" t="str">
        <f t="array" ref="FK136">IF($DR136="","", INDEX(#REF!,MATCH(CONCATENATE(#REF!,$DR136),#REF!,0),MATCH(#REF!,#REF!,0)))</f>
        <v/>
      </c>
      <c r="FL136" s="45" t="str">
        <f t="array" ref="FL136">IF($DT136="","", INDEX(#REF!,MATCH(CONCATENATE('Respuestas de formulario 1.1'!$B136,$DS136),#REF!,0),MATCH('Respuestas de formulario 1.1'!FL$1,#REF!,0)))</f>
        <v/>
      </c>
      <c r="FM136" s="56" t="str">
        <f t="array" ref="FM136">IF($DT136="","", INDEX(#REF!,MATCH(CONCATENATE('Respuestas de formulario 1.1'!$B136,$DS136),#REF!,0),MATCH('Respuestas de formulario 1.1'!FM$1,#REF!,0)))</f>
        <v/>
      </c>
      <c r="FN136" s="56" t="str">
        <f t="array" ref="FN136">IF($DT136="","", INDEX(#REF!,MATCH(CONCATENATE('Respuestas de formulario 1.1'!$B136,$DS136),#REF!,0),MATCH('Respuestas de formulario 1.1'!FN$1,#REF!,0)))</f>
        <v/>
      </c>
      <c r="FO136" s="56" t="str">
        <f t="array" ref="FO136">IF($DT136="","", INDEX(#REF!,MATCH(CONCATENATE('Respuestas de formulario 1.1'!$B136,$DS136),#REF!,0),MATCH('Respuestas de formulario 1.1'!FO$1,#REF!,0)))</f>
        <v/>
      </c>
      <c r="FP136" s="56" t="str">
        <f t="array" ref="FP136">IF($DT136="","", INDEX(#REF!,MATCH(CONCATENATE('Respuestas de formulario 1.1'!$B136,$DS136),#REF!,0),MATCH('Respuestas de formulario 1.1'!FP$1,#REF!,0)))</f>
        <v/>
      </c>
      <c r="FQ136" s="56" t="str">
        <f t="array" ref="FQ136">IF($DT136="","", INDEX(#REF!,MATCH(CONCATENATE('Respuestas de formulario 1.1'!$B136,$DS136),#REF!,0),MATCH('Respuestas de formulario 1.1'!FQ$1,#REF!,0)))</f>
        <v/>
      </c>
      <c r="FR136" s="45" t="str">
        <f t="array" ref="FR136">IF($DT136="","", INDEX(#REF!,MATCH(CONCATENATE('Respuestas de formulario 1.1'!$B136,$DS136),#REF!,0),MATCH('Respuestas de formulario 1.1'!FR$1,#REF!,0)))</f>
        <v/>
      </c>
      <c r="FS136" s="45" t="str">
        <f t="array" ref="FS136">IF($DU136="","", INDEX(#REF!,MATCH(CONCATENATE('Respuestas de formulario 1.1'!$B136,$DT136),#REF!,0),MATCH('Respuestas de formulario 1.1'!FS$1,#REF!,0)))</f>
        <v/>
      </c>
      <c r="FT136" s="56" t="str">
        <f t="array" ref="FT136">IF($DU136="","", INDEX(#REF!,MATCH(CONCATENATE('Respuestas de formulario 1.1'!$B136,$DT136),#REF!,0),MATCH('Respuestas de formulario 1.1'!FT$1,#REF!,0)))</f>
        <v/>
      </c>
      <c r="FU136" s="56" t="str">
        <f t="array" ref="FU136">IF($DU136="","", INDEX(#REF!,MATCH(CONCATENATE('Respuestas de formulario 1.1'!$B136,$DT136),#REF!,0),MATCH('Respuestas de formulario 1.1'!FU$1,#REF!,0)))</f>
        <v/>
      </c>
      <c r="FV136" s="56" t="str">
        <f t="array" ref="FV136">IF($DU136="","", INDEX(#REF!,MATCH(CONCATENATE('Respuestas de formulario 1.1'!$B136,$DT136),#REF!,0),MATCH('Respuestas de formulario 1.1'!FV$1,#REF!,0)))</f>
        <v/>
      </c>
      <c r="FW136" s="56" t="str">
        <f t="array" ref="FW136">IF($DU136="","", INDEX(#REF!,MATCH(CONCATENATE('Respuestas de formulario 1.1'!$B136,$DT136),#REF!,0),MATCH('Respuestas de formulario 1.1'!FW$1,#REF!,0)))</f>
        <v/>
      </c>
      <c r="FX136" s="56" t="str">
        <f t="array" ref="FX136">IF($DU136="","", INDEX(#REF!,MATCH(CONCATENATE('Respuestas de formulario 1.1'!$B136,$DT136),#REF!,0),MATCH('Respuestas de formulario 1.1'!FX$1,#REF!,0)))</f>
        <v/>
      </c>
      <c r="FY136" s="45" t="str">
        <f t="array" ref="FY136">IF($DU136="","", INDEX(#REF!,MATCH(CONCATENATE('Respuestas de formulario 1.1'!$B136,$DT136),#REF!,0),MATCH('Respuestas de formulario 1.1'!FY$1,#REF!,0)))</f>
        <v/>
      </c>
      <c r="GA136" s="1" t="s">
        <v>5155</v>
      </c>
      <c r="GB136" s="5" t="s">
        <v>5156</v>
      </c>
      <c r="GC136" s="4" t="str">
        <f>HYPERLINK("https://drive.google.com/file/d/1aRjiuZBaC59hBaPmCtP3PzmuRgwL_IU2/view?usp=drivesdk","GARCIA  BAUTISTA  FATIMA HARUMY  Formato de reinscripción y pago 2022-2")</f>
        <v>GARCIA  BAUTISTA  FATIMA HARUMY  Formato de reinscripción y pago 2022-2</v>
      </c>
      <c r="GD136" s="1" t="s">
        <v>5157</v>
      </c>
      <c r="GE136" s="1"/>
      <c r="GF136" s="1"/>
      <c r="GG136" s="1"/>
      <c r="GH136" s="1"/>
      <c r="GI136" s="1" t="s">
        <v>5158</v>
      </c>
      <c r="GJ136" s="5" t="s">
        <v>5159</v>
      </c>
      <c r="GK136" s="5" t="str">
        <f>HYPERLINK("https://drive.google.com/file/d/1q2JTDW4d2aMRtNceBZ6fe5vsH78rywDw/view?usp=drivesdk","GARCIA  BAUTISTA  FATIMA HARUMY  Formato de reinscripción y pago 2022-2")</f>
        <v>GARCIA  BAUTISTA  FATIMA HARUMY  Formato de reinscripción y pago 2022-2</v>
      </c>
      <c r="GL136" s="1" t="s">
        <v>5160</v>
      </c>
    </row>
    <row r="137" spans="1:194" ht="38.25" x14ac:dyDescent="0.2">
      <c r="A137" s="2">
        <v>45139.447963773149</v>
      </c>
      <c r="B137" s="1" t="s">
        <v>1087</v>
      </c>
      <c r="C137" s="1" t="s">
        <v>1088</v>
      </c>
      <c r="D137" s="1" t="s">
        <v>1090</v>
      </c>
      <c r="E137" s="1" t="s">
        <v>402</v>
      </c>
      <c r="F137" s="1" t="s">
        <v>223</v>
      </c>
      <c r="G137" s="5" t="s">
        <v>5161</v>
      </c>
      <c r="H137" s="41">
        <v>39353</v>
      </c>
      <c r="I137" s="1">
        <v>15</v>
      </c>
      <c r="J137" s="1">
        <v>5626481429</v>
      </c>
      <c r="K137" s="1">
        <v>5511089505</v>
      </c>
      <c r="L137" s="1" t="s">
        <v>1089</v>
      </c>
      <c r="M137" s="1">
        <v>22309060570071</v>
      </c>
      <c r="N137" s="1" t="s">
        <v>562</v>
      </c>
      <c r="O137" s="1" t="s">
        <v>247</v>
      </c>
      <c r="P137" s="1" t="s">
        <v>278</v>
      </c>
      <c r="Q137" s="1" t="s">
        <v>263</v>
      </c>
      <c r="R137" s="1" t="s">
        <v>236</v>
      </c>
      <c r="S137" s="1" t="s">
        <v>228</v>
      </c>
      <c r="T137" s="1" t="s">
        <v>229</v>
      </c>
      <c r="U137" s="1" t="s">
        <v>264</v>
      </c>
      <c r="V137" s="1" t="s">
        <v>228</v>
      </c>
      <c r="W137" s="1" t="s">
        <v>5162</v>
      </c>
      <c r="X137" s="1" t="s">
        <v>264</v>
      </c>
      <c r="Y137" s="1" t="s">
        <v>1050</v>
      </c>
      <c r="Z137" s="1" t="s">
        <v>231</v>
      </c>
      <c r="AA137" s="1">
        <v>57000</v>
      </c>
      <c r="AB137" s="1">
        <v>430</v>
      </c>
      <c r="AC137" s="1" t="s">
        <v>5163</v>
      </c>
      <c r="AD137" s="1" t="s">
        <v>5164</v>
      </c>
      <c r="AE137" s="1" t="s">
        <v>5165</v>
      </c>
      <c r="AF137" s="1" t="s">
        <v>461</v>
      </c>
      <c r="AG137" s="1">
        <v>42</v>
      </c>
      <c r="AH137" s="5" t="s">
        <v>5166</v>
      </c>
      <c r="AI137" s="1">
        <v>5616057572</v>
      </c>
      <c r="AJ137" s="1">
        <v>5511089505</v>
      </c>
      <c r="AK137" s="1" t="s">
        <v>1092</v>
      </c>
      <c r="AL137" s="1" t="s">
        <v>1088</v>
      </c>
      <c r="AM137" s="1" t="s">
        <v>1093</v>
      </c>
      <c r="AN137" s="1" t="s">
        <v>1094</v>
      </c>
      <c r="AO137" s="1" t="s">
        <v>420</v>
      </c>
      <c r="AP137" s="1">
        <v>44</v>
      </c>
      <c r="AQ137" s="1" t="s">
        <v>283</v>
      </c>
      <c r="AR137" s="42">
        <v>0.16666666666424135</v>
      </c>
      <c r="AS137" s="42">
        <v>0.29166666666424135</v>
      </c>
      <c r="AT137" s="1">
        <v>5571016488</v>
      </c>
      <c r="AU137" s="1">
        <v>5511089505</v>
      </c>
      <c r="AV137" s="1"/>
      <c r="AW137" s="5" t="s">
        <v>5167</v>
      </c>
      <c r="AX137" s="1" t="s">
        <v>455</v>
      </c>
      <c r="AY137" s="1" t="s">
        <v>1090</v>
      </c>
      <c r="AZ137" s="1" t="s">
        <v>2474</v>
      </c>
      <c r="BA137" s="1" t="s">
        <v>403</v>
      </c>
      <c r="BB137" s="1">
        <v>23</v>
      </c>
      <c r="BC137" s="1" t="s">
        <v>1053</v>
      </c>
      <c r="BD137" s="43">
        <v>0.375</v>
      </c>
      <c r="BE137" s="43">
        <v>0.25</v>
      </c>
      <c r="BF137" s="1">
        <v>5615060282</v>
      </c>
      <c r="BG137" s="1">
        <v>5511089505</v>
      </c>
      <c r="BH137" s="1" t="s">
        <v>5168</v>
      </c>
      <c r="BI137" s="5" t="s">
        <v>5169</v>
      </c>
      <c r="BJ137" s="1" t="s">
        <v>236</v>
      </c>
      <c r="BL137" s="1">
        <v>163</v>
      </c>
      <c r="BM137" s="1">
        <v>53</v>
      </c>
      <c r="BN137" s="1" t="s">
        <v>228</v>
      </c>
      <c r="BO137" s="1" t="s">
        <v>228</v>
      </c>
      <c r="BQ137" s="1" t="s">
        <v>228</v>
      </c>
      <c r="BR137" s="1" t="s">
        <v>237</v>
      </c>
      <c r="BS137" s="1" t="s">
        <v>228</v>
      </c>
      <c r="BT137" s="1" t="s">
        <v>237</v>
      </c>
      <c r="BU137" s="1" t="s">
        <v>228</v>
      </c>
      <c r="BW137" s="1" t="s">
        <v>238</v>
      </c>
      <c r="BX137" s="1">
        <v>60</v>
      </c>
      <c r="BY137" s="1">
        <v>120</v>
      </c>
      <c r="BZ137" s="1" t="s">
        <v>253</v>
      </c>
      <c r="CA137" s="1" t="s">
        <v>673</v>
      </c>
      <c r="CB137" s="1" t="s">
        <v>240</v>
      </c>
      <c r="CC137" s="1" t="s">
        <v>322</v>
      </c>
      <c r="CD137" s="1">
        <v>2500</v>
      </c>
      <c r="CE137" s="1">
        <v>2000</v>
      </c>
      <c r="CF137" s="1" t="s">
        <v>236</v>
      </c>
      <c r="CG137" s="1" t="s">
        <v>242</v>
      </c>
      <c r="CH137" s="1" t="s">
        <v>243</v>
      </c>
      <c r="CI137" s="1" t="s">
        <v>243</v>
      </c>
      <c r="CJ137" s="1" t="s">
        <v>2848</v>
      </c>
      <c r="CL137" s="5" t="s">
        <v>5170</v>
      </c>
      <c r="CM137" s="44" t="s">
        <v>1095</v>
      </c>
      <c r="CN137" s="1" t="s">
        <v>228</v>
      </c>
      <c r="CQ137" s="42">
        <v>0</v>
      </c>
      <c r="CR137" s="42">
        <v>0</v>
      </c>
      <c r="CT137" s="45" t="str">
        <f t="array" ref="CT137">IFERROR(INDEX(#REF!,MATCH('Respuestas de formulario 1.1'!$B137,#REF!,0),MATCH('Respuestas de formulario 1.1'!CT$1,#REF!,0)),"")</f>
        <v/>
      </c>
      <c r="CU137" s="56" t="str">
        <f t="array" ref="CU137">IFERROR(INDEX(#REF!,MATCH('Respuestas de formulario 1.1'!$B137,#REF!,0),MATCH('Respuestas de formulario 1.1'!CU$1,#REF!,0)),"")</f>
        <v/>
      </c>
      <c r="CV137" s="56" t="str">
        <f t="array" ref="CV137">IFERROR(INDEX(#REF!,MATCH('Respuestas de formulario 1.1'!$B137,#REF!,0),MATCH('Respuestas de formulario 1.1'!CV$1,#REF!,0)),"")</f>
        <v/>
      </c>
      <c r="CW137" s="56" t="str">
        <f t="array" ref="CW137">IFERROR(INDEX(#REF!,MATCH('Respuestas de formulario 1.1'!$B137,#REF!,0),MATCH('Respuestas de formulario 1.1'!CW$1,#REF!,0)),"")</f>
        <v/>
      </c>
      <c r="CX137" s="56" t="str">
        <f t="array" ref="CX137">IFERROR(INDEX(#REF!,MATCH('Respuestas de formulario 1.1'!$B137,#REF!,0),MATCH('Respuestas de formulario 1.1'!CX$1,#REF!,0)),"")</f>
        <v/>
      </c>
      <c r="CY137" s="56" t="str">
        <f t="array" ref="CY137">IFERROR(INDEX(#REF!,MATCH('Respuestas de formulario 1.1'!$B137,#REF!,0),MATCH('Respuestas de formulario 1.1'!CY$1,#REF!,0)),"")</f>
        <v/>
      </c>
      <c r="CZ137" s="57" t="str">
        <f t="array" ref="CZ137">IFERROR(INDEX(#REF!,MATCH('Respuestas de formulario 1.1'!$B137,#REF!,0),MATCH('Respuestas de formulario 1.1'!CZ$1,#REF!,0)),"")</f>
        <v/>
      </c>
      <c r="DA137" s="45" t="e">
        <f t="array" ref="DA137">INDEX(#REF!,MATCH('Respuestas de formulario 1.1'!$B137,#REF!,0),MATCH('Respuestas de formulario 1.1'!DA$1,#REF!,0))</f>
        <v>#REF!</v>
      </c>
      <c r="DB137" s="45" t="e">
        <f t="array" ref="DB137">INDEX(#REF!,MATCH('Respuestas de formulario 1.1'!$B137,#REF!,0),MATCH('Respuestas de formulario 1.1'!DB$1,#REF!,0))</f>
        <v>#REF!</v>
      </c>
      <c r="DC137" s="45" t="e">
        <f t="array" ref="DC137">INDEX(#REF!,MATCH('Respuestas de formulario 1.1'!$B137,#REF!,0),MATCH('Respuestas de formulario 1.1'!DC$1,#REF!,0))</f>
        <v>#REF!</v>
      </c>
      <c r="DD137" s="45" t="e">
        <f t="array" ref="DD137">INDEX(#REF!,MATCH('Respuestas de formulario 1.1'!$B137,#REF!,0),MATCH('Respuestas de formulario 1.1'!DD$1,#REF!,0))</f>
        <v>#REF!</v>
      </c>
      <c r="DE137" s="45" t="e">
        <f t="array" ref="DE137">INDEX(#REF!,MATCH('Respuestas de formulario 1.1'!$B137,#REF!,0),MATCH('Respuestas de formulario 1.1'!DE$1,#REF!,0))</f>
        <v>#REF!</v>
      </c>
      <c r="DF137" s="45" t="e">
        <f t="array" ref="DF137">INDEX(#REF!,MATCH('Respuestas de formulario 1.1'!$B137,#REF!,0),MATCH('Respuestas de formulario 1.1'!DF$1,#REF!,0))</f>
        <v>#REF!</v>
      </c>
      <c r="DG137" s="45" t="e">
        <f t="array" ref="DG137">INDEX(#REF!,MATCH('Respuestas de formulario 1.1'!$B137,#REF!,0),MATCH('Respuestas de formulario 1.1'!DG$1,#REF!,0))</f>
        <v>#REF!</v>
      </c>
      <c r="DH137" s="45" t="e">
        <f t="array" ref="DH137">INDEX(#REF!,MATCH('Respuestas de formulario 1.1'!$B137,#REF!,0),MATCH('Respuestas de formulario 1.1'!DH$1,#REF!,0))</f>
        <v>#REF!</v>
      </c>
      <c r="DI137" s="48" t="e">
        <f>VLOOKUP(CONCATENATE($DF137," TUTO ",$DC137),#REF!,3,0)</f>
        <v>#REF!</v>
      </c>
      <c r="DJ137" s="48" t="e">
        <f t="array" ref="DJ137">IF('Respuestas de formulario 1.1'!A137="","",INDEX(#REF!,MATCH('Respuestas de formulario 1.1'!B137,#REF!,0),MATCH('Respuestas de formulario 1.1'!$DH$1,#REF!,0)))</f>
        <v>#REF!</v>
      </c>
      <c r="DK137" s="52" t="str">
        <f>CONCATENATE("http://doc.google.com/uc?id=",MID('Respuestas de formulario 1.1'!G137,34,33))</f>
        <v>http://doc.google.com/uc?id=1Izie_IkG7Zlbuy6g5NRplAj_RtqLHki1</v>
      </c>
      <c r="DL137" s="49" t="str">
        <f>CONCATENATE("http://doc.google.com/uc?id=",MID('Respuestas de formulario 1.1'!AH137,34,33))</f>
        <v>http://doc.google.com/uc?id=1bYmRf5vZXKYtQSIl2xtyfBdLzO6k_Hsd</v>
      </c>
      <c r="DM137" s="50" t="str">
        <f>CONCATENATE("http://doc.google.com/uc?id=",MID('Respuestas de formulario 1.1'!AW137,34,33))</f>
        <v>http://doc.google.com/uc?id=1C21T0UYTGyWtPfpe3KmHRJC43LmdUCD0</v>
      </c>
      <c r="DN137" s="53" t="str">
        <f>CONCATENATE("http://doc.google.com/uc?id=",MID('Respuestas de formulario 1.1'!$BI137,34,33))</f>
        <v>http://doc.google.com/uc?id=1hzeSChtVtCFGzl3io6U5Uxt_osnTi3P0</v>
      </c>
      <c r="DO137" s="45" t="str">
        <f>IFERROR(VLOOKUP(CONCATENATE('Respuestas de formulario 1.1'!$B137,MID('Respuestas de formulario 1.1'!DO$1,2,1)),#REF!,12,0),"")</f>
        <v/>
      </c>
      <c r="DP137" s="45" t="str">
        <f>IFERROR(VLOOKUP(CONCATENATE('Respuestas de formulario 1.1'!$B137,MID('Respuestas de formulario 1.1'!DP$1,2,1)),#REF!,12,0),"")</f>
        <v/>
      </c>
      <c r="DQ137" s="45" t="str">
        <f>IFERROR(VLOOKUP(CONCATENATE('Respuestas de formulario 1.1'!$B137,MID('Respuestas de formulario 1.1'!DQ$1,2,1)),#REF!,12,0),"")</f>
        <v/>
      </c>
      <c r="DR137" s="45" t="str">
        <f>IFERROR(VLOOKUP(CONCATENATE('Respuestas de formulario 1.1'!$B137,MID('Respuestas de formulario 1.1'!DR$1,2,1)),#REF!,12,0),"")</f>
        <v/>
      </c>
      <c r="DS137" s="45" t="str">
        <f>IFERROR(VLOOKUP(CONCATENATE('Respuestas de formulario 1.1'!$B137,MID('Respuestas de formulario 1.1'!DS$1,2,1)),#REF!,12,0),"")</f>
        <v/>
      </c>
      <c r="DT137" s="45" t="str">
        <f>IFERROR(VLOOKUP(CONCATENATE('Respuestas de formulario 1.1'!$B137,MID('Respuestas de formulario 1.1'!DT$1,2,1)),#REF!,12,0),"")</f>
        <v/>
      </c>
      <c r="DU137" s="45" t="str">
        <f>IFERROR(VLOOKUP(CONCATENATE('Respuestas de formulario 1.1'!$B137,MID('Respuestas de formulario 1.1'!DU$1,2,1)),#REF!,12,0),"")</f>
        <v/>
      </c>
      <c r="DV137" s="45" t="str">
        <f>IFERROR(VLOOKUP(CONCATENATE('Respuestas de formulario 1.1'!$B137,MID('Respuestas de formulario 1.1'!DV$1,2,1)),#REF!,12,0),"")</f>
        <v/>
      </c>
      <c r="DW137" s="45" t="str">
        <f>IFERROR(VLOOKUP(CONCATENATE('Respuestas de formulario 1.1'!$B137,MID('Respuestas de formulario 1.1'!DW$1,2,1)),#REF!,12,0),"")</f>
        <v/>
      </c>
      <c r="DX137" s="45" t="str">
        <f>IFERROR(VLOOKUP(CONCATENATE('Respuestas de formulario 1.1'!$B137,MID('Respuestas de formulario 1.1'!DX$1,2,1)),#REF!,12,0),"")</f>
        <v/>
      </c>
      <c r="DY137" s="45" t="str">
        <f>IFERROR(VLOOKUP(CONCATENATE('Respuestas de formulario 1.1'!$B137,MID('Respuestas de formulario 1.1'!DY$1,2,1)),#REF!,12,0),"")</f>
        <v/>
      </c>
      <c r="DZ137" s="45" t="str">
        <f>IFERROR(VLOOKUP(CONCATENATE('Respuestas de formulario 1.1'!$B137,MID('Respuestas de formulario 1.1'!DZ$1,2,1)),#REF!,12,0),"")</f>
        <v/>
      </c>
      <c r="EA137" s="45" t="str">
        <f>IFERROR(VLOOKUP(CONCATENATE('Respuestas de formulario 1.1'!$B137,MID('Respuestas de formulario 1.1'!EA$1,2,1)),#REF!,12,0),"")</f>
        <v/>
      </c>
      <c r="EB137" s="45" t="str">
        <f>IFERROR(VLOOKUP(CONCATENATE('Respuestas de formulario 1.1'!$B137,MID('Respuestas de formulario 1.1'!EB$1,2,1)),#REF!,12,0),"")</f>
        <v/>
      </c>
      <c r="EC137" s="45" t="str">
        <f>IFERROR(VLOOKUP(CONCATENATE('Respuestas de formulario 1.1'!$B137,MID('Respuestas de formulario 1.1'!EC$1,2,1)),#REF!,12,0),"")</f>
        <v/>
      </c>
      <c r="ED137" s="45" t="str">
        <f>IFERROR(VLOOKUP(CONCATENATE('Respuestas de formulario 1.1'!$B137,MID('Respuestas de formulario 1.1'!ED$1,2,1)),#REF!,12,0),"")</f>
        <v/>
      </c>
      <c r="EE137" s="45" t="str">
        <f>IFERROR(VLOOKUP(CONCATENATE('Respuestas de formulario 1.1'!$B137,MID('Respuestas de formulario 1.1'!EE$1,2,1)),#REF!,12,0),"")</f>
        <v/>
      </c>
      <c r="EF137" s="45" t="str">
        <f>IFERROR(VLOOKUP(CONCATENATE('Respuestas de formulario 1.1'!$B137,MID('Respuestas de formulario 1.1'!EF$1,2,1)),#REF!,12,0),"")</f>
        <v/>
      </c>
      <c r="EG137" s="45" t="str">
        <f>IFERROR(VLOOKUP(CONCATENATE('Respuestas de formulario 1.1'!$B137,MID('Respuestas de formulario 1.1'!EG$1,2,1)),#REF!,12,0),"")</f>
        <v/>
      </c>
      <c r="EH137" s="45" t="str">
        <f>IFERROR(VLOOKUP(CONCATENATE('Respuestas de formulario 1.1'!$B137,MID('Respuestas de formulario 1.1'!EH$1,2,1)),#REF!,12,0),"")</f>
        <v/>
      </c>
      <c r="EI137" s="45" t="str">
        <f>IFERROR(VLOOKUP(CONCATENATE('Respuestas de formulario 1.1'!$B137,MID('Respuestas de formulario 1.1'!EI$1,2,1)),#REF!,12,0),"")</f>
        <v/>
      </c>
      <c r="EJ137" s="45" t="str">
        <f t="array" ref="EJ137">IF(DO137="","", INDEX(#REF!,MATCH(CONCATENATE('Respuestas de formulario 1.1'!$B137,DO137),#REF!,0),MATCH('Respuestas de formulario 1.1'!EJ$1,#REF!,0)))</f>
        <v/>
      </c>
      <c r="EK137" s="56" t="str">
        <f t="array" ref="EK137">IF(DP137="","", INDEX(#REF!,MATCH(CONCATENATE('Respuestas de formulario 1.1'!$B137,DP137),#REF!,0),MATCH('Respuestas de formulario 1.1'!EK$1,#REF!,0)))</f>
        <v/>
      </c>
      <c r="EL137" s="56" t="str">
        <f t="array" ref="EL137">IF(DQ137="","", INDEX(#REF!,MATCH(CONCATENATE('Respuestas de formulario 1.1'!$B137,DQ137),#REF!,0),MATCH('Respuestas de formulario 1.1'!EL$1,#REF!,0)))</f>
        <v/>
      </c>
      <c r="EM137" s="56" t="str">
        <f t="array" ref="EM137">IF(DR137="","", INDEX(#REF!,MATCH(CONCATENATE('Respuestas de formulario 1.1'!$B137,DR137),#REF!,0),MATCH('Respuestas de formulario 1.1'!EM$1,#REF!,0)))</f>
        <v/>
      </c>
      <c r="EN137" s="56" t="str">
        <f t="array" ref="EN137">IF(DS137="","", INDEX(#REF!,MATCH(CONCATENATE('Respuestas de formulario 1.1'!$B137,DS137),#REF!,0),MATCH('Respuestas de formulario 1.1'!EN$1,#REF!,0)))</f>
        <v/>
      </c>
      <c r="EO137" s="56" t="str">
        <f t="array" ref="EO137">IF(DT137="","", INDEX(#REF!,MATCH(CONCATENATE('Respuestas de formulario 1.1'!$B137,DT137),#REF!,0),MATCH('Respuestas de formulario 1.1'!EO$1,#REF!,0)))</f>
        <v/>
      </c>
      <c r="EP137" s="45" t="str">
        <f t="array" ref="EP137">IF(DU137="","", INDEX(#REF!,MATCH(CONCATENATE('Respuestas de formulario 1.1'!$B137,DU137),#REF!,0),MATCH('Respuestas de formulario 1.1'!EP$1,#REF!,0)))</f>
        <v/>
      </c>
      <c r="EQ137" s="45" t="str">
        <f t="array" ref="EQ137">IF(DP137="","", INDEX(#REF!,MATCH(CONCATENATE('Respuestas de formulario 1.1'!$B137,DP137),#REF!,0),MATCH('Respuestas de formulario 1.1'!EQ$1,#REF!,0)))</f>
        <v/>
      </c>
      <c r="ER137" s="56" t="str">
        <f t="array" ref="ER137">IF(DQ137="","", INDEX(#REF!,MATCH(CONCATENATE('Respuestas de formulario 1.1'!$B137,DQ137),#REF!,0),MATCH('Respuestas de formulario 1.1'!ER$1,#REF!,0)))</f>
        <v/>
      </c>
      <c r="ES137" s="56" t="str">
        <f t="array" ref="ES137">IF(DR137="","", INDEX(#REF!,MATCH(CONCATENATE('Respuestas de formulario 1.1'!$B137,DR137),#REF!,0),MATCH('Respuestas de formulario 1.1'!ES$1,#REF!,0)))</f>
        <v/>
      </c>
      <c r="ET137" s="56" t="str">
        <f t="array" ref="ET137">IF(DS137="","", INDEX(#REF!,MATCH(CONCATENATE('Respuestas de formulario 1.1'!$B137,DS137),#REF!,0),MATCH('Respuestas de formulario 1.1'!ET$1,#REF!,0)))</f>
        <v/>
      </c>
      <c r="EU137" s="56" t="str">
        <f t="array" ref="EU137">IF(DT137="","", INDEX(#REF!,MATCH(CONCATENATE('Respuestas de formulario 1.1'!$B137,DT137),#REF!,0),MATCH('Respuestas de formulario 1.1'!EU$1,#REF!,0)))</f>
        <v/>
      </c>
      <c r="EV137" s="56" t="str">
        <f t="array" ref="EV137">IF(DU137="","", INDEX(#REF!,MATCH(CONCATENATE('Respuestas de formulario 1.1'!$B137,DU137),#REF!,0),MATCH('Respuestas de formulario 1.1'!EV$1,#REF!,0)))</f>
        <v/>
      </c>
      <c r="EW137" s="45" t="str">
        <f t="array" ref="EW137">IF(DV137="","", INDEX(#REF!,MATCH(CONCATENATE('Respuestas de formulario 1.1'!$B137,DV137),#REF!,0),MATCH('Respuestas de formulario 1.1'!EW$1,#REF!,0)))</f>
        <v/>
      </c>
      <c r="EX137" s="45" t="str">
        <f t="array" ref="EX137">IF($DQ137="","", INDEX(#REF!,MATCH(CONCATENATE('Respuestas de formulario 1.1'!$B137,$DQ137),#REF!,0),MATCH('Respuestas de formulario 1.1'!EX$1,#REF!,0)))</f>
        <v/>
      </c>
      <c r="EY137" s="56" t="str">
        <f t="array" ref="EY137">IF($DQ137="","", INDEX(#REF!,MATCH(CONCATENATE('Respuestas de formulario 1.1'!$B137,$DQ137),#REF!,0),MATCH('Respuestas de formulario 1.1'!EY$1,#REF!,0)))</f>
        <v/>
      </c>
      <c r="EZ137" s="56" t="str">
        <f t="array" ref="EZ137">IF($DQ137="","", INDEX(#REF!,MATCH(CONCATENATE('Respuestas de formulario 1.1'!$B137,$DQ137),#REF!,0),MATCH('Respuestas de formulario 1.1'!EZ$1,#REF!,0)))</f>
        <v/>
      </c>
      <c r="FA137" s="56" t="str">
        <f t="array" ref="FA137">IF($DQ137="","", INDEX(#REF!,MATCH(CONCATENATE('Respuestas de formulario 1.1'!$B137,$DQ137),#REF!,0),MATCH('Respuestas de formulario 1.1'!FA$1,#REF!,0)))</f>
        <v/>
      </c>
      <c r="FB137" s="56" t="str">
        <f t="array" ref="FB137">IF($DQ137="","", INDEX(#REF!,MATCH(CONCATENATE('Respuestas de formulario 1.1'!$B137,$DQ137),#REF!,0),MATCH('Respuestas de formulario 1.1'!FB$1,#REF!,0)))</f>
        <v/>
      </c>
      <c r="FC137" s="56" t="str">
        <f t="array" ref="FC137">IF($DQ137="","", INDEX(#REF!,MATCH(CONCATENATE('Respuestas de formulario 1.1'!$B137,$DQ137),#REF!,0),MATCH('Respuestas de formulario 1.1'!FC$1,#REF!,0)))</f>
        <v/>
      </c>
      <c r="FD137" s="45" t="str">
        <f t="array" ref="FD137">IF($DQ137="","", INDEX(#REF!,MATCH(CONCATENATE('Respuestas de formulario 1.1'!$B137,$DQ137),#REF!,0),MATCH('Respuestas de formulario 1.1'!FD$1,#REF!,0)))</f>
        <v/>
      </c>
      <c r="FE137" s="45" t="str">
        <f t="array" ref="FE137">IF($DR137="","", INDEX(#REF!,MATCH(CONCATENATE(#REF!,$DR137),#REF!,0),MATCH(#REF!,#REF!,0)))</f>
        <v/>
      </c>
      <c r="FF137" s="56" t="str">
        <f t="array" ref="FF137">IF($DR137="","", INDEX(#REF!,MATCH(CONCATENATE(#REF!,$DR137),#REF!,0),MATCH(#REF!,#REF!,0)))</f>
        <v/>
      </c>
      <c r="FG137" s="56" t="str">
        <f t="array" ref="FG137">IF($DR137="","", INDEX(#REF!,MATCH(CONCATENATE(#REF!,$DR137),#REF!,0),MATCH(#REF!,#REF!,0)))</f>
        <v/>
      </c>
      <c r="FH137" s="56" t="str">
        <f t="array" ref="FH137">IF($DR137="","", INDEX(#REF!,MATCH(CONCATENATE(#REF!,$DR137),#REF!,0),MATCH(#REF!,#REF!,0)))</f>
        <v/>
      </c>
      <c r="FI137" s="56" t="str">
        <f t="array" ref="FI137">IF($DR137="","", INDEX(#REF!,MATCH(CONCATENATE(#REF!,$DR137),#REF!,0),MATCH(#REF!,#REF!,0)))</f>
        <v/>
      </c>
      <c r="FJ137" s="56" t="str">
        <f t="array" ref="FJ137">IF($DR137="","", INDEX(#REF!,MATCH(CONCATENATE(#REF!,$DR137),#REF!,0),MATCH(#REF!,#REF!,0)))</f>
        <v/>
      </c>
      <c r="FK137" s="45" t="str">
        <f t="array" ref="FK137">IF($DR137="","", INDEX(#REF!,MATCH(CONCATENATE(#REF!,$DR137),#REF!,0),MATCH(#REF!,#REF!,0)))</f>
        <v/>
      </c>
      <c r="FL137" s="45" t="str">
        <f t="array" ref="FL137">IF($DT137="","", INDEX(#REF!,MATCH(CONCATENATE('Respuestas de formulario 1.1'!$B137,$DS137),#REF!,0),MATCH('Respuestas de formulario 1.1'!FL$1,#REF!,0)))</f>
        <v/>
      </c>
      <c r="FM137" s="56" t="str">
        <f t="array" ref="FM137">IF($DT137="","", INDEX(#REF!,MATCH(CONCATENATE('Respuestas de formulario 1.1'!$B137,$DS137),#REF!,0),MATCH('Respuestas de formulario 1.1'!FM$1,#REF!,0)))</f>
        <v/>
      </c>
      <c r="FN137" s="56" t="str">
        <f t="array" ref="FN137">IF($DT137="","", INDEX(#REF!,MATCH(CONCATENATE('Respuestas de formulario 1.1'!$B137,$DS137),#REF!,0),MATCH('Respuestas de formulario 1.1'!FN$1,#REF!,0)))</f>
        <v/>
      </c>
      <c r="FO137" s="56" t="str">
        <f t="array" ref="FO137">IF($DT137="","", INDEX(#REF!,MATCH(CONCATENATE('Respuestas de formulario 1.1'!$B137,$DS137),#REF!,0),MATCH('Respuestas de formulario 1.1'!FO$1,#REF!,0)))</f>
        <v/>
      </c>
      <c r="FP137" s="56" t="str">
        <f t="array" ref="FP137">IF($DT137="","", INDEX(#REF!,MATCH(CONCATENATE('Respuestas de formulario 1.1'!$B137,$DS137),#REF!,0),MATCH('Respuestas de formulario 1.1'!FP$1,#REF!,0)))</f>
        <v/>
      </c>
      <c r="FQ137" s="56" t="str">
        <f t="array" ref="FQ137">IF($DT137="","", INDEX(#REF!,MATCH(CONCATENATE('Respuestas de formulario 1.1'!$B137,$DS137),#REF!,0),MATCH('Respuestas de formulario 1.1'!FQ$1,#REF!,0)))</f>
        <v/>
      </c>
      <c r="FR137" s="45" t="str">
        <f t="array" ref="FR137">IF($DT137="","", INDEX(#REF!,MATCH(CONCATENATE('Respuestas de formulario 1.1'!$B137,$DS137),#REF!,0),MATCH('Respuestas de formulario 1.1'!FR$1,#REF!,0)))</f>
        <v/>
      </c>
      <c r="FS137" s="45" t="str">
        <f t="array" ref="FS137">IF($DU137="","", INDEX(#REF!,MATCH(CONCATENATE('Respuestas de formulario 1.1'!$B137,$DT137),#REF!,0),MATCH('Respuestas de formulario 1.1'!FS$1,#REF!,0)))</f>
        <v/>
      </c>
      <c r="FT137" s="56" t="str">
        <f t="array" ref="FT137">IF($DU137="","", INDEX(#REF!,MATCH(CONCATENATE('Respuestas de formulario 1.1'!$B137,$DT137),#REF!,0),MATCH('Respuestas de formulario 1.1'!FT$1,#REF!,0)))</f>
        <v/>
      </c>
      <c r="FU137" s="56" t="str">
        <f t="array" ref="FU137">IF($DU137="","", INDEX(#REF!,MATCH(CONCATENATE('Respuestas de formulario 1.1'!$B137,$DT137),#REF!,0),MATCH('Respuestas de formulario 1.1'!FU$1,#REF!,0)))</f>
        <v/>
      </c>
      <c r="FV137" s="56" t="str">
        <f t="array" ref="FV137">IF($DU137="","", INDEX(#REF!,MATCH(CONCATENATE('Respuestas de formulario 1.1'!$B137,$DT137),#REF!,0),MATCH('Respuestas de formulario 1.1'!FV$1,#REF!,0)))</f>
        <v/>
      </c>
      <c r="FW137" s="56" t="str">
        <f t="array" ref="FW137">IF($DU137="","", INDEX(#REF!,MATCH(CONCATENATE('Respuestas de formulario 1.1'!$B137,$DT137),#REF!,0),MATCH('Respuestas de formulario 1.1'!FW$1,#REF!,0)))</f>
        <v/>
      </c>
      <c r="FX137" s="56" t="str">
        <f t="array" ref="FX137">IF($DU137="","", INDEX(#REF!,MATCH(CONCATENATE('Respuestas de formulario 1.1'!$B137,$DT137),#REF!,0),MATCH('Respuestas de formulario 1.1'!FX$1,#REF!,0)))</f>
        <v/>
      </c>
      <c r="FY137" s="45" t="str">
        <f t="array" ref="FY137">IF($DU137="","", INDEX(#REF!,MATCH(CONCATENATE('Respuestas de formulario 1.1'!$B137,$DT137),#REF!,0),MATCH('Respuestas de formulario 1.1'!FY$1,#REF!,0)))</f>
        <v/>
      </c>
      <c r="FZ137" s="3" t="s">
        <v>2860</v>
      </c>
      <c r="GA137" s="1" t="s">
        <v>5171</v>
      </c>
      <c r="GB137" s="5" t="s">
        <v>5172</v>
      </c>
      <c r="GC137" s="4" t="str">
        <f>HYPERLINK("https://drive.google.com/file/d/1hfloxO34atiQT8LFKXyFcmEND282jHMd/view?usp=drivesdk","BERNAL  BABINES WENDY Formato de reinscripción y pago 2022-2")</f>
        <v>BERNAL  BABINES WENDY Formato de reinscripción y pago 2022-2</v>
      </c>
      <c r="GD137" s="1" t="s">
        <v>5173</v>
      </c>
      <c r="GE137" s="1"/>
      <c r="GF137" s="1"/>
      <c r="GG137" s="1"/>
      <c r="GH137" s="1"/>
      <c r="GI137" s="1" t="s">
        <v>5174</v>
      </c>
      <c r="GJ137" s="5" t="s">
        <v>5175</v>
      </c>
      <c r="GK137" s="5" t="str">
        <f>HYPERLINK("https://drive.google.com/file/d/11u-vhmOyopyy52j0Qj2uOjC7T_GCjQhg/view?usp=drivesdk","BERNAL  BABINES WENDY Formato de reinscripción y pago 2022-2")</f>
        <v>BERNAL  BABINES WENDY Formato de reinscripción y pago 2022-2</v>
      </c>
      <c r="GL137" s="1" t="s">
        <v>5176</v>
      </c>
    </row>
    <row r="138" spans="1:194" ht="14.25" x14ac:dyDescent="0.2">
      <c r="A138" s="2">
        <v>45140.863714317129</v>
      </c>
      <c r="B138" s="1" t="s">
        <v>1984</v>
      </c>
      <c r="C138" s="1" t="s">
        <v>452</v>
      </c>
      <c r="D138" s="1" t="s">
        <v>252</v>
      </c>
      <c r="E138" s="1" t="s">
        <v>2728</v>
      </c>
      <c r="F138" s="1" t="s">
        <v>262</v>
      </c>
      <c r="G138" s="5" t="s">
        <v>5177</v>
      </c>
      <c r="H138" s="41">
        <v>38864</v>
      </c>
      <c r="I138" s="1">
        <v>17</v>
      </c>
      <c r="J138" s="1">
        <v>5531136813</v>
      </c>
      <c r="K138" s="1">
        <v>5558568674</v>
      </c>
      <c r="L138" s="1" t="s">
        <v>1985</v>
      </c>
      <c r="M138" s="1">
        <v>21309060570915</v>
      </c>
      <c r="N138" s="1" t="s">
        <v>1108</v>
      </c>
      <c r="O138" s="1" t="s">
        <v>225</v>
      </c>
      <c r="P138" s="1" t="s">
        <v>278</v>
      </c>
      <c r="Q138" s="1" t="s">
        <v>315</v>
      </c>
      <c r="R138" s="1" t="s">
        <v>236</v>
      </c>
      <c r="S138" s="1" t="s">
        <v>228</v>
      </c>
      <c r="T138" s="1" t="s">
        <v>229</v>
      </c>
      <c r="U138" s="1" t="s">
        <v>394</v>
      </c>
      <c r="V138" s="1" t="s">
        <v>228</v>
      </c>
      <c r="W138" s="1" t="s">
        <v>5178</v>
      </c>
      <c r="X138" s="1" t="s">
        <v>394</v>
      </c>
      <c r="Y138" s="1" t="s">
        <v>5179</v>
      </c>
      <c r="Z138" s="1" t="s">
        <v>240</v>
      </c>
      <c r="AA138" s="1">
        <v>56410</v>
      </c>
      <c r="AB138" s="1">
        <v>59</v>
      </c>
      <c r="AC138" s="1">
        <v>59</v>
      </c>
      <c r="AD138" s="1" t="s">
        <v>5180</v>
      </c>
      <c r="AE138" s="1" t="s">
        <v>5181</v>
      </c>
      <c r="AF138" s="1" t="s">
        <v>265</v>
      </c>
      <c r="AG138" s="1">
        <v>45</v>
      </c>
      <c r="AH138" s="5" t="s">
        <v>5182</v>
      </c>
      <c r="AI138" s="1">
        <v>5531403113</v>
      </c>
      <c r="AJ138" s="1">
        <v>5558568674</v>
      </c>
      <c r="AK138" s="1" t="s">
        <v>1987</v>
      </c>
      <c r="AL138" s="1" t="s">
        <v>597</v>
      </c>
      <c r="AM138" s="1" t="s">
        <v>664</v>
      </c>
      <c r="AN138" s="1" t="s">
        <v>1535</v>
      </c>
      <c r="AO138" s="1" t="s">
        <v>435</v>
      </c>
      <c r="AP138" s="1">
        <v>46</v>
      </c>
      <c r="AQ138" s="1" t="s">
        <v>235</v>
      </c>
      <c r="AR138" s="42">
        <v>0.29166666666424135</v>
      </c>
      <c r="AS138" s="42">
        <v>0.27083333333575865</v>
      </c>
      <c r="AT138" s="1">
        <v>5512340897</v>
      </c>
      <c r="AU138" s="1">
        <v>5558568674</v>
      </c>
      <c r="AV138" s="1" t="s">
        <v>5183</v>
      </c>
      <c r="AW138" s="5" t="s">
        <v>5184</v>
      </c>
      <c r="AX138" s="1" t="s">
        <v>452</v>
      </c>
      <c r="AY138" s="1" t="s">
        <v>252</v>
      </c>
      <c r="AZ138" s="1" t="s">
        <v>5185</v>
      </c>
      <c r="BA138" s="1" t="s">
        <v>758</v>
      </c>
      <c r="BB138" s="1">
        <v>22</v>
      </c>
      <c r="BC138" s="1" t="s">
        <v>5186</v>
      </c>
      <c r="BD138" s="43">
        <v>0.41666666666424135</v>
      </c>
      <c r="BE138" s="43">
        <v>0.25</v>
      </c>
      <c r="BF138" s="1">
        <v>5514944045</v>
      </c>
      <c r="BG138" s="1">
        <v>5558568674</v>
      </c>
      <c r="BH138" s="1" t="s">
        <v>1986</v>
      </c>
      <c r="BI138" s="5" t="s">
        <v>5187</v>
      </c>
      <c r="BJ138" s="1" t="s">
        <v>236</v>
      </c>
      <c r="BK138" s="1" t="s">
        <v>1725</v>
      </c>
      <c r="BL138" s="1">
        <v>1.65</v>
      </c>
      <c r="BM138" s="1">
        <v>60</v>
      </c>
      <c r="BN138" s="1" t="s">
        <v>236</v>
      </c>
      <c r="BO138" s="1" t="s">
        <v>228</v>
      </c>
      <c r="BP138" s="1" t="s">
        <v>270</v>
      </c>
      <c r="BQ138" s="1" t="s">
        <v>228</v>
      </c>
      <c r="BR138" s="1" t="s">
        <v>237</v>
      </c>
      <c r="BS138" s="1" t="s">
        <v>236</v>
      </c>
      <c r="BT138" s="1" t="s">
        <v>462</v>
      </c>
      <c r="BU138" s="1" t="s">
        <v>228</v>
      </c>
      <c r="BW138" s="1" t="s">
        <v>272</v>
      </c>
      <c r="BX138" s="1">
        <v>40</v>
      </c>
      <c r="BY138" s="1">
        <v>250</v>
      </c>
      <c r="BZ138" s="1" t="s">
        <v>253</v>
      </c>
      <c r="CA138" s="1" t="s">
        <v>439</v>
      </c>
      <c r="CB138" s="1" t="s">
        <v>240</v>
      </c>
      <c r="CC138" s="1" t="s">
        <v>5188</v>
      </c>
      <c r="CD138" s="1">
        <v>2000</v>
      </c>
      <c r="CE138" s="1">
        <v>1500</v>
      </c>
      <c r="CF138" s="1" t="s">
        <v>236</v>
      </c>
      <c r="CG138" s="1" t="s">
        <v>242</v>
      </c>
      <c r="CH138" s="1" t="s">
        <v>243</v>
      </c>
      <c r="CI138" s="1" t="s">
        <v>243</v>
      </c>
      <c r="CJ138" s="1" t="s">
        <v>2848</v>
      </c>
      <c r="CL138" s="5" t="s">
        <v>5189</v>
      </c>
      <c r="CM138" s="44" t="s">
        <v>1988</v>
      </c>
      <c r="CN138" s="1" t="s">
        <v>228</v>
      </c>
      <c r="CQ138" s="42">
        <v>0.29166666666424135</v>
      </c>
      <c r="CR138" s="42">
        <v>0.125</v>
      </c>
      <c r="CT138" s="45" t="str">
        <f t="array" ref="CT138">IFERROR(INDEX(#REF!,MATCH('Respuestas de formulario 1.1'!$B138,#REF!,0),MATCH('Respuestas de formulario 1.1'!CT$1,#REF!,0)),"")</f>
        <v/>
      </c>
      <c r="CU138" s="56" t="str">
        <f t="array" ref="CU138">IFERROR(INDEX(#REF!,MATCH('Respuestas de formulario 1.1'!$B138,#REF!,0),MATCH('Respuestas de formulario 1.1'!CU$1,#REF!,0)),"")</f>
        <v/>
      </c>
      <c r="CV138" s="56" t="str">
        <f t="array" ref="CV138">IFERROR(INDEX(#REF!,MATCH('Respuestas de formulario 1.1'!$B138,#REF!,0),MATCH('Respuestas de formulario 1.1'!CV$1,#REF!,0)),"")</f>
        <v/>
      </c>
      <c r="CW138" s="56" t="str">
        <f t="array" ref="CW138">IFERROR(INDEX(#REF!,MATCH('Respuestas de formulario 1.1'!$B138,#REF!,0),MATCH('Respuestas de formulario 1.1'!CW$1,#REF!,0)),"")</f>
        <v/>
      </c>
      <c r="CX138" s="56" t="str">
        <f t="array" ref="CX138">IFERROR(INDEX(#REF!,MATCH('Respuestas de formulario 1.1'!$B138,#REF!,0),MATCH('Respuestas de formulario 1.1'!CX$1,#REF!,0)),"")</f>
        <v/>
      </c>
      <c r="CY138" s="56" t="str">
        <f t="array" ref="CY138">IFERROR(INDEX(#REF!,MATCH('Respuestas de formulario 1.1'!$B138,#REF!,0),MATCH('Respuestas de formulario 1.1'!CY$1,#REF!,0)),"")</f>
        <v/>
      </c>
      <c r="CZ138" s="57" t="str">
        <f t="array" ref="CZ138">IFERROR(INDEX(#REF!,MATCH('Respuestas de formulario 1.1'!$B138,#REF!,0),MATCH('Respuestas de formulario 1.1'!CZ$1,#REF!,0)),"")</f>
        <v/>
      </c>
      <c r="DA138" s="45" t="e">
        <f t="array" ref="DA138">INDEX(#REF!,MATCH('Respuestas de formulario 1.1'!$B138,#REF!,0),MATCH('Respuestas de formulario 1.1'!DA$1,#REF!,0))</f>
        <v>#REF!</v>
      </c>
      <c r="DB138" s="45" t="e">
        <f t="array" ref="DB138">INDEX(#REF!,MATCH('Respuestas de formulario 1.1'!$B138,#REF!,0),MATCH('Respuestas de formulario 1.1'!DB$1,#REF!,0))</f>
        <v>#REF!</v>
      </c>
      <c r="DC138" s="45" t="e">
        <f t="array" ref="DC138">INDEX(#REF!,MATCH('Respuestas de formulario 1.1'!$B138,#REF!,0),MATCH('Respuestas de formulario 1.1'!DC$1,#REF!,0))</f>
        <v>#REF!</v>
      </c>
      <c r="DD138" s="45" t="e">
        <f t="array" ref="DD138">INDEX(#REF!,MATCH('Respuestas de formulario 1.1'!$B138,#REF!,0),MATCH('Respuestas de formulario 1.1'!DD$1,#REF!,0))</f>
        <v>#REF!</v>
      </c>
      <c r="DE138" s="45" t="e">
        <f t="array" ref="DE138">INDEX(#REF!,MATCH('Respuestas de formulario 1.1'!$B138,#REF!,0),MATCH('Respuestas de formulario 1.1'!DE$1,#REF!,0))</f>
        <v>#REF!</v>
      </c>
      <c r="DF138" s="45" t="e">
        <f t="array" ref="DF138">INDEX(#REF!,MATCH('Respuestas de formulario 1.1'!$B138,#REF!,0),MATCH('Respuestas de formulario 1.1'!DF$1,#REF!,0))</f>
        <v>#REF!</v>
      </c>
      <c r="DG138" s="45" t="e">
        <f t="array" ref="DG138">INDEX(#REF!,MATCH('Respuestas de formulario 1.1'!$B138,#REF!,0),MATCH('Respuestas de formulario 1.1'!DG$1,#REF!,0))</f>
        <v>#REF!</v>
      </c>
      <c r="DH138" s="45" t="e">
        <f t="array" ref="DH138">INDEX(#REF!,MATCH('Respuestas de formulario 1.1'!$B138,#REF!,0),MATCH('Respuestas de formulario 1.1'!DH$1,#REF!,0))</f>
        <v>#REF!</v>
      </c>
      <c r="DI138" s="48" t="e">
        <f>VLOOKUP(CONCATENATE($DF138," TUTO ",$DC138),#REF!,3,0)</f>
        <v>#REF!</v>
      </c>
      <c r="DJ138" s="48" t="e">
        <f t="array" ref="DJ138">IF('Respuestas de formulario 1.1'!A138="","",INDEX(#REF!,MATCH('Respuestas de formulario 1.1'!B138,#REF!,0),MATCH('Respuestas de formulario 1.1'!$DH$1,#REF!,0)))</f>
        <v>#REF!</v>
      </c>
      <c r="DK138" s="52" t="str">
        <f>CONCATENATE("http://doc.google.com/uc?id=",MID('Respuestas de formulario 1.1'!G138,34,33))</f>
        <v>http://doc.google.com/uc?id=1nFapg_kY8nPGIj3Lo9i1wX9k-_nMNu3w</v>
      </c>
      <c r="DL138" s="49" t="str">
        <f>CONCATENATE("http://doc.google.com/uc?id=",MID('Respuestas de formulario 1.1'!AH138,34,33))</f>
        <v>http://doc.google.com/uc?id=1thEbmEyTGka1h4OnnJfcc80O_EFIyqxj</v>
      </c>
      <c r="DM138" s="50" t="str">
        <f>CONCATENATE("http://doc.google.com/uc?id=",MID('Respuestas de formulario 1.1'!AW138,34,33))</f>
        <v>http://doc.google.com/uc?id=15xD3QQWszqOshcOkYVxLHF3YFwCYm-45</v>
      </c>
      <c r="DN138" s="53" t="str">
        <f>CONCATENATE("http://doc.google.com/uc?id=",MID('Respuestas de formulario 1.1'!$BI138,34,33))</f>
        <v>http://doc.google.com/uc?id=1a8Sr9hFokRJioqFtauZm9FaHR6xaADqB</v>
      </c>
      <c r="DO138" s="45" t="str">
        <f>IFERROR(VLOOKUP(CONCATENATE('Respuestas de formulario 1.1'!$B138,MID('Respuestas de formulario 1.1'!DO$1,2,1)),#REF!,12,0),"")</f>
        <v/>
      </c>
      <c r="DP138" s="45" t="str">
        <f>IFERROR(VLOOKUP(CONCATENATE('Respuestas de formulario 1.1'!$B138,MID('Respuestas de formulario 1.1'!DP$1,2,1)),#REF!,12,0),"")</f>
        <v/>
      </c>
      <c r="DQ138" s="45" t="str">
        <f>IFERROR(VLOOKUP(CONCATENATE('Respuestas de formulario 1.1'!$B138,MID('Respuestas de formulario 1.1'!DQ$1,2,1)),#REF!,12,0),"")</f>
        <v/>
      </c>
      <c r="DR138" s="45" t="str">
        <f>IFERROR(VLOOKUP(CONCATENATE('Respuestas de formulario 1.1'!$B138,MID('Respuestas de formulario 1.1'!DR$1,2,1)),#REF!,12,0),"")</f>
        <v/>
      </c>
      <c r="DS138" s="45" t="str">
        <f>IFERROR(VLOOKUP(CONCATENATE('Respuestas de formulario 1.1'!$B138,MID('Respuestas de formulario 1.1'!DS$1,2,1)),#REF!,12,0),"")</f>
        <v/>
      </c>
      <c r="DT138" s="45" t="str">
        <f>IFERROR(VLOOKUP(CONCATENATE('Respuestas de formulario 1.1'!$B138,MID('Respuestas de formulario 1.1'!DT$1,2,1)),#REF!,12,0),"")</f>
        <v/>
      </c>
      <c r="DU138" s="45" t="str">
        <f>IFERROR(VLOOKUP(CONCATENATE('Respuestas de formulario 1.1'!$B138,MID('Respuestas de formulario 1.1'!DU$1,2,1)),#REF!,12,0),"")</f>
        <v/>
      </c>
      <c r="DV138" s="45" t="str">
        <f>IFERROR(VLOOKUP(CONCATENATE('Respuestas de formulario 1.1'!$B138,MID('Respuestas de formulario 1.1'!DV$1,2,1)),#REF!,12,0),"")</f>
        <v/>
      </c>
      <c r="DW138" s="45" t="str">
        <f>IFERROR(VLOOKUP(CONCATENATE('Respuestas de formulario 1.1'!$B138,MID('Respuestas de formulario 1.1'!DW$1,2,1)),#REF!,12,0),"")</f>
        <v/>
      </c>
      <c r="DX138" s="45" t="str">
        <f>IFERROR(VLOOKUP(CONCATENATE('Respuestas de formulario 1.1'!$B138,MID('Respuestas de formulario 1.1'!DX$1,2,1)),#REF!,12,0),"")</f>
        <v/>
      </c>
      <c r="DY138" s="45" t="str">
        <f>IFERROR(VLOOKUP(CONCATENATE('Respuestas de formulario 1.1'!$B138,MID('Respuestas de formulario 1.1'!DY$1,2,1)),#REF!,12,0),"")</f>
        <v/>
      </c>
      <c r="DZ138" s="45" t="str">
        <f>IFERROR(VLOOKUP(CONCATENATE('Respuestas de formulario 1.1'!$B138,MID('Respuestas de formulario 1.1'!DZ$1,2,1)),#REF!,12,0),"")</f>
        <v/>
      </c>
      <c r="EA138" s="45" t="str">
        <f>IFERROR(VLOOKUP(CONCATENATE('Respuestas de formulario 1.1'!$B138,MID('Respuestas de formulario 1.1'!EA$1,2,1)),#REF!,12,0),"")</f>
        <v/>
      </c>
      <c r="EB138" s="45" t="str">
        <f>IFERROR(VLOOKUP(CONCATENATE('Respuestas de formulario 1.1'!$B138,MID('Respuestas de formulario 1.1'!EB$1,2,1)),#REF!,12,0),"")</f>
        <v/>
      </c>
      <c r="EC138" s="45" t="str">
        <f>IFERROR(VLOOKUP(CONCATENATE('Respuestas de formulario 1.1'!$B138,MID('Respuestas de formulario 1.1'!EC$1,2,1)),#REF!,12,0),"")</f>
        <v/>
      </c>
      <c r="ED138" s="45" t="str">
        <f>IFERROR(VLOOKUP(CONCATENATE('Respuestas de formulario 1.1'!$B138,MID('Respuestas de formulario 1.1'!ED$1,2,1)),#REF!,12,0),"")</f>
        <v/>
      </c>
      <c r="EE138" s="45" t="str">
        <f>IFERROR(VLOOKUP(CONCATENATE('Respuestas de formulario 1.1'!$B138,MID('Respuestas de formulario 1.1'!EE$1,2,1)),#REF!,12,0),"")</f>
        <v/>
      </c>
      <c r="EF138" s="45" t="str">
        <f>IFERROR(VLOOKUP(CONCATENATE('Respuestas de formulario 1.1'!$B138,MID('Respuestas de formulario 1.1'!EF$1,2,1)),#REF!,12,0),"")</f>
        <v/>
      </c>
      <c r="EG138" s="45" t="str">
        <f>IFERROR(VLOOKUP(CONCATENATE('Respuestas de formulario 1.1'!$B138,MID('Respuestas de formulario 1.1'!EG$1,2,1)),#REF!,12,0),"")</f>
        <v/>
      </c>
      <c r="EH138" s="45" t="str">
        <f>IFERROR(VLOOKUP(CONCATENATE('Respuestas de formulario 1.1'!$B138,MID('Respuestas de formulario 1.1'!EH$1,2,1)),#REF!,12,0),"")</f>
        <v/>
      </c>
      <c r="EI138" s="45" t="str">
        <f>IFERROR(VLOOKUP(CONCATENATE('Respuestas de formulario 1.1'!$B138,MID('Respuestas de formulario 1.1'!EI$1,2,1)),#REF!,12,0),"")</f>
        <v/>
      </c>
      <c r="EJ138" s="45" t="str">
        <f t="array" ref="EJ138">IF(DO138="","", INDEX(#REF!,MATCH(CONCATENATE('Respuestas de formulario 1.1'!$B138,DO138),#REF!,0),MATCH('Respuestas de formulario 1.1'!EJ$1,#REF!,0)))</f>
        <v/>
      </c>
      <c r="EK138" s="56" t="str">
        <f t="array" ref="EK138">IF(DP138="","", INDEX(#REF!,MATCH(CONCATENATE('Respuestas de formulario 1.1'!$B138,DP138),#REF!,0),MATCH('Respuestas de formulario 1.1'!EK$1,#REF!,0)))</f>
        <v/>
      </c>
      <c r="EL138" s="56" t="str">
        <f t="array" ref="EL138">IF(DQ138="","", INDEX(#REF!,MATCH(CONCATENATE('Respuestas de formulario 1.1'!$B138,DQ138),#REF!,0),MATCH('Respuestas de formulario 1.1'!EL$1,#REF!,0)))</f>
        <v/>
      </c>
      <c r="EM138" s="56" t="str">
        <f t="array" ref="EM138">IF(DR138="","", INDEX(#REF!,MATCH(CONCATENATE('Respuestas de formulario 1.1'!$B138,DR138),#REF!,0),MATCH('Respuestas de formulario 1.1'!EM$1,#REF!,0)))</f>
        <v/>
      </c>
      <c r="EN138" s="56" t="str">
        <f t="array" ref="EN138">IF(DS138="","", INDEX(#REF!,MATCH(CONCATENATE('Respuestas de formulario 1.1'!$B138,DS138),#REF!,0),MATCH('Respuestas de formulario 1.1'!EN$1,#REF!,0)))</f>
        <v/>
      </c>
      <c r="EO138" s="56" t="str">
        <f t="array" ref="EO138">IF(DT138="","", INDEX(#REF!,MATCH(CONCATENATE('Respuestas de formulario 1.1'!$B138,DT138),#REF!,0),MATCH('Respuestas de formulario 1.1'!EO$1,#REF!,0)))</f>
        <v/>
      </c>
      <c r="EP138" s="45" t="str">
        <f t="array" ref="EP138">IF(DU138="","", INDEX(#REF!,MATCH(CONCATENATE('Respuestas de formulario 1.1'!$B138,DU138),#REF!,0),MATCH('Respuestas de formulario 1.1'!EP$1,#REF!,0)))</f>
        <v/>
      </c>
      <c r="EQ138" s="45" t="str">
        <f t="array" ref="EQ138">IF(DP138="","", INDEX(#REF!,MATCH(CONCATENATE('Respuestas de formulario 1.1'!$B138,DP138),#REF!,0),MATCH('Respuestas de formulario 1.1'!EQ$1,#REF!,0)))</f>
        <v/>
      </c>
      <c r="ER138" s="56" t="str">
        <f t="array" ref="ER138">IF(DQ138="","", INDEX(#REF!,MATCH(CONCATENATE('Respuestas de formulario 1.1'!$B138,DQ138),#REF!,0),MATCH('Respuestas de formulario 1.1'!ER$1,#REF!,0)))</f>
        <v/>
      </c>
      <c r="ES138" s="56" t="str">
        <f t="array" ref="ES138">IF(DR138="","", INDEX(#REF!,MATCH(CONCATENATE('Respuestas de formulario 1.1'!$B138,DR138),#REF!,0),MATCH('Respuestas de formulario 1.1'!ES$1,#REF!,0)))</f>
        <v/>
      </c>
      <c r="ET138" s="56" t="str">
        <f t="array" ref="ET138">IF(DS138="","", INDEX(#REF!,MATCH(CONCATENATE('Respuestas de formulario 1.1'!$B138,DS138),#REF!,0),MATCH('Respuestas de formulario 1.1'!ET$1,#REF!,0)))</f>
        <v/>
      </c>
      <c r="EU138" s="56" t="str">
        <f t="array" ref="EU138">IF(DT138="","", INDEX(#REF!,MATCH(CONCATENATE('Respuestas de formulario 1.1'!$B138,DT138),#REF!,0),MATCH('Respuestas de formulario 1.1'!EU$1,#REF!,0)))</f>
        <v/>
      </c>
      <c r="EV138" s="56" t="str">
        <f t="array" ref="EV138">IF(DU138="","", INDEX(#REF!,MATCH(CONCATENATE('Respuestas de formulario 1.1'!$B138,DU138),#REF!,0),MATCH('Respuestas de formulario 1.1'!EV$1,#REF!,0)))</f>
        <v/>
      </c>
      <c r="EW138" s="45" t="str">
        <f t="array" ref="EW138">IF(DV138="","", INDEX(#REF!,MATCH(CONCATENATE('Respuestas de formulario 1.1'!$B138,DV138),#REF!,0),MATCH('Respuestas de formulario 1.1'!EW$1,#REF!,0)))</f>
        <v/>
      </c>
      <c r="EX138" s="45" t="str">
        <f t="array" ref="EX138">IF($DQ138="","", INDEX(#REF!,MATCH(CONCATENATE('Respuestas de formulario 1.1'!$B138,$DQ138),#REF!,0),MATCH('Respuestas de formulario 1.1'!EX$1,#REF!,0)))</f>
        <v/>
      </c>
      <c r="EY138" s="56" t="str">
        <f t="array" ref="EY138">IF($DQ138="","", INDEX(#REF!,MATCH(CONCATENATE('Respuestas de formulario 1.1'!$B138,$DQ138),#REF!,0),MATCH('Respuestas de formulario 1.1'!EY$1,#REF!,0)))</f>
        <v/>
      </c>
      <c r="EZ138" s="56" t="str">
        <f t="array" ref="EZ138">IF($DQ138="","", INDEX(#REF!,MATCH(CONCATENATE('Respuestas de formulario 1.1'!$B138,$DQ138),#REF!,0),MATCH('Respuestas de formulario 1.1'!EZ$1,#REF!,0)))</f>
        <v/>
      </c>
      <c r="FA138" s="56" t="str">
        <f t="array" ref="FA138">IF($DQ138="","", INDEX(#REF!,MATCH(CONCATENATE('Respuestas de formulario 1.1'!$B138,$DQ138),#REF!,0),MATCH('Respuestas de formulario 1.1'!FA$1,#REF!,0)))</f>
        <v/>
      </c>
      <c r="FB138" s="56" t="str">
        <f t="array" ref="FB138">IF($DQ138="","", INDEX(#REF!,MATCH(CONCATENATE('Respuestas de formulario 1.1'!$B138,$DQ138),#REF!,0),MATCH('Respuestas de formulario 1.1'!FB$1,#REF!,0)))</f>
        <v/>
      </c>
      <c r="FC138" s="56" t="str">
        <f t="array" ref="FC138">IF($DQ138="","", INDEX(#REF!,MATCH(CONCATENATE('Respuestas de formulario 1.1'!$B138,$DQ138),#REF!,0),MATCH('Respuestas de formulario 1.1'!FC$1,#REF!,0)))</f>
        <v/>
      </c>
      <c r="FD138" s="45" t="str">
        <f t="array" ref="FD138">IF($DQ138="","", INDEX(#REF!,MATCH(CONCATENATE('Respuestas de formulario 1.1'!$B138,$DQ138),#REF!,0),MATCH('Respuestas de formulario 1.1'!FD$1,#REF!,0)))</f>
        <v/>
      </c>
      <c r="FE138" s="45" t="str">
        <f t="array" ref="FE138">IF($DR138="","", INDEX(#REF!,MATCH(CONCATENATE(#REF!,$DR138),#REF!,0),MATCH(#REF!,#REF!,0)))</f>
        <v/>
      </c>
      <c r="FF138" s="56" t="str">
        <f t="array" ref="FF138">IF($DR138="","", INDEX(#REF!,MATCH(CONCATENATE(#REF!,$DR138),#REF!,0),MATCH(#REF!,#REF!,0)))</f>
        <v/>
      </c>
      <c r="FG138" s="56" t="str">
        <f t="array" ref="FG138">IF($DR138="","", INDEX(#REF!,MATCH(CONCATENATE(#REF!,$DR138),#REF!,0),MATCH(#REF!,#REF!,0)))</f>
        <v/>
      </c>
      <c r="FH138" s="56" t="str">
        <f t="array" ref="FH138">IF($DR138="","", INDEX(#REF!,MATCH(CONCATENATE(#REF!,$DR138),#REF!,0),MATCH(#REF!,#REF!,0)))</f>
        <v/>
      </c>
      <c r="FI138" s="56" t="str">
        <f t="array" ref="FI138">IF($DR138="","", INDEX(#REF!,MATCH(CONCATENATE(#REF!,$DR138),#REF!,0),MATCH(#REF!,#REF!,0)))</f>
        <v/>
      </c>
      <c r="FJ138" s="56" t="str">
        <f t="array" ref="FJ138">IF($DR138="","", INDEX(#REF!,MATCH(CONCATENATE(#REF!,$DR138),#REF!,0),MATCH(#REF!,#REF!,0)))</f>
        <v/>
      </c>
      <c r="FK138" s="45" t="str">
        <f t="array" ref="FK138">IF($DR138="","", INDEX(#REF!,MATCH(CONCATENATE(#REF!,$DR138),#REF!,0),MATCH(#REF!,#REF!,0)))</f>
        <v/>
      </c>
      <c r="FL138" s="45" t="str">
        <f t="array" ref="FL138">IF($DT138="","", INDEX(#REF!,MATCH(CONCATENATE('Respuestas de formulario 1.1'!$B138,$DS138),#REF!,0),MATCH('Respuestas de formulario 1.1'!FL$1,#REF!,0)))</f>
        <v/>
      </c>
      <c r="FM138" s="56" t="str">
        <f t="array" ref="FM138">IF($DT138="","", INDEX(#REF!,MATCH(CONCATENATE('Respuestas de formulario 1.1'!$B138,$DS138),#REF!,0),MATCH('Respuestas de formulario 1.1'!FM$1,#REF!,0)))</f>
        <v/>
      </c>
      <c r="FN138" s="56" t="str">
        <f t="array" ref="FN138">IF($DT138="","", INDEX(#REF!,MATCH(CONCATENATE('Respuestas de formulario 1.1'!$B138,$DS138),#REF!,0),MATCH('Respuestas de formulario 1.1'!FN$1,#REF!,0)))</f>
        <v/>
      </c>
      <c r="FO138" s="56" t="str">
        <f t="array" ref="FO138">IF($DT138="","", INDEX(#REF!,MATCH(CONCATENATE('Respuestas de formulario 1.1'!$B138,$DS138),#REF!,0),MATCH('Respuestas de formulario 1.1'!FO$1,#REF!,0)))</f>
        <v/>
      </c>
      <c r="FP138" s="56" t="str">
        <f t="array" ref="FP138">IF($DT138="","", INDEX(#REF!,MATCH(CONCATENATE('Respuestas de formulario 1.1'!$B138,$DS138),#REF!,0),MATCH('Respuestas de formulario 1.1'!FP$1,#REF!,0)))</f>
        <v/>
      </c>
      <c r="FQ138" s="56" t="str">
        <f t="array" ref="FQ138">IF($DT138="","", INDEX(#REF!,MATCH(CONCATENATE('Respuestas de formulario 1.1'!$B138,$DS138),#REF!,0),MATCH('Respuestas de formulario 1.1'!FQ$1,#REF!,0)))</f>
        <v/>
      </c>
      <c r="FR138" s="45" t="str">
        <f t="array" ref="FR138">IF($DT138="","", INDEX(#REF!,MATCH(CONCATENATE('Respuestas de formulario 1.1'!$B138,$DS138),#REF!,0),MATCH('Respuestas de formulario 1.1'!FR$1,#REF!,0)))</f>
        <v/>
      </c>
      <c r="FS138" s="45" t="str">
        <f t="array" ref="FS138">IF($DU138="","", INDEX(#REF!,MATCH(CONCATENATE('Respuestas de formulario 1.1'!$B138,$DT138),#REF!,0),MATCH('Respuestas de formulario 1.1'!FS$1,#REF!,0)))</f>
        <v/>
      </c>
      <c r="FT138" s="56" t="str">
        <f t="array" ref="FT138">IF($DU138="","", INDEX(#REF!,MATCH(CONCATENATE('Respuestas de formulario 1.1'!$B138,$DT138),#REF!,0),MATCH('Respuestas de formulario 1.1'!FT$1,#REF!,0)))</f>
        <v/>
      </c>
      <c r="FU138" s="56" t="str">
        <f t="array" ref="FU138">IF($DU138="","", INDEX(#REF!,MATCH(CONCATENATE('Respuestas de formulario 1.1'!$B138,$DT138),#REF!,0),MATCH('Respuestas de formulario 1.1'!FU$1,#REF!,0)))</f>
        <v/>
      </c>
      <c r="FV138" s="56" t="str">
        <f t="array" ref="FV138">IF($DU138="","", INDEX(#REF!,MATCH(CONCATENATE('Respuestas de formulario 1.1'!$B138,$DT138),#REF!,0),MATCH('Respuestas de formulario 1.1'!FV$1,#REF!,0)))</f>
        <v/>
      </c>
      <c r="FW138" s="56" t="str">
        <f t="array" ref="FW138">IF($DU138="","", INDEX(#REF!,MATCH(CONCATENATE('Respuestas de formulario 1.1'!$B138,$DT138),#REF!,0),MATCH('Respuestas de formulario 1.1'!FW$1,#REF!,0)))</f>
        <v/>
      </c>
      <c r="FX138" s="56" t="str">
        <f t="array" ref="FX138">IF($DU138="","", INDEX(#REF!,MATCH(CONCATENATE('Respuestas de formulario 1.1'!$B138,$DT138),#REF!,0),MATCH('Respuestas de formulario 1.1'!FX$1,#REF!,0)))</f>
        <v/>
      </c>
      <c r="FY138" s="45" t="str">
        <f t="array" ref="FY138">IF($DU138="","", INDEX(#REF!,MATCH(CONCATENATE('Respuestas de formulario 1.1'!$B138,$DT138),#REF!,0),MATCH('Respuestas de formulario 1.1'!FY$1,#REF!,0)))</f>
        <v/>
      </c>
      <c r="GA138" s="1" t="s">
        <v>5190</v>
      </c>
      <c r="GB138" s="5" t="s">
        <v>5191</v>
      </c>
      <c r="GC138" s="4" t="str">
        <f>HYPERLINK("https://drive.google.com/file/d/1M3j0MU3ROkcWYmrJ0iSm-PGbb0lyUeGl/view?usp=drivesdk","CORTES PEREZ MICHEL Formato de reinscripción y pago 2022-2")</f>
        <v>CORTES PEREZ MICHEL Formato de reinscripción y pago 2022-2</v>
      </c>
      <c r="GD138" s="1" t="s">
        <v>5192</v>
      </c>
      <c r="GE138" s="1"/>
      <c r="GF138" s="1"/>
      <c r="GG138" s="1"/>
      <c r="GH138" s="1"/>
      <c r="GI138" s="1" t="s">
        <v>5193</v>
      </c>
      <c r="GJ138" s="5" t="s">
        <v>5194</v>
      </c>
      <c r="GK138" s="5" t="str">
        <f>HYPERLINK("https://drive.google.com/file/d/1qXtht83vsPfc05R3xFIYPJypGZ1OLLRk/view?usp=drivesdk","CORTES PEREZ MICHEL Formato de reinscripción y pago 2022-2")</f>
        <v>CORTES PEREZ MICHEL Formato de reinscripción y pago 2022-2</v>
      </c>
      <c r="GL138" s="1" t="s">
        <v>5195</v>
      </c>
    </row>
    <row r="139" spans="1:194" ht="38.25" x14ac:dyDescent="0.2">
      <c r="A139" s="2">
        <v>45139.45000675926</v>
      </c>
      <c r="B139" s="1" t="s">
        <v>38</v>
      </c>
      <c r="C139" s="1" t="s">
        <v>419</v>
      </c>
      <c r="D139" s="1" t="s">
        <v>302</v>
      </c>
      <c r="E139" s="1" t="s">
        <v>2301</v>
      </c>
      <c r="F139" s="1" t="s">
        <v>262</v>
      </c>
      <c r="G139" s="5" t="s">
        <v>5196</v>
      </c>
      <c r="H139" s="41">
        <v>39358</v>
      </c>
      <c r="I139" s="1">
        <v>15</v>
      </c>
      <c r="J139" s="1">
        <v>5565100227</v>
      </c>
      <c r="K139" s="1">
        <v>5589318886</v>
      </c>
      <c r="L139" s="1" t="s">
        <v>2302</v>
      </c>
      <c r="M139" s="1">
        <v>22309060570944</v>
      </c>
      <c r="N139" s="1" t="s">
        <v>562</v>
      </c>
      <c r="O139" s="1" t="s">
        <v>225</v>
      </c>
      <c r="P139" s="1" t="s">
        <v>278</v>
      </c>
      <c r="Q139" s="1" t="s">
        <v>315</v>
      </c>
      <c r="R139" s="1" t="s">
        <v>236</v>
      </c>
      <c r="S139" s="1" t="s">
        <v>228</v>
      </c>
      <c r="T139" s="1" t="s">
        <v>229</v>
      </c>
      <c r="U139" s="1" t="s">
        <v>249</v>
      </c>
      <c r="V139" s="1" t="s">
        <v>228</v>
      </c>
      <c r="W139" s="1" t="s">
        <v>684</v>
      </c>
      <c r="X139" s="1" t="s">
        <v>249</v>
      </c>
      <c r="Y139" s="1" t="s">
        <v>684</v>
      </c>
      <c r="Z139" s="1" t="s">
        <v>240</v>
      </c>
      <c r="AA139" s="44" t="s">
        <v>681</v>
      </c>
      <c r="AB139" s="1" t="s">
        <v>2303</v>
      </c>
      <c r="AC139" s="1" t="s">
        <v>2304</v>
      </c>
      <c r="AD139" s="1" t="s">
        <v>5197</v>
      </c>
      <c r="AE139" s="1" t="s">
        <v>5198</v>
      </c>
      <c r="AF139" s="1" t="s">
        <v>265</v>
      </c>
      <c r="AG139" s="1">
        <v>46</v>
      </c>
      <c r="AH139" s="5" t="s">
        <v>5199</v>
      </c>
      <c r="AI139" s="1">
        <v>5523061925</v>
      </c>
      <c r="AJ139" s="1">
        <v>5589318886</v>
      </c>
      <c r="AK139" s="1" t="s">
        <v>2305</v>
      </c>
      <c r="AL139" s="1" t="s">
        <v>419</v>
      </c>
      <c r="AM139" s="1" t="s">
        <v>1049</v>
      </c>
      <c r="AN139" s="1" t="s">
        <v>1998</v>
      </c>
      <c r="AO139" s="1" t="s">
        <v>435</v>
      </c>
      <c r="AP139" s="1">
        <v>53</v>
      </c>
      <c r="AQ139" s="1" t="s">
        <v>2306</v>
      </c>
      <c r="AR139" s="42">
        <v>0.375</v>
      </c>
      <c r="AS139" s="42">
        <v>0.33333333333575865</v>
      </c>
      <c r="AT139" s="1">
        <v>5528823660</v>
      </c>
      <c r="AU139" s="1">
        <v>5589318886</v>
      </c>
      <c r="AV139" s="1"/>
      <c r="AW139" s="5" t="s">
        <v>5200</v>
      </c>
      <c r="AX139" s="1" t="s">
        <v>5201</v>
      </c>
      <c r="AY139" s="1" t="s">
        <v>302</v>
      </c>
      <c r="AZ139" s="1" t="s">
        <v>5202</v>
      </c>
      <c r="BA139" s="1" t="s">
        <v>279</v>
      </c>
      <c r="BB139" s="1">
        <v>65</v>
      </c>
      <c r="BC139" s="1" t="s">
        <v>5203</v>
      </c>
      <c r="BD139" s="43">
        <v>0.41666666666424135</v>
      </c>
      <c r="BE139" s="43">
        <v>0.20833333333575865</v>
      </c>
      <c r="BF139" s="1">
        <v>5523117826</v>
      </c>
      <c r="BG139" s="1">
        <v>5556931962</v>
      </c>
      <c r="BH139" s="1"/>
      <c r="BI139" s="5" t="s">
        <v>5204</v>
      </c>
      <c r="BJ139" s="1" t="s">
        <v>236</v>
      </c>
      <c r="BL139" s="1">
        <v>179</v>
      </c>
      <c r="BM139" s="1">
        <v>76</v>
      </c>
      <c r="BN139" s="1" t="s">
        <v>236</v>
      </c>
      <c r="BO139" s="1" t="s">
        <v>228</v>
      </c>
      <c r="BQ139" s="1" t="s">
        <v>228</v>
      </c>
      <c r="BR139" s="1" t="s">
        <v>237</v>
      </c>
      <c r="BS139" s="1" t="s">
        <v>228</v>
      </c>
      <c r="BT139" s="1" t="s">
        <v>237</v>
      </c>
      <c r="BU139" s="1" t="s">
        <v>228</v>
      </c>
      <c r="BW139" s="1" t="s">
        <v>238</v>
      </c>
      <c r="BX139" s="1">
        <v>60</v>
      </c>
      <c r="BY139" s="1">
        <v>140</v>
      </c>
      <c r="BZ139" s="1" t="s">
        <v>5205</v>
      </c>
      <c r="CA139" s="1" t="s">
        <v>2739</v>
      </c>
      <c r="CB139" s="1" t="s">
        <v>240</v>
      </c>
      <c r="CC139" s="1" t="s">
        <v>322</v>
      </c>
      <c r="CD139" s="1">
        <v>1000</v>
      </c>
      <c r="CE139" s="1">
        <v>1500</v>
      </c>
      <c r="CF139" s="1" t="s">
        <v>236</v>
      </c>
      <c r="CG139" s="1" t="s">
        <v>256</v>
      </c>
      <c r="CH139" s="1" t="s">
        <v>243</v>
      </c>
      <c r="CI139" s="1" t="s">
        <v>243</v>
      </c>
      <c r="CJ139" s="1" t="s">
        <v>2848</v>
      </c>
      <c r="CL139" s="5" t="s">
        <v>5206</v>
      </c>
      <c r="CM139" s="1">
        <v>14220794193</v>
      </c>
      <c r="CN139" s="1" t="s">
        <v>228</v>
      </c>
      <c r="CQ139" s="42">
        <v>0.16666666666424135</v>
      </c>
      <c r="CR139" s="42">
        <v>0.33333333333575865</v>
      </c>
      <c r="CT139" s="45" t="str">
        <f t="array" ref="CT139">IFERROR(INDEX(#REF!,MATCH('Respuestas de formulario 1.1'!$B139,#REF!,0),MATCH('Respuestas de formulario 1.1'!CT$1,#REF!,0)),"")</f>
        <v/>
      </c>
      <c r="CU139" s="56" t="str">
        <f t="array" ref="CU139">IFERROR(INDEX(#REF!,MATCH('Respuestas de formulario 1.1'!$B139,#REF!,0),MATCH('Respuestas de formulario 1.1'!CU$1,#REF!,0)),"")</f>
        <v/>
      </c>
      <c r="CV139" s="56" t="str">
        <f t="array" ref="CV139">IFERROR(INDEX(#REF!,MATCH('Respuestas de formulario 1.1'!$B139,#REF!,0),MATCH('Respuestas de formulario 1.1'!CV$1,#REF!,0)),"")</f>
        <v/>
      </c>
      <c r="CW139" s="56" t="str">
        <f t="array" ref="CW139">IFERROR(INDEX(#REF!,MATCH('Respuestas de formulario 1.1'!$B139,#REF!,0),MATCH('Respuestas de formulario 1.1'!CW$1,#REF!,0)),"")</f>
        <v/>
      </c>
      <c r="CX139" s="56" t="str">
        <f t="array" ref="CX139">IFERROR(INDEX(#REF!,MATCH('Respuestas de formulario 1.1'!$B139,#REF!,0),MATCH('Respuestas de formulario 1.1'!CX$1,#REF!,0)),"")</f>
        <v/>
      </c>
      <c r="CY139" s="56" t="str">
        <f t="array" ref="CY139">IFERROR(INDEX(#REF!,MATCH('Respuestas de formulario 1.1'!$B139,#REF!,0),MATCH('Respuestas de formulario 1.1'!CY$1,#REF!,0)),"")</f>
        <v/>
      </c>
      <c r="CZ139" s="57" t="str">
        <f t="array" ref="CZ139">IFERROR(INDEX(#REF!,MATCH('Respuestas de formulario 1.1'!$B139,#REF!,0),MATCH('Respuestas de formulario 1.1'!CZ$1,#REF!,0)),"")</f>
        <v/>
      </c>
      <c r="DA139" s="45" t="e">
        <f t="array" ref="DA139">INDEX(#REF!,MATCH('Respuestas de formulario 1.1'!$B139,#REF!,0),MATCH('Respuestas de formulario 1.1'!DA$1,#REF!,0))</f>
        <v>#REF!</v>
      </c>
      <c r="DB139" s="45" t="e">
        <f t="array" ref="DB139">INDEX(#REF!,MATCH('Respuestas de formulario 1.1'!$B139,#REF!,0),MATCH('Respuestas de formulario 1.1'!DB$1,#REF!,0))</f>
        <v>#REF!</v>
      </c>
      <c r="DC139" s="45" t="e">
        <f t="array" ref="DC139">INDEX(#REF!,MATCH('Respuestas de formulario 1.1'!$B139,#REF!,0),MATCH('Respuestas de formulario 1.1'!DC$1,#REF!,0))</f>
        <v>#REF!</v>
      </c>
      <c r="DD139" s="45" t="e">
        <f t="array" ref="DD139">INDEX(#REF!,MATCH('Respuestas de formulario 1.1'!$B139,#REF!,0),MATCH('Respuestas de formulario 1.1'!DD$1,#REF!,0))</f>
        <v>#REF!</v>
      </c>
      <c r="DE139" s="45" t="e">
        <f t="array" ref="DE139">INDEX(#REF!,MATCH('Respuestas de formulario 1.1'!$B139,#REF!,0),MATCH('Respuestas de formulario 1.1'!DE$1,#REF!,0))</f>
        <v>#REF!</v>
      </c>
      <c r="DF139" s="45" t="e">
        <f t="array" ref="DF139">INDEX(#REF!,MATCH('Respuestas de formulario 1.1'!$B139,#REF!,0),MATCH('Respuestas de formulario 1.1'!DF$1,#REF!,0))</f>
        <v>#REF!</v>
      </c>
      <c r="DG139" s="45" t="e">
        <f t="array" ref="DG139">INDEX(#REF!,MATCH('Respuestas de formulario 1.1'!$B139,#REF!,0),MATCH('Respuestas de formulario 1.1'!DG$1,#REF!,0))</f>
        <v>#REF!</v>
      </c>
      <c r="DH139" s="45" t="e">
        <f t="array" ref="DH139">INDEX(#REF!,MATCH('Respuestas de formulario 1.1'!$B139,#REF!,0),MATCH('Respuestas de formulario 1.1'!DH$1,#REF!,0))</f>
        <v>#REF!</v>
      </c>
      <c r="DI139" s="48" t="e">
        <f>VLOOKUP(CONCATENATE($DF139," TUTO ",$DC139),#REF!,3,0)</f>
        <v>#REF!</v>
      </c>
      <c r="DJ139" s="48" t="e">
        <f t="array" ref="DJ139">IF('Respuestas de formulario 1.1'!A139="","",INDEX(#REF!,MATCH('Respuestas de formulario 1.1'!B139,#REF!,0),MATCH('Respuestas de formulario 1.1'!$DH$1,#REF!,0)))</f>
        <v>#REF!</v>
      </c>
      <c r="DK139" s="52" t="str">
        <f>CONCATENATE("http://doc.google.com/uc?id=",MID('Respuestas de formulario 1.1'!G139,34,33))</f>
        <v>http://doc.google.com/uc?id=1ahZYLjppvMoKLk7-FB5f8v8TlpUtdcOp</v>
      </c>
      <c r="DL139" s="49" t="str">
        <f>CONCATENATE("http://doc.google.com/uc?id=",MID('Respuestas de formulario 1.1'!AH139,34,33))</f>
        <v>http://doc.google.com/uc?id=1jB2aLSTQ4PtdI1a2LevPpAdD73H_M_-L</v>
      </c>
      <c r="DM139" s="50" t="str">
        <f>CONCATENATE("http://doc.google.com/uc?id=",MID('Respuestas de formulario 1.1'!AW139,34,33))</f>
        <v>http://doc.google.com/uc?id=1aQNA94GemaHalZGJMIKEeV2RPaVsgp96</v>
      </c>
      <c r="DN139" s="53" t="str">
        <f>CONCATENATE("http://doc.google.com/uc?id=",MID('Respuestas de formulario 1.1'!$BI139,34,33))</f>
        <v>http://doc.google.com/uc?id=124Un2Pi3MFEvfVgT2BwfmgHttZd9JOSt</v>
      </c>
      <c r="DO139" s="45" t="str">
        <f>IFERROR(VLOOKUP(CONCATENATE('Respuestas de formulario 1.1'!$B139,MID('Respuestas de formulario 1.1'!DO$1,2,1)),#REF!,12,0),"")</f>
        <v/>
      </c>
      <c r="DP139" s="45" t="str">
        <f>IFERROR(VLOOKUP(CONCATENATE('Respuestas de formulario 1.1'!$B139,MID('Respuestas de formulario 1.1'!DP$1,2,1)),#REF!,12,0),"")</f>
        <v/>
      </c>
      <c r="DQ139" s="45" t="str">
        <f>IFERROR(VLOOKUP(CONCATENATE('Respuestas de formulario 1.1'!$B139,MID('Respuestas de formulario 1.1'!DQ$1,2,1)),#REF!,12,0),"")</f>
        <v/>
      </c>
      <c r="DR139" s="45" t="str">
        <f>IFERROR(VLOOKUP(CONCATENATE('Respuestas de formulario 1.1'!$B139,MID('Respuestas de formulario 1.1'!DR$1,2,1)),#REF!,12,0),"")</f>
        <v/>
      </c>
      <c r="DS139" s="45" t="str">
        <f>IFERROR(VLOOKUP(CONCATENATE('Respuestas de formulario 1.1'!$B139,MID('Respuestas de formulario 1.1'!DS$1,2,1)),#REF!,12,0),"")</f>
        <v/>
      </c>
      <c r="DT139" s="45" t="str">
        <f>IFERROR(VLOOKUP(CONCATENATE('Respuestas de formulario 1.1'!$B139,MID('Respuestas de formulario 1.1'!DT$1,2,1)),#REF!,12,0),"")</f>
        <v/>
      </c>
      <c r="DU139" s="45" t="str">
        <f>IFERROR(VLOOKUP(CONCATENATE('Respuestas de formulario 1.1'!$B139,MID('Respuestas de formulario 1.1'!DU$1,2,1)),#REF!,12,0),"")</f>
        <v/>
      </c>
      <c r="DV139" s="45" t="str">
        <f>IFERROR(VLOOKUP(CONCATENATE('Respuestas de formulario 1.1'!$B139,MID('Respuestas de formulario 1.1'!DV$1,2,1)),#REF!,12,0),"")</f>
        <v/>
      </c>
      <c r="DW139" s="45" t="str">
        <f>IFERROR(VLOOKUP(CONCATENATE('Respuestas de formulario 1.1'!$B139,MID('Respuestas de formulario 1.1'!DW$1,2,1)),#REF!,12,0),"")</f>
        <v/>
      </c>
      <c r="DX139" s="45" t="str">
        <f>IFERROR(VLOOKUP(CONCATENATE('Respuestas de formulario 1.1'!$B139,MID('Respuestas de formulario 1.1'!DX$1,2,1)),#REF!,12,0),"")</f>
        <v/>
      </c>
      <c r="DY139" s="45" t="str">
        <f>IFERROR(VLOOKUP(CONCATENATE('Respuestas de formulario 1.1'!$B139,MID('Respuestas de formulario 1.1'!DY$1,2,1)),#REF!,12,0),"")</f>
        <v/>
      </c>
      <c r="DZ139" s="45" t="str">
        <f>IFERROR(VLOOKUP(CONCATENATE('Respuestas de formulario 1.1'!$B139,MID('Respuestas de formulario 1.1'!DZ$1,2,1)),#REF!,12,0),"")</f>
        <v/>
      </c>
      <c r="EA139" s="45" t="str">
        <f>IFERROR(VLOOKUP(CONCATENATE('Respuestas de formulario 1.1'!$B139,MID('Respuestas de formulario 1.1'!EA$1,2,1)),#REF!,12,0),"")</f>
        <v/>
      </c>
      <c r="EB139" s="45" t="str">
        <f>IFERROR(VLOOKUP(CONCATENATE('Respuestas de formulario 1.1'!$B139,MID('Respuestas de formulario 1.1'!EB$1,2,1)),#REF!,12,0),"")</f>
        <v/>
      </c>
      <c r="EC139" s="45" t="str">
        <f>IFERROR(VLOOKUP(CONCATENATE('Respuestas de formulario 1.1'!$B139,MID('Respuestas de formulario 1.1'!EC$1,2,1)),#REF!,12,0),"")</f>
        <v/>
      </c>
      <c r="ED139" s="45" t="str">
        <f>IFERROR(VLOOKUP(CONCATENATE('Respuestas de formulario 1.1'!$B139,MID('Respuestas de formulario 1.1'!ED$1,2,1)),#REF!,12,0),"")</f>
        <v/>
      </c>
      <c r="EE139" s="45" t="str">
        <f>IFERROR(VLOOKUP(CONCATENATE('Respuestas de formulario 1.1'!$B139,MID('Respuestas de formulario 1.1'!EE$1,2,1)),#REF!,12,0),"")</f>
        <v/>
      </c>
      <c r="EF139" s="45" t="str">
        <f>IFERROR(VLOOKUP(CONCATENATE('Respuestas de formulario 1.1'!$B139,MID('Respuestas de formulario 1.1'!EF$1,2,1)),#REF!,12,0),"")</f>
        <v/>
      </c>
      <c r="EG139" s="45" t="str">
        <f>IFERROR(VLOOKUP(CONCATENATE('Respuestas de formulario 1.1'!$B139,MID('Respuestas de formulario 1.1'!EG$1,2,1)),#REF!,12,0),"")</f>
        <v/>
      </c>
      <c r="EH139" s="45" t="str">
        <f>IFERROR(VLOOKUP(CONCATENATE('Respuestas de formulario 1.1'!$B139,MID('Respuestas de formulario 1.1'!EH$1,2,1)),#REF!,12,0),"")</f>
        <v/>
      </c>
      <c r="EI139" s="45" t="str">
        <f>IFERROR(VLOOKUP(CONCATENATE('Respuestas de formulario 1.1'!$B139,MID('Respuestas de formulario 1.1'!EI$1,2,1)),#REF!,12,0),"")</f>
        <v/>
      </c>
      <c r="EJ139" s="45" t="str">
        <f t="array" ref="EJ139">IF(DO139="","", INDEX(#REF!,MATCH(CONCATENATE('Respuestas de formulario 1.1'!$B139,DO139),#REF!,0),MATCH('Respuestas de formulario 1.1'!EJ$1,#REF!,0)))</f>
        <v/>
      </c>
      <c r="EK139" s="56" t="str">
        <f t="array" ref="EK139">IF(DP139="","", INDEX(#REF!,MATCH(CONCATENATE('Respuestas de formulario 1.1'!$B139,DP139),#REF!,0),MATCH('Respuestas de formulario 1.1'!EK$1,#REF!,0)))</f>
        <v/>
      </c>
      <c r="EL139" s="56" t="str">
        <f t="array" ref="EL139">IF(DQ139="","", INDEX(#REF!,MATCH(CONCATENATE('Respuestas de formulario 1.1'!$B139,DQ139),#REF!,0),MATCH('Respuestas de formulario 1.1'!EL$1,#REF!,0)))</f>
        <v/>
      </c>
      <c r="EM139" s="56" t="str">
        <f t="array" ref="EM139">IF(DR139="","", INDEX(#REF!,MATCH(CONCATENATE('Respuestas de formulario 1.1'!$B139,DR139),#REF!,0),MATCH('Respuestas de formulario 1.1'!EM$1,#REF!,0)))</f>
        <v/>
      </c>
      <c r="EN139" s="56" t="str">
        <f t="array" ref="EN139">IF(DS139="","", INDEX(#REF!,MATCH(CONCATENATE('Respuestas de formulario 1.1'!$B139,DS139),#REF!,0),MATCH('Respuestas de formulario 1.1'!EN$1,#REF!,0)))</f>
        <v/>
      </c>
      <c r="EO139" s="56" t="str">
        <f t="array" ref="EO139">IF(DT139="","", INDEX(#REF!,MATCH(CONCATENATE('Respuestas de formulario 1.1'!$B139,DT139),#REF!,0),MATCH('Respuestas de formulario 1.1'!EO$1,#REF!,0)))</f>
        <v/>
      </c>
      <c r="EP139" s="45" t="str">
        <f t="array" ref="EP139">IF(DU139="","", INDEX(#REF!,MATCH(CONCATENATE('Respuestas de formulario 1.1'!$B139,DU139),#REF!,0),MATCH('Respuestas de formulario 1.1'!EP$1,#REF!,0)))</f>
        <v/>
      </c>
      <c r="EQ139" s="45" t="str">
        <f t="array" ref="EQ139">IF(DP139="","", INDEX(#REF!,MATCH(CONCATENATE('Respuestas de formulario 1.1'!$B139,DP139),#REF!,0),MATCH('Respuestas de formulario 1.1'!EQ$1,#REF!,0)))</f>
        <v/>
      </c>
      <c r="ER139" s="56" t="str">
        <f t="array" ref="ER139">IF(DQ139="","", INDEX(#REF!,MATCH(CONCATENATE('Respuestas de formulario 1.1'!$B139,DQ139),#REF!,0),MATCH('Respuestas de formulario 1.1'!ER$1,#REF!,0)))</f>
        <v/>
      </c>
      <c r="ES139" s="56" t="str">
        <f t="array" ref="ES139">IF(DR139="","", INDEX(#REF!,MATCH(CONCATENATE('Respuestas de formulario 1.1'!$B139,DR139),#REF!,0),MATCH('Respuestas de formulario 1.1'!ES$1,#REF!,0)))</f>
        <v/>
      </c>
      <c r="ET139" s="56" t="str">
        <f t="array" ref="ET139">IF(DS139="","", INDEX(#REF!,MATCH(CONCATENATE('Respuestas de formulario 1.1'!$B139,DS139),#REF!,0),MATCH('Respuestas de formulario 1.1'!ET$1,#REF!,0)))</f>
        <v/>
      </c>
      <c r="EU139" s="56" t="str">
        <f t="array" ref="EU139">IF(DT139="","", INDEX(#REF!,MATCH(CONCATENATE('Respuestas de formulario 1.1'!$B139,DT139),#REF!,0),MATCH('Respuestas de formulario 1.1'!EU$1,#REF!,0)))</f>
        <v/>
      </c>
      <c r="EV139" s="56" t="str">
        <f t="array" ref="EV139">IF(DU139="","", INDEX(#REF!,MATCH(CONCATENATE('Respuestas de formulario 1.1'!$B139,DU139),#REF!,0),MATCH('Respuestas de formulario 1.1'!EV$1,#REF!,0)))</f>
        <v/>
      </c>
      <c r="EW139" s="45" t="str">
        <f t="array" ref="EW139">IF(DV139="","", INDEX(#REF!,MATCH(CONCATENATE('Respuestas de formulario 1.1'!$B139,DV139),#REF!,0),MATCH('Respuestas de formulario 1.1'!EW$1,#REF!,0)))</f>
        <v/>
      </c>
      <c r="EX139" s="45" t="str">
        <f t="array" ref="EX139">IF($DQ139="","", INDEX(#REF!,MATCH(CONCATENATE('Respuestas de formulario 1.1'!$B139,$DQ139),#REF!,0),MATCH('Respuestas de formulario 1.1'!EX$1,#REF!,0)))</f>
        <v/>
      </c>
      <c r="EY139" s="56" t="str">
        <f t="array" ref="EY139">IF($DQ139="","", INDEX(#REF!,MATCH(CONCATENATE('Respuestas de formulario 1.1'!$B139,$DQ139),#REF!,0),MATCH('Respuestas de formulario 1.1'!EY$1,#REF!,0)))</f>
        <v/>
      </c>
      <c r="EZ139" s="56" t="str">
        <f t="array" ref="EZ139">IF($DQ139="","", INDEX(#REF!,MATCH(CONCATENATE('Respuestas de formulario 1.1'!$B139,$DQ139),#REF!,0),MATCH('Respuestas de formulario 1.1'!EZ$1,#REF!,0)))</f>
        <v/>
      </c>
      <c r="FA139" s="56" t="str">
        <f t="array" ref="FA139">IF($DQ139="","", INDEX(#REF!,MATCH(CONCATENATE('Respuestas de formulario 1.1'!$B139,$DQ139),#REF!,0),MATCH('Respuestas de formulario 1.1'!FA$1,#REF!,0)))</f>
        <v/>
      </c>
      <c r="FB139" s="56" t="str">
        <f t="array" ref="FB139">IF($DQ139="","", INDEX(#REF!,MATCH(CONCATENATE('Respuestas de formulario 1.1'!$B139,$DQ139),#REF!,0),MATCH('Respuestas de formulario 1.1'!FB$1,#REF!,0)))</f>
        <v/>
      </c>
      <c r="FC139" s="56" t="str">
        <f t="array" ref="FC139">IF($DQ139="","", INDEX(#REF!,MATCH(CONCATENATE('Respuestas de formulario 1.1'!$B139,$DQ139),#REF!,0),MATCH('Respuestas de formulario 1.1'!FC$1,#REF!,0)))</f>
        <v/>
      </c>
      <c r="FD139" s="45" t="str">
        <f t="array" ref="FD139">IF($DQ139="","", INDEX(#REF!,MATCH(CONCATENATE('Respuestas de formulario 1.1'!$B139,$DQ139),#REF!,0),MATCH('Respuestas de formulario 1.1'!FD$1,#REF!,0)))</f>
        <v/>
      </c>
      <c r="FE139" s="45" t="str">
        <f t="array" ref="FE139">IF($DR139="","", INDEX(#REF!,MATCH(CONCATENATE(#REF!,$DR139),#REF!,0),MATCH(#REF!,#REF!,0)))</f>
        <v/>
      </c>
      <c r="FF139" s="56" t="str">
        <f t="array" ref="FF139">IF($DR139="","", INDEX(#REF!,MATCH(CONCATENATE(#REF!,$DR139),#REF!,0),MATCH(#REF!,#REF!,0)))</f>
        <v/>
      </c>
      <c r="FG139" s="56" t="str">
        <f t="array" ref="FG139">IF($DR139="","", INDEX(#REF!,MATCH(CONCATENATE(#REF!,$DR139),#REF!,0),MATCH(#REF!,#REF!,0)))</f>
        <v/>
      </c>
      <c r="FH139" s="56" t="str">
        <f t="array" ref="FH139">IF($DR139="","", INDEX(#REF!,MATCH(CONCATENATE(#REF!,$DR139),#REF!,0),MATCH(#REF!,#REF!,0)))</f>
        <v/>
      </c>
      <c r="FI139" s="56" t="str">
        <f t="array" ref="FI139">IF($DR139="","", INDEX(#REF!,MATCH(CONCATENATE(#REF!,$DR139),#REF!,0),MATCH(#REF!,#REF!,0)))</f>
        <v/>
      </c>
      <c r="FJ139" s="56" t="str">
        <f t="array" ref="FJ139">IF($DR139="","", INDEX(#REF!,MATCH(CONCATENATE(#REF!,$DR139),#REF!,0),MATCH(#REF!,#REF!,0)))</f>
        <v/>
      </c>
      <c r="FK139" s="45" t="str">
        <f t="array" ref="FK139">IF($DR139="","", INDEX(#REF!,MATCH(CONCATENATE(#REF!,$DR139),#REF!,0),MATCH(#REF!,#REF!,0)))</f>
        <v/>
      </c>
      <c r="FL139" s="45" t="str">
        <f t="array" ref="FL139">IF($DT139="","", INDEX(#REF!,MATCH(CONCATENATE('Respuestas de formulario 1.1'!$B139,$DS139),#REF!,0),MATCH('Respuestas de formulario 1.1'!FL$1,#REF!,0)))</f>
        <v/>
      </c>
      <c r="FM139" s="56" t="str">
        <f t="array" ref="FM139">IF($DT139="","", INDEX(#REF!,MATCH(CONCATENATE('Respuestas de formulario 1.1'!$B139,$DS139),#REF!,0),MATCH('Respuestas de formulario 1.1'!FM$1,#REF!,0)))</f>
        <v/>
      </c>
      <c r="FN139" s="56" t="str">
        <f t="array" ref="FN139">IF($DT139="","", INDEX(#REF!,MATCH(CONCATENATE('Respuestas de formulario 1.1'!$B139,$DS139),#REF!,0),MATCH('Respuestas de formulario 1.1'!FN$1,#REF!,0)))</f>
        <v/>
      </c>
      <c r="FO139" s="56" t="str">
        <f t="array" ref="FO139">IF($DT139="","", INDEX(#REF!,MATCH(CONCATENATE('Respuestas de formulario 1.1'!$B139,$DS139),#REF!,0),MATCH('Respuestas de formulario 1.1'!FO$1,#REF!,0)))</f>
        <v/>
      </c>
      <c r="FP139" s="56" t="str">
        <f t="array" ref="FP139">IF($DT139="","", INDEX(#REF!,MATCH(CONCATENATE('Respuestas de formulario 1.1'!$B139,$DS139),#REF!,0),MATCH('Respuestas de formulario 1.1'!FP$1,#REF!,0)))</f>
        <v/>
      </c>
      <c r="FQ139" s="56" t="str">
        <f t="array" ref="FQ139">IF($DT139="","", INDEX(#REF!,MATCH(CONCATENATE('Respuestas de formulario 1.1'!$B139,$DS139),#REF!,0),MATCH('Respuestas de formulario 1.1'!FQ$1,#REF!,0)))</f>
        <v/>
      </c>
      <c r="FR139" s="45" t="str">
        <f t="array" ref="FR139">IF($DT139="","", INDEX(#REF!,MATCH(CONCATENATE('Respuestas de formulario 1.1'!$B139,$DS139),#REF!,0),MATCH('Respuestas de formulario 1.1'!FR$1,#REF!,0)))</f>
        <v/>
      </c>
      <c r="FS139" s="45" t="str">
        <f t="array" ref="FS139">IF($DU139="","", INDEX(#REF!,MATCH(CONCATENATE('Respuestas de formulario 1.1'!$B139,$DT139),#REF!,0),MATCH('Respuestas de formulario 1.1'!FS$1,#REF!,0)))</f>
        <v/>
      </c>
      <c r="FT139" s="56" t="str">
        <f t="array" ref="FT139">IF($DU139="","", INDEX(#REF!,MATCH(CONCATENATE('Respuestas de formulario 1.1'!$B139,$DT139),#REF!,0),MATCH('Respuestas de formulario 1.1'!FT$1,#REF!,0)))</f>
        <v/>
      </c>
      <c r="FU139" s="56" t="str">
        <f t="array" ref="FU139">IF($DU139="","", INDEX(#REF!,MATCH(CONCATENATE('Respuestas de formulario 1.1'!$B139,$DT139),#REF!,0),MATCH('Respuestas de formulario 1.1'!FU$1,#REF!,0)))</f>
        <v/>
      </c>
      <c r="FV139" s="56" t="str">
        <f t="array" ref="FV139">IF($DU139="","", INDEX(#REF!,MATCH(CONCATENATE('Respuestas de formulario 1.1'!$B139,$DT139),#REF!,0),MATCH('Respuestas de formulario 1.1'!FV$1,#REF!,0)))</f>
        <v/>
      </c>
      <c r="FW139" s="56" t="str">
        <f t="array" ref="FW139">IF($DU139="","", INDEX(#REF!,MATCH(CONCATENATE('Respuestas de formulario 1.1'!$B139,$DT139),#REF!,0),MATCH('Respuestas de formulario 1.1'!FW$1,#REF!,0)))</f>
        <v/>
      </c>
      <c r="FX139" s="56" t="str">
        <f t="array" ref="FX139">IF($DU139="","", INDEX(#REF!,MATCH(CONCATENATE('Respuestas de formulario 1.1'!$B139,$DT139),#REF!,0),MATCH('Respuestas de formulario 1.1'!FX$1,#REF!,0)))</f>
        <v/>
      </c>
      <c r="FY139" s="45" t="str">
        <f t="array" ref="FY139">IF($DU139="","", INDEX(#REF!,MATCH(CONCATENATE('Respuestas de formulario 1.1'!$B139,$DT139),#REF!,0),MATCH('Respuestas de formulario 1.1'!FY$1,#REF!,0)))</f>
        <v/>
      </c>
      <c r="FZ139" s="3" t="s">
        <v>2860</v>
      </c>
      <c r="GA139" s="1" t="s">
        <v>5207</v>
      </c>
      <c r="GB139" s="5" t="s">
        <v>5208</v>
      </c>
      <c r="GC139" s="4" t="str">
        <f>HYPERLINK("https://drive.google.com/file/d/1W2HddunLqpSk3-Dy0p1NXIUwjg3VKkXn/view?usp=drivesdk","QUEZADA  CASTILLO RODRIGO DAMIAN Formato de reinscripción y pago 2022-2")</f>
        <v>QUEZADA  CASTILLO RODRIGO DAMIAN Formato de reinscripción y pago 2022-2</v>
      </c>
      <c r="GD139" s="1" t="s">
        <v>5209</v>
      </c>
      <c r="GE139" s="1"/>
      <c r="GF139" s="1"/>
      <c r="GG139" s="1"/>
      <c r="GH139" s="1"/>
      <c r="GI139" s="1" t="s">
        <v>5210</v>
      </c>
      <c r="GJ139" s="5" t="s">
        <v>5211</v>
      </c>
      <c r="GK139" s="5" t="str">
        <f>HYPERLINK("https://drive.google.com/file/d/1jwZQWjqXlNBqStPHvHMpYD50o-ELYQpJ/view?usp=drivesdk","QUEZADA  CASTILLO RODRIGO DAMIAN Formato de reinscripción y pago 2022-2")</f>
        <v>QUEZADA  CASTILLO RODRIGO DAMIAN Formato de reinscripción y pago 2022-2</v>
      </c>
      <c r="GL139" s="1" t="s">
        <v>5212</v>
      </c>
    </row>
    <row r="140" spans="1:194" ht="38.25" x14ac:dyDescent="0.2">
      <c r="A140" s="2">
        <v>45139.450183321758</v>
      </c>
      <c r="B140" s="1" t="s">
        <v>2591</v>
      </c>
      <c r="C140" s="1" t="s">
        <v>5213</v>
      </c>
      <c r="D140" s="1" t="s">
        <v>1219</v>
      </c>
      <c r="E140" s="1" t="s">
        <v>427</v>
      </c>
      <c r="F140" s="1" t="s">
        <v>223</v>
      </c>
      <c r="G140" s="5" t="s">
        <v>5214</v>
      </c>
      <c r="H140" s="41">
        <v>38745</v>
      </c>
      <c r="I140" s="1">
        <v>17</v>
      </c>
      <c r="J140" s="1">
        <v>5633243575</v>
      </c>
      <c r="K140" s="1">
        <v>5568323134</v>
      </c>
      <c r="L140" s="1" t="s">
        <v>2592</v>
      </c>
      <c r="M140" s="1">
        <v>21309060570240</v>
      </c>
      <c r="N140" s="1" t="s">
        <v>1108</v>
      </c>
      <c r="O140" s="1" t="s">
        <v>247</v>
      </c>
      <c r="P140" s="1" t="s">
        <v>226</v>
      </c>
      <c r="Q140" s="1" t="s">
        <v>315</v>
      </c>
      <c r="R140" s="1" t="s">
        <v>236</v>
      </c>
      <c r="S140" s="1" t="s">
        <v>228</v>
      </c>
      <c r="T140" s="1" t="s">
        <v>345</v>
      </c>
      <c r="U140" s="1" t="s">
        <v>264</v>
      </c>
      <c r="V140" s="1" t="s">
        <v>228</v>
      </c>
      <c r="W140" s="1" t="s">
        <v>5215</v>
      </c>
      <c r="X140" s="1" t="s">
        <v>249</v>
      </c>
      <c r="Y140" s="1" t="s">
        <v>2174</v>
      </c>
      <c r="Z140" s="1" t="s">
        <v>240</v>
      </c>
      <c r="AA140" s="44" t="s">
        <v>912</v>
      </c>
      <c r="AB140" s="1">
        <v>1</v>
      </c>
      <c r="AC140" s="1">
        <v>2</v>
      </c>
      <c r="AD140" s="1" t="s">
        <v>5216</v>
      </c>
      <c r="AE140" s="1" t="s">
        <v>2593</v>
      </c>
      <c r="AF140" s="1" t="s">
        <v>265</v>
      </c>
      <c r="AG140" s="1">
        <v>39</v>
      </c>
      <c r="AH140" s="5" t="s">
        <v>5217</v>
      </c>
      <c r="AI140" s="1">
        <v>5535464047</v>
      </c>
      <c r="AJ140" s="1">
        <v>5568323134</v>
      </c>
      <c r="AK140" s="1" t="s">
        <v>2594</v>
      </c>
      <c r="AL140" s="1" t="s">
        <v>5213</v>
      </c>
      <c r="AM140" s="1" t="s">
        <v>832</v>
      </c>
      <c r="AN140" s="1" t="s">
        <v>5218</v>
      </c>
      <c r="AO140" s="1" t="s">
        <v>435</v>
      </c>
      <c r="AP140" s="1">
        <v>39</v>
      </c>
      <c r="AQ140" s="1" t="s">
        <v>306</v>
      </c>
      <c r="AR140" s="42">
        <v>0</v>
      </c>
      <c r="AS140" s="42">
        <v>0</v>
      </c>
      <c r="AT140" s="1">
        <v>5636203989</v>
      </c>
      <c r="AU140" s="1">
        <v>5636203989</v>
      </c>
      <c r="AV140" s="1" t="s">
        <v>5219</v>
      </c>
      <c r="AW140" s="5" t="s">
        <v>5220</v>
      </c>
      <c r="AX140" s="1" t="s">
        <v>474</v>
      </c>
      <c r="AY140" s="1" t="s">
        <v>1219</v>
      </c>
      <c r="AZ140" s="1" t="s">
        <v>5221</v>
      </c>
      <c r="BA140" s="1" t="s">
        <v>2363</v>
      </c>
      <c r="BB140" s="1">
        <v>20</v>
      </c>
      <c r="BC140" s="1" t="s">
        <v>362</v>
      </c>
      <c r="BD140" s="43">
        <v>0</v>
      </c>
      <c r="BE140" s="43">
        <v>0</v>
      </c>
      <c r="BF140" s="1">
        <v>5516884069</v>
      </c>
      <c r="BG140" s="1">
        <v>5516884069</v>
      </c>
      <c r="BH140" s="1" t="s">
        <v>5222</v>
      </c>
      <c r="BI140" s="5" t="s">
        <v>5223</v>
      </c>
      <c r="BJ140" s="1" t="s">
        <v>236</v>
      </c>
      <c r="BK140" s="1" t="s">
        <v>2595</v>
      </c>
      <c r="BL140" s="1">
        <v>1.7</v>
      </c>
      <c r="BM140" s="1">
        <v>80</v>
      </c>
      <c r="BN140" s="1" t="s">
        <v>236</v>
      </c>
      <c r="BO140" s="1" t="s">
        <v>228</v>
      </c>
      <c r="BP140" s="1" t="s">
        <v>270</v>
      </c>
      <c r="BQ140" s="1" t="s">
        <v>228</v>
      </c>
      <c r="BR140" s="1" t="s">
        <v>237</v>
      </c>
      <c r="BS140" s="1" t="s">
        <v>236</v>
      </c>
      <c r="BT140" s="1" t="s">
        <v>457</v>
      </c>
      <c r="BU140" s="1" t="s">
        <v>228</v>
      </c>
      <c r="BW140" s="1" t="s">
        <v>349</v>
      </c>
      <c r="BX140" s="1">
        <v>2</v>
      </c>
      <c r="BY140" s="1">
        <v>160</v>
      </c>
      <c r="BZ140" s="1" t="s">
        <v>298</v>
      </c>
      <c r="CA140" s="1" t="s">
        <v>733</v>
      </c>
      <c r="CB140" s="1" t="s">
        <v>240</v>
      </c>
      <c r="CC140" s="1" t="s">
        <v>274</v>
      </c>
      <c r="CD140" s="1">
        <v>1600</v>
      </c>
      <c r="CE140" s="1">
        <v>1600</v>
      </c>
      <c r="CF140" s="1" t="s">
        <v>236</v>
      </c>
      <c r="CG140" s="1" t="s">
        <v>242</v>
      </c>
      <c r="CH140" s="1" t="s">
        <v>243</v>
      </c>
      <c r="CI140" s="1" t="s">
        <v>243</v>
      </c>
      <c r="CJ140" s="1" t="s">
        <v>2848</v>
      </c>
      <c r="CL140" s="5" t="s">
        <v>5224</v>
      </c>
      <c r="CM140" s="1">
        <v>52220620976</v>
      </c>
      <c r="CN140" s="1" t="s">
        <v>228</v>
      </c>
      <c r="CQ140" s="42">
        <v>0</v>
      </c>
      <c r="CR140" s="42">
        <v>0</v>
      </c>
      <c r="CT140" s="45" t="str">
        <f t="array" ref="CT140">IFERROR(INDEX(#REF!,MATCH('Respuestas de formulario 1.1'!$B140,#REF!,0),MATCH('Respuestas de formulario 1.1'!CT$1,#REF!,0)),"")</f>
        <v/>
      </c>
      <c r="CU140" s="56" t="str">
        <f t="array" ref="CU140">IFERROR(INDEX(#REF!,MATCH('Respuestas de formulario 1.1'!$B140,#REF!,0),MATCH('Respuestas de formulario 1.1'!CU$1,#REF!,0)),"")</f>
        <v/>
      </c>
      <c r="CV140" s="56" t="str">
        <f t="array" ref="CV140">IFERROR(INDEX(#REF!,MATCH('Respuestas de formulario 1.1'!$B140,#REF!,0),MATCH('Respuestas de formulario 1.1'!CV$1,#REF!,0)),"")</f>
        <v/>
      </c>
      <c r="CW140" s="56" t="str">
        <f t="array" ref="CW140">IFERROR(INDEX(#REF!,MATCH('Respuestas de formulario 1.1'!$B140,#REF!,0),MATCH('Respuestas de formulario 1.1'!CW$1,#REF!,0)),"")</f>
        <v/>
      </c>
      <c r="CX140" s="56" t="str">
        <f t="array" ref="CX140">IFERROR(INDEX(#REF!,MATCH('Respuestas de formulario 1.1'!$B140,#REF!,0),MATCH('Respuestas de formulario 1.1'!CX$1,#REF!,0)),"")</f>
        <v/>
      </c>
      <c r="CY140" s="56" t="str">
        <f t="array" ref="CY140">IFERROR(INDEX(#REF!,MATCH('Respuestas de formulario 1.1'!$B140,#REF!,0),MATCH('Respuestas de formulario 1.1'!CY$1,#REF!,0)),"")</f>
        <v/>
      </c>
      <c r="CZ140" s="57" t="str">
        <f t="array" ref="CZ140">IFERROR(INDEX(#REF!,MATCH('Respuestas de formulario 1.1'!$B140,#REF!,0),MATCH('Respuestas de formulario 1.1'!CZ$1,#REF!,0)),"")</f>
        <v/>
      </c>
      <c r="DA140" s="45" t="e">
        <f t="array" ref="DA140">INDEX(#REF!,MATCH('Respuestas de formulario 1.1'!$B140,#REF!,0),MATCH('Respuestas de formulario 1.1'!DA$1,#REF!,0))</f>
        <v>#REF!</v>
      </c>
      <c r="DB140" s="45" t="e">
        <f t="array" ref="DB140">INDEX(#REF!,MATCH('Respuestas de formulario 1.1'!$B140,#REF!,0),MATCH('Respuestas de formulario 1.1'!DB$1,#REF!,0))</f>
        <v>#REF!</v>
      </c>
      <c r="DC140" s="45" t="e">
        <f t="array" ref="DC140">INDEX(#REF!,MATCH('Respuestas de formulario 1.1'!$B140,#REF!,0),MATCH('Respuestas de formulario 1.1'!DC$1,#REF!,0))</f>
        <v>#REF!</v>
      </c>
      <c r="DD140" s="45" t="e">
        <f t="array" ref="DD140">INDEX(#REF!,MATCH('Respuestas de formulario 1.1'!$B140,#REF!,0),MATCH('Respuestas de formulario 1.1'!DD$1,#REF!,0))</f>
        <v>#REF!</v>
      </c>
      <c r="DE140" s="45" t="e">
        <f t="array" ref="DE140">INDEX(#REF!,MATCH('Respuestas de formulario 1.1'!$B140,#REF!,0),MATCH('Respuestas de formulario 1.1'!DE$1,#REF!,0))</f>
        <v>#REF!</v>
      </c>
      <c r="DF140" s="45" t="e">
        <f t="array" ref="DF140">INDEX(#REF!,MATCH('Respuestas de formulario 1.1'!$B140,#REF!,0),MATCH('Respuestas de formulario 1.1'!DF$1,#REF!,0))</f>
        <v>#REF!</v>
      </c>
      <c r="DG140" s="45" t="e">
        <f t="array" ref="DG140">INDEX(#REF!,MATCH('Respuestas de formulario 1.1'!$B140,#REF!,0),MATCH('Respuestas de formulario 1.1'!DG$1,#REF!,0))</f>
        <v>#REF!</v>
      </c>
      <c r="DH140" s="45" t="e">
        <f t="array" ref="DH140">INDEX(#REF!,MATCH('Respuestas de formulario 1.1'!$B140,#REF!,0),MATCH('Respuestas de formulario 1.1'!DH$1,#REF!,0))</f>
        <v>#REF!</v>
      </c>
      <c r="DI140" s="48" t="e">
        <f>VLOOKUP(CONCATENATE($DF140," TUTO ",$DC140),#REF!,3,0)</f>
        <v>#REF!</v>
      </c>
      <c r="DJ140" s="48" t="e">
        <f t="array" ref="DJ140">IF('Respuestas de formulario 1.1'!A140="","",INDEX(#REF!,MATCH('Respuestas de formulario 1.1'!B140,#REF!,0),MATCH('Respuestas de formulario 1.1'!$DH$1,#REF!,0)))</f>
        <v>#REF!</v>
      </c>
      <c r="DK140" s="52" t="str">
        <f>CONCATENATE("http://doc.google.com/uc?id=",MID('Respuestas de formulario 1.1'!G140,34,33))</f>
        <v>http://doc.google.com/uc?id=18YCzvFNBsoVgD6MmhXhWcvPY2aq6R4dx</v>
      </c>
      <c r="DL140" s="49" t="str">
        <f>CONCATENATE("http://doc.google.com/uc?id=",MID('Respuestas de formulario 1.1'!AH140,34,33))</f>
        <v>http://doc.google.com/uc?id=127C7xpvSlkAZPel1LGmJiNSkCqapcRYu</v>
      </c>
      <c r="DM140" s="50" t="str">
        <f>CONCATENATE("http://doc.google.com/uc?id=",MID('Respuestas de formulario 1.1'!AW140,34,33))</f>
        <v>http://doc.google.com/uc?id=15EvdsIYQYffsMojGDK1SULudtZ-wTcOF</v>
      </c>
      <c r="DN140" s="53" t="str">
        <f>CONCATENATE("http://doc.google.com/uc?id=",MID('Respuestas de formulario 1.1'!$BI140,34,33))</f>
        <v>http://doc.google.com/uc?id=1EcgJVuRCp8KR8SJTQ_n0xU3QA5yX_jpX</v>
      </c>
      <c r="DO140" s="45" t="str">
        <f>IFERROR(VLOOKUP(CONCATENATE('Respuestas de formulario 1.1'!$B140,MID('Respuestas de formulario 1.1'!DO$1,2,1)),#REF!,12,0),"")</f>
        <v/>
      </c>
      <c r="DP140" s="45" t="str">
        <f>IFERROR(VLOOKUP(CONCATENATE('Respuestas de formulario 1.1'!$B140,MID('Respuestas de formulario 1.1'!DP$1,2,1)),#REF!,12,0),"")</f>
        <v/>
      </c>
      <c r="DQ140" s="45" t="str">
        <f>IFERROR(VLOOKUP(CONCATENATE('Respuestas de formulario 1.1'!$B140,MID('Respuestas de formulario 1.1'!DQ$1,2,1)),#REF!,12,0),"")</f>
        <v/>
      </c>
      <c r="DR140" s="45" t="str">
        <f>IFERROR(VLOOKUP(CONCATENATE('Respuestas de formulario 1.1'!$B140,MID('Respuestas de formulario 1.1'!DR$1,2,1)),#REF!,12,0),"")</f>
        <v/>
      </c>
      <c r="DS140" s="45" t="str">
        <f>IFERROR(VLOOKUP(CONCATENATE('Respuestas de formulario 1.1'!$B140,MID('Respuestas de formulario 1.1'!DS$1,2,1)),#REF!,12,0),"")</f>
        <v/>
      </c>
      <c r="DT140" s="45" t="str">
        <f>IFERROR(VLOOKUP(CONCATENATE('Respuestas de formulario 1.1'!$B140,MID('Respuestas de formulario 1.1'!DT$1,2,1)),#REF!,12,0),"")</f>
        <v/>
      </c>
      <c r="DU140" s="45" t="str">
        <f>IFERROR(VLOOKUP(CONCATENATE('Respuestas de formulario 1.1'!$B140,MID('Respuestas de formulario 1.1'!DU$1,2,1)),#REF!,12,0),"")</f>
        <v/>
      </c>
      <c r="DV140" s="45" t="str">
        <f>IFERROR(VLOOKUP(CONCATENATE('Respuestas de formulario 1.1'!$B140,MID('Respuestas de formulario 1.1'!DV$1,2,1)),#REF!,12,0),"")</f>
        <v/>
      </c>
      <c r="DW140" s="45" t="str">
        <f>IFERROR(VLOOKUP(CONCATENATE('Respuestas de formulario 1.1'!$B140,MID('Respuestas de formulario 1.1'!DW$1,2,1)),#REF!,12,0),"")</f>
        <v/>
      </c>
      <c r="DX140" s="45" t="str">
        <f>IFERROR(VLOOKUP(CONCATENATE('Respuestas de formulario 1.1'!$B140,MID('Respuestas de formulario 1.1'!DX$1,2,1)),#REF!,12,0),"")</f>
        <v/>
      </c>
      <c r="DY140" s="45" t="str">
        <f>IFERROR(VLOOKUP(CONCATENATE('Respuestas de formulario 1.1'!$B140,MID('Respuestas de formulario 1.1'!DY$1,2,1)),#REF!,12,0),"")</f>
        <v/>
      </c>
      <c r="DZ140" s="45" t="str">
        <f>IFERROR(VLOOKUP(CONCATENATE('Respuestas de formulario 1.1'!$B140,MID('Respuestas de formulario 1.1'!DZ$1,2,1)),#REF!,12,0),"")</f>
        <v/>
      </c>
      <c r="EA140" s="45" t="str">
        <f>IFERROR(VLOOKUP(CONCATENATE('Respuestas de formulario 1.1'!$B140,MID('Respuestas de formulario 1.1'!EA$1,2,1)),#REF!,12,0),"")</f>
        <v/>
      </c>
      <c r="EB140" s="45" t="str">
        <f>IFERROR(VLOOKUP(CONCATENATE('Respuestas de formulario 1.1'!$B140,MID('Respuestas de formulario 1.1'!EB$1,2,1)),#REF!,12,0),"")</f>
        <v/>
      </c>
      <c r="EC140" s="45" t="str">
        <f>IFERROR(VLOOKUP(CONCATENATE('Respuestas de formulario 1.1'!$B140,MID('Respuestas de formulario 1.1'!EC$1,2,1)),#REF!,12,0),"")</f>
        <v/>
      </c>
      <c r="ED140" s="45" t="str">
        <f>IFERROR(VLOOKUP(CONCATENATE('Respuestas de formulario 1.1'!$B140,MID('Respuestas de formulario 1.1'!ED$1,2,1)),#REF!,12,0),"")</f>
        <v/>
      </c>
      <c r="EE140" s="45" t="str">
        <f>IFERROR(VLOOKUP(CONCATENATE('Respuestas de formulario 1.1'!$B140,MID('Respuestas de formulario 1.1'!EE$1,2,1)),#REF!,12,0),"")</f>
        <v/>
      </c>
      <c r="EF140" s="45" t="str">
        <f>IFERROR(VLOOKUP(CONCATENATE('Respuestas de formulario 1.1'!$B140,MID('Respuestas de formulario 1.1'!EF$1,2,1)),#REF!,12,0),"")</f>
        <v/>
      </c>
      <c r="EG140" s="45" t="str">
        <f>IFERROR(VLOOKUP(CONCATENATE('Respuestas de formulario 1.1'!$B140,MID('Respuestas de formulario 1.1'!EG$1,2,1)),#REF!,12,0),"")</f>
        <v/>
      </c>
      <c r="EH140" s="45" t="str">
        <f>IFERROR(VLOOKUP(CONCATENATE('Respuestas de formulario 1.1'!$B140,MID('Respuestas de formulario 1.1'!EH$1,2,1)),#REF!,12,0),"")</f>
        <v/>
      </c>
      <c r="EI140" s="45" t="str">
        <f>IFERROR(VLOOKUP(CONCATENATE('Respuestas de formulario 1.1'!$B140,MID('Respuestas de formulario 1.1'!EI$1,2,1)),#REF!,12,0),"")</f>
        <v/>
      </c>
      <c r="EJ140" s="45" t="str">
        <f t="array" ref="EJ140">IF(DO140="","", INDEX(#REF!,MATCH(CONCATENATE('Respuestas de formulario 1.1'!$B140,DO140),#REF!,0),MATCH('Respuestas de formulario 1.1'!EJ$1,#REF!,0)))</f>
        <v/>
      </c>
      <c r="EK140" s="56" t="str">
        <f t="array" ref="EK140">IF(DP140="","", INDEX(#REF!,MATCH(CONCATENATE('Respuestas de formulario 1.1'!$B140,DP140),#REF!,0),MATCH('Respuestas de formulario 1.1'!EK$1,#REF!,0)))</f>
        <v/>
      </c>
      <c r="EL140" s="56" t="str">
        <f t="array" ref="EL140">IF(DQ140="","", INDEX(#REF!,MATCH(CONCATENATE('Respuestas de formulario 1.1'!$B140,DQ140),#REF!,0),MATCH('Respuestas de formulario 1.1'!EL$1,#REF!,0)))</f>
        <v/>
      </c>
      <c r="EM140" s="56" t="str">
        <f t="array" ref="EM140">IF(DR140="","", INDEX(#REF!,MATCH(CONCATENATE('Respuestas de formulario 1.1'!$B140,DR140),#REF!,0),MATCH('Respuestas de formulario 1.1'!EM$1,#REF!,0)))</f>
        <v/>
      </c>
      <c r="EN140" s="56" t="str">
        <f t="array" ref="EN140">IF(DS140="","", INDEX(#REF!,MATCH(CONCATENATE('Respuestas de formulario 1.1'!$B140,DS140),#REF!,0),MATCH('Respuestas de formulario 1.1'!EN$1,#REF!,0)))</f>
        <v/>
      </c>
      <c r="EO140" s="56" t="str">
        <f t="array" ref="EO140">IF(DT140="","", INDEX(#REF!,MATCH(CONCATENATE('Respuestas de formulario 1.1'!$B140,DT140),#REF!,0),MATCH('Respuestas de formulario 1.1'!EO$1,#REF!,0)))</f>
        <v/>
      </c>
      <c r="EP140" s="45" t="str">
        <f t="array" ref="EP140">IF(DU140="","", INDEX(#REF!,MATCH(CONCATENATE('Respuestas de formulario 1.1'!$B140,DU140),#REF!,0),MATCH('Respuestas de formulario 1.1'!EP$1,#REF!,0)))</f>
        <v/>
      </c>
      <c r="EQ140" s="45" t="str">
        <f t="array" ref="EQ140">IF(DP140="","", INDEX(#REF!,MATCH(CONCATENATE('Respuestas de formulario 1.1'!$B140,DP140),#REF!,0),MATCH('Respuestas de formulario 1.1'!EQ$1,#REF!,0)))</f>
        <v/>
      </c>
      <c r="ER140" s="56" t="str">
        <f t="array" ref="ER140">IF(DQ140="","", INDEX(#REF!,MATCH(CONCATENATE('Respuestas de formulario 1.1'!$B140,DQ140),#REF!,0),MATCH('Respuestas de formulario 1.1'!ER$1,#REF!,0)))</f>
        <v/>
      </c>
      <c r="ES140" s="56" t="str">
        <f t="array" ref="ES140">IF(DR140="","", INDEX(#REF!,MATCH(CONCATENATE('Respuestas de formulario 1.1'!$B140,DR140),#REF!,0),MATCH('Respuestas de formulario 1.1'!ES$1,#REF!,0)))</f>
        <v/>
      </c>
      <c r="ET140" s="56" t="str">
        <f t="array" ref="ET140">IF(DS140="","", INDEX(#REF!,MATCH(CONCATENATE('Respuestas de formulario 1.1'!$B140,DS140),#REF!,0),MATCH('Respuestas de formulario 1.1'!ET$1,#REF!,0)))</f>
        <v/>
      </c>
      <c r="EU140" s="56" t="str">
        <f t="array" ref="EU140">IF(DT140="","", INDEX(#REF!,MATCH(CONCATENATE('Respuestas de formulario 1.1'!$B140,DT140),#REF!,0),MATCH('Respuestas de formulario 1.1'!EU$1,#REF!,0)))</f>
        <v/>
      </c>
      <c r="EV140" s="56" t="str">
        <f t="array" ref="EV140">IF(DU140="","", INDEX(#REF!,MATCH(CONCATENATE('Respuestas de formulario 1.1'!$B140,DU140),#REF!,0),MATCH('Respuestas de formulario 1.1'!EV$1,#REF!,0)))</f>
        <v/>
      </c>
      <c r="EW140" s="45" t="str">
        <f t="array" ref="EW140">IF(DV140="","", INDEX(#REF!,MATCH(CONCATENATE('Respuestas de formulario 1.1'!$B140,DV140),#REF!,0),MATCH('Respuestas de formulario 1.1'!EW$1,#REF!,0)))</f>
        <v/>
      </c>
      <c r="EX140" s="45" t="str">
        <f t="array" ref="EX140">IF($DQ140="","", INDEX(#REF!,MATCH(CONCATENATE('Respuestas de formulario 1.1'!$B140,$DQ140),#REF!,0),MATCH('Respuestas de formulario 1.1'!EX$1,#REF!,0)))</f>
        <v/>
      </c>
      <c r="EY140" s="56" t="str">
        <f t="array" ref="EY140">IF($DQ140="","", INDEX(#REF!,MATCH(CONCATENATE('Respuestas de formulario 1.1'!$B140,$DQ140),#REF!,0),MATCH('Respuestas de formulario 1.1'!EY$1,#REF!,0)))</f>
        <v/>
      </c>
      <c r="EZ140" s="56" t="str">
        <f t="array" ref="EZ140">IF($DQ140="","", INDEX(#REF!,MATCH(CONCATENATE('Respuestas de formulario 1.1'!$B140,$DQ140),#REF!,0),MATCH('Respuestas de formulario 1.1'!EZ$1,#REF!,0)))</f>
        <v/>
      </c>
      <c r="FA140" s="56" t="str">
        <f t="array" ref="FA140">IF($DQ140="","", INDEX(#REF!,MATCH(CONCATENATE('Respuestas de formulario 1.1'!$B140,$DQ140),#REF!,0),MATCH('Respuestas de formulario 1.1'!FA$1,#REF!,0)))</f>
        <v/>
      </c>
      <c r="FB140" s="56" t="str">
        <f t="array" ref="FB140">IF($DQ140="","", INDEX(#REF!,MATCH(CONCATENATE('Respuestas de formulario 1.1'!$B140,$DQ140),#REF!,0),MATCH('Respuestas de formulario 1.1'!FB$1,#REF!,0)))</f>
        <v/>
      </c>
      <c r="FC140" s="56" t="str">
        <f t="array" ref="FC140">IF($DQ140="","", INDEX(#REF!,MATCH(CONCATENATE('Respuestas de formulario 1.1'!$B140,$DQ140),#REF!,0),MATCH('Respuestas de formulario 1.1'!FC$1,#REF!,0)))</f>
        <v/>
      </c>
      <c r="FD140" s="45" t="str">
        <f t="array" ref="FD140">IF($DQ140="","", INDEX(#REF!,MATCH(CONCATENATE('Respuestas de formulario 1.1'!$B140,$DQ140),#REF!,0),MATCH('Respuestas de formulario 1.1'!FD$1,#REF!,0)))</f>
        <v/>
      </c>
      <c r="FE140" s="45" t="str">
        <f t="array" ref="FE140">IF($DR140="","", INDEX(#REF!,MATCH(CONCATENATE(#REF!,$DR140),#REF!,0),MATCH(#REF!,#REF!,0)))</f>
        <v/>
      </c>
      <c r="FF140" s="56" t="str">
        <f t="array" ref="FF140">IF($DR140="","", INDEX(#REF!,MATCH(CONCATENATE(#REF!,$DR140),#REF!,0),MATCH(#REF!,#REF!,0)))</f>
        <v/>
      </c>
      <c r="FG140" s="56" t="str">
        <f t="array" ref="FG140">IF($DR140="","", INDEX(#REF!,MATCH(CONCATENATE(#REF!,$DR140),#REF!,0),MATCH(#REF!,#REF!,0)))</f>
        <v/>
      </c>
      <c r="FH140" s="56" t="str">
        <f t="array" ref="FH140">IF($DR140="","", INDEX(#REF!,MATCH(CONCATENATE(#REF!,$DR140),#REF!,0),MATCH(#REF!,#REF!,0)))</f>
        <v/>
      </c>
      <c r="FI140" s="56" t="str">
        <f t="array" ref="FI140">IF($DR140="","", INDEX(#REF!,MATCH(CONCATENATE(#REF!,$DR140),#REF!,0),MATCH(#REF!,#REF!,0)))</f>
        <v/>
      </c>
      <c r="FJ140" s="56" t="str">
        <f t="array" ref="FJ140">IF($DR140="","", INDEX(#REF!,MATCH(CONCATENATE(#REF!,$DR140),#REF!,0),MATCH(#REF!,#REF!,0)))</f>
        <v/>
      </c>
      <c r="FK140" s="45" t="str">
        <f t="array" ref="FK140">IF($DR140="","", INDEX(#REF!,MATCH(CONCATENATE(#REF!,$DR140),#REF!,0),MATCH(#REF!,#REF!,0)))</f>
        <v/>
      </c>
      <c r="FL140" s="45" t="str">
        <f t="array" ref="FL140">IF($DT140="","", INDEX(#REF!,MATCH(CONCATENATE('Respuestas de formulario 1.1'!$B140,$DS140),#REF!,0),MATCH('Respuestas de formulario 1.1'!FL$1,#REF!,0)))</f>
        <v/>
      </c>
      <c r="FM140" s="56" t="str">
        <f t="array" ref="FM140">IF($DT140="","", INDEX(#REF!,MATCH(CONCATENATE('Respuestas de formulario 1.1'!$B140,$DS140),#REF!,0),MATCH('Respuestas de formulario 1.1'!FM$1,#REF!,0)))</f>
        <v/>
      </c>
      <c r="FN140" s="56" t="str">
        <f t="array" ref="FN140">IF($DT140="","", INDEX(#REF!,MATCH(CONCATENATE('Respuestas de formulario 1.1'!$B140,$DS140),#REF!,0),MATCH('Respuestas de formulario 1.1'!FN$1,#REF!,0)))</f>
        <v/>
      </c>
      <c r="FO140" s="56" t="str">
        <f t="array" ref="FO140">IF($DT140="","", INDEX(#REF!,MATCH(CONCATENATE('Respuestas de formulario 1.1'!$B140,$DS140),#REF!,0),MATCH('Respuestas de formulario 1.1'!FO$1,#REF!,0)))</f>
        <v/>
      </c>
      <c r="FP140" s="56" t="str">
        <f t="array" ref="FP140">IF($DT140="","", INDEX(#REF!,MATCH(CONCATENATE('Respuestas de formulario 1.1'!$B140,$DS140),#REF!,0),MATCH('Respuestas de formulario 1.1'!FP$1,#REF!,0)))</f>
        <v/>
      </c>
      <c r="FQ140" s="56" t="str">
        <f t="array" ref="FQ140">IF($DT140="","", INDEX(#REF!,MATCH(CONCATENATE('Respuestas de formulario 1.1'!$B140,$DS140),#REF!,0),MATCH('Respuestas de formulario 1.1'!FQ$1,#REF!,0)))</f>
        <v/>
      </c>
      <c r="FR140" s="45" t="str">
        <f t="array" ref="FR140">IF($DT140="","", INDEX(#REF!,MATCH(CONCATENATE('Respuestas de formulario 1.1'!$B140,$DS140),#REF!,0),MATCH('Respuestas de formulario 1.1'!FR$1,#REF!,0)))</f>
        <v/>
      </c>
      <c r="FS140" s="45" t="str">
        <f t="array" ref="FS140">IF($DU140="","", INDEX(#REF!,MATCH(CONCATENATE('Respuestas de formulario 1.1'!$B140,$DT140),#REF!,0),MATCH('Respuestas de formulario 1.1'!FS$1,#REF!,0)))</f>
        <v/>
      </c>
      <c r="FT140" s="56" t="str">
        <f t="array" ref="FT140">IF($DU140="","", INDEX(#REF!,MATCH(CONCATENATE('Respuestas de formulario 1.1'!$B140,$DT140),#REF!,0),MATCH('Respuestas de formulario 1.1'!FT$1,#REF!,0)))</f>
        <v/>
      </c>
      <c r="FU140" s="56" t="str">
        <f t="array" ref="FU140">IF($DU140="","", INDEX(#REF!,MATCH(CONCATENATE('Respuestas de formulario 1.1'!$B140,$DT140),#REF!,0),MATCH('Respuestas de formulario 1.1'!FU$1,#REF!,0)))</f>
        <v/>
      </c>
      <c r="FV140" s="56" t="str">
        <f t="array" ref="FV140">IF($DU140="","", INDEX(#REF!,MATCH(CONCATENATE('Respuestas de formulario 1.1'!$B140,$DT140),#REF!,0),MATCH('Respuestas de formulario 1.1'!FV$1,#REF!,0)))</f>
        <v/>
      </c>
      <c r="FW140" s="56" t="str">
        <f t="array" ref="FW140">IF($DU140="","", INDEX(#REF!,MATCH(CONCATENATE('Respuestas de formulario 1.1'!$B140,$DT140),#REF!,0),MATCH('Respuestas de formulario 1.1'!FW$1,#REF!,0)))</f>
        <v/>
      </c>
      <c r="FX140" s="56" t="str">
        <f t="array" ref="FX140">IF($DU140="","", INDEX(#REF!,MATCH(CONCATENATE('Respuestas de formulario 1.1'!$B140,$DT140),#REF!,0),MATCH('Respuestas de formulario 1.1'!FX$1,#REF!,0)))</f>
        <v/>
      </c>
      <c r="FY140" s="45" t="str">
        <f t="array" ref="FY140">IF($DU140="","", INDEX(#REF!,MATCH(CONCATENATE('Respuestas de formulario 1.1'!$B140,$DT140),#REF!,0),MATCH('Respuestas de formulario 1.1'!FY$1,#REF!,0)))</f>
        <v/>
      </c>
      <c r="FZ140" s="3" t="s">
        <v>2860</v>
      </c>
      <c r="GA140" s="1" t="s">
        <v>5225</v>
      </c>
      <c r="GB140" s="5" t="s">
        <v>5226</v>
      </c>
      <c r="GC140" s="4" t="str">
        <f>HYPERLINK("https://drive.google.com/file/d/176rKbOAu2OfSJRjT9nrhCC5IjDrzntqa/view?usp=drivesdk","COSTILLA MALDONADO MARIA FERNANDA  Formato de reinscripción y pago 2022-2")</f>
        <v>COSTILLA MALDONADO MARIA FERNANDA  Formato de reinscripción y pago 2022-2</v>
      </c>
      <c r="GD140" s="1" t="s">
        <v>5227</v>
      </c>
      <c r="GE140" s="1"/>
      <c r="GF140" s="1"/>
      <c r="GG140" s="1"/>
      <c r="GH140" s="1"/>
      <c r="GI140" s="1" t="s">
        <v>5228</v>
      </c>
      <c r="GJ140" s="5" t="s">
        <v>5229</v>
      </c>
      <c r="GK140" s="5" t="str">
        <f>HYPERLINK("https://drive.google.com/file/d/1gIkxZwV_mIUI6Yjv8eQYZ3GlT-rrMPkh/view?usp=drivesdk","COSTILLA MALDONADO MARIA FERNANDA  Formato de reinscripción y pago 2022-2")</f>
        <v>COSTILLA MALDONADO MARIA FERNANDA  Formato de reinscripción y pago 2022-2</v>
      </c>
      <c r="GL140" s="1" t="s">
        <v>5230</v>
      </c>
    </row>
    <row r="141" spans="1:194" ht="38.25" x14ac:dyDescent="0.2">
      <c r="A141" s="2">
        <v>45139.452477569444</v>
      </c>
      <c r="B141" s="1" t="s">
        <v>1333</v>
      </c>
      <c r="C141" s="1" t="s">
        <v>244</v>
      </c>
      <c r="D141" s="1" t="s">
        <v>1278</v>
      </c>
      <c r="E141" s="1" t="s">
        <v>5231</v>
      </c>
      <c r="F141" s="1" t="s">
        <v>262</v>
      </c>
      <c r="G141" s="5" t="s">
        <v>5232</v>
      </c>
      <c r="H141" s="41">
        <v>38660</v>
      </c>
      <c r="I141" s="1">
        <v>17</v>
      </c>
      <c r="J141" s="1">
        <v>5529210480</v>
      </c>
      <c r="K141" s="1">
        <v>5592783087</v>
      </c>
      <c r="L141" s="1" t="s">
        <v>5233</v>
      </c>
      <c r="M141" s="1">
        <v>21309060570395</v>
      </c>
      <c r="N141" s="1" t="s">
        <v>1108</v>
      </c>
      <c r="O141" s="1" t="s">
        <v>247</v>
      </c>
      <c r="P141" s="1" t="s">
        <v>278</v>
      </c>
      <c r="Q141" s="1" t="s">
        <v>248</v>
      </c>
      <c r="R141" s="1" t="s">
        <v>236</v>
      </c>
      <c r="S141" s="1" t="s">
        <v>228</v>
      </c>
      <c r="T141" s="1" t="s">
        <v>229</v>
      </c>
      <c r="U141" s="1" t="s">
        <v>289</v>
      </c>
      <c r="V141" s="1" t="s">
        <v>228</v>
      </c>
      <c r="W141" s="1" t="s">
        <v>5234</v>
      </c>
      <c r="X141" s="1" t="s">
        <v>289</v>
      </c>
      <c r="Y141" s="1" t="s">
        <v>1281</v>
      </c>
      <c r="Z141" s="1" t="s">
        <v>240</v>
      </c>
      <c r="AA141" s="1">
        <v>56585</v>
      </c>
      <c r="AB141" s="44" t="s">
        <v>1277</v>
      </c>
      <c r="AC141" s="44" t="s">
        <v>5235</v>
      </c>
      <c r="AD141" s="1" t="s">
        <v>5236</v>
      </c>
      <c r="AE141" s="1" t="s">
        <v>1334</v>
      </c>
      <c r="AF141" s="1" t="s">
        <v>445</v>
      </c>
      <c r="AG141" s="1">
        <v>40</v>
      </c>
      <c r="AH141" s="5" t="s">
        <v>5237</v>
      </c>
      <c r="AI141" s="1">
        <v>5533517035</v>
      </c>
      <c r="AJ141" s="1">
        <v>5533517035</v>
      </c>
      <c r="AK141" s="1" t="s">
        <v>5238</v>
      </c>
      <c r="AL141" s="1" t="s">
        <v>1276</v>
      </c>
      <c r="AM141" s="1" t="s">
        <v>820</v>
      </c>
      <c r="AN141" s="1" t="s">
        <v>1279</v>
      </c>
      <c r="AO141" s="1" t="s">
        <v>265</v>
      </c>
      <c r="AP141" s="1">
        <v>40</v>
      </c>
      <c r="AQ141" s="1" t="s">
        <v>2602</v>
      </c>
      <c r="AR141" s="42">
        <v>0.25</v>
      </c>
      <c r="AS141" s="42">
        <v>8.3333333335758653E-2</v>
      </c>
      <c r="AT141" s="1">
        <v>5533517035</v>
      </c>
      <c r="AU141" s="1">
        <v>5533517035</v>
      </c>
      <c r="AV141" s="1" t="s">
        <v>5238</v>
      </c>
      <c r="AW141" s="5" t="s">
        <v>5239</v>
      </c>
      <c r="AX141" s="1" t="s">
        <v>1278</v>
      </c>
      <c r="AY141" s="1" t="s">
        <v>820</v>
      </c>
      <c r="AZ141" s="1" t="s">
        <v>2282</v>
      </c>
      <c r="BA141" s="1" t="s">
        <v>265</v>
      </c>
      <c r="BB141" s="1">
        <v>49</v>
      </c>
      <c r="BC141" s="1" t="s">
        <v>1976</v>
      </c>
      <c r="BD141" s="43">
        <v>0.25</v>
      </c>
      <c r="BE141" s="43">
        <v>8.3333333335758653E-2</v>
      </c>
      <c r="BF141" s="1">
        <v>5533517035</v>
      </c>
      <c r="BG141" s="1">
        <v>5533517035</v>
      </c>
      <c r="BH141" s="1" t="s">
        <v>5238</v>
      </c>
      <c r="BI141" s="5" t="s">
        <v>5240</v>
      </c>
      <c r="BJ141" s="1" t="s">
        <v>236</v>
      </c>
      <c r="BL141" s="1">
        <v>1.64</v>
      </c>
      <c r="BM141" s="1">
        <v>58</v>
      </c>
      <c r="BN141" s="1" t="s">
        <v>228</v>
      </c>
      <c r="BO141" s="1" t="s">
        <v>228</v>
      </c>
      <c r="BQ141" s="1" t="s">
        <v>228</v>
      </c>
      <c r="BR141" s="1" t="s">
        <v>237</v>
      </c>
      <c r="BS141" s="1" t="s">
        <v>228</v>
      </c>
      <c r="BT141" s="1" t="s">
        <v>237</v>
      </c>
      <c r="BU141" s="1" t="s">
        <v>228</v>
      </c>
      <c r="BW141" s="1" t="s">
        <v>238</v>
      </c>
      <c r="BX141" s="1">
        <v>120</v>
      </c>
      <c r="BY141" s="1">
        <v>46</v>
      </c>
      <c r="BZ141" s="1" t="s">
        <v>253</v>
      </c>
      <c r="CA141" s="1" t="s">
        <v>1962</v>
      </c>
      <c r="CB141" s="1" t="s">
        <v>231</v>
      </c>
      <c r="CC141" s="1" t="s">
        <v>581</v>
      </c>
      <c r="CD141" s="1">
        <v>2150</v>
      </c>
      <c r="CE141" s="1">
        <v>990</v>
      </c>
      <c r="CF141" s="1" t="s">
        <v>236</v>
      </c>
      <c r="CG141" s="1" t="s">
        <v>242</v>
      </c>
      <c r="CH141" s="1" t="s">
        <v>243</v>
      </c>
      <c r="CI141" s="1" t="s">
        <v>243</v>
      </c>
      <c r="CJ141" s="1" t="s">
        <v>2848</v>
      </c>
      <c r="CL141" s="5" t="s">
        <v>5241</v>
      </c>
      <c r="CM141" s="1">
        <v>26210504267</v>
      </c>
      <c r="CN141" s="1" t="s">
        <v>228</v>
      </c>
      <c r="CQ141" s="42">
        <v>0.25</v>
      </c>
      <c r="CR141" s="42">
        <v>8.3333333335758653E-2</v>
      </c>
      <c r="CT141" s="45" t="str">
        <f t="array" ref="CT141">IFERROR(INDEX(#REF!,MATCH('Respuestas de formulario 1.1'!$B141,#REF!,0),MATCH('Respuestas de formulario 1.1'!CT$1,#REF!,0)),"")</f>
        <v/>
      </c>
      <c r="CU141" s="56" t="str">
        <f t="array" ref="CU141">IFERROR(INDEX(#REF!,MATCH('Respuestas de formulario 1.1'!$B141,#REF!,0),MATCH('Respuestas de formulario 1.1'!CU$1,#REF!,0)),"")</f>
        <v/>
      </c>
      <c r="CV141" s="56" t="str">
        <f t="array" ref="CV141">IFERROR(INDEX(#REF!,MATCH('Respuestas de formulario 1.1'!$B141,#REF!,0),MATCH('Respuestas de formulario 1.1'!CV$1,#REF!,0)),"")</f>
        <v/>
      </c>
      <c r="CW141" s="56" t="str">
        <f t="array" ref="CW141">IFERROR(INDEX(#REF!,MATCH('Respuestas de formulario 1.1'!$B141,#REF!,0),MATCH('Respuestas de formulario 1.1'!CW$1,#REF!,0)),"")</f>
        <v/>
      </c>
      <c r="CX141" s="56" t="str">
        <f t="array" ref="CX141">IFERROR(INDEX(#REF!,MATCH('Respuestas de formulario 1.1'!$B141,#REF!,0),MATCH('Respuestas de formulario 1.1'!CX$1,#REF!,0)),"")</f>
        <v/>
      </c>
      <c r="CY141" s="56" t="str">
        <f t="array" ref="CY141">IFERROR(INDEX(#REF!,MATCH('Respuestas de formulario 1.1'!$B141,#REF!,0),MATCH('Respuestas de formulario 1.1'!CY$1,#REF!,0)),"")</f>
        <v/>
      </c>
      <c r="CZ141" s="57" t="str">
        <f t="array" ref="CZ141">IFERROR(INDEX(#REF!,MATCH('Respuestas de formulario 1.1'!$B141,#REF!,0),MATCH('Respuestas de formulario 1.1'!CZ$1,#REF!,0)),"")</f>
        <v/>
      </c>
      <c r="DA141" s="45" t="e">
        <f t="array" ref="DA141">INDEX(#REF!,MATCH('Respuestas de formulario 1.1'!$B141,#REF!,0),MATCH('Respuestas de formulario 1.1'!DA$1,#REF!,0))</f>
        <v>#REF!</v>
      </c>
      <c r="DB141" s="45" t="e">
        <f t="array" ref="DB141">INDEX(#REF!,MATCH('Respuestas de formulario 1.1'!$B141,#REF!,0),MATCH('Respuestas de formulario 1.1'!DB$1,#REF!,0))</f>
        <v>#REF!</v>
      </c>
      <c r="DC141" s="45" t="e">
        <f t="array" ref="DC141">INDEX(#REF!,MATCH('Respuestas de formulario 1.1'!$B141,#REF!,0),MATCH('Respuestas de formulario 1.1'!DC$1,#REF!,0))</f>
        <v>#REF!</v>
      </c>
      <c r="DD141" s="45" t="e">
        <f t="array" ref="DD141">INDEX(#REF!,MATCH('Respuestas de formulario 1.1'!$B141,#REF!,0),MATCH('Respuestas de formulario 1.1'!DD$1,#REF!,0))</f>
        <v>#REF!</v>
      </c>
      <c r="DE141" s="45" t="e">
        <f t="array" ref="DE141">INDEX(#REF!,MATCH('Respuestas de formulario 1.1'!$B141,#REF!,0),MATCH('Respuestas de formulario 1.1'!DE$1,#REF!,0))</f>
        <v>#REF!</v>
      </c>
      <c r="DF141" s="45" t="e">
        <f t="array" ref="DF141">INDEX(#REF!,MATCH('Respuestas de formulario 1.1'!$B141,#REF!,0),MATCH('Respuestas de formulario 1.1'!DF$1,#REF!,0))</f>
        <v>#REF!</v>
      </c>
      <c r="DG141" s="45" t="e">
        <f t="array" ref="DG141">INDEX(#REF!,MATCH('Respuestas de formulario 1.1'!$B141,#REF!,0),MATCH('Respuestas de formulario 1.1'!DG$1,#REF!,0))</f>
        <v>#REF!</v>
      </c>
      <c r="DH141" s="45" t="e">
        <f t="array" ref="DH141">INDEX(#REF!,MATCH('Respuestas de formulario 1.1'!$B141,#REF!,0),MATCH('Respuestas de formulario 1.1'!DH$1,#REF!,0))</f>
        <v>#REF!</v>
      </c>
      <c r="DI141" s="48" t="e">
        <f>VLOOKUP(CONCATENATE($DF141," TUTO ",$DC141),#REF!,3,0)</f>
        <v>#REF!</v>
      </c>
      <c r="DJ141" s="48" t="e">
        <f t="array" ref="DJ141">IF('Respuestas de formulario 1.1'!A141="","",INDEX(#REF!,MATCH('Respuestas de formulario 1.1'!B141,#REF!,0),MATCH('Respuestas de formulario 1.1'!$DH$1,#REF!,0)))</f>
        <v>#REF!</v>
      </c>
      <c r="DK141" s="52" t="str">
        <f>CONCATENATE("http://doc.google.com/uc?id=",MID('Respuestas de formulario 1.1'!G141,34,33))</f>
        <v>http://doc.google.com/uc?id=18ymTdoJAEKE6Dg6o6xf4c7sH5XY5-yCe</v>
      </c>
      <c r="DL141" s="49" t="str">
        <f>CONCATENATE("http://doc.google.com/uc?id=",MID('Respuestas de formulario 1.1'!AH141,34,33))</f>
        <v>http://doc.google.com/uc?id=11LcO7gZqJdnIfvkfD9eVgTd94aICX1i6</v>
      </c>
      <c r="DM141" s="50" t="str">
        <f>CONCATENATE("http://doc.google.com/uc?id=",MID('Respuestas de formulario 1.1'!AW141,34,33))</f>
        <v>http://doc.google.com/uc?id=1BjEtuAIKsrfWxtNxGiaxZFtX_e1f_FNu</v>
      </c>
      <c r="DN141" s="53" t="str">
        <f>CONCATENATE("http://doc.google.com/uc?id=",MID('Respuestas de formulario 1.1'!$BI141,34,33))</f>
        <v>http://doc.google.com/uc?id=1GqNsZNHNOEl76FUMA6SlXANb59R1w4XW</v>
      </c>
      <c r="DO141" s="45" t="str">
        <f>IFERROR(VLOOKUP(CONCATENATE('Respuestas de formulario 1.1'!$B141,MID('Respuestas de formulario 1.1'!DO$1,2,1)),#REF!,12,0),"")</f>
        <v/>
      </c>
      <c r="DP141" s="45" t="str">
        <f>IFERROR(VLOOKUP(CONCATENATE('Respuestas de formulario 1.1'!$B141,MID('Respuestas de formulario 1.1'!DP$1,2,1)),#REF!,12,0),"")</f>
        <v/>
      </c>
      <c r="DQ141" s="45" t="str">
        <f>IFERROR(VLOOKUP(CONCATENATE('Respuestas de formulario 1.1'!$B141,MID('Respuestas de formulario 1.1'!DQ$1,2,1)),#REF!,12,0),"")</f>
        <v/>
      </c>
      <c r="DR141" s="45" t="str">
        <f>IFERROR(VLOOKUP(CONCATENATE('Respuestas de formulario 1.1'!$B141,MID('Respuestas de formulario 1.1'!DR$1,2,1)),#REF!,12,0),"")</f>
        <v/>
      </c>
      <c r="DS141" s="45" t="str">
        <f>IFERROR(VLOOKUP(CONCATENATE('Respuestas de formulario 1.1'!$B141,MID('Respuestas de formulario 1.1'!DS$1,2,1)),#REF!,12,0),"")</f>
        <v/>
      </c>
      <c r="DT141" s="45" t="str">
        <f>IFERROR(VLOOKUP(CONCATENATE('Respuestas de formulario 1.1'!$B141,MID('Respuestas de formulario 1.1'!DT$1,2,1)),#REF!,12,0),"")</f>
        <v/>
      </c>
      <c r="DU141" s="45" t="str">
        <f>IFERROR(VLOOKUP(CONCATENATE('Respuestas de formulario 1.1'!$B141,MID('Respuestas de formulario 1.1'!DU$1,2,1)),#REF!,12,0),"")</f>
        <v/>
      </c>
      <c r="DV141" s="45" t="str">
        <f>IFERROR(VLOOKUP(CONCATENATE('Respuestas de formulario 1.1'!$B141,MID('Respuestas de formulario 1.1'!DV$1,2,1)),#REF!,12,0),"")</f>
        <v/>
      </c>
      <c r="DW141" s="45" t="str">
        <f>IFERROR(VLOOKUP(CONCATENATE('Respuestas de formulario 1.1'!$B141,MID('Respuestas de formulario 1.1'!DW$1,2,1)),#REF!,12,0),"")</f>
        <v/>
      </c>
      <c r="DX141" s="45" t="str">
        <f>IFERROR(VLOOKUP(CONCATENATE('Respuestas de formulario 1.1'!$B141,MID('Respuestas de formulario 1.1'!DX$1,2,1)),#REF!,12,0),"")</f>
        <v/>
      </c>
      <c r="DY141" s="45" t="str">
        <f>IFERROR(VLOOKUP(CONCATENATE('Respuestas de formulario 1.1'!$B141,MID('Respuestas de formulario 1.1'!DY$1,2,1)),#REF!,12,0),"")</f>
        <v/>
      </c>
      <c r="DZ141" s="45" t="str">
        <f>IFERROR(VLOOKUP(CONCATENATE('Respuestas de formulario 1.1'!$B141,MID('Respuestas de formulario 1.1'!DZ$1,2,1)),#REF!,12,0),"")</f>
        <v/>
      </c>
      <c r="EA141" s="45" t="str">
        <f>IFERROR(VLOOKUP(CONCATENATE('Respuestas de formulario 1.1'!$B141,MID('Respuestas de formulario 1.1'!EA$1,2,1)),#REF!,12,0),"")</f>
        <v/>
      </c>
      <c r="EB141" s="45" t="str">
        <f>IFERROR(VLOOKUP(CONCATENATE('Respuestas de formulario 1.1'!$B141,MID('Respuestas de formulario 1.1'!EB$1,2,1)),#REF!,12,0),"")</f>
        <v/>
      </c>
      <c r="EC141" s="45" t="str">
        <f>IFERROR(VLOOKUP(CONCATENATE('Respuestas de formulario 1.1'!$B141,MID('Respuestas de formulario 1.1'!EC$1,2,1)),#REF!,12,0),"")</f>
        <v/>
      </c>
      <c r="ED141" s="45" t="str">
        <f>IFERROR(VLOOKUP(CONCATENATE('Respuestas de formulario 1.1'!$B141,MID('Respuestas de formulario 1.1'!ED$1,2,1)),#REF!,12,0),"")</f>
        <v/>
      </c>
      <c r="EE141" s="45" t="str">
        <f>IFERROR(VLOOKUP(CONCATENATE('Respuestas de formulario 1.1'!$B141,MID('Respuestas de formulario 1.1'!EE$1,2,1)),#REF!,12,0),"")</f>
        <v/>
      </c>
      <c r="EF141" s="45" t="str">
        <f>IFERROR(VLOOKUP(CONCATENATE('Respuestas de formulario 1.1'!$B141,MID('Respuestas de formulario 1.1'!EF$1,2,1)),#REF!,12,0),"")</f>
        <v/>
      </c>
      <c r="EG141" s="45" t="str">
        <f>IFERROR(VLOOKUP(CONCATENATE('Respuestas de formulario 1.1'!$B141,MID('Respuestas de formulario 1.1'!EG$1,2,1)),#REF!,12,0),"")</f>
        <v/>
      </c>
      <c r="EH141" s="45" t="str">
        <f>IFERROR(VLOOKUP(CONCATENATE('Respuestas de formulario 1.1'!$B141,MID('Respuestas de formulario 1.1'!EH$1,2,1)),#REF!,12,0),"")</f>
        <v/>
      </c>
      <c r="EI141" s="45" t="str">
        <f>IFERROR(VLOOKUP(CONCATENATE('Respuestas de formulario 1.1'!$B141,MID('Respuestas de formulario 1.1'!EI$1,2,1)),#REF!,12,0),"")</f>
        <v/>
      </c>
      <c r="EJ141" s="45" t="str">
        <f t="array" ref="EJ141">IF(DO141="","", INDEX(#REF!,MATCH(CONCATENATE('Respuestas de formulario 1.1'!$B141,DO141),#REF!,0),MATCH('Respuestas de formulario 1.1'!EJ$1,#REF!,0)))</f>
        <v/>
      </c>
      <c r="EK141" s="56" t="str">
        <f t="array" ref="EK141">IF(DP141="","", INDEX(#REF!,MATCH(CONCATENATE('Respuestas de formulario 1.1'!$B141,DP141),#REF!,0),MATCH('Respuestas de formulario 1.1'!EK$1,#REF!,0)))</f>
        <v/>
      </c>
      <c r="EL141" s="56" t="str">
        <f t="array" ref="EL141">IF(DQ141="","", INDEX(#REF!,MATCH(CONCATENATE('Respuestas de formulario 1.1'!$B141,DQ141),#REF!,0),MATCH('Respuestas de formulario 1.1'!EL$1,#REF!,0)))</f>
        <v/>
      </c>
      <c r="EM141" s="56" t="str">
        <f t="array" ref="EM141">IF(DR141="","", INDEX(#REF!,MATCH(CONCATENATE('Respuestas de formulario 1.1'!$B141,DR141),#REF!,0),MATCH('Respuestas de formulario 1.1'!EM$1,#REF!,0)))</f>
        <v/>
      </c>
      <c r="EN141" s="56" t="str">
        <f t="array" ref="EN141">IF(DS141="","", INDEX(#REF!,MATCH(CONCATENATE('Respuestas de formulario 1.1'!$B141,DS141),#REF!,0),MATCH('Respuestas de formulario 1.1'!EN$1,#REF!,0)))</f>
        <v/>
      </c>
      <c r="EO141" s="56" t="str">
        <f t="array" ref="EO141">IF(DT141="","", INDEX(#REF!,MATCH(CONCATENATE('Respuestas de formulario 1.1'!$B141,DT141),#REF!,0),MATCH('Respuestas de formulario 1.1'!EO$1,#REF!,0)))</f>
        <v/>
      </c>
      <c r="EP141" s="45" t="str">
        <f t="array" ref="EP141">IF(DU141="","", INDEX(#REF!,MATCH(CONCATENATE('Respuestas de formulario 1.1'!$B141,DU141),#REF!,0),MATCH('Respuestas de formulario 1.1'!EP$1,#REF!,0)))</f>
        <v/>
      </c>
      <c r="EQ141" s="45" t="str">
        <f t="array" ref="EQ141">IF(DP141="","", INDEX(#REF!,MATCH(CONCATENATE('Respuestas de formulario 1.1'!$B141,DP141),#REF!,0),MATCH('Respuestas de formulario 1.1'!EQ$1,#REF!,0)))</f>
        <v/>
      </c>
      <c r="ER141" s="56" t="str">
        <f t="array" ref="ER141">IF(DQ141="","", INDEX(#REF!,MATCH(CONCATENATE('Respuestas de formulario 1.1'!$B141,DQ141),#REF!,0),MATCH('Respuestas de formulario 1.1'!ER$1,#REF!,0)))</f>
        <v/>
      </c>
      <c r="ES141" s="56" t="str">
        <f t="array" ref="ES141">IF(DR141="","", INDEX(#REF!,MATCH(CONCATENATE('Respuestas de formulario 1.1'!$B141,DR141),#REF!,0),MATCH('Respuestas de formulario 1.1'!ES$1,#REF!,0)))</f>
        <v/>
      </c>
      <c r="ET141" s="56" t="str">
        <f t="array" ref="ET141">IF(DS141="","", INDEX(#REF!,MATCH(CONCATENATE('Respuestas de formulario 1.1'!$B141,DS141),#REF!,0),MATCH('Respuestas de formulario 1.1'!ET$1,#REF!,0)))</f>
        <v/>
      </c>
      <c r="EU141" s="56" t="str">
        <f t="array" ref="EU141">IF(DT141="","", INDEX(#REF!,MATCH(CONCATENATE('Respuestas de formulario 1.1'!$B141,DT141),#REF!,0),MATCH('Respuestas de formulario 1.1'!EU$1,#REF!,0)))</f>
        <v/>
      </c>
      <c r="EV141" s="56" t="str">
        <f t="array" ref="EV141">IF(DU141="","", INDEX(#REF!,MATCH(CONCATENATE('Respuestas de formulario 1.1'!$B141,DU141),#REF!,0),MATCH('Respuestas de formulario 1.1'!EV$1,#REF!,0)))</f>
        <v/>
      </c>
      <c r="EW141" s="45" t="str">
        <f t="array" ref="EW141">IF(DV141="","", INDEX(#REF!,MATCH(CONCATENATE('Respuestas de formulario 1.1'!$B141,DV141),#REF!,0),MATCH('Respuestas de formulario 1.1'!EW$1,#REF!,0)))</f>
        <v/>
      </c>
      <c r="EX141" s="45" t="str">
        <f t="array" ref="EX141">IF($DQ141="","", INDEX(#REF!,MATCH(CONCATENATE('Respuestas de formulario 1.1'!$B141,$DQ141),#REF!,0),MATCH('Respuestas de formulario 1.1'!EX$1,#REF!,0)))</f>
        <v/>
      </c>
      <c r="EY141" s="56" t="str">
        <f t="array" ref="EY141">IF($DQ141="","", INDEX(#REF!,MATCH(CONCATENATE('Respuestas de formulario 1.1'!$B141,$DQ141),#REF!,0),MATCH('Respuestas de formulario 1.1'!EY$1,#REF!,0)))</f>
        <v/>
      </c>
      <c r="EZ141" s="56" t="str">
        <f t="array" ref="EZ141">IF($DQ141="","", INDEX(#REF!,MATCH(CONCATENATE('Respuestas de formulario 1.1'!$B141,$DQ141),#REF!,0),MATCH('Respuestas de formulario 1.1'!EZ$1,#REF!,0)))</f>
        <v/>
      </c>
      <c r="FA141" s="56" t="str">
        <f t="array" ref="FA141">IF($DQ141="","", INDEX(#REF!,MATCH(CONCATENATE('Respuestas de formulario 1.1'!$B141,$DQ141),#REF!,0),MATCH('Respuestas de formulario 1.1'!FA$1,#REF!,0)))</f>
        <v/>
      </c>
      <c r="FB141" s="56" t="str">
        <f t="array" ref="FB141">IF($DQ141="","", INDEX(#REF!,MATCH(CONCATENATE('Respuestas de formulario 1.1'!$B141,$DQ141),#REF!,0),MATCH('Respuestas de formulario 1.1'!FB$1,#REF!,0)))</f>
        <v/>
      </c>
      <c r="FC141" s="56" t="str">
        <f t="array" ref="FC141">IF($DQ141="","", INDEX(#REF!,MATCH(CONCATENATE('Respuestas de formulario 1.1'!$B141,$DQ141),#REF!,0),MATCH('Respuestas de formulario 1.1'!FC$1,#REF!,0)))</f>
        <v/>
      </c>
      <c r="FD141" s="45" t="str">
        <f t="array" ref="FD141">IF($DQ141="","", INDEX(#REF!,MATCH(CONCATENATE('Respuestas de formulario 1.1'!$B141,$DQ141),#REF!,0),MATCH('Respuestas de formulario 1.1'!FD$1,#REF!,0)))</f>
        <v/>
      </c>
      <c r="FE141" s="45" t="str">
        <f t="array" ref="FE141">IF($DR141="","", INDEX(#REF!,MATCH(CONCATENATE(#REF!,$DR141),#REF!,0),MATCH(#REF!,#REF!,0)))</f>
        <v/>
      </c>
      <c r="FF141" s="56" t="str">
        <f t="array" ref="FF141">IF($DR141="","", INDEX(#REF!,MATCH(CONCATENATE(#REF!,$DR141),#REF!,0),MATCH(#REF!,#REF!,0)))</f>
        <v/>
      </c>
      <c r="FG141" s="56" t="str">
        <f t="array" ref="FG141">IF($DR141="","", INDEX(#REF!,MATCH(CONCATENATE(#REF!,$DR141),#REF!,0),MATCH(#REF!,#REF!,0)))</f>
        <v/>
      </c>
      <c r="FH141" s="56" t="str">
        <f t="array" ref="FH141">IF($DR141="","", INDEX(#REF!,MATCH(CONCATENATE(#REF!,$DR141),#REF!,0),MATCH(#REF!,#REF!,0)))</f>
        <v/>
      </c>
      <c r="FI141" s="56" t="str">
        <f t="array" ref="FI141">IF($DR141="","", INDEX(#REF!,MATCH(CONCATENATE(#REF!,$DR141),#REF!,0),MATCH(#REF!,#REF!,0)))</f>
        <v/>
      </c>
      <c r="FJ141" s="56" t="str">
        <f t="array" ref="FJ141">IF($DR141="","", INDEX(#REF!,MATCH(CONCATENATE(#REF!,$DR141),#REF!,0),MATCH(#REF!,#REF!,0)))</f>
        <v/>
      </c>
      <c r="FK141" s="45" t="str">
        <f t="array" ref="FK141">IF($DR141="","", INDEX(#REF!,MATCH(CONCATENATE(#REF!,$DR141),#REF!,0),MATCH(#REF!,#REF!,0)))</f>
        <v/>
      </c>
      <c r="FL141" s="45" t="str">
        <f t="array" ref="FL141">IF($DT141="","", INDEX(#REF!,MATCH(CONCATENATE('Respuestas de formulario 1.1'!$B141,$DS141),#REF!,0),MATCH('Respuestas de formulario 1.1'!FL$1,#REF!,0)))</f>
        <v/>
      </c>
      <c r="FM141" s="56" t="str">
        <f t="array" ref="FM141">IF($DT141="","", INDEX(#REF!,MATCH(CONCATENATE('Respuestas de formulario 1.1'!$B141,$DS141),#REF!,0),MATCH('Respuestas de formulario 1.1'!FM$1,#REF!,0)))</f>
        <v/>
      </c>
      <c r="FN141" s="56" t="str">
        <f t="array" ref="FN141">IF($DT141="","", INDEX(#REF!,MATCH(CONCATENATE('Respuestas de formulario 1.1'!$B141,$DS141),#REF!,0),MATCH('Respuestas de formulario 1.1'!FN$1,#REF!,0)))</f>
        <v/>
      </c>
      <c r="FO141" s="56" t="str">
        <f t="array" ref="FO141">IF($DT141="","", INDEX(#REF!,MATCH(CONCATENATE('Respuestas de formulario 1.1'!$B141,$DS141),#REF!,0),MATCH('Respuestas de formulario 1.1'!FO$1,#REF!,0)))</f>
        <v/>
      </c>
      <c r="FP141" s="56" t="str">
        <f t="array" ref="FP141">IF($DT141="","", INDEX(#REF!,MATCH(CONCATENATE('Respuestas de formulario 1.1'!$B141,$DS141),#REF!,0),MATCH('Respuestas de formulario 1.1'!FP$1,#REF!,0)))</f>
        <v/>
      </c>
      <c r="FQ141" s="56" t="str">
        <f t="array" ref="FQ141">IF($DT141="","", INDEX(#REF!,MATCH(CONCATENATE('Respuestas de formulario 1.1'!$B141,$DS141),#REF!,0),MATCH('Respuestas de formulario 1.1'!FQ$1,#REF!,0)))</f>
        <v/>
      </c>
      <c r="FR141" s="45" t="str">
        <f t="array" ref="FR141">IF($DT141="","", INDEX(#REF!,MATCH(CONCATENATE('Respuestas de formulario 1.1'!$B141,$DS141),#REF!,0),MATCH('Respuestas de formulario 1.1'!FR$1,#REF!,0)))</f>
        <v/>
      </c>
      <c r="FS141" s="45" t="str">
        <f t="array" ref="FS141">IF($DU141="","", INDEX(#REF!,MATCH(CONCATENATE('Respuestas de formulario 1.1'!$B141,$DT141),#REF!,0),MATCH('Respuestas de formulario 1.1'!FS$1,#REF!,0)))</f>
        <v/>
      </c>
      <c r="FT141" s="56" t="str">
        <f t="array" ref="FT141">IF($DU141="","", INDEX(#REF!,MATCH(CONCATENATE('Respuestas de formulario 1.1'!$B141,$DT141),#REF!,0),MATCH('Respuestas de formulario 1.1'!FT$1,#REF!,0)))</f>
        <v/>
      </c>
      <c r="FU141" s="56" t="str">
        <f t="array" ref="FU141">IF($DU141="","", INDEX(#REF!,MATCH(CONCATENATE('Respuestas de formulario 1.1'!$B141,$DT141),#REF!,0),MATCH('Respuestas de formulario 1.1'!FU$1,#REF!,0)))</f>
        <v/>
      </c>
      <c r="FV141" s="56" t="str">
        <f t="array" ref="FV141">IF($DU141="","", INDEX(#REF!,MATCH(CONCATENATE('Respuestas de formulario 1.1'!$B141,$DT141),#REF!,0),MATCH('Respuestas de formulario 1.1'!FV$1,#REF!,0)))</f>
        <v/>
      </c>
      <c r="FW141" s="56" t="str">
        <f t="array" ref="FW141">IF($DU141="","", INDEX(#REF!,MATCH(CONCATENATE('Respuestas de formulario 1.1'!$B141,$DT141),#REF!,0),MATCH('Respuestas de formulario 1.1'!FW$1,#REF!,0)))</f>
        <v/>
      </c>
      <c r="FX141" s="56" t="str">
        <f t="array" ref="FX141">IF($DU141="","", INDEX(#REF!,MATCH(CONCATENATE('Respuestas de formulario 1.1'!$B141,$DT141),#REF!,0),MATCH('Respuestas de formulario 1.1'!FX$1,#REF!,0)))</f>
        <v/>
      </c>
      <c r="FY141" s="45" t="str">
        <f t="array" ref="FY141">IF($DU141="","", INDEX(#REF!,MATCH(CONCATENATE('Respuestas de formulario 1.1'!$B141,$DT141),#REF!,0),MATCH('Respuestas de formulario 1.1'!FY$1,#REF!,0)))</f>
        <v/>
      </c>
      <c r="FZ141" s="3" t="s">
        <v>2860</v>
      </c>
      <c r="GA141" s="1" t="s">
        <v>5242</v>
      </c>
      <c r="GB141" s="5" t="s">
        <v>5243</v>
      </c>
      <c r="GC141" s="4" t="str">
        <f>HYPERLINK("https://drive.google.com/file/d/122XoQnoZNrSbM8rROkddelyzFhy-9Lk6/view?usp=drivesdk","HERNANDEZ MONTESINOS FRANCISCO URIEL Formato de reinscripción y pago 2022-2")</f>
        <v>HERNANDEZ MONTESINOS FRANCISCO URIEL Formato de reinscripción y pago 2022-2</v>
      </c>
      <c r="GD141" s="1" t="s">
        <v>5244</v>
      </c>
      <c r="GE141" s="1"/>
      <c r="GF141" s="1"/>
      <c r="GG141" s="1"/>
      <c r="GH141" s="1"/>
      <c r="GI141" s="1" t="s">
        <v>5245</v>
      </c>
      <c r="GJ141" s="5" t="s">
        <v>5246</v>
      </c>
      <c r="GK141" s="5" t="str">
        <f>HYPERLINK("https://drive.google.com/file/d/19bpznPSiBZfWXt3i6vSkzuichGwaVAUX/view?usp=drivesdk","HERNANDEZ MONTESINOS FRANCISCO URIEL Formato de reinscripción y pago 2022-2")</f>
        <v>HERNANDEZ MONTESINOS FRANCISCO URIEL Formato de reinscripción y pago 2022-2</v>
      </c>
      <c r="GL141" s="1" t="s">
        <v>5247</v>
      </c>
    </row>
    <row r="142" spans="1:194" ht="38.25" x14ac:dyDescent="0.2">
      <c r="A142" s="2">
        <v>45139.45330927083</v>
      </c>
      <c r="B142" s="1" t="s">
        <v>52</v>
      </c>
      <c r="C142" s="1" t="s">
        <v>1058</v>
      </c>
      <c r="D142" s="1" t="s">
        <v>392</v>
      </c>
      <c r="E142" s="1" t="s">
        <v>5248</v>
      </c>
      <c r="F142" s="1" t="s">
        <v>262</v>
      </c>
      <c r="G142" s="5" t="s">
        <v>5249</v>
      </c>
      <c r="H142" s="41">
        <v>39373</v>
      </c>
      <c r="I142" s="1">
        <v>15</v>
      </c>
      <c r="J142" s="1">
        <v>5511188649</v>
      </c>
      <c r="K142" s="1">
        <v>5593075948</v>
      </c>
      <c r="L142" s="1" t="s">
        <v>1888</v>
      </c>
      <c r="M142" s="1">
        <v>22309060570444</v>
      </c>
      <c r="N142" s="1" t="s">
        <v>562</v>
      </c>
      <c r="O142" s="1" t="s">
        <v>247</v>
      </c>
      <c r="P142" s="1" t="s">
        <v>226</v>
      </c>
      <c r="Q142" s="1" t="s">
        <v>248</v>
      </c>
      <c r="R142" s="1" t="s">
        <v>236</v>
      </c>
      <c r="S142" s="1" t="s">
        <v>236</v>
      </c>
      <c r="T142" s="1" t="s">
        <v>411</v>
      </c>
      <c r="U142" s="1" t="s">
        <v>394</v>
      </c>
      <c r="V142" s="1" t="s">
        <v>228</v>
      </c>
      <c r="W142" s="1" t="s">
        <v>5250</v>
      </c>
      <c r="X142" s="1" t="s">
        <v>5251</v>
      </c>
      <c r="Y142" s="1" t="s">
        <v>2374</v>
      </c>
      <c r="Z142" s="1" t="s">
        <v>231</v>
      </c>
      <c r="AA142" s="1">
        <v>56495</v>
      </c>
      <c r="AB142" s="1" t="s">
        <v>2550</v>
      </c>
      <c r="AC142" s="1" t="s">
        <v>1803</v>
      </c>
      <c r="AD142" s="1" t="s">
        <v>5252</v>
      </c>
      <c r="AE142" s="1" t="s">
        <v>5253</v>
      </c>
      <c r="AF142" s="1" t="s">
        <v>265</v>
      </c>
      <c r="AG142" s="1">
        <v>44</v>
      </c>
      <c r="AH142" s="5" t="s">
        <v>5254</v>
      </c>
      <c r="AI142" s="1">
        <v>5530010869</v>
      </c>
      <c r="AJ142" s="1">
        <v>5593075948</v>
      </c>
      <c r="AK142" s="1" t="s">
        <v>5255</v>
      </c>
      <c r="AL142" s="1" t="s">
        <v>1058</v>
      </c>
      <c r="AM142" s="1" t="s">
        <v>671</v>
      </c>
      <c r="AN142" s="1" t="s">
        <v>1889</v>
      </c>
      <c r="AO142" s="1" t="s">
        <v>435</v>
      </c>
      <c r="AP142" s="1">
        <v>64</v>
      </c>
      <c r="AQ142" s="1" t="s">
        <v>1536</v>
      </c>
      <c r="AR142" s="42">
        <v>0.33333333333575865</v>
      </c>
      <c r="AS142" s="42">
        <v>0.25</v>
      </c>
      <c r="AT142" s="1">
        <v>4761400889</v>
      </c>
      <c r="AU142" s="1">
        <v>5593075948</v>
      </c>
      <c r="AV142" s="1" t="s">
        <v>1890</v>
      </c>
      <c r="AW142" s="5" t="s">
        <v>5256</v>
      </c>
      <c r="AX142" s="1" t="s">
        <v>1058</v>
      </c>
      <c r="AY142" s="1" t="s">
        <v>244</v>
      </c>
      <c r="AZ142" s="1" t="s">
        <v>5257</v>
      </c>
      <c r="BA142" s="1" t="s">
        <v>488</v>
      </c>
      <c r="BB142" s="1">
        <v>21</v>
      </c>
      <c r="BC142" s="1" t="s">
        <v>1536</v>
      </c>
      <c r="BD142" s="43">
        <v>0.41666666666424135</v>
      </c>
      <c r="BE142" s="43">
        <v>0.29166666666424135</v>
      </c>
      <c r="BF142" s="1">
        <v>5530010869</v>
      </c>
      <c r="BG142" s="1">
        <v>5593075948</v>
      </c>
      <c r="BH142" s="1" t="s">
        <v>5258</v>
      </c>
      <c r="BI142" s="5" t="s">
        <v>5259</v>
      </c>
      <c r="BJ142" s="1" t="s">
        <v>236</v>
      </c>
      <c r="BL142" s="1">
        <v>168</v>
      </c>
      <c r="BM142" s="1">
        <v>55</v>
      </c>
      <c r="BN142" s="1" t="s">
        <v>228</v>
      </c>
      <c r="BO142" s="1" t="s">
        <v>228</v>
      </c>
      <c r="BQ142" s="1" t="s">
        <v>228</v>
      </c>
      <c r="BR142" s="1" t="s">
        <v>237</v>
      </c>
      <c r="BS142" s="1" t="s">
        <v>236</v>
      </c>
      <c r="BT142" s="1" t="s">
        <v>331</v>
      </c>
      <c r="BU142" s="1" t="s">
        <v>228</v>
      </c>
      <c r="BW142" s="1" t="s">
        <v>238</v>
      </c>
      <c r="BX142" s="1">
        <v>90</v>
      </c>
      <c r="BY142" s="1">
        <v>120</v>
      </c>
      <c r="BZ142" s="1" t="s">
        <v>478</v>
      </c>
      <c r="CA142" s="1" t="s">
        <v>2702</v>
      </c>
      <c r="CB142" s="1" t="s">
        <v>240</v>
      </c>
      <c r="CC142" s="1" t="s">
        <v>274</v>
      </c>
      <c r="CD142" s="1">
        <v>500</v>
      </c>
      <c r="CE142" s="1">
        <v>1200</v>
      </c>
      <c r="CF142" s="1" t="s">
        <v>236</v>
      </c>
      <c r="CG142" s="1" t="s">
        <v>323</v>
      </c>
      <c r="CH142" s="1" t="s">
        <v>243</v>
      </c>
      <c r="CI142" s="1" t="s">
        <v>243</v>
      </c>
      <c r="CJ142" s="1" t="s">
        <v>2848</v>
      </c>
      <c r="CL142" s="5" t="s">
        <v>5260</v>
      </c>
      <c r="CM142" s="1">
        <v>11220739335</v>
      </c>
      <c r="CN142" s="1" t="s">
        <v>228</v>
      </c>
      <c r="CQ142" s="42">
        <v>0.33333333333575865</v>
      </c>
      <c r="CR142" s="42">
        <v>0.35416666666424135</v>
      </c>
      <c r="CT142" s="45" t="str">
        <f t="array" ref="CT142">IFERROR(INDEX(#REF!,MATCH('Respuestas de formulario 1.1'!$B142,#REF!,0),MATCH('Respuestas de formulario 1.1'!CT$1,#REF!,0)),"")</f>
        <v/>
      </c>
      <c r="CU142" s="56" t="str">
        <f t="array" ref="CU142">IFERROR(INDEX(#REF!,MATCH('Respuestas de formulario 1.1'!$B142,#REF!,0),MATCH('Respuestas de formulario 1.1'!CU$1,#REF!,0)),"")</f>
        <v/>
      </c>
      <c r="CV142" s="56" t="str">
        <f t="array" ref="CV142">IFERROR(INDEX(#REF!,MATCH('Respuestas de formulario 1.1'!$B142,#REF!,0),MATCH('Respuestas de formulario 1.1'!CV$1,#REF!,0)),"")</f>
        <v/>
      </c>
      <c r="CW142" s="56" t="str">
        <f t="array" ref="CW142">IFERROR(INDEX(#REF!,MATCH('Respuestas de formulario 1.1'!$B142,#REF!,0),MATCH('Respuestas de formulario 1.1'!CW$1,#REF!,0)),"")</f>
        <v/>
      </c>
      <c r="CX142" s="56" t="str">
        <f t="array" ref="CX142">IFERROR(INDEX(#REF!,MATCH('Respuestas de formulario 1.1'!$B142,#REF!,0),MATCH('Respuestas de formulario 1.1'!CX$1,#REF!,0)),"")</f>
        <v/>
      </c>
      <c r="CY142" s="56" t="str">
        <f t="array" ref="CY142">IFERROR(INDEX(#REF!,MATCH('Respuestas de formulario 1.1'!$B142,#REF!,0),MATCH('Respuestas de formulario 1.1'!CY$1,#REF!,0)),"")</f>
        <v/>
      </c>
      <c r="CZ142" s="57" t="str">
        <f t="array" ref="CZ142">IFERROR(INDEX(#REF!,MATCH('Respuestas de formulario 1.1'!$B142,#REF!,0),MATCH('Respuestas de formulario 1.1'!CZ$1,#REF!,0)),"")</f>
        <v/>
      </c>
      <c r="DA142" s="45" t="e">
        <f t="array" ref="DA142">INDEX(#REF!,MATCH('Respuestas de formulario 1.1'!$B142,#REF!,0),MATCH('Respuestas de formulario 1.1'!DA$1,#REF!,0))</f>
        <v>#REF!</v>
      </c>
      <c r="DB142" s="45" t="e">
        <f t="array" ref="DB142">INDEX(#REF!,MATCH('Respuestas de formulario 1.1'!$B142,#REF!,0),MATCH('Respuestas de formulario 1.1'!DB$1,#REF!,0))</f>
        <v>#REF!</v>
      </c>
      <c r="DC142" s="45" t="e">
        <f t="array" ref="DC142">INDEX(#REF!,MATCH('Respuestas de formulario 1.1'!$B142,#REF!,0),MATCH('Respuestas de formulario 1.1'!DC$1,#REF!,0))</f>
        <v>#REF!</v>
      </c>
      <c r="DD142" s="45" t="e">
        <f t="array" ref="DD142">INDEX(#REF!,MATCH('Respuestas de formulario 1.1'!$B142,#REF!,0),MATCH('Respuestas de formulario 1.1'!DD$1,#REF!,0))</f>
        <v>#REF!</v>
      </c>
      <c r="DE142" s="45" t="e">
        <f t="array" ref="DE142">INDEX(#REF!,MATCH('Respuestas de formulario 1.1'!$B142,#REF!,0),MATCH('Respuestas de formulario 1.1'!DE$1,#REF!,0))</f>
        <v>#REF!</v>
      </c>
      <c r="DF142" s="45" t="e">
        <f t="array" ref="DF142">INDEX(#REF!,MATCH('Respuestas de formulario 1.1'!$B142,#REF!,0),MATCH('Respuestas de formulario 1.1'!DF$1,#REF!,0))</f>
        <v>#REF!</v>
      </c>
      <c r="DG142" s="45" t="e">
        <f t="array" ref="DG142">INDEX(#REF!,MATCH('Respuestas de formulario 1.1'!$B142,#REF!,0),MATCH('Respuestas de formulario 1.1'!DG$1,#REF!,0))</f>
        <v>#REF!</v>
      </c>
      <c r="DH142" s="45" t="e">
        <f t="array" ref="DH142">INDEX(#REF!,MATCH('Respuestas de formulario 1.1'!$B142,#REF!,0),MATCH('Respuestas de formulario 1.1'!DH$1,#REF!,0))</f>
        <v>#REF!</v>
      </c>
      <c r="DI142" s="48" t="e">
        <f>VLOOKUP(CONCATENATE($DF142," TUTO ",$DC142),#REF!,3,0)</f>
        <v>#REF!</v>
      </c>
      <c r="DJ142" s="48" t="e">
        <f t="array" ref="DJ142">IF('Respuestas de formulario 1.1'!A142="","",INDEX(#REF!,MATCH('Respuestas de formulario 1.1'!B142,#REF!,0),MATCH('Respuestas de formulario 1.1'!$DH$1,#REF!,0)))</f>
        <v>#REF!</v>
      </c>
      <c r="DK142" s="52" t="str">
        <f>CONCATENATE("http://doc.google.com/uc?id=",MID('Respuestas de formulario 1.1'!G142,34,33))</f>
        <v>http://doc.google.com/uc?id=1of5eSJ2NfA9o6h_9hLaIN1ShDyR6i2GJ</v>
      </c>
      <c r="DL142" s="49" t="str">
        <f>CONCATENATE("http://doc.google.com/uc?id=",MID('Respuestas de formulario 1.1'!AH142,34,33))</f>
        <v>http://doc.google.com/uc?id=1zGpW40HkkQVZaTLL-yq5ttkH6ascoaET</v>
      </c>
      <c r="DM142" s="50" t="str">
        <f>CONCATENATE("http://doc.google.com/uc?id=",MID('Respuestas de formulario 1.1'!AW142,34,33))</f>
        <v>http://doc.google.com/uc?id=1N5KOFkp4KzxBBgkKotKY-k6ONbTYDLxK</v>
      </c>
      <c r="DN142" s="53" t="str">
        <f>CONCATENATE("http://doc.google.com/uc?id=",MID('Respuestas de formulario 1.1'!$BI142,34,33))</f>
        <v>http://doc.google.com/uc?id=1Pbs3yBfHQSKaA7InsdQoQdPvddPbpMhm</v>
      </c>
      <c r="DO142" s="45" t="str">
        <f>IFERROR(VLOOKUP(CONCATENATE('Respuestas de formulario 1.1'!$B142,MID('Respuestas de formulario 1.1'!DO$1,2,1)),#REF!,12,0),"")</f>
        <v/>
      </c>
      <c r="DP142" s="45" t="str">
        <f>IFERROR(VLOOKUP(CONCATENATE('Respuestas de formulario 1.1'!$B142,MID('Respuestas de formulario 1.1'!DP$1,2,1)),#REF!,12,0),"")</f>
        <v/>
      </c>
      <c r="DQ142" s="45" t="str">
        <f>IFERROR(VLOOKUP(CONCATENATE('Respuestas de formulario 1.1'!$B142,MID('Respuestas de formulario 1.1'!DQ$1,2,1)),#REF!,12,0),"")</f>
        <v/>
      </c>
      <c r="DR142" s="45" t="str">
        <f>IFERROR(VLOOKUP(CONCATENATE('Respuestas de formulario 1.1'!$B142,MID('Respuestas de formulario 1.1'!DR$1,2,1)),#REF!,12,0),"")</f>
        <v/>
      </c>
      <c r="DS142" s="45" t="str">
        <f>IFERROR(VLOOKUP(CONCATENATE('Respuestas de formulario 1.1'!$B142,MID('Respuestas de formulario 1.1'!DS$1,2,1)),#REF!,12,0),"")</f>
        <v/>
      </c>
      <c r="DT142" s="45" t="str">
        <f>IFERROR(VLOOKUP(CONCATENATE('Respuestas de formulario 1.1'!$B142,MID('Respuestas de formulario 1.1'!DT$1,2,1)),#REF!,12,0),"")</f>
        <v/>
      </c>
      <c r="DU142" s="45" t="str">
        <f>IFERROR(VLOOKUP(CONCATENATE('Respuestas de formulario 1.1'!$B142,MID('Respuestas de formulario 1.1'!DU$1,2,1)),#REF!,12,0),"")</f>
        <v/>
      </c>
      <c r="DV142" s="45" t="str">
        <f>IFERROR(VLOOKUP(CONCATENATE('Respuestas de formulario 1.1'!$B142,MID('Respuestas de formulario 1.1'!DV$1,2,1)),#REF!,12,0),"")</f>
        <v/>
      </c>
      <c r="DW142" s="45" t="str">
        <f>IFERROR(VLOOKUP(CONCATENATE('Respuestas de formulario 1.1'!$B142,MID('Respuestas de formulario 1.1'!DW$1,2,1)),#REF!,12,0),"")</f>
        <v/>
      </c>
      <c r="DX142" s="45" t="str">
        <f>IFERROR(VLOOKUP(CONCATENATE('Respuestas de formulario 1.1'!$B142,MID('Respuestas de formulario 1.1'!DX$1,2,1)),#REF!,12,0),"")</f>
        <v/>
      </c>
      <c r="DY142" s="45" t="str">
        <f>IFERROR(VLOOKUP(CONCATENATE('Respuestas de formulario 1.1'!$B142,MID('Respuestas de formulario 1.1'!DY$1,2,1)),#REF!,12,0),"")</f>
        <v/>
      </c>
      <c r="DZ142" s="45" t="str">
        <f>IFERROR(VLOOKUP(CONCATENATE('Respuestas de formulario 1.1'!$B142,MID('Respuestas de formulario 1.1'!DZ$1,2,1)),#REF!,12,0),"")</f>
        <v/>
      </c>
      <c r="EA142" s="45" t="str">
        <f>IFERROR(VLOOKUP(CONCATENATE('Respuestas de formulario 1.1'!$B142,MID('Respuestas de formulario 1.1'!EA$1,2,1)),#REF!,12,0),"")</f>
        <v/>
      </c>
      <c r="EB142" s="45" t="str">
        <f>IFERROR(VLOOKUP(CONCATENATE('Respuestas de formulario 1.1'!$B142,MID('Respuestas de formulario 1.1'!EB$1,2,1)),#REF!,12,0),"")</f>
        <v/>
      </c>
      <c r="EC142" s="45" t="str">
        <f>IFERROR(VLOOKUP(CONCATENATE('Respuestas de formulario 1.1'!$B142,MID('Respuestas de formulario 1.1'!EC$1,2,1)),#REF!,12,0),"")</f>
        <v/>
      </c>
      <c r="ED142" s="45" t="str">
        <f>IFERROR(VLOOKUP(CONCATENATE('Respuestas de formulario 1.1'!$B142,MID('Respuestas de formulario 1.1'!ED$1,2,1)),#REF!,12,0),"")</f>
        <v/>
      </c>
      <c r="EE142" s="45" t="str">
        <f>IFERROR(VLOOKUP(CONCATENATE('Respuestas de formulario 1.1'!$B142,MID('Respuestas de formulario 1.1'!EE$1,2,1)),#REF!,12,0),"")</f>
        <v/>
      </c>
      <c r="EF142" s="45" t="str">
        <f>IFERROR(VLOOKUP(CONCATENATE('Respuestas de formulario 1.1'!$B142,MID('Respuestas de formulario 1.1'!EF$1,2,1)),#REF!,12,0),"")</f>
        <v/>
      </c>
      <c r="EG142" s="45" t="str">
        <f>IFERROR(VLOOKUP(CONCATENATE('Respuestas de formulario 1.1'!$B142,MID('Respuestas de formulario 1.1'!EG$1,2,1)),#REF!,12,0),"")</f>
        <v/>
      </c>
      <c r="EH142" s="45" t="str">
        <f>IFERROR(VLOOKUP(CONCATENATE('Respuestas de formulario 1.1'!$B142,MID('Respuestas de formulario 1.1'!EH$1,2,1)),#REF!,12,0),"")</f>
        <v/>
      </c>
      <c r="EI142" s="45" t="str">
        <f>IFERROR(VLOOKUP(CONCATENATE('Respuestas de formulario 1.1'!$B142,MID('Respuestas de formulario 1.1'!EI$1,2,1)),#REF!,12,0),"")</f>
        <v/>
      </c>
      <c r="EJ142" s="45" t="str">
        <f t="array" ref="EJ142">IF(DO142="","", INDEX(#REF!,MATCH(CONCATENATE('Respuestas de formulario 1.1'!$B142,DO142),#REF!,0),MATCH('Respuestas de formulario 1.1'!EJ$1,#REF!,0)))</f>
        <v/>
      </c>
      <c r="EK142" s="56" t="str">
        <f t="array" ref="EK142">IF(DP142="","", INDEX(#REF!,MATCH(CONCATENATE('Respuestas de formulario 1.1'!$B142,DP142),#REF!,0),MATCH('Respuestas de formulario 1.1'!EK$1,#REF!,0)))</f>
        <v/>
      </c>
      <c r="EL142" s="56" t="str">
        <f t="array" ref="EL142">IF(DQ142="","", INDEX(#REF!,MATCH(CONCATENATE('Respuestas de formulario 1.1'!$B142,DQ142),#REF!,0),MATCH('Respuestas de formulario 1.1'!EL$1,#REF!,0)))</f>
        <v/>
      </c>
      <c r="EM142" s="56" t="str">
        <f t="array" ref="EM142">IF(DR142="","", INDEX(#REF!,MATCH(CONCATENATE('Respuestas de formulario 1.1'!$B142,DR142),#REF!,0),MATCH('Respuestas de formulario 1.1'!EM$1,#REF!,0)))</f>
        <v/>
      </c>
      <c r="EN142" s="56" t="str">
        <f t="array" ref="EN142">IF(DS142="","", INDEX(#REF!,MATCH(CONCATENATE('Respuestas de formulario 1.1'!$B142,DS142),#REF!,0),MATCH('Respuestas de formulario 1.1'!EN$1,#REF!,0)))</f>
        <v/>
      </c>
      <c r="EO142" s="56" t="str">
        <f t="array" ref="EO142">IF(DT142="","", INDEX(#REF!,MATCH(CONCATENATE('Respuestas de formulario 1.1'!$B142,DT142),#REF!,0),MATCH('Respuestas de formulario 1.1'!EO$1,#REF!,0)))</f>
        <v/>
      </c>
      <c r="EP142" s="45" t="str">
        <f t="array" ref="EP142">IF(DU142="","", INDEX(#REF!,MATCH(CONCATENATE('Respuestas de formulario 1.1'!$B142,DU142),#REF!,0),MATCH('Respuestas de formulario 1.1'!EP$1,#REF!,0)))</f>
        <v/>
      </c>
      <c r="EQ142" s="45" t="str">
        <f t="array" ref="EQ142">IF(DP142="","", INDEX(#REF!,MATCH(CONCATENATE('Respuestas de formulario 1.1'!$B142,DP142),#REF!,0),MATCH('Respuestas de formulario 1.1'!EQ$1,#REF!,0)))</f>
        <v/>
      </c>
      <c r="ER142" s="56" t="str">
        <f t="array" ref="ER142">IF(DQ142="","", INDEX(#REF!,MATCH(CONCATENATE('Respuestas de formulario 1.1'!$B142,DQ142),#REF!,0),MATCH('Respuestas de formulario 1.1'!ER$1,#REF!,0)))</f>
        <v/>
      </c>
      <c r="ES142" s="56" t="str">
        <f t="array" ref="ES142">IF(DR142="","", INDEX(#REF!,MATCH(CONCATENATE('Respuestas de formulario 1.1'!$B142,DR142),#REF!,0),MATCH('Respuestas de formulario 1.1'!ES$1,#REF!,0)))</f>
        <v/>
      </c>
      <c r="ET142" s="56" t="str">
        <f t="array" ref="ET142">IF(DS142="","", INDEX(#REF!,MATCH(CONCATENATE('Respuestas de formulario 1.1'!$B142,DS142),#REF!,0),MATCH('Respuestas de formulario 1.1'!ET$1,#REF!,0)))</f>
        <v/>
      </c>
      <c r="EU142" s="56" t="str">
        <f t="array" ref="EU142">IF(DT142="","", INDEX(#REF!,MATCH(CONCATENATE('Respuestas de formulario 1.1'!$B142,DT142),#REF!,0),MATCH('Respuestas de formulario 1.1'!EU$1,#REF!,0)))</f>
        <v/>
      </c>
      <c r="EV142" s="56" t="str">
        <f t="array" ref="EV142">IF(DU142="","", INDEX(#REF!,MATCH(CONCATENATE('Respuestas de formulario 1.1'!$B142,DU142),#REF!,0),MATCH('Respuestas de formulario 1.1'!EV$1,#REF!,0)))</f>
        <v/>
      </c>
      <c r="EW142" s="45" t="str">
        <f t="array" ref="EW142">IF(DV142="","", INDEX(#REF!,MATCH(CONCATENATE('Respuestas de formulario 1.1'!$B142,DV142),#REF!,0),MATCH('Respuestas de formulario 1.1'!EW$1,#REF!,0)))</f>
        <v/>
      </c>
      <c r="EX142" s="45" t="str">
        <f t="array" ref="EX142">IF($DQ142="","", INDEX(#REF!,MATCH(CONCATENATE('Respuestas de formulario 1.1'!$B142,$DQ142),#REF!,0),MATCH('Respuestas de formulario 1.1'!EX$1,#REF!,0)))</f>
        <v/>
      </c>
      <c r="EY142" s="56" t="str">
        <f t="array" ref="EY142">IF($DQ142="","", INDEX(#REF!,MATCH(CONCATENATE('Respuestas de formulario 1.1'!$B142,$DQ142),#REF!,0),MATCH('Respuestas de formulario 1.1'!EY$1,#REF!,0)))</f>
        <v/>
      </c>
      <c r="EZ142" s="56" t="str">
        <f t="array" ref="EZ142">IF($DQ142="","", INDEX(#REF!,MATCH(CONCATENATE('Respuestas de formulario 1.1'!$B142,$DQ142),#REF!,0),MATCH('Respuestas de formulario 1.1'!EZ$1,#REF!,0)))</f>
        <v/>
      </c>
      <c r="FA142" s="56" t="str">
        <f t="array" ref="FA142">IF($DQ142="","", INDEX(#REF!,MATCH(CONCATENATE('Respuestas de formulario 1.1'!$B142,$DQ142),#REF!,0),MATCH('Respuestas de formulario 1.1'!FA$1,#REF!,0)))</f>
        <v/>
      </c>
      <c r="FB142" s="56" t="str">
        <f t="array" ref="FB142">IF($DQ142="","", INDEX(#REF!,MATCH(CONCATENATE('Respuestas de formulario 1.1'!$B142,$DQ142),#REF!,0),MATCH('Respuestas de formulario 1.1'!FB$1,#REF!,0)))</f>
        <v/>
      </c>
      <c r="FC142" s="56" t="str">
        <f t="array" ref="FC142">IF($DQ142="","", INDEX(#REF!,MATCH(CONCATENATE('Respuestas de formulario 1.1'!$B142,$DQ142),#REF!,0),MATCH('Respuestas de formulario 1.1'!FC$1,#REF!,0)))</f>
        <v/>
      </c>
      <c r="FD142" s="45" t="str">
        <f t="array" ref="FD142">IF($DQ142="","", INDEX(#REF!,MATCH(CONCATENATE('Respuestas de formulario 1.1'!$B142,$DQ142),#REF!,0),MATCH('Respuestas de formulario 1.1'!FD$1,#REF!,0)))</f>
        <v/>
      </c>
      <c r="FE142" s="45" t="str">
        <f t="array" ref="FE142">IF($DR142="","", INDEX(#REF!,MATCH(CONCATENATE(#REF!,$DR142),#REF!,0),MATCH(#REF!,#REF!,0)))</f>
        <v/>
      </c>
      <c r="FF142" s="56" t="str">
        <f t="array" ref="FF142">IF($DR142="","", INDEX(#REF!,MATCH(CONCATENATE(#REF!,$DR142),#REF!,0),MATCH(#REF!,#REF!,0)))</f>
        <v/>
      </c>
      <c r="FG142" s="56" t="str">
        <f t="array" ref="FG142">IF($DR142="","", INDEX(#REF!,MATCH(CONCATENATE(#REF!,$DR142),#REF!,0),MATCH(#REF!,#REF!,0)))</f>
        <v/>
      </c>
      <c r="FH142" s="56" t="str">
        <f t="array" ref="FH142">IF($DR142="","", INDEX(#REF!,MATCH(CONCATENATE(#REF!,$DR142),#REF!,0),MATCH(#REF!,#REF!,0)))</f>
        <v/>
      </c>
      <c r="FI142" s="56" t="str">
        <f t="array" ref="FI142">IF($DR142="","", INDEX(#REF!,MATCH(CONCATENATE(#REF!,$DR142),#REF!,0),MATCH(#REF!,#REF!,0)))</f>
        <v/>
      </c>
      <c r="FJ142" s="56" t="str">
        <f t="array" ref="FJ142">IF($DR142="","", INDEX(#REF!,MATCH(CONCATENATE(#REF!,$DR142),#REF!,0),MATCH(#REF!,#REF!,0)))</f>
        <v/>
      </c>
      <c r="FK142" s="45" t="str">
        <f t="array" ref="FK142">IF($DR142="","", INDEX(#REF!,MATCH(CONCATENATE(#REF!,$DR142),#REF!,0),MATCH(#REF!,#REF!,0)))</f>
        <v/>
      </c>
      <c r="FL142" s="45" t="str">
        <f t="array" ref="FL142">IF($DT142="","", INDEX(#REF!,MATCH(CONCATENATE('Respuestas de formulario 1.1'!$B142,$DS142),#REF!,0),MATCH('Respuestas de formulario 1.1'!FL$1,#REF!,0)))</f>
        <v/>
      </c>
      <c r="FM142" s="56" t="str">
        <f t="array" ref="FM142">IF($DT142="","", INDEX(#REF!,MATCH(CONCATENATE('Respuestas de formulario 1.1'!$B142,$DS142),#REF!,0),MATCH('Respuestas de formulario 1.1'!FM$1,#REF!,0)))</f>
        <v/>
      </c>
      <c r="FN142" s="56" t="str">
        <f t="array" ref="FN142">IF($DT142="","", INDEX(#REF!,MATCH(CONCATENATE('Respuestas de formulario 1.1'!$B142,$DS142),#REF!,0),MATCH('Respuestas de formulario 1.1'!FN$1,#REF!,0)))</f>
        <v/>
      </c>
      <c r="FO142" s="56" t="str">
        <f t="array" ref="FO142">IF($DT142="","", INDEX(#REF!,MATCH(CONCATENATE('Respuestas de formulario 1.1'!$B142,$DS142),#REF!,0),MATCH('Respuestas de formulario 1.1'!FO$1,#REF!,0)))</f>
        <v/>
      </c>
      <c r="FP142" s="56" t="str">
        <f t="array" ref="FP142">IF($DT142="","", INDEX(#REF!,MATCH(CONCATENATE('Respuestas de formulario 1.1'!$B142,$DS142),#REF!,0),MATCH('Respuestas de formulario 1.1'!FP$1,#REF!,0)))</f>
        <v/>
      </c>
      <c r="FQ142" s="56" t="str">
        <f t="array" ref="FQ142">IF($DT142="","", INDEX(#REF!,MATCH(CONCATENATE('Respuestas de formulario 1.1'!$B142,$DS142),#REF!,0),MATCH('Respuestas de formulario 1.1'!FQ$1,#REF!,0)))</f>
        <v/>
      </c>
      <c r="FR142" s="45" t="str">
        <f t="array" ref="FR142">IF($DT142="","", INDEX(#REF!,MATCH(CONCATENATE('Respuestas de formulario 1.1'!$B142,$DS142),#REF!,0),MATCH('Respuestas de formulario 1.1'!FR$1,#REF!,0)))</f>
        <v/>
      </c>
      <c r="FS142" s="45" t="str">
        <f t="array" ref="FS142">IF($DU142="","", INDEX(#REF!,MATCH(CONCATENATE('Respuestas de formulario 1.1'!$B142,$DT142),#REF!,0),MATCH('Respuestas de formulario 1.1'!FS$1,#REF!,0)))</f>
        <v/>
      </c>
      <c r="FT142" s="56" t="str">
        <f t="array" ref="FT142">IF($DU142="","", INDEX(#REF!,MATCH(CONCATENATE('Respuestas de formulario 1.1'!$B142,$DT142),#REF!,0),MATCH('Respuestas de formulario 1.1'!FT$1,#REF!,0)))</f>
        <v/>
      </c>
      <c r="FU142" s="56" t="str">
        <f t="array" ref="FU142">IF($DU142="","", INDEX(#REF!,MATCH(CONCATENATE('Respuestas de formulario 1.1'!$B142,$DT142),#REF!,0),MATCH('Respuestas de formulario 1.1'!FU$1,#REF!,0)))</f>
        <v/>
      </c>
      <c r="FV142" s="56" t="str">
        <f t="array" ref="FV142">IF($DU142="","", INDEX(#REF!,MATCH(CONCATENATE('Respuestas de formulario 1.1'!$B142,$DT142),#REF!,0),MATCH('Respuestas de formulario 1.1'!FV$1,#REF!,0)))</f>
        <v/>
      </c>
      <c r="FW142" s="56" t="str">
        <f t="array" ref="FW142">IF($DU142="","", INDEX(#REF!,MATCH(CONCATENATE('Respuestas de formulario 1.1'!$B142,$DT142),#REF!,0),MATCH('Respuestas de formulario 1.1'!FW$1,#REF!,0)))</f>
        <v/>
      </c>
      <c r="FX142" s="56" t="str">
        <f t="array" ref="FX142">IF($DU142="","", INDEX(#REF!,MATCH(CONCATENATE('Respuestas de formulario 1.1'!$B142,$DT142),#REF!,0),MATCH('Respuestas de formulario 1.1'!FX$1,#REF!,0)))</f>
        <v/>
      </c>
      <c r="FY142" s="45" t="str">
        <f t="array" ref="FY142">IF($DU142="","", INDEX(#REF!,MATCH(CONCATENATE('Respuestas de formulario 1.1'!$B142,$DT142),#REF!,0),MATCH('Respuestas de formulario 1.1'!FY$1,#REF!,0)))</f>
        <v/>
      </c>
      <c r="FZ142" s="3" t="s">
        <v>2860</v>
      </c>
      <c r="GA142" s="1" t="s">
        <v>5261</v>
      </c>
      <c r="GB142" s="5" t="s">
        <v>5262</v>
      </c>
      <c r="GC142" s="4" t="str">
        <f>HYPERLINK("https://drive.google.com/file/d/1LoXs3dfpcflQI7-5NLfcs8dZMPEiLpEh/view?usp=drivesdk","JACINTO  HERNANDEZ  CARLOS CALEB Formato de reinscripción y pago 2022-2")</f>
        <v>JACINTO  HERNANDEZ  CARLOS CALEB Formato de reinscripción y pago 2022-2</v>
      </c>
      <c r="GD142" s="1" t="s">
        <v>5263</v>
      </c>
      <c r="GE142" s="1"/>
      <c r="GF142" s="1"/>
      <c r="GG142" s="1"/>
      <c r="GH142" s="1"/>
      <c r="GI142" s="1" t="s">
        <v>5264</v>
      </c>
      <c r="GJ142" s="5" t="s">
        <v>5265</v>
      </c>
      <c r="GK142" s="5" t="str">
        <f>HYPERLINK("https://drive.google.com/file/d/12WMr1S3sd-gf9pdQngiNLCO6w7l59bbd/view?usp=drivesdk","JACINTO  HERNANDEZ  &lt;&lt;Nombre(S)&gt;&gt; Formato de reinscripción y pago 2022-2")</f>
        <v>JACINTO  HERNANDEZ  &lt;&lt;Nombre(S)&gt;&gt; Formato de reinscripción y pago 2022-2</v>
      </c>
      <c r="GL142" s="1" t="s">
        <v>5266</v>
      </c>
    </row>
    <row r="143" spans="1:194" ht="14.25" x14ac:dyDescent="0.2">
      <c r="A143" s="2">
        <v>45139.455276099536</v>
      </c>
      <c r="B143" s="1" t="s">
        <v>353</v>
      </c>
      <c r="C143" s="1" t="s">
        <v>354</v>
      </c>
      <c r="D143" s="1" t="s">
        <v>355</v>
      </c>
      <c r="E143" s="1" t="s">
        <v>356</v>
      </c>
      <c r="F143" s="1" t="s">
        <v>262</v>
      </c>
      <c r="G143" s="5" t="s">
        <v>5267</v>
      </c>
      <c r="H143" s="41">
        <v>38321</v>
      </c>
      <c r="I143" s="1">
        <v>18</v>
      </c>
      <c r="J143" s="1">
        <v>5578720019</v>
      </c>
      <c r="K143" s="1">
        <v>5578720019</v>
      </c>
      <c r="L143" s="1" t="s">
        <v>357</v>
      </c>
      <c r="M143" s="1">
        <v>21309060570751</v>
      </c>
      <c r="N143" s="1" t="s">
        <v>1108</v>
      </c>
      <c r="O143" s="1" t="s">
        <v>225</v>
      </c>
      <c r="P143" s="1" t="s">
        <v>278</v>
      </c>
      <c r="Q143" s="1" t="s">
        <v>227</v>
      </c>
      <c r="R143" s="1" t="s">
        <v>236</v>
      </c>
      <c r="S143" s="1" t="s">
        <v>228</v>
      </c>
      <c r="T143" s="1" t="s">
        <v>229</v>
      </c>
      <c r="U143" s="1" t="s">
        <v>249</v>
      </c>
      <c r="V143" s="1" t="s">
        <v>228</v>
      </c>
      <c r="W143" s="1" t="s">
        <v>5268</v>
      </c>
      <c r="X143" s="1" t="s">
        <v>249</v>
      </c>
      <c r="Y143" s="1" t="s">
        <v>367</v>
      </c>
      <c r="Z143" s="1" t="s">
        <v>240</v>
      </c>
      <c r="AA143" s="44" t="s">
        <v>358</v>
      </c>
      <c r="AB143" s="1">
        <v>27</v>
      </c>
      <c r="AC143" s="1">
        <v>1</v>
      </c>
      <c r="AD143" s="1" t="s">
        <v>5269</v>
      </c>
      <c r="AE143" s="1" t="s">
        <v>5270</v>
      </c>
      <c r="AF143" s="1" t="s">
        <v>359</v>
      </c>
      <c r="AG143" s="1">
        <v>56</v>
      </c>
      <c r="AH143" s="5" t="s">
        <v>5271</v>
      </c>
      <c r="AI143" s="1">
        <v>5578720019</v>
      </c>
      <c r="AJ143" s="1">
        <v>5578720019</v>
      </c>
      <c r="AL143" s="1" t="s">
        <v>355</v>
      </c>
      <c r="AM143" s="1" t="s">
        <v>360</v>
      </c>
      <c r="AN143" s="1" t="s">
        <v>361</v>
      </c>
      <c r="AO143" s="1" t="s">
        <v>265</v>
      </c>
      <c r="AP143" s="1">
        <v>35</v>
      </c>
      <c r="AQ143" s="1" t="s">
        <v>620</v>
      </c>
      <c r="AR143" s="42">
        <v>0.375</v>
      </c>
      <c r="AS143" s="42">
        <v>0.375</v>
      </c>
      <c r="AT143" s="1">
        <v>5578720019</v>
      </c>
      <c r="AU143" s="1">
        <v>5578720019</v>
      </c>
      <c r="AW143" s="5" t="s">
        <v>5272</v>
      </c>
      <c r="AX143" s="1" t="s">
        <v>354</v>
      </c>
      <c r="AY143" s="1" t="s">
        <v>5273</v>
      </c>
      <c r="AZ143" s="1" t="s">
        <v>363</v>
      </c>
      <c r="BA143" s="1" t="s">
        <v>435</v>
      </c>
      <c r="BB143" s="1">
        <v>81</v>
      </c>
      <c r="BC143" s="1" t="s">
        <v>364</v>
      </c>
      <c r="BD143" s="43">
        <v>0</v>
      </c>
      <c r="BE143" s="43">
        <v>0</v>
      </c>
      <c r="BF143" s="1">
        <v>5578720019</v>
      </c>
      <c r="BG143" s="1">
        <v>5578720019</v>
      </c>
      <c r="BI143" s="5" t="s">
        <v>5274</v>
      </c>
      <c r="BJ143" s="1" t="s">
        <v>236</v>
      </c>
      <c r="BL143" s="1">
        <v>180</v>
      </c>
      <c r="BM143" s="1">
        <v>77</v>
      </c>
      <c r="BN143" s="1" t="s">
        <v>228</v>
      </c>
      <c r="BO143" s="1" t="s">
        <v>228</v>
      </c>
      <c r="BQ143" s="1" t="s">
        <v>228</v>
      </c>
      <c r="BR143" s="1" t="s">
        <v>237</v>
      </c>
      <c r="BS143" s="1" t="s">
        <v>228</v>
      </c>
      <c r="BT143" s="1" t="s">
        <v>237</v>
      </c>
      <c r="BU143" s="1" t="s">
        <v>228</v>
      </c>
      <c r="BW143" s="1" t="s">
        <v>272</v>
      </c>
      <c r="BX143" s="1">
        <v>40</v>
      </c>
      <c r="BY143" s="1">
        <v>110</v>
      </c>
      <c r="BZ143" s="1" t="s">
        <v>5275</v>
      </c>
      <c r="CA143" s="1" t="s">
        <v>1274</v>
      </c>
      <c r="CB143" s="1" t="s">
        <v>240</v>
      </c>
      <c r="CC143" s="1" t="s">
        <v>274</v>
      </c>
      <c r="CD143" s="1">
        <v>1000</v>
      </c>
      <c r="CE143" s="1">
        <v>1500</v>
      </c>
      <c r="CF143" s="1" t="s">
        <v>236</v>
      </c>
      <c r="CG143" s="1" t="s">
        <v>242</v>
      </c>
      <c r="CH143" s="1" t="s">
        <v>243</v>
      </c>
      <c r="CI143" s="1" t="s">
        <v>243</v>
      </c>
      <c r="CJ143" s="1" t="s">
        <v>2848</v>
      </c>
      <c r="CL143" s="5" t="s">
        <v>5276</v>
      </c>
      <c r="CM143" s="44" t="s">
        <v>366</v>
      </c>
      <c r="CN143" s="1" t="s">
        <v>228</v>
      </c>
      <c r="CQ143" s="42">
        <v>0</v>
      </c>
      <c r="CR143" s="42">
        <v>0</v>
      </c>
      <c r="CT143" s="45" t="str">
        <f t="array" ref="CT143">IFERROR(INDEX(#REF!,MATCH('Respuestas de formulario 1.1'!$B143,#REF!,0),MATCH('Respuestas de formulario 1.1'!CT$1,#REF!,0)),"")</f>
        <v/>
      </c>
      <c r="CU143" s="56" t="str">
        <f t="array" ref="CU143">IFERROR(INDEX(#REF!,MATCH('Respuestas de formulario 1.1'!$B143,#REF!,0),MATCH('Respuestas de formulario 1.1'!CU$1,#REF!,0)),"")</f>
        <v/>
      </c>
      <c r="CV143" s="56" t="str">
        <f t="array" ref="CV143">IFERROR(INDEX(#REF!,MATCH('Respuestas de formulario 1.1'!$B143,#REF!,0),MATCH('Respuestas de formulario 1.1'!CV$1,#REF!,0)),"")</f>
        <v/>
      </c>
      <c r="CW143" s="56" t="str">
        <f t="array" ref="CW143">IFERROR(INDEX(#REF!,MATCH('Respuestas de formulario 1.1'!$B143,#REF!,0),MATCH('Respuestas de formulario 1.1'!CW$1,#REF!,0)),"")</f>
        <v/>
      </c>
      <c r="CX143" s="56" t="str">
        <f t="array" ref="CX143">IFERROR(INDEX(#REF!,MATCH('Respuestas de formulario 1.1'!$B143,#REF!,0),MATCH('Respuestas de formulario 1.1'!CX$1,#REF!,0)),"")</f>
        <v/>
      </c>
      <c r="CY143" s="56" t="str">
        <f t="array" ref="CY143">IFERROR(INDEX(#REF!,MATCH('Respuestas de formulario 1.1'!$B143,#REF!,0),MATCH('Respuestas de formulario 1.1'!CY$1,#REF!,0)),"")</f>
        <v/>
      </c>
      <c r="CZ143" s="57" t="str">
        <f t="array" ref="CZ143">IFERROR(INDEX(#REF!,MATCH('Respuestas de formulario 1.1'!$B143,#REF!,0),MATCH('Respuestas de formulario 1.1'!CZ$1,#REF!,0)),"")</f>
        <v/>
      </c>
      <c r="DA143" s="45" t="e">
        <f t="array" ref="DA143">INDEX(#REF!,MATCH('Respuestas de formulario 1.1'!$B143,#REF!,0),MATCH('Respuestas de formulario 1.1'!DA$1,#REF!,0))</f>
        <v>#REF!</v>
      </c>
      <c r="DB143" s="45" t="e">
        <f t="array" ref="DB143">INDEX(#REF!,MATCH('Respuestas de formulario 1.1'!$B143,#REF!,0),MATCH('Respuestas de formulario 1.1'!DB$1,#REF!,0))</f>
        <v>#REF!</v>
      </c>
      <c r="DC143" s="45" t="e">
        <f t="array" ref="DC143">INDEX(#REF!,MATCH('Respuestas de formulario 1.1'!$B143,#REF!,0),MATCH('Respuestas de formulario 1.1'!DC$1,#REF!,0))</f>
        <v>#REF!</v>
      </c>
      <c r="DD143" s="45" t="e">
        <f t="array" ref="DD143">INDEX(#REF!,MATCH('Respuestas de formulario 1.1'!$B143,#REF!,0),MATCH('Respuestas de formulario 1.1'!DD$1,#REF!,0))</f>
        <v>#REF!</v>
      </c>
      <c r="DE143" s="45" t="e">
        <f t="array" ref="DE143">INDEX(#REF!,MATCH('Respuestas de formulario 1.1'!$B143,#REF!,0),MATCH('Respuestas de formulario 1.1'!DE$1,#REF!,0))</f>
        <v>#REF!</v>
      </c>
      <c r="DF143" s="45" t="e">
        <f t="array" ref="DF143">INDEX(#REF!,MATCH('Respuestas de formulario 1.1'!$B143,#REF!,0),MATCH('Respuestas de formulario 1.1'!DF$1,#REF!,0))</f>
        <v>#REF!</v>
      </c>
      <c r="DG143" s="45" t="e">
        <f t="array" ref="DG143">INDEX(#REF!,MATCH('Respuestas de formulario 1.1'!$B143,#REF!,0),MATCH('Respuestas de formulario 1.1'!DG$1,#REF!,0))</f>
        <v>#REF!</v>
      </c>
      <c r="DH143" s="45" t="e">
        <f t="array" ref="DH143">INDEX(#REF!,MATCH('Respuestas de formulario 1.1'!$B143,#REF!,0),MATCH('Respuestas de formulario 1.1'!DH$1,#REF!,0))</f>
        <v>#REF!</v>
      </c>
      <c r="DI143" s="48" t="e">
        <f>VLOOKUP(CONCATENATE($DF143," TUTO ",$DC143),#REF!,3,0)</f>
        <v>#REF!</v>
      </c>
      <c r="DJ143" s="48" t="e">
        <f t="array" ref="DJ143">IF('Respuestas de formulario 1.1'!A143="","",INDEX(#REF!,MATCH('Respuestas de formulario 1.1'!B143,#REF!,0),MATCH('Respuestas de formulario 1.1'!$DH$1,#REF!,0)))</f>
        <v>#REF!</v>
      </c>
      <c r="DK143" s="52" t="str">
        <f>CONCATENATE("http://doc.google.com/uc?id=",MID('Respuestas de formulario 1.1'!G143,34,33))</f>
        <v>http://doc.google.com/uc?id=1RVPhhD80e53Fbarc1lsLmFrWyb9FQLjd</v>
      </c>
      <c r="DL143" s="49" t="str">
        <f>CONCATENATE("http://doc.google.com/uc?id=",MID('Respuestas de formulario 1.1'!AH143,34,33))</f>
        <v>http://doc.google.com/uc?id=1WY984EgV9gDFoCErMIkMYQcxzjubkl9g</v>
      </c>
      <c r="DM143" s="50" t="str">
        <f>CONCATENATE("http://doc.google.com/uc?id=",MID('Respuestas de formulario 1.1'!AW143,34,33))</f>
        <v>http://doc.google.com/uc?id=1vSYFxuo3FBs6s4sExHM3KMmvbQB2metD</v>
      </c>
      <c r="DN143" s="53" t="str">
        <f>CONCATENATE("http://doc.google.com/uc?id=",MID('Respuestas de formulario 1.1'!$BI143,34,33))</f>
        <v>http://doc.google.com/uc?id=117I8K49dyJ_u6n_x6Jalcc3PPZs8QxrK</v>
      </c>
      <c r="DO143" s="45" t="str">
        <f>IFERROR(VLOOKUP(CONCATENATE('Respuestas de formulario 1.1'!$B143,MID('Respuestas de formulario 1.1'!DO$1,2,1)),#REF!,12,0),"")</f>
        <v/>
      </c>
      <c r="DP143" s="45" t="str">
        <f>IFERROR(VLOOKUP(CONCATENATE('Respuestas de formulario 1.1'!$B143,MID('Respuestas de formulario 1.1'!DP$1,2,1)),#REF!,12,0),"")</f>
        <v/>
      </c>
      <c r="DQ143" s="45" t="str">
        <f>IFERROR(VLOOKUP(CONCATENATE('Respuestas de formulario 1.1'!$B143,MID('Respuestas de formulario 1.1'!DQ$1,2,1)),#REF!,12,0),"")</f>
        <v/>
      </c>
      <c r="DR143" s="45" t="str">
        <f>IFERROR(VLOOKUP(CONCATENATE('Respuestas de formulario 1.1'!$B143,MID('Respuestas de formulario 1.1'!DR$1,2,1)),#REF!,12,0),"")</f>
        <v/>
      </c>
      <c r="DS143" s="45" t="str">
        <f>IFERROR(VLOOKUP(CONCATENATE('Respuestas de formulario 1.1'!$B143,MID('Respuestas de formulario 1.1'!DS$1,2,1)),#REF!,12,0),"")</f>
        <v/>
      </c>
      <c r="DT143" s="45" t="str">
        <f>IFERROR(VLOOKUP(CONCATENATE('Respuestas de formulario 1.1'!$B143,MID('Respuestas de formulario 1.1'!DT$1,2,1)),#REF!,12,0),"")</f>
        <v/>
      </c>
      <c r="DU143" s="45" t="str">
        <f>IFERROR(VLOOKUP(CONCATENATE('Respuestas de formulario 1.1'!$B143,MID('Respuestas de formulario 1.1'!DU$1,2,1)),#REF!,12,0),"")</f>
        <v/>
      </c>
      <c r="DV143" s="45" t="str">
        <f>IFERROR(VLOOKUP(CONCATENATE('Respuestas de formulario 1.1'!$B143,MID('Respuestas de formulario 1.1'!DV$1,2,1)),#REF!,12,0),"")</f>
        <v/>
      </c>
      <c r="DW143" s="45" t="str">
        <f>IFERROR(VLOOKUP(CONCATENATE('Respuestas de formulario 1.1'!$B143,MID('Respuestas de formulario 1.1'!DW$1,2,1)),#REF!,12,0),"")</f>
        <v/>
      </c>
      <c r="DX143" s="45" t="str">
        <f>IFERROR(VLOOKUP(CONCATENATE('Respuestas de formulario 1.1'!$B143,MID('Respuestas de formulario 1.1'!DX$1,2,1)),#REF!,12,0),"")</f>
        <v/>
      </c>
      <c r="DY143" s="45" t="str">
        <f>IFERROR(VLOOKUP(CONCATENATE('Respuestas de formulario 1.1'!$B143,MID('Respuestas de formulario 1.1'!DY$1,2,1)),#REF!,12,0),"")</f>
        <v/>
      </c>
      <c r="DZ143" s="45" t="str">
        <f>IFERROR(VLOOKUP(CONCATENATE('Respuestas de formulario 1.1'!$B143,MID('Respuestas de formulario 1.1'!DZ$1,2,1)),#REF!,12,0),"")</f>
        <v/>
      </c>
      <c r="EA143" s="45" t="str">
        <f>IFERROR(VLOOKUP(CONCATENATE('Respuestas de formulario 1.1'!$B143,MID('Respuestas de formulario 1.1'!EA$1,2,1)),#REF!,12,0),"")</f>
        <v/>
      </c>
      <c r="EB143" s="45" t="str">
        <f>IFERROR(VLOOKUP(CONCATENATE('Respuestas de formulario 1.1'!$B143,MID('Respuestas de formulario 1.1'!EB$1,2,1)),#REF!,12,0),"")</f>
        <v/>
      </c>
      <c r="EC143" s="45" t="str">
        <f>IFERROR(VLOOKUP(CONCATENATE('Respuestas de formulario 1.1'!$B143,MID('Respuestas de formulario 1.1'!EC$1,2,1)),#REF!,12,0),"")</f>
        <v/>
      </c>
      <c r="ED143" s="45" t="str">
        <f>IFERROR(VLOOKUP(CONCATENATE('Respuestas de formulario 1.1'!$B143,MID('Respuestas de formulario 1.1'!ED$1,2,1)),#REF!,12,0),"")</f>
        <v/>
      </c>
      <c r="EE143" s="45" t="str">
        <f>IFERROR(VLOOKUP(CONCATENATE('Respuestas de formulario 1.1'!$B143,MID('Respuestas de formulario 1.1'!EE$1,2,1)),#REF!,12,0),"")</f>
        <v/>
      </c>
      <c r="EF143" s="45" t="str">
        <f>IFERROR(VLOOKUP(CONCATENATE('Respuestas de formulario 1.1'!$B143,MID('Respuestas de formulario 1.1'!EF$1,2,1)),#REF!,12,0),"")</f>
        <v/>
      </c>
      <c r="EG143" s="45" t="str">
        <f>IFERROR(VLOOKUP(CONCATENATE('Respuestas de formulario 1.1'!$B143,MID('Respuestas de formulario 1.1'!EG$1,2,1)),#REF!,12,0),"")</f>
        <v/>
      </c>
      <c r="EH143" s="45" t="str">
        <f>IFERROR(VLOOKUP(CONCATENATE('Respuestas de formulario 1.1'!$B143,MID('Respuestas de formulario 1.1'!EH$1,2,1)),#REF!,12,0),"")</f>
        <v/>
      </c>
      <c r="EI143" s="45" t="str">
        <f>IFERROR(VLOOKUP(CONCATENATE('Respuestas de formulario 1.1'!$B143,MID('Respuestas de formulario 1.1'!EI$1,2,1)),#REF!,12,0),"")</f>
        <v/>
      </c>
      <c r="EJ143" s="45" t="str">
        <f t="array" ref="EJ143">IF(DO143="","", INDEX(#REF!,MATCH(CONCATENATE('Respuestas de formulario 1.1'!$B143,DO143),#REF!,0),MATCH('Respuestas de formulario 1.1'!EJ$1,#REF!,0)))</f>
        <v/>
      </c>
      <c r="EK143" s="56" t="str">
        <f t="array" ref="EK143">IF(DP143="","", INDEX(#REF!,MATCH(CONCATENATE('Respuestas de formulario 1.1'!$B143,DP143),#REF!,0),MATCH('Respuestas de formulario 1.1'!EK$1,#REF!,0)))</f>
        <v/>
      </c>
      <c r="EL143" s="56" t="str">
        <f t="array" ref="EL143">IF(DQ143="","", INDEX(#REF!,MATCH(CONCATENATE('Respuestas de formulario 1.1'!$B143,DQ143),#REF!,0),MATCH('Respuestas de formulario 1.1'!EL$1,#REF!,0)))</f>
        <v/>
      </c>
      <c r="EM143" s="56" t="str">
        <f t="array" ref="EM143">IF(DR143="","", INDEX(#REF!,MATCH(CONCATENATE('Respuestas de formulario 1.1'!$B143,DR143),#REF!,0),MATCH('Respuestas de formulario 1.1'!EM$1,#REF!,0)))</f>
        <v/>
      </c>
      <c r="EN143" s="56" t="str">
        <f t="array" ref="EN143">IF(DS143="","", INDEX(#REF!,MATCH(CONCATENATE('Respuestas de formulario 1.1'!$B143,DS143),#REF!,0),MATCH('Respuestas de formulario 1.1'!EN$1,#REF!,0)))</f>
        <v/>
      </c>
      <c r="EO143" s="56" t="str">
        <f t="array" ref="EO143">IF(DT143="","", INDEX(#REF!,MATCH(CONCATENATE('Respuestas de formulario 1.1'!$B143,DT143),#REF!,0),MATCH('Respuestas de formulario 1.1'!EO$1,#REF!,0)))</f>
        <v/>
      </c>
      <c r="EP143" s="45" t="str">
        <f t="array" ref="EP143">IF(DU143="","", INDEX(#REF!,MATCH(CONCATENATE('Respuestas de formulario 1.1'!$B143,DU143),#REF!,0),MATCH('Respuestas de formulario 1.1'!EP$1,#REF!,0)))</f>
        <v/>
      </c>
      <c r="EQ143" s="45" t="str">
        <f t="array" ref="EQ143">IF(DP143="","", INDEX(#REF!,MATCH(CONCATENATE('Respuestas de formulario 1.1'!$B143,DP143),#REF!,0),MATCH('Respuestas de formulario 1.1'!EQ$1,#REF!,0)))</f>
        <v/>
      </c>
      <c r="ER143" s="56" t="str">
        <f t="array" ref="ER143">IF(DQ143="","", INDEX(#REF!,MATCH(CONCATENATE('Respuestas de formulario 1.1'!$B143,DQ143),#REF!,0),MATCH('Respuestas de formulario 1.1'!ER$1,#REF!,0)))</f>
        <v/>
      </c>
      <c r="ES143" s="56" t="str">
        <f t="array" ref="ES143">IF(DR143="","", INDEX(#REF!,MATCH(CONCATENATE('Respuestas de formulario 1.1'!$B143,DR143),#REF!,0),MATCH('Respuestas de formulario 1.1'!ES$1,#REF!,0)))</f>
        <v/>
      </c>
      <c r="ET143" s="56" t="str">
        <f t="array" ref="ET143">IF(DS143="","", INDEX(#REF!,MATCH(CONCATENATE('Respuestas de formulario 1.1'!$B143,DS143),#REF!,0),MATCH('Respuestas de formulario 1.1'!ET$1,#REF!,0)))</f>
        <v/>
      </c>
      <c r="EU143" s="56" t="str">
        <f t="array" ref="EU143">IF(DT143="","", INDEX(#REF!,MATCH(CONCATENATE('Respuestas de formulario 1.1'!$B143,DT143),#REF!,0),MATCH('Respuestas de formulario 1.1'!EU$1,#REF!,0)))</f>
        <v/>
      </c>
      <c r="EV143" s="56" t="str">
        <f t="array" ref="EV143">IF(DU143="","", INDEX(#REF!,MATCH(CONCATENATE('Respuestas de formulario 1.1'!$B143,DU143),#REF!,0),MATCH('Respuestas de formulario 1.1'!EV$1,#REF!,0)))</f>
        <v/>
      </c>
      <c r="EW143" s="45" t="str">
        <f t="array" ref="EW143">IF(DV143="","", INDEX(#REF!,MATCH(CONCATENATE('Respuestas de formulario 1.1'!$B143,DV143),#REF!,0),MATCH('Respuestas de formulario 1.1'!EW$1,#REF!,0)))</f>
        <v/>
      </c>
      <c r="EX143" s="45" t="str">
        <f t="array" ref="EX143">IF($DQ143="","", INDEX(#REF!,MATCH(CONCATENATE('Respuestas de formulario 1.1'!$B143,$DQ143),#REF!,0),MATCH('Respuestas de formulario 1.1'!EX$1,#REF!,0)))</f>
        <v/>
      </c>
      <c r="EY143" s="56" t="str">
        <f t="array" ref="EY143">IF($DQ143="","", INDEX(#REF!,MATCH(CONCATENATE('Respuestas de formulario 1.1'!$B143,$DQ143),#REF!,0),MATCH('Respuestas de formulario 1.1'!EY$1,#REF!,0)))</f>
        <v/>
      </c>
      <c r="EZ143" s="56" t="str">
        <f t="array" ref="EZ143">IF($DQ143="","", INDEX(#REF!,MATCH(CONCATENATE('Respuestas de formulario 1.1'!$B143,$DQ143),#REF!,0),MATCH('Respuestas de formulario 1.1'!EZ$1,#REF!,0)))</f>
        <v/>
      </c>
      <c r="FA143" s="56" t="str">
        <f t="array" ref="FA143">IF($DQ143="","", INDEX(#REF!,MATCH(CONCATENATE('Respuestas de formulario 1.1'!$B143,$DQ143),#REF!,0),MATCH('Respuestas de formulario 1.1'!FA$1,#REF!,0)))</f>
        <v/>
      </c>
      <c r="FB143" s="56" t="str">
        <f t="array" ref="FB143">IF($DQ143="","", INDEX(#REF!,MATCH(CONCATENATE('Respuestas de formulario 1.1'!$B143,$DQ143),#REF!,0),MATCH('Respuestas de formulario 1.1'!FB$1,#REF!,0)))</f>
        <v/>
      </c>
      <c r="FC143" s="56" t="str">
        <f t="array" ref="FC143">IF($DQ143="","", INDEX(#REF!,MATCH(CONCATENATE('Respuestas de formulario 1.1'!$B143,$DQ143),#REF!,0),MATCH('Respuestas de formulario 1.1'!FC$1,#REF!,0)))</f>
        <v/>
      </c>
      <c r="FD143" s="45" t="str">
        <f t="array" ref="FD143">IF($DQ143="","", INDEX(#REF!,MATCH(CONCATENATE('Respuestas de formulario 1.1'!$B143,$DQ143),#REF!,0),MATCH('Respuestas de formulario 1.1'!FD$1,#REF!,0)))</f>
        <v/>
      </c>
      <c r="FE143" s="45" t="str">
        <f t="array" ref="FE143">IF($DR143="","", INDEX(#REF!,MATCH(CONCATENATE(#REF!,$DR143),#REF!,0),MATCH(#REF!,#REF!,0)))</f>
        <v/>
      </c>
      <c r="FF143" s="56" t="str">
        <f t="array" ref="FF143">IF($DR143="","", INDEX(#REF!,MATCH(CONCATENATE(#REF!,$DR143),#REF!,0),MATCH(#REF!,#REF!,0)))</f>
        <v/>
      </c>
      <c r="FG143" s="56" t="str">
        <f t="array" ref="FG143">IF($DR143="","", INDEX(#REF!,MATCH(CONCATENATE(#REF!,$DR143),#REF!,0),MATCH(#REF!,#REF!,0)))</f>
        <v/>
      </c>
      <c r="FH143" s="56" t="str">
        <f t="array" ref="FH143">IF($DR143="","", INDEX(#REF!,MATCH(CONCATENATE(#REF!,$DR143),#REF!,0),MATCH(#REF!,#REF!,0)))</f>
        <v/>
      </c>
      <c r="FI143" s="56" t="str">
        <f t="array" ref="FI143">IF($DR143="","", INDEX(#REF!,MATCH(CONCATENATE(#REF!,$DR143),#REF!,0),MATCH(#REF!,#REF!,0)))</f>
        <v/>
      </c>
      <c r="FJ143" s="56" t="str">
        <f t="array" ref="FJ143">IF($DR143="","", INDEX(#REF!,MATCH(CONCATENATE(#REF!,$DR143),#REF!,0),MATCH(#REF!,#REF!,0)))</f>
        <v/>
      </c>
      <c r="FK143" s="45" t="str">
        <f t="array" ref="FK143">IF($DR143="","", INDEX(#REF!,MATCH(CONCATENATE(#REF!,$DR143),#REF!,0),MATCH(#REF!,#REF!,0)))</f>
        <v/>
      </c>
      <c r="FL143" s="45" t="str">
        <f t="array" ref="FL143">IF($DT143="","", INDEX(#REF!,MATCH(CONCATENATE('Respuestas de formulario 1.1'!$B143,$DS143),#REF!,0),MATCH('Respuestas de formulario 1.1'!FL$1,#REF!,0)))</f>
        <v/>
      </c>
      <c r="FM143" s="56" t="str">
        <f t="array" ref="FM143">IF($DT143="","", INDEX(#REF!,MATCH(CONCATENATE('Respuestas de formulario 1.1'!$B143,$DS143),#REF!,0),MATCH('Respuestas de formulario 1.1'!FM$1,#REF!,0)))</f>
        <v/>
      </c>
      <c r="FN143" s="56" t="str">
        <f t="array" ref="FN143">IF($DT143="","", INDEX(#REF!,MATCH(CONCATENATE('Respuestas de formulario 1.1'!$B143,$DS143),#REF!,0),MATCH('Respuestas de formulario 1.1'!FN$1,#REF!,0)))</f>
        <v/>
      </c>
      <c r="FO143" s="56" t="str">
        <f t="array" ref="FO143">IF($DT143="","", INDEX(#REF!,MATCH(CONCATENATE('Respuestas de formulario 1.1'!$B143,$DS143),#REF!,0),MATCH('Respuestas de formulario 1.1'!FO$1,#REF!,0)))</f>
        <v/>
      </c>
      <c r="FP143" s="56" t="str">
        <f t="array" ref="FP143">IF($DT143="","", INDEX(#REF!,MATCH(CONCATENATE('Respuestas de formulario 1.1'!$B143,$DS143),#REF!,0),MATCH('Respuestas de formulario 1.1'!FP$1,#REF!,0)))</f>
        <v/>
      </c>
      <c r="FQ143" s="56" t="str">
        <f t="array" ref="FQ143">IF($DT143="","", INDEX(#REF!,MATCH(CONCATENATE('Respuestas de formulario 1.1'!$B143,$DS143),#REF!,0),MATCH('Respuestas de formulario 1.1'!FQ$1,#REF!,0)))</f>
        <v/>
      </c>
      <c r="FR143" s="45" t="str">
        <f t="array" ref="FR143">IF($DT143="","", INDEX(#REF!,MATCH(CONCATENATE('Respuestas de formulario 1.1'!$B143,$DS143),#REF!,0),MATCH('Respuestas de formulario 1.1'!FR$1,#REF!,0)))</f>
        <v/>
      </c>
      <c r="FS143" s="45" t="str">
        <f t="array" ref="FS143">IF($DU143="","", INDEX(#REF!,MATCH(CONCATENATE('Respuestas de formulario 1.1'!$B143,$DT143),#REF!,0),MATCH('Respuestas de formulario 1.1'!FS$1,#REF!,0)))</f>
        <v/>
      </c>
      <c r="FT143" s="56" t="str">
        <f t="array" ref="FT143">IF($DU143="","", INDEX(#REF!,MATCH(CONCATENATE('Respuestas de formulario 1.1'!$B143,$DT143),#REF!,0),MATCH('Respuestas de formulario 1.1'!FT$1,#REF!,0)))</f>
        <v/>
      </c>
      <c r="FU143" s="56" t="str">
        <f t="array" ref="FU143">IF($DU143="","", INDEX(#REF!,MATCH(CONCATENATE('Respuestas de formulario 1.1'!$B143,$DT143),#REF!,0),MATCH('Respuestas de formulario 1.1'!FU$1,#REF!,0)))</f>
        <v/>
      </c>
      <c r="FV143" s="56" t="str">
        <f t="array" ref="FV143">IF($DU143="","", INDEX(#REF!,MATCH(CONCATENATE('Respuestas de formulario 1.1'!$B143,$DT143),#REF!,0),MATCH('Respuestas de formulario 1.1'!FV$1,#REF!,0)))</f>
        <v/>
      </c>
      <c r="FW143" s="56" t="str">
        <f t="array" ref="FW143">IF($DU143="","", INDEX(#REF!,MATCH(CONCATENATE('Respuestas de formulario 1.1'!$B143,$DT143),#REF!,0),MATCH('Respuestas de formulario 1.1'!FW$1,#REF!,0)))</f>
        <v/>
      </c>
      <c r="FX143" s="56" t="str">
        <f t="array" ref="FX143">IF($DU143="","", INDEX(#REF!,MATCH(CONCATENATE('Respuestas de formulario 1.1'!$B143,$DT143),#REF!,0),MATCH('Respuestas de formulario 1.1'!FX$1,#REF!,0)))</f>
        <v/>
      </c>
      <c r="FY143" s="45" t="str">
        <f t="array" ref="FY143">IF($DU143="","", INDEX(#REF!,MATCH(CONCATENATE('Respuestas de formulario 1.1'!$B143,$DT143),#REF!,0),MATCH('Respuestas de formulario 1.1'!FY$1,#REF!,0)))</f>
        <v/>
      </c>
      <c r="GA143" s="1" t="s">
        <v>5277</v>
      </c>
      <c r="GB143" s="5" t="s">
        <v>5278</v>
      </c>
      <c r="GC143" s="4" t="str">
        <f>HYPERLINK("https://drive.google.com/file/d/1DU3YJlVGhz8ihb-QSnFmHOL1xAy5Mufj/view?usp=drivesdk","SOLORZANO  BADILLO  LEONARDO DANIEL  Formato de reinscripción y pago 2022-2")</f>
        <v>SOLORZANO  BADILLO  LEONARDO DANIEL  Formato de reinscripción y pago 2022-2</v>
      </c>
      <c r="GD143" s="1" t="s">
        <v>5279</v>
      </c>
      <c r="GE143" s="1"/>
      <c r="GF143" s="1"/>
      <c r="GG143" s="1"/>
      <c r="GH143" s="1"/>
      <c r="GI143" s="1" t="s">
        <v>5280</v>
      </c>
      <c r="GJ143" s="5" t="s">
        <v>5281</v>
      </c>
      <c r="GK143" s="5" t="str">
        <f>HYPERLINK("https://drive.google.com/file/d/1fYhWld0DskIZQRHvQJXMYTk6KdmVEDX0/view?usp=drivesdk","SOLORZANO  BADILLO  &lt;&lt;Nombre(S)&gt;&gt; Formato de reinscripción y pago 2022-2")</f>
        <v>SOLORZANO  BADILLO  &lt;&lt;Nombre(S)&gt;&gt; Formato de reinscripción y pago 2022-2</v>
      </c>
      <c r="GL143" s="1" t="s">
        <v>5282</v>
      </c>
    </row>
    <row r="144" spans="1:194" ht="38.25" x14ac:dyDescent="0.2">
      <c r="A144" s="2">
        <v>45139.45825826389</v>
      </c>
      <c r="B144" s="1" t="s">
        <v>1837</v>
      </c>
      <c r="C144" s="1" t="s">
        <v>304</v>
      </c>
      <c r="D144" s="1" t="s">
        <v>503</v>
      </c>
      <c r="E144" s="1" t="s">
        <v>5283</v>
      </c>
      <c r="F144" s="1" t="s">
        <v>223</v>
      </c>
      <c r="G144" s="5" t="s">
        <v>5284</v>
      </c>
      <c r="H144" s="41">
        <v>38401</v>
      </c>
      <c r="I144" s="1">
        <v>18</v>
      </c>
      <c r="J144" s="1">
        <v>5610504149</v>
      </c>
      <c r="K144" s="1">
        <v>5590459407</v>
      </c>
      <c r="L144" s="1" t="s">
        <v>1838</v>
      </c>
      <c r="M144" s="1">
        <v>21309060570953</v>
      </c>
      <c r="N144" s="1" t="s">
        <v>1108</v>
      </c>
      <c r="O144" s="1" t="s">
        <v>225</v>
      </c>
      <c r="P144" s="1" t="s">
        <v>314</v>
      </c>
      <c r="Q144" s="1" t="s">
        <v>248</v>
      </c>
      <c r="R144" s="1" t="s">
        <v>236</v>
      </c>
      <c r="S144" s="1" t="s">
        <v>228</v>
      </c>
      <c r="T144" s="1" t="s">
        <v>229</v>
      </c>
      <c r="U144" s="1" t="s">
        <v>249</v>
      </c>
      <c r="V144" s="1" t="s">
        <v>228</v>
      </c>
      <c r="W144" s="1" t="s">
        <v>5285</v>
      </c>
      <c r="X144" s="1" t="s">
        <v>249</v>
      </c>
      <c r="Y144" s="1" t="s">
        <v>2504</v>
      </c>
      <c r="Z144" s="1" t="s">
        <v>240</v>
      </c>
      <c r="AA144" s="44" t="s">
        <v>1839</v>
      </c>
      <c r="AB144" s="1">
        <v>33</v>
      </c>
      <c r="AC144" s="1">
        <v>2</v>
      </c>
      <c r="AD144" s="1" t="s">
        <v>5286</v>
      </c>
      <c r="AE144" s="1" t="s">
        <v>1840</v>
      </c>
      <c r="AF144" s="1" t="s">
        <v>265</v>
      </c>
      <c r="AG144" s="1">
        <v>47</v>
      </c>
      <c r="AH144" s="5" t="s">
        <v>5287</v>
      </c>
      <c r="AI144" s="1">
        <v>9341243116</v>
      </c>
      <c r="AJ144" s="1">
        <v>5590459407</v>
      </c>
      <c r="AK144" s="1" t="s">
        <v>5288</v>
      </c>
      <c r="AL144" s="1" t="s">
        <v>421</v>
      </c>
      <c r="AM144" s="1" t="s">
        <v>266</v>
      </c>
      <c r="AN144" s="1" t="s">
        <v>1842</v>
      </c>
      <c r="AO144" s="1" t="s">
        <v>1732</v>
      </c>
      <c r="AP144" s="1">
        <v>37</v>
      </c>
      <c r="AQ144" s="1" t="s">
        <v>306</v>
      </c>
      <c r="AR144" s="42">
        <v>0.375</v>
      </c>
      <c r="AS144" s="42">
        <v>0.25</v>
      </c>
      <c r="AT144" s="1">
        <v>5610144669</v>
      </c>
      <c r="AU144" s="1">
        <v>5590459407</v>
      </c>
      <c r="AV144" s="1" t="s">
        <v>1843</v>
      </c>
      <c r="AW144" s="5" t="s">
        <v>5289</v>
      </c>
      <c r="AX144" s="1" t="s">
        <v>503</v>
      </c>
      <c r="AY144" s="1" t="s">
        <v>1841</v>
      </c>
      <c r="AZ144" s="1" t="s">
        <v>5290</v>
      </c>
      <c r="BA144" s="1" t="s">
        <v>265</v>
      </c>
      <c r="BB144" s="1">
        <v>47</v>
      </c>
      <c r="BC144" s="1" t="s">
        <v>328</v>
      </c>
      <c r="BD144" s="43">
        <v>0.375</v>
      </c>
      <c r="BE144" s="43">
        <v>0.25</v>
      </c>
      <c r="BF144" s="1">
        <v>9341243116</v>
      </c>
      <c r="BG144" s="1">
        <v>5590459407</v>
      </c>
      <c r="BH144" s="1"/>
      <c r="BI144" s="5" t="s">
        <v>5291</v>
      </c>
      <c r="BJ144" s="1" t="s">
        <v>236</v>
      </c>
      <c r="BL144" s="1">
        <v>1.58</v>
      </c>
      <c r="BM144" s="1">
        <v>43</v>
      </c>
      <c r="BN144" s="1" t="s">
        <v>228</v>
      </c>
      <c r="BO144" s="1" t="s">
        <v>228</v>
      </c>
      <c r="BQ144" s="1" t="s">
        <v>228</v>
      </c>
      <c r="BR144" s="1" t="s">
        <v>237</v>
      </c>
      <c r="BS144" s="1" t="s">
        <v>228</v>
      </c>
      <c r="BT144" s="1" t="s">
        <v>237</v>
      </c>
      <c r="BU144" s="1" t="s">
        <v>228</v>
      </c>
      <c r="BW144" s="1" t="s">
        <v>349</v>
      </c>
      <c r="BX144" s="1">
        <v>150</v>
      </c>
      <c r="BY144" s="1">
        <v>200</v>
      </c>
      <c r="BZ144" s="1" t="s">
        <v>253</v>
      </c>
      <c r="CA144" s="1" t="s">
        <v>786</v>
      </c>
      <c r="CB144" s="1" t="s">
        <v>240</v>
      </c>
      <c r="CC144" s="1" t="s">
        <v>322</v>
      </c>
      <c r="CD144" s="1">
        <v>400</v>
      </c>
      <c r="CE144" s="1">
        <v>300</v>
      </c>
      <c r="CF144" s="1" t="s">
        <v>236</v>
      </c>
      <c r="CG144" s="1" t="s">
        <v>242</v>
      </c>
      <c r="CH144" s="1" t="s">
        <v>243</v>
      </c>
      <c r="CI144" s="1" t="s">
        <v>243</v>
      </c>
      <c r="CJ144" s="1" t="s">
        <v>2848</v>
      </c>
      <c r="CL144" s="5" t="s">
        <v>5292</v>
      </c>
      <c r="CM144" s="1">
        <v>3021058342</v>
      </c>
      <c r="CN144" s="1" t="s">
        <v>228</v>
      </c>
      <c r="CQ144" s="42">
        <v>0.375</v>
      </c>
      <c r="CR144" s="42">
        <v>0.25</v>
      </c>
      <c r="CT144" s="45" t="str">
        <f t="array" ref="CT144">IFERROR(INDEX(#REF!,MATCH('Respuestas de formulario 1.1'!$B144,#REF!,0),MATCH('Respuestas de formulario 1.1'!CT$1,#REF!,0)),"")</f>
        <v/>
      </c>
      <c r="CU144" s="56" t="str">
        <f t="array" ref="CU144">IFERROR(INDEX(#REF!,MATCH('Respuestas de formulario 1.1'!$B144,#REF!,0),MATCH('Respuestas de formulario 1.1'!CU$1,#REF!,0)),"")</f>
        <v/>
      </c>
      <c r="CV144" s="56" t="str">
        <f t="array" ref="CV144">IFERROR(INDEX(#REF!,MATCH('Respuestas de formulario 1.1'!$B144,#REF!,0),MATCH('Respuestas de formulario 1.1'!CV$1,#REF!,0)),"")</f>
        <v/>
      </c>
      <c r="CW144" s="56" t="str">
        <f t="array" ref="CW144">IFERROR(INDEX(#REF!,MATCH('Respuestas de formulario 1.1'!$B144,#REF!,0),MATCH('Respuestas de formulario 1.1'!CW$1,#REF!,0)),"")</f>
        <v/>
      </c>
      <c r="CX144" s="56" t="str">
        <f t="array" ref="CX144">IFERROR(INDEX(#REF!,MATCH('Respuestas de formulario 1.1'!$B144,#REF!,0),MATCH('Respuestas de formulario 1.1'!CX$1,#REF!,0)),"")</f>
        <v/>
      </c>
      <c r="CY144" s="56" t="str">
        <f t="array" ref="CY144">IFERROR(INDEX(#REF!,MATCH('Respuestas de formulario 1.1'!$B144,#REF!,0),MATCH('Respuestas de formulario 1.1'!CY$1,#REF!,0)),"")</f>
        <v/>
      </c>
      <c r="CZ144" s="57" t="str">
        <f t="array" ref="CZ144">IFERROR(INDEX(#REF!,MATCH('Respuestas de formulario 1.1'!$B144,#REF!,0),MATCH('Respuestas de formulario 1.1'!CZ$1,#REF!,0)),"")</f>
        <v/>
      </c>
      <c r="DA144" s="45" t="e">
        <f t="array" ref="DA144">INDEX(#REF!,MATCH('Respuestas de formulario 1.1'!$B144,#REF!,0),MATCH('Respuestas de formulario 1.1'!DA$1,#REF!,0))</f>
        <v>#REF!</v>
      </c>
      <c r="DB144" s="45" t="e">
        <f t="array" ref="DB144">INDEX(#REF!,MATCH('Respuestas de formulario 1.1'!$B144,#REF!,0),MATCH('Respuestas de formulario 1.1'!DB$1,#REF!,0))</f>
        <v>#REF!</v>
      </c>
      <c r="DC144" s="45" t="e">
        <f t="array" ref="DC144">INDEX(#REF!,MATCH('Respuestas de formulario 1.1'!$B144,#REF!,0),MATCH('Respuestas de formulario 1.1'!DC$1,#REF!,0))</f>
        <v>#REF!</v>
      </c>
      <c r="DD144" s="45" t="e">
        <f t="array" ref="DD144">INDEX(#REF!,MATCH('Respuestas de formulario 1.1'!$B144,#REF!,0),MATCH('Respuestas de formulario 1.1'!DD$1,#REF!,0))</f>
        <v>#REF!</v>
      </c>
      <c r="DE144" s="45" t="e">
        <f t="array" ref="DE144">INDEX(#REF!,MATCH('Respuestas de formulario 1.1'!$B144,#REF!,0),MATCH('Respuestas de formulario 1.1'!DE$1,#REF!,0))</f>
        <v>#REF!</v>
      </c>
      <c r="DF144" s="45" t="e">
        <f t="array" ref="DF144">INDEX(#REF!,MATCH('Respuestas de formulario 1.1'!$B144,#REF!,0),MATCH('Respuestas de formulario 1.1'!DF$1,#REF!,0))</f>
        <v>#REF!</v>
      </c>
      <c r="DG144" s="45" t="e">
        <f t="array" ref="DG144">INDEX(#REF!,MATCH('Respuestas de formulario 1.1'!$B144,#REF!,0),MATCH('Respuestas de formulario 1.1'!DG$1,#REF!,0))</f>
        <v>#REF!</v>
      </c>
      <c r="DH144" s="45" t="e">
        <f t="array" ref="DH144">INDEX(#REF!,MATCH('Respuestas de formulario 1.1'!$B144,#REF!,0),MATCH('Respuestas de formulario 1.1'!DH$1,#REF!,0))</f>
        <v>#REF!</v>
      </c>
      <c r="DI144" s="48" t="e">
        <f>VLOOKUP(CONCATENATE($DF144," TUTO ",$DC144),#REF!,3,0)</f>
        <v>#REF!</v>
      </c>
      <c r="DJ144" s="48" t="e">
        <f t="array" ref="DJ144">IF('Respuestas de formulario 1.1'!A144="","",INDEX(#REF!,MATCH('Respuestas de formulario 1.1'!B144,#REF!,0),MATCH('Respuestas de formulario 1.1'!$DH$1,#REF!,0)))</f>
        <v>#REF!</v>
      </c>
      <c r="DK144" s="52" t="str">
        <f>CONCATENATE("http://doc.google.com/uc?id=",MID('Respuestas de formulario 1.1'!G144,34,33))</f>
        <v>http://doc.google.com/uc?id=1PETcrjGgdZFbO9eTV_T_3RuBQtKTHJtv</v>
      </c>
      <c r="DL144" s="49" t="str">
        <f>CONCATENATE("http://doc.google.com/uc?id=",MID('Respuestas de formulario 1.1'!AH144,34,33))</f>
        <v>http://doc.google.com/uc?id=12W_c5waCUyuQ7i6hQ8FHEpt9NYCnUj5w</v>
      </c>
      <c r="DM144" s="50" t="str">
        <f>CONCATENATE("http://doc.google.com/uc?id=",MID('Respuestas de formulario 1.1'!AW144,34,33))</f>
        <v>http://doc.google.com/uc?id=1a-vHrUw61Wnrt0z6lWIpoyGG4Dd64V9l</v>
      </c>
      <c r="DN144" s="53" t="str">
        <f>CONCATENATE("http://doc.google.com/uc?id=",MID('Respuestas de formulario 1.1'!$BI144,34,33))</f>
        <v>http://doc.google.com/uc?id=1vC0d42WQwFN9nTjemOZYXcFso0LM7w7i</v>
      </c>
      <c r="DO144" s="45" t="str">
        <f>IFERROR(VLOOKUP(CONCATENATE('Respuestas de formulario 1.1'!$B144,MID('Respuestas de formulario 1.1'!DO$1,2,1)),#REF!,12,0),"")</f>
        <v/>
      </c>
      <c r="DP144" s="45" t="str">
        <f>IFERROR(VLOOKUP(CONCATENATE('Respuestas de formulario 1.1'!$B144,MID('Respuestas de formulario 1.1'!DP$1,2,1)),#REF!,12,0),"")</f>
        <v/>
      </c>
      <c r="DQ144" s="45" t="str">
        <f>IFERROR(VLOOKUP(CONCATENATE('Respuestas de formulario 1.1'!$B144,MID('Respuestas de formulario 1.1'!DQ$1,2,1)),#REF!,12,0),"")</f>
        <v/>
      </c>
      <c r="DR144" s="45" t="str">
        <f>IFERROR(VLOOKUP(CONCATENATE('Respuestas de formulario 1.1'!$B144,MID('Respuestas de formulario 1.1'!DR$1,2,1)),#REF!,12,0),"")</f>
        <v/>
      </c>
      <c r="DS144" s="45" t="str">
        <f>IFERROR(VLOOKUP(CONCATENATE('Respuestas de formulario 1.1'!$B144,MID('Respuestas de formulario 1.1'!DS$1,2,1)),#REF!,12,0),"")</f>
        <v/>
      </c>
      <c r="DT144" s="45" t="str">
        <f>IFERROR(VLOOKUP(CONCATENATE('Respuestas de formulario 1.1'!$B144,MID('Respuestas de formulario 1.1'!DT$1,2,1)),#REF!,12,0),"")</f>
        <v/>
      </c>
      <c r="DU144" s="45" t="str">
        <f>IFERROR(VLOOKUP(CONCATENATE('Respuestas de formulario 1.1'!$B144,MID('Respuestas de formulario 1.1'!DU$1,2,1)),#REF!,12,0),"")</f>
        <v/>
      </c>
      <c r="DV144" s="45" t="str">
        <f>IFERROR(VLOOKUP(CONCATENATE('Respuestas de formulario 1.1'!$B144,MID('Respuestas de formulario 1.1'!DV$1,2,1)),#REF!,12,0),"")</f>
        <v/>
      </c>
      <c r="DW144" s="45" t="str">
        <f>IFERROR(VLOOKUP(CONCATENATE('Respuestas de formulario 1.1'!$B144,MID('Respuestas de formulario 1.1'!DW$1,2,1)),#REF!,12,0),"")</f>
        <v/>
      </c>
      <c r="DX144" s="45" t="str">
        <f>IFERROR(VLOOKUP(CONCATENATE('Respuestas de formulario 1.1'!$B144,MID('Respuestas de formulario 1.1'!DX$1,2,1)),#REF!,12,0),"")</f>
        <v/>
      </c>
      <c r="DY144" s="45" t="str">
        <f>IFERROR(VLOOKUP(CONCATENATE('Respuestas de formulario 1.1'!$B144,MID('Respuestas de formulario 1.1'!DY$1,2,1)),#REF!,12,0),"")</f>
        <v/>
      </c>
      <c r="DZ144" s="45" t="str">
        <f>IFERROR(VLOOKUP(CONCATENATE('Respuestas de formulario 1.1'!$B144,MID('Respuestas de formulario 1.1'!DZ$1,2,1)),#REF!,12,0),"")</f>
        <v/>
      </c>
      <c r="EA144" s="45" t="str">
        <f>IFERROR(VLOOKUP(CONCATENATE('Respuestas de formulario 1.1'!$B144,MID('Respuestas de formulario 1.1'!EA$1,2,1)),#REF!,12,0),"")</f>
        <v/>
      </c>
      <c r="EB144" s="45" t="str">
        <f>IFERROR(VLOOKUP(CONCATENATE('Respuestas de formulario 1.1'!$B144,MID('Respuestas de formulario 1.1'!EB$1,2,1)),#REF!,12,0),"")</f>
        <v/>
      </c>
      <c r="EC144" s="45" t="str">
        <f>IFERROR(VLOOKUP(CONCATENATE('Respuestas de formulario 1.1'!$B144,MID('Respuestas de formulario 1.1'!EC$1,2,1)),#REF!,12,0),"")</f>
        <v/>
      </c>
      <c r="ED144" s="45" t="str">
        <f>IFERROR(VLOOKUP(CONCATENATE('Respuestas de formulario 1.1'!$B144,MID('Respuestas de formulario 1.1'!ED$1,2,1)),#REF!,12,0),"")</f>
        <v/>
      </c>
      <c r="EE144" s="45" t="str">
        <f>IFERROR(VLOOKUP(CONCATENATE('Respuestas de formulario 1.1'!$B144,MID('Respuestas de formulario 1.1'!EE$1,2,1)),#REF!,12,0),"")</f>
        <v/>
      </c>
      <c r="EF144" s="45" t="str">
        <f>IFERROR(VLOOKUP(CONCATENATE('Respuestas de formulario 1.1'!$B144,MID('Respuestas de formulario 1.1'!EF$1,2,1)),#REF!,12,0),"")</f>
        <v/>
      </c>
      <c r="EG144" s="45" t="str">
        <f>IFERROR(VLOOKUP(CONCATENATE('Respuestas de formulario 1.1'!$B144,MID('Respuestas de formulario 1.1'!EG$1,2,1)),#REF!,12,0),"")</f>
        <v/>
      </c>
      <c r="EH144" s="45" t="str">
        <f>IFERROR(VLOOKUP(CONCATENATE('Respuestas de formulario 1.1'!$B144,MID('Respuestas de formulario 1.1'!EH$1,2,1)),#REF!,12,0),"")</f>
        <v/>
      </c>
      <c r="EI144" s="45" t="str">
        <f>IFERROR(VLOOKUP(CONCATENATE('Respuestas de formulario 1.1'!$B144,MID('Respuestas de formulario 1.1'!EI$1,2,1)),#REF!,12,0),"")</f>
        <v/>
      </c>
      <c r="EJ144" s="45" t="str">
        <f t="array" ref="EJ144">IF(DO144="","", INDEX(#REF!,MATCH(CONCATENATE('Respuestas de formulario 1.1'!$B144,DO144),#REF!,0),MATCH('Respuestas de formulario 1.1'!EJ$1,#REF!,0)))</f>
        <v/>
      </c>
      <c r="EK144" s="56" t="str">
        <f t="array" ref="EK144">IF(DP144="","", INDEX(#REF!,MATCH(CONCATENATE('Respuestas de formulario 1.1'!$B144,DP144),#REF!,0),MATCH('Respuestas de formulario 1.1'!EK$1,#REF!,0)))</f>
        <v/>
      </c>
      <c r="EL144" s="56" t="str">
        <f t="array" ref="EL144">IF(DQ144="","", INDEX(#REF!,MATCH(CONCATENATE('Respuestas de formulario 1.1'!$B144,DQ144),#REF!,0),MATCH('Respuestas de formulario 1.1'!EL$1,#REF!,0)))</f>
        <v/>
      </c>
      <c r="EM144" s="56" t="str">
        <f t="array" ref="EM144">IF(DR144="","", INDEX(#REF!,MATCH(CONCATENATE('Respuestas de formulario 1.1'!$B144,DR144),#REF!,0),MATCH('Respuestas de formulario 1.1'!EM$1,#REF!,0)))</f>
        <v/>
      </c>
      <c r="EN144" s="56" t="str">
        <f t="array" ref="EN144">IF(DS144="","", INDEX(#REF!,MATCH(CONCATENATE('Respuestas de formulario 1.1'!$B144,DS144),#REF!,0),MATCH('Respuestas de formulario 1.1'!EN$1,#REF!,0)))</f>
        <v/>
      </c>
      <c r="EO144" s="56" t="str">
        <f t="array" ref="EO144">IF(DT144="","", INDEX(#REF!,MATCH(CONCATENATE('Respuestas de formulario 1.1'!$B144,DT144),#REF!,0),MATCH('Respuestas de formulario 1.1'!EO$1,#REF!,0)))</f>
        <v/>
      </c>
      <c r="EP144" s="45" t="str">
        <f t="array" ref="EP144">IF(DU144="","", INDEX(#REF!,MATCH(CONCATENATE('Respuestas de formulario 1.1'!$B144,DU144),#REF!,0),MATCH('Respuestas de formulario 1.1'!EP$1,#REF!,0)))</f>
        <v/>
      </c>
      <c r="EQ144" s="45" t="str">
        <f t="array" ref="EQ144">IF(DP144="","", INDEX(#REF!,MATCH(CONCATENATE('Respuestas de formulario 1.1'!$B144,DP144),#REF!,0),MATCH('Respuestas de formulario 1.1'!EQ$1,#REF!,0)))</f>
        <v/>
      </c>
      <c r="ER144" s="56" t="str">
        <f t="array" ref="ER144">IF(DQ144="","", INDEX(#REF!,MATCH(CONCATENATE('Respuestas de formulario 1.1'!$B144,DQ144),#REF!,0),MATCH('Respuestas de formulario 1.1'!ER$1,#REF!,0)))</f>
        <v/>
      </c>
      <c r="ES144" s="56" t="str">
        <f t="array" ref="ES144">IF(DR144="","", INDEX(#REF!,MATCH(CONCATENATE('Respuestas de formulario 1.1'!$B144,DR144),#REF!,0),MATCH('Respuestas de formulario 1.1'!ES$1,#REF!,0)))</f>
        <v/>
      </c>
      <c r="ET144" s="56" t="str">
        <f t="array" ref="ET144">IF(DS144="","", INDEX(#REF!,MATCH(CONCATENATE('Respuestas de formulario 1.1'!$B144,DS144),#REF!,0),MATCH('Respuestas de formulario 1.1'!ET$1,#REF!,0)))</f>
        <v/>
      </c>
      <c r="EU144" s="56" t="str">
        <f t="array" ref="EU144">IF(DT144="","", INDEX(#REF!,MATCH(CONCATENATE('Respuestas de formulario 1.1'!$B144,DT144),#REF!,0),MATCH('Respuestas de formulario 1.1'!EU$1,#REF!,0)))</f>
        <v/>
      </c>
      <c r="EV144" s="56" t="str">
        <f t="array" ref="EV144">IF(DU144="","", INDEX(#REF!,MATCH(CONCATENATE('Respuestas de formulario 1.1'!$B144,DU144),#REF!,0),MATCH('Respuestas de formulario 1.1'!EV$1,#REF!,0)))</f>
        <v/>
      </c>
      <c r="EW144" s="45" t="str">
        <f t="array" ref="EW144">IF(DV144="","", INDEX(#REF!,MATCH(CONCATENATE('Respuestas de formulario 1.1'!$B144,DV144),#REF!,0),MATCH('Respuestas de formulario 1.1'!EW$1,#REF!,0)))</f>
        <v/>
      </c>
      <c r="EX144" s="45" t="str">
        <f t="array" ref="EX144">IF($DQ144="","", INDEX(#REF!,MATCH(CONCATENATE('Respuestas de formulario 1.1'!$B144,$DQ144),#REF!,0),MATCH('Respuestas de formulario 1.1'!EX$1,#REF!,0)))</f>
        <v/>
      </c>
      <c r="EY144" s="56" t="str">
        <f t="array" ref="EY144">IF($DQ144="","", INDEX(#REF!,MATCH(CONCATENATE('Respuestas de formulario 1.1'!$B144,$DQ144),#REF!,0),MATCH('Respuestas de formulario 1.1'!EY$1,#REF!,0)))</f>
        <v/>
      </c>
      <c r="EZ144" s="56" t="str">
        <f t="array" ref="EZ144">IF($DQ144="","", INDEX(#REF!,MATCH(CONCATENATE('Respuestas de formulario 1.1'!$B144,$DQ144),#REF!,0),MATCH('Respuestas de formulario 1.1'!EZ$1,#REF!,0)))</f>
        <v/>
      </c>
      <c r="FA144" s="56" t="str">
        <f t="array" ref="FA144">IF($DQ144="","", INDEX(#REF!,MATCH(CONCATENATE('Respuestas de formulario 1.1'!$B144,$DQ144),#REF!,0),MATCH('Respuestas de formulario 1.1'!FA$1,#REF!,0)))</f>
        <v/>
      </c>
      <c r="FB144" s="56" t="str">
        <f t="array" ref="FB144">IF($DQ144="","", INDEX(#REF!,MATCH(CONCATENATE('Respuestas de formulario 1.1'!$B144,$DQ144),#REF!,0),MATCH('Respuestas de formulario 1.1'!FB$1,#REF!,0)))</f>
        <v/>
      </c>
      <c r="FC144" s="56" t="str">
        <f t="array" ref="FC144">IF($DQ144="","", INDEX(#REF!,MATCH(CONCATENATE('Respuestas de formulario 1.1'!$B144,$DQ144),#REF!,0),MATCH('Respuestas de formulario 1.1'!FC$1,#REF!,0)))</f>
        <v/>
      </c>
      <c r="FD144" s="45" t="str">
        <f t="array" ref="FD144">IF($DQ144="","", INDEX(#REF!,MATCH(CONCATENATE('Respuestas de formulario 1.1'!$B144,$DQ144),#REF!,0),MATCH('Respuestas de formulario 1.1'!FD$1,#REF!,0)))</f>
        <v/>
      </c>
      <c r="FE144" s="45" t="str">
        <f t="array" ref="FE144">IF($DR144="","", INDEX(#REF!,MATCH(CONCATENATE(#REF!,$DR144),#REF!,0),MATCH(#REF!,#REF!,0)))</f>
        <v/>
      </c>
      <c r="FF144" s="56" t="str">
        <f t="array" ref="FF144">IF($DR144="","", INDEX(#REF!,MATCH(CONCATENATE(#REF!,$DR144),#REF!,0),MATCH(#REF!,#REF!,0)))</f>
        <v/>
      </c>
      <c r="FG144" s="56" t="str">
        <f t="array" ref="FG144">IF($DR144="","", INDEX(#REF!,MATCH(CONCATENATE(#REF!,$DR144),#REF!,0),MATCH(#REF!,#REF!,0)))</f>
        <v/>
      </c>
      <c r="FH144" s="56" t="str">
        <f t="array" ref="FH144">IF($DR144="","", INDEX(#REF!,MATCH(CONCATENATE(#REF!,$DR144),#REF!,0),MATCH(#REF!,#REF!,0)))</f>
        <v/>
      </c>
      <c r="FI144" s="56" t="str">
        <f t="array" ref="FI144">IF($DR144="","", INDEX(#REF!,MATCH(CONCATENATE(#REF!,$DR144),#REF!,0),MATCH(#REF!,#REF!,0)))</f>
        <v/>
      </c>
      <c r="FJ144" s="56" t="str">
        <f t="array" ref="FJ144">IF($DR144="","", INDEX(#REF!,MATCH(CONCATENATE(#REF!,$DR144),#REF!,0),MATCH(#REF!,#REF!,0)))</f>
        <v/>
      </c>
      <c r="FK144" s="45" t="str">
        <f t="array" ref="FK144">IF($DR144="","", INDEX(#REF!,MATCH(CONCATENATE(#REF!,$DR144),#REF!,0),MATCH(#REF!,#REF!,0)))</f>
        <v/>
      </c>
      <c r="FL144" s="45" t="str">
        <f t="array" ref="FL144">IF($DT144="","", INDEX(#REF!,MATCH(CONCATENATE('Respuestas de formulario 1.1'!$B144,$DS144),#REF!,0),MATCH('Respuestas de formulario 1.1'!FL$1,#REF!,0)))</f>
        <v/>
      </c>
      <c r="FM144" s="56" t="str">
        <f t="array" ref="FM144">IF($DT144="","", INDEX(#REF!,MATCH(CONCATENATE('Respuestas de formulario 1.1'!$B144,$DS144),#REF!,0),MATCH('Respuestas de formulario 1.1'!FM$1,#REF!,0)))</f>
        <v/>
      </c>
      <c r="FN144" s="56" t="str">
        <f t="array" ref="FN144">IF($DT144="","", INDEX(#REF!,MATCH(CONCATENATE('Respuestas de formulario 1.1'!$B144,$DS144),#REF!,0),MATCH('Respuestas de formulario 1.1'!FN$1,#REF!,0)))</f>
        <v/>
      </c>
      <c r="FO144" s="56" t="str">
        <f t="array" ref="FO144">IF($DT144="","", INDEX(#REF!,MATCH(CONCATENATE('Respuestas de formulario 1.1'!$B144,$DS144),#REF!,0),MATCH('Respuestas de formulario 1.1'!FO$1,#REF!,0)))</f>
        <v/>
      </c>
      <c r="FP144" s="56" t="str">
        <f t="array" ref="FP144">IF($DT144="","", INDEX(#REF!,MATCH(CONCATENATE('Respuestas de formulario 1.1'!$B144,$DS144),#REF!,0),MATCH('Respuestas de formulario 1.1'!FP$1,#REF!,0)))</f>
        <v/>
      </c>
      <c r="FQ144" s="56" t="str">
        <f t="array" ref="FQ144">IF($DT144="","", INDEX(#REF!,MATCH(CONCATENATE('Respuestas de formulario 1.1'!$B144,$DS144),#REF!,0),MATCH('Respuestas de formulario 1.1'!FQ$1,#REF!,0)))</f>
        <v/>
      </c>
      <c r="FR144" s="45" t="str">
        <f t="array" ref="FR144">IF($DT144="","", INDEX(#REF!,MATCH(CONCATENATE('Respuestas de formulario 1.1'!$B144,$DS144),#REF!,0),MATCH('Respuestas de formulario 1.1'!FR$1,#REF!,0)))</f>
        <v/>
      </c>
      <c r="FS144" s="45" t="str">
        <f t="array" ref="FS144">IF($DU144="","", INDEX(#REF!,MATCH(CONCATENATE('Respuestas de formulario 1.1'!$B144,$DT144),#REF!,0),MATCH('Respuestas de formulario 1.1'!FS$1,#REF!,0)))</f>
        <v/>
      </c>
      <c r="FT144" s="56" t="str">
        <f t="array" ref="FT144">IF($DU144="","", INDEX(#REF!,MATCH(CONCATENATE('Respuestas de formulario 1.1'!$B144,$DT144),#REF!,0),MATCH('Respuestas de formulario 1.1'!FT$1,#REF!,0)))</f>
        <v/>
      </c>
      <c r="FU144" s="56" t="str">
        <f t="array" ref="FU144">IF($DU144="","", INDEX(#REF!,MATCH(CONCATENATE('Respuestas de formulario 1.1'!$B144,$DT144),#REF!,0),MATCH('Respuestas de formulario 1.1'!FU$1,#REF!,0)))</f>
        <v/>
      </c>
      <c r="FV144" s="56" t="str">
        <f t="array" ref="FV144">IF($DU144="","", INDEX(#REF!,MATCH(CONCATENATE('Respuestas de formulario 1.1'!$B144,$DT144),#REF!,0),MATCH('Respuestas de formulario 1.1'!FV$1,#REF!,0)))</f>
        <v/>
      </c>
      <c r="FW144" s="56" t="str">
        <f t="array" ref="FW144">IF($DU144="","", INDEX(#REF!,MATCH(CONCATENATE('Respuestas de formulario 1.1'!$B144,$DT144),#REF!,0),MATCH('Respuestas de formulario 1.1'!FW$1,#REF!,0)))</f>
        <v/>
      </c>
      <c r="FX144" s="56" t="str">
        <f t="array" ref="FX144">IF($DU144="","", INDEX(#REF!,MATCH(CONCATENATE('Respuestas de formulario 1.1'!$B144,$DT144),#REF!,0),MATCH('Respuestas de formulario 1.1'!FX$1,#REF!,0)))</f>
        <v/>
      </c>
      <c r="FY144" s="45" t="str">
        <f t="array" ref="FY144">IF($DU144="","", INDEX(#REF!,MATCH(CONCATENATE('Respuestas de formulario 1.1'!$B144,$DT144),#REF!,0),MATCH('Respuestas de formulario 1.1'!FY$1,#REF!,0)))</f>
        <v/>
      </c>
      <c r="FZ144" s="3" t="s">
        <v>2860</v>
      </c>
      <c r="GA144" s="1" t="s">
        <v>5293</v>
      </c>
      <c r="GB144" s="5" t="s">
        <v>5294</v>
      </c>
      <c r="GC144" s="4" t="str">
        <f>HYPERLINK("https://drive.google.com/file/d/1wXGB7Vv5sJjwmWwPrkLr4shkbq197_FG/view?usp=drivesdk","GARCIA MORALES JADE ESMERALDA Formato de reinscripción y pago 2022-2")</f>
        <v>GARCIA MORALES JADE ESMERALDA Formato de reinscripción y pago 2022-2</v>
      </c>
      <c r="GD144" s="1" t="s">
        <v>5295</v>
      </c>
      <c r="GE144" s="1"/>
      <c r="GF144" s="1"/>
      <c r="GG144" s="1"/>
      <c r="GH144" s="1"/>
      <c r="GI144" s="1" t="s">
        <v>5296</v>
      </c>
      <c r="GJ144" s="5" t="s">
        <v>5297</v>
      </c>
      <c r="GK144" s="5" t="str">
        <f>HYPERLINK("https://drive.google.com/file/d/1ZMBu5U0bs8XFyFBGu-jDEh60f7ReyvJu/view?usp=drivesdk","GARCIA MORALES &lt;&lt;Nombre(S)&gt;&gt; Formato de reinscripción y pago 2022-2")</f>
        <v>GARCIA MORALES &lt;&lt;Nombre(S)&gt;&gt; Formato de reinscripción y pago 2022-2</v>
      </c>
      <c r="GL144" s="1" t="s">
        <v>5298</v>
      </c>
    </row>
    <row r="145" spans="1:194" ht="38.25" x14ac:dyDescent="0.2">
      <c r="A145" s="2">
        <v>45139.459471064816</v>
      </c>
      <c r="B145" s="1" t="s">
        <v>1936</v>
      </c>
      <c r="C145" s="1" t="s">
        <v>1430</v>
      </c>
      <c r="D145" s="1" t="s">
        <v>1937</v>
      </c>
      <c r="E145" s="1" t="s">
        <v>1938</v>
      </c>
      <c r="F145" s="1" t="s">
        <v>223</v>
      </c>
      <c r="G145" s="5" t="s">
        <v>5299</v>
      </c>
      <c r="H145" s="41">
        <v>38724</v>
      </c>
      <c r="I145" s="1">
        <v>17</v>
      </c>
      <c r="J145" s="1">
        <v>5537852132</v>
      </c>
      <c r="K145" s="1">
        <v>5537852132</v>
      </c>
      <c r="L145" s="1" t="s">
        <v>1939</v>
      </c>
      <c r="M145" s="1">
        <v>21309060570444</v>
      </c>
      <c r="N145" s="1" t="s">
        <v>1108</v>
      </c>
      <c r="O145" s="1" t="s">
        <v>247</v>
      </c>
      <c r="P145" s="1" t="s">
        <v>278</v>
      </c>
      <c r="Q145" s="1" t="s">
        <v>315</v>
      </c>
      <c r="R145" s="1" t="s">
        <v>236</v>
      </c>
      <c r="S145" s="1" t="s">
        <v>228</v>
      </c>
      <c r="T145" s="1" t="s">
        <v>411</v>
      </c>
      <c r="U145" s="1" t="s">
        <v>434</v>
      </c>
      <c r="V145" s="1" t="s">
        <v>228</v>
      </c>
      <c r="W145" s="1" t="s">
        <v>5300</v>
      </c>
      <c r="X145" s="1" t="s">
        <v>434</v>
      </c>
      <c r="Y145" s="1" t="s">
        <v>1846</v>
      </c>
      <c r="Z145" s="1" t="s">
        <v>231</v>
      </c>
      <c r="AA145" s="1">
        <v>56610</v>
      </c>
      <c r="AB145" s="1">
        <v>225</v>
      </c>
      <c r="AC145" s="1">
        <v>11</v>
      </c>
      <c r="AD145" s="1" t="s">
        <v>2011</v>
      </c>
      <c r="AE145" s="1" t="s">
        <v>5301</v>
      </c>
      <c r="AF145" s="1" t="s">
        <v>461</v>
      </c>
      <c r="AG145" s="1">
        <v>37</v>
      </c>
      <c r="AH145" s="5" t="s">
        <v>5302</v>
      </c>
      <c r="AI145" s="1">
        <v>5537852132</v>
      </c>
      <c r="AJ145" s="1">
        <v>5537852132</v>
      </c>
      <c r="AK145" s="1" t="s">
        <v>5303</v>
      </c>
      <c r="AL145" s="1" t="s">
        <v>1430</v>
      </c>
      <c r="AM145" s="1" t="s">
        <v>1937</v>
      </c>
      <c r="AN145" s="1" t="s">
        <v>1940</v>
      </c>
      <c r="AO145" s="1" t="s">
        <v>461</v>
      </c>
      <c r="AP145" s="1">
        <v>37</v>
      </c>
      <c r="AQ145" s="1" t="s">
        <v>5304</v>
      </c>
      <c r="AR145" s="42">
        <v>0.29166666666424135</v>
      </c>
      <c r="AS145" s="42">
        <v>0.29166666666424135</v>
      </c>
      <c r="AT145" s="1">
        <v>5537852132</v>
      </c>
      <c r="AU145" s="1">
        <v>5537852132</v>
      </c>
      <c r="AV145" s="1" t="s">
        <v>5303</v>
      </c>
      <c r="AW145" s="5" t="s">
        <v>5305</v>
      </c>
      <c r="AX145" s="1" t="s">
        <v>1924</v>
      </c>
      <c r="AY145" s="1" t="s">
        <v>1148</v>
      </c>
      <c r="AZ145" s="1" t="s">
        <v>2239</v>
      </c>
      <c r="BA145" s="1" t="s">
        <v>359</v>
      </c>
      <c r="BB145" s="1">
        <v>56</v>
      </c>
      <c r="BC145" s="1" t="s">
        <v>1191</v>
      </c>
      <c r="BD145" s="43">
        <v>0.29166666666424135</v>
      </c>
      <c r="BE145" s="43">
        <v>0.29166666666424135</v>
      </c>
      <c r="BF145" s="1">
        <v>5518636091</v>
      </c>
      <c r="BG145" s="1">
        <v>5518636091</v>
      </c>
      <c r="BH145" s="1"/>
      <c r="BI145" s="5" t="s">
        <v>5306</v>
      </c>
      <c r="BJ145" s="1" t="s">
        <v>236</v>
      </c>
      <c r="BL145" s="1">
        <v>1.61</v>
      </c>
      <c r="BM145" s="1">
        <v>51</v>
      </c>
      <c r="BN145" s="1" t="s">
        <v>236</v>
      </c>
      <c r="BO145" s="1" t="s">
        <v>236</v>
      </c>
      <c r="BP145" s="1" t="s">
        <v>5307</v>
      </c>
      <c r="BQ145" s="1" t="s">
        <v>228</v>
      </c>
      <c r="BR145" s="1" t="s">
        <v>237</v>
      </c>
      <c r="BS145" s="1" t="s">
        <v>236</v>
      </c>
      <c r="BT145" s="1" t="s">
        <v>457</v>
      </c>
      <c r="BU145" s="1" t="s">
        <v>236</v>
      </c>
      <c r="BW145" s="1" t="s">
        <v>238</v>
      </c>
      <c r="BX145" s="1">
        <v>180</v>
      </c>
      <c r="BY145" s="1">
        <v>300</v>
      </c>
      <c r="BZ145" s="1" t="s">
        <v>2549</v>
      </c>
      <c r="CA145" s="1" t="s">
        <v>468</v>
      </c>
      <c r="CB145" s="1" t="s">
        <v>231</v>
      </c>
      <c r="CC145" s="1" t="s">
        <v>473</v>
      </c>
      <c r="CD145" s="1">
        <v>2000</v>
      </c>
      <c r="CE145" s="1">
        <v>2000</v>
      </c>
      <c r="CF145" s="1" t="s">
        <v>236</v>
      </c>
      <c r="CG145" s="1" t="s">
        <v>242</v>
      </c>
      <c r="CH145" s="1" t="s">
        <v>243</v>
      </c>
      <c r="CI145" s="1" t="s">
        <v>243</v>
      </c>
      <c r="CJ145" s="1" t="s">
        <v>2848</v>
      </c>
      <c r="CL145" s="5" t="s">
        <v>5308</v>
      </c>
      <c r="CM145" s="1">
        <v>55210659052</v>
      </c>
      <c r="CN145" s="1" t="s">
        <v>228</v>
      </c>
      <c r="CQ145" s="42">
        <v>0.29166666666424135</v>
      </c>
      <c r="CR145" s="42">
        <v>0.29166666666424135</v>
      </c>
      <c r="CT145" s="45" t="str">
        <f t="array" ref="CT145">IFERROR(INDEX(#REF!,MATCH('Respuestas de formulario 1.1'!$B145,#REF!,0),MATCH('Respuestas de formulario 1.1'!CT$1,#REF!,0)),"")</f>
        <v/>
      </c>
      <c r="CU145" s="56" t="str">
        <f t="array" ref="CU145">IFERROR(INDEX(#REF!,MATCH('Respuestas de formulario 1.1'!$B145,#REF!,0),MATCH('Respuestas de formulario 1.1'!CU$1,#REF!,0)),"")</f>
        <v/>
      </c>
      <c r="CV145" s="56" t="str">
        <f t="array" ref="CV145">IFERROR(INDEX(#REF!,MATCH('Respuestas de formulario 1.1'!$B145,#REF!,0),MATCH('Respuestas de formulario 1.1'!CV$1,#REF!,0)),"")</f>
        <v/>
      </c>
      <c r="CW145" s="56" t="str">
        <f t="array" ref="CW145">IFERROR(INDEX(#REF!,MATCH('Respuestas de formulario 1.1'!$B145,#REF!,0),MATCH('Respuestas de formulario 1.1'!CW$1,#REF!,0)),"")</f>
        <v/>
      </c>
      <c r="CX145" s="56" t="str">
        <f t="array" ref="CX145">IFERROR(INDEX(#REF!,MATCH('Respuestas de formulario 1.1'!$B145,#REF!,0),MATCH('Respuestas de formulario 1.1'!CX$1,#REF!,0)),"")</f>
        <v/>
      </c>
      <c r="CY145" s="56" t="str">
        <f t="array" ref="CY145">IFERROR(INDEX(#REF!,MATCH('Respuestas de formulario 1.1'!$B145,#REF!,0),MATCH('Respuestas de formulario 1.1'!CY$1,#REF!,0)),"")</f>
        <v/>
      </c>
      <c r="CZ145" s="57" t="str">
        <f t="array" ref="CZ145">IFERROR(INDEX(#REF!,MATCH('Respuestas de formulario 1.1'!$B145,#REF!,0),MATCH('Respuestas de formulario 1.1'!CZ$1,#REF!,0)),"")</f>
        <v/>
      </c>
      <c r="DA145" s="45" t="e">
        <f t="array" ref="DA145">INDEX(#REF!,MATCH('Respuestas de formulario 1.1'!$B145,#REF!,0),MATCH('Respuestas de formulario 1.1'!DA$1,#REF!,0))</f>
        <v>#REF!</v>
      </c>
      <c r="DB145" s="45" t="e">
        <f t="array" ref="DB145">INDEX(#REF!,MATCH('Respuestas de formulario 1.1'!$B145,#REF!,0),MATCH('Respuestas de formulario 1.1'!DB$1,#REF!,0))</f>
        <v>#REF!</v>
      </c>
      <c r="DC145" s="45" t="e">
        <f t="array" ref="DC145">INDEX(#REF!,MATCH('Respuestas de formulario 1.1'!$B145,#REF!,0),MATCH('Respuestas de formulario 1.1'!DC$1,#REF!,0))</f>
        <v>#REF!</v>
      </c>
      <c r="DD145" s="45" t="e">
        <f t="array" ref="DD145">INDEX(#REF!,MATCH('Respuestas de formulario 1.1'!$B145,#REF!,0),MATCH('Respuestas de formulario 1.1'!DD$1,#REF!,0))</f>
        <v>#REF!</v>
      </c>
      <c r="DE145" s="45" t="e">
        <f t="array" ref="DE145">INDEX(#REF!,MATCH('Respuestas de formulario 1.1'!$B145,#REF!,0),MATCH('Respuestas de formulario 1.1'!DE$1,#REF!,0))</f>
        <v>#REF!</v>
      </c>
      <c r="DF145" s="45" t="e">
        <f t="array" ref="DF145">INDEX(#REF!,MATCH('Respuestas de formulario 1.1'!$B145,#REF!,0),MATCH('Respuestas de formulario 1.1'!DF$1,#REF!,0))</f>
        <v>#REF!</v>
      </c>
      <c r="DG145" s="45" t="e">
        <f t="array" ref="DG145">INDEX(#REF!,MATCH('Respuestas de formulario 1.1'!$B145,#REF!,0),MATCH('Respuestas de formulario 1.1'!DG$1,#REF!,0))</f>
        <v>#REF!</v>
      </c>
      <c r="DH145" s="45" t="e">
        <f t="array" ref="DH145">INDEX(#REF!,MATCH('Respuestas de formulario 1.1'!$B145,#REF!,0),MATCH('Respuestas de formulario 1.1'!DH$1,#REF!,0))</f>
        <v>#REF!</v>
      </c>
      <c r="DI145" s="48" t="e">
        <f>VLOOKUP(CONCATENATE($DF145," TUTO ",$DC145),#REF!,3,0)</f>
        <v>#REF!</v>
      </c>
      <c r="DJ145" s="48" t="e">
        <f t="array" ref="DJ145">IF('Respuestas de formulario 1.1'!A145="","",INDEX(#REF!,MATCH('Respuestas de formulario 1.1'!B145,#REF!,0),MATCH('Respuestas de formulario 1.1'!$DH$1,#REF!,0)))</f>
        <v>#REF!</v>
      </c>
      <c r="DK145" s="52" t="str">
        <f>CONCATENATE("http://doc.google.com/uc?id=",MID('Respuestas de formulario 1.1'!G145,34,33))</f>
        <v>http://doc.google.com/uc?id=17a9TB96wHUvXG-HHpXYbc6tmfgL1eogP</v>
      </c>
      <c r="DL145" s="49" t="str">
        <f>CONCATENATE("http://doc.google.com/uc?id=",MID('Respuestas de formulario 1.1'!AH145,34,33))</f>
        <v>http://doc.google.com/uc?id=1cJVXYiZvxoyJTKqqo6o-Nm4I91XYJAhD</v>
      </c>
      <c r="DM145" s="50" t="str">
        <f>CONCATENATE("http://doc.google.com/uc?id=",MID('Respuestas de formulario 1.1'!AW145,34,33))</f>
        <v>http://doc.google.com/uc?id=1BGsmbbSv0pQbL-XbWEFcLWX8BMs_4RQ8</v>
      </c>
      <c r="DN145" s="53" t="str">
        <f>CONCATENATE("http://doc.google.com/uc?id=",MID('Respuestas de formulario 1.1'!$BI145,34,33))</f>
        <v>http://doc.google.com/uc?id=1p1Z1HFhx4FQUli-beiQRYHEin6AknAbS</v>
      </c>
      <c r="DO145" s="45" t="str">
        <f>IFERROR(VLOOKUP(CONCATENATE('Respuestas de formulario 1.1'!$B145,MID('Respuestas de formulario 1.1'!DO$1,2,1)),#REF!,12,0),"")</f>
        <v/>
      </c>
      <c r="DP145" s="45" t="str">
        <f>IFERROR(VLOOKUP(CONCATENATE('Respuestas de formulario 1.1'!$B145,MID('Respuestas de formulario 1.1'!DP$1,2,1)),#REF!,12,0),"")</f>
        <v/>
      </c>
      <c r="DQ145" s="45" t="str">
        <f>IFERROR(VLOOKUP(CONCATENATE('Respuestas de formulario 1.1'!$B145,MID('Respuestas de formulario 1.1'!DQ$1,2,1)),#REF!,12,0),"")</f>
        <v/>
      </c>
      <c r="DR145" s="45" t="str">
        <f>IFERROR(VLOOKUP(CONCATENATE('Respuestas de formulario 1.1'!$B145,MID('Respuestas de formulario 1.1'!DR$1,2,1)),#REF!,12,0),"")</f>
        <v/>
      </c>
      <c r="DS145" s="45" t="str">
        <f>IFERROR(VLOOKUP(CONCATENATE('Respuestas de formulario 1.1'!$B145,MID('Respuestas de formulario 1.1'!DS$1,2,1)),#REF!,12,0),"")</f>
        <v/>
      </c>
      <c r="DT145" s="45" t="str">
        <f>IFERROR(VLOOKUP(CONCATENATE('Respuestas de formulario 1.1'!$B145,MID('Respuestas de formulario 1.1'!DT$1,2,1)),#REF!,12,0),"")</f>
        <v/>
      </c>
      <c r="DU145" s="45" t="str">
        <f>IFERROR(VLOOKUP(CONCATENATE('Respuestas de formulario 1.1'!$B145,MID('Respuestas de formulario 1.1'!DU$1,2,1)),#REF!,12,0),"")</f>
        <v/>
      </c>
      <c r="DV145" s="45" t="str">
        <f>IFERROR(VLOOKUP(CONCATENATE('Respuestas de formulario 1.1'!$B145,MID('Respuestas de formulario 1.1'!DV$1,2,1)),#REF!,12,0),"")</f>
        <v/>
      </c>
      <c r="DW145" s="45" t="str">
        <f>IFERROR(VLOOKUP(CONCATENATE('Respuestas de formulario 1.1'!$B145,MID('Respuestas de formulario 1.1'!DW$1,2,1)),#REF!,12,0),"")</f>
        <v/>
      </c>
      <c r="DX145" s="45" t="str">
        <f>IFERROR(VLOOKUP(CONCATENATE('Respuestas de formulario 1.1'!$B145,MID('Respuestas de formulario 1.1'!DX$1,2,1)),#REF!,12,0),"")</f>
        <v/>
      </c>
      <c r="DY145" s="45" t="str">
        <f>IFERROR(VLOOKUP(CONCATENATE('Respuestas de formulario 1.1'!$B145,MID('Respuestas de formulario 1.1'!DY$1,2,1)),#REF!,12,0),"")</f>
        <v/>
      </c>
      <c r="DZ145" s="45" t="str">
        <f>IFERROR(VLOOKUP(CONCATENATE('Respuestas de formulario 1.1'!$B145,MID('Respuestas de formulario 1.1'!DZ$1,2,1)),#REF!,12,0),"")</f>
        <v/>
      </c>
      <c r="EA145" s="45" t="str">
        <f>IFERROR(VLOOKUP(CONCATENATE('Respuestas de formulario 1.1'!$B145,MID('Respuestas de formulario 1.1'!EA$1,2,1)),#REF!,12,0),"")</f>
        <v/>
      </c>
      <c r="EB145" s="45" t="str">
        <f>IFERROR(VLOOKUP(CONCATENATE('Respuestas de formulario 1.1'!$B145,MID('Respuestas de formulario 1.1'!EB$1,2,1)),#REF!,12,0),"")</f>
        <v/>
      </c>
      <c r="EC145" s="45" t="str">
        <f>IFERROR(VLOOKUP(CONCATENATE('Respuestas de formulario 1.1'!$B145,MID('Respuestas de formulario 1.1'!EC$1,2,1)),#REF!,12,0),"")</f>
        <v/>
      </c>
      <c r="ED145" s="45" t="str">
        <f>IFERROR(VLOOKUP(CONCATENATE('Respuestas de formulario 1.1'!$B145,MID('Respuestas de formulario 1.1'!ED$1,2,1)),#REF!,12,0),"")</f>
        <v/>
      </c>
      <c r="EE145" s="45" t="str">
        <f>IFERROR(VLOOKUP(CONCATENATE('Respuestas de formulario 1.1'!$B145,MID('Respuestas de formulario 1.1'!EE$1,2,1)),#REF!,12,0),"")</f>
        <v/>
      </c>
      <c r="EF145" s="45" t="str">
        <f>IFERROR(VLOOKUP(CONCATENATE('Respuestas de formulario 1.1'!$B145,MID('Respuestas de formulario 1.1'!EF$1,2,1)),#REF!,12,0),"")</f>
        <v/>
      </c>
      <c r="EG145" s="45" t="str">
        <f>IFERROR(VLOOKUP(CONCATENATE('Respuestas de formulario 1.1'!$B145,MID('Respuestas de formulario 1.1'!EG$1,2,1)),#REF!,12,0),"")</f>
        <v/>
      </c>
      <c r="EH145" s="45" t="str">
        <f>IFERROR(VLOOKUP(CONCATENATE('Respuestas de formulario 1.1'!$B145,MID('Respuestas de formulario 1.1'!EH$1,2,1)),#REF!,12,0),"")</f>
        <v/>
      </c>
      <c r="EI145" s="45" t="str">
        <f>IFERROR(VLOOKUP(CONCATENATE('Respuestas de formulario 1.1'!$B145,MID('Respuestas de formulario 1.1'!EI$1,2,1)),#REF!,12,0),"")</f>
        <v/>
      </c>
      <c r="EJ145" s="45" t="str">
        <f t="array" ref="EJ145">IF(DO145="","", INDEX(#REF!,MATCH(CONCATENATE('Respuestas de formulario 1.1'!$B145,DO145),#REF!,0),MATCH('Respuestas de formulario 1.1'!EJ$1,#REF!,0)))</f>
        <v/>
      </c>
      <c r="EK145" s="56" t="str">
        <f t="array" ref="EK145">IF(DP145="","", INDEX(#REF!,MATCH(CONCATENATE('Respuestas de formulario 1.1'!$B145,DP145),#REF!,0),MATCH('Respuestas de formulario 1.1'!EK$1,#REF!,0)))</f>
        <v/>
      </c>
      <c r="EL145" s="56" t="str">
        <f t="array" ref="EL145">IF(DQ145="","", INDEX(#REF!,MATCH(CONCATENATE('Respuestas de formulario 1.1'!$B145,DQ145),#REF!,0),MATCH('Respuestas de formulario 1.1'!EL$1,#REF!,0)))</f>
        <v/>
      </c>
      <c r="EM145" s="56" t="str">
        <f t="array" ref="EM145">IF(DR145="","", INDEX(#REF!,MATCH(CONCATENATE('Respuestas de formulario 1.1'!$B145,DR145),#REF!,0),MATCH('Respuestas de formulario 1.1'!EM$1,#REF!,0)))</f>
        <v/>
      </c>
      <c r="EN145" s="56" t="str">
        <f t="array" ref="EN145">IF(DS145="","", INDEX(#REF!,MATCH(CONCATENATE('Respuestas de formulario 1.1'!$B145,DS145),#REF!,0),MATCH('Respuestas de formulario 1.1'!EN$1,#REF!,0)))</f>
        <v/>
      </c>
      <c r="EO145" s="56" t="str">
        <f t="array" ref="EO145">IF(DT145="","", INDEX(#REF!,MATCH(CONCATENATE('Respuestas de formulario 1.1'!$B145,DT145),#REF!,0),MATCH('Respuestas de formulario 1.1'!EO$1,#REF!,0)))</f>
        <v/>
      </c>
      <c r="EP145" s="45" t="str">
        <f t="array" ref="EP145">IF(DU145="","", INDEX(#REF!,MATCH(CONCATENATE('Respuestas de formulario 1.1'!$B145,DU145),#REF!,0),MATCH('Respuestas de formulario 1.1'!EP$1,#REF!,0)))</f>
        <v/>
      </c>
      <c r="EQ145" s="45" t="str">
        <f t="array" ref="EQ145">IF(DP145="","", INDEX(#REF!,MATCH(CONCATENATE('Respuestas de formulario 1.1'!$B145,DP145),#REF!,0),MATCH('Respuestas de formulario 1.1'!EQ$1,#REF!,0)))</f>
        <v/>
      </c>
      <c r="ER145" s="56" t="str">
        <f t="array" ref="ER145">IF(DQ145="","", INDEX(#REF!,MATCH(CONCATENATE('Respuestas de formulario 1.1'!$B145,DQ145),#REF!,0),MATCH('Respuestas de formulario 1.1'!ER$1,#REF!,0)))</f>
        <v/>
      </c>
      <c r="ES145" s="56" t="str">
        <f t="array" ref="ES145">IF(DR145="","", INDEX(#REF!,MATCH(CONCATENATE('Respuestas de formulario 1.1'!$B145,DR145),#REF!,0),MATCH('Respuestas de formulario 1.1'!ES$1,#REF!,0)))</f>
        <v/>
      </c>
      <c r="ET145" s="56" t="str">
        <f t="array" ref="ET145">IF(DS145="","", INDEX(#REF!,MATCH(CONCATENATE('Respuestas de formulario 1.1'!$B145,DS145),#REF!,0),MATCH('Respuestas de formulario 1.1'!ET$1,#REF!,0)))</f>
        <v/>
      </c>
      <c r="EU145" s="56" t="str">
        <f t="array" ref="EU145">IF(DT145="","", INDEX(#REF!,MATCH(CONCATENATE('Respuestas de formulario 1.1'!$B145,DT145),#REF!,0),MATCH('Respuestas de formulario 1.1'!EU$1,#REF!,0)))</f>
        <v/>
      </c>
      <c r="EV145" s="56" t="str">
        <f t="array" ref="EV145">IF(DU145="","", INDEX(#REF!,MATCH(CONCATENATE('Respuestas de formulario 1.1'!$B145,DU145),#REF!,0),MATCH('Respuestas de formulario 1.1'!EV$1,#REF!,0)))</f>
        <v/>
      </c>
      <c r="EW145" s="45" t="str">
        <f t="array" ref="EW145">IF(DV145="","", INDEX(#REF!,MATCH(CONCATENATE('Respuestas de formulario 1.1'!$B145,DV145),#REF!,0),MATCH('Respuestas de formulario 1.1'!EW$1,#REF!,0)))</f>
        <v/>
      </c>
      <c r="EX145" s="45" t="str">
        <f t="array" ref="EX145">IF($DQ145="","", INDEX(#REF!,MATCH(CONCATENATE('Respuestas de formulario 1.1'!$B145,$DQ145),#REF!,0),MATCH('Respuestas de formulario 1.1'!EX$1,#REF!,0)))</f>
        <v/>
      </c>
      <c r="EY145" s="56" t="str">
        <f t="array" ref="EY145">IF($DQ145="","", INDEX(#REF!,MATCH(CONCATENATE('Respuestas de formulario 1.1'!$B145,$DQ145),#REF!,0),MATCH('Respuestas de formulario 1.1'!EY$1,#REF!,0)))</f>
        <v/>
      </c>
      <c r="EZ145" s="56" t="str">
        <f t="array" ref="EZ145">IF($DQ145="","", INDEX(#REF!,MATCH(CONCATENATE('Respuestas de formulario 1.1'!$B145,$DQ145),#REF!,0),MATCH('Respuestas de formulario 1.1'!EZ$1,#REF!,0)))</f>
        <v/>
      </c>
      <c r="FA145" s="56" t="str">
        <f t="array" ref="FA145">IF($DQ145="","", INDEX(#REF!,MATCH(CONCATENATE('Respuestas de formulario 1.1'!$B145,$DQ145),#REF!,0),MATCH('Respuestas de formulario 1.1'!FA$1,#REF!,0)))</f>
        <v/>
      </c>
      <c r="FB145" s="56" t="str">
        <f t="array" ref="FB145">IF($DQ145="","", INDEX(#REF!,MATCH(CONCATENATE('Respuestas de formulario 1.1'!$B145,$DQ145),#REF!,0),MATCH('Respuestas de formulario 1.1'!FB$1,#REF!,0)))</f>
        <v/>
      </c>
      <c r="FC145" s="56" t="str">
        <f t="array" ref="FC145">IF($DQ145="","", INDEX(#REF!,MATCH(CONCATENATE('Respuestas de formulario 1.1'!$B145,$DQ145),#REF!,0),MATCH('Respuestas de formulario 1.1'!FC$1,#REF!,0)))</f>
        <v/>
      </c>
      <c r="FD145" s="45" t="str">
        <f t="array" ref="FD145">IF($DQ145="","", INDEX(#REF!,MATCH(CONCATENATE('Respuestas de formulario 1.1'!$B145,$DQ145),#REF!,0),MATCH('Respuestas de formulario 1.1'!FD$1,#REF!,0)))</f>
        <v/>
      </c>
      <c r="FE145" s="45" t="str">
        <f t="array" ref="FE145">IF($DR145="","", INDEX(#REF!,MATCH(CONCATENATE(#REF!,$DR145),#REF!,0),MATCH(#REF!,#REF!,0)))</f>
        <v/>
      </c>
      <c r="FF145" s="56" t="str">
        <f t="array" ref="FF145">IF($DR145="","", INDEX(#REF!,MATCH(CONCATENATE(#REF!,$DR145),#REF!,0),MATCH(#REF!,#REF!,0)))</f>
        <v/>
      </c>
      <c r="FG145" s="56" t="str">
        <f t="array" ref="FG145">IF($DR145="","", INDEX(#REF!,MATCH(CONCATENATE(#REF!,$DR145),#REF!,0),MATCH(#REF!,#REF!,0)))</f>
        <v/>
      </c>
      <c r="FH145" s="56" t="str">
        <f t="array" ref="FH145">IF($DR145="","", INDEX(#REF!,MATCH(CONCATENATE(#REF!,$DR145),#REF!,0),MATCH(#REF!,#REF!,0)))</f>
        <v/>
      </c>
      <c r="FI145" s="56" t="str">
        <f t="array" ref="FI145">IF($DR145="","", INDEX(#REF!,MATCH(CONCATENATE(#REF!,$DR145),#REF!,0),MATCH(#REF!,#REF!,0)))</f>
        <v/>
      </c>
      <c r="FJ145" s="56" t="str">
        <f t="array" ref="FJ145">IF($DR145="","", INDEX(#REF!,MATCH(CONCATENATE(#REF!,$DR145),#REF!,0),MATCH(#REF!,#REF!,0)))</f>
        <v/>
      </c>
      <c r="FK145" s="45" t="str">
        <f t="array" ref="FK145">IF($DR145="","", INDEX(#REF!,MATCH(CONCATENATE(#REF!,$DR145),#REF!,0),MATCH(#REF!,#REF!,0)))</f>
        <v/>
      </c>
      <c r="FL145" s="45" t="str">
        <f t="array" ref="FL145">IF($DT145="","", INDEX(#REF!,MATCH(CONCATENATE('Respuestas de formulario 1.1'!$B145,$DS145),#REF!,0),MATCH('Respuestas de formulario 1.1'!FL$1,#REF!,0)))</f>
        <v/>
      </c>
      <c r="FM145" s="56" t="str">
        <f t="array" ref="FM145">IF($DT145="","", INDEX(#REF!,MATCH(CONCATENATE('Respuestas de formulario 1.1'!$B145,$DS145),#REF!,0),MATCH('Respuestas de formulario 1.1'!FM$1,#REF!,0)))</f>
        <v/>
      </c>
      <c r="FN145" s="56" t="str">
        <f t="array" ref="FN145">IF($DT145="","", INDEX(#REF!,MATCH(CONCATENATE('Respuestas de formulario 1.1'!$B145,$DS145),#REF!,0),MATCH('Respuestas de formulario 1.1'!FN$1,#REF!,0)))</f>
        <v/>
      </c>
      <c r="FO145" s="56" t="str">
        <f t="array" ref="FO145">IF($DT145="","", INDEX(#REF!,MATCH(CONCATENATE('Respuestas de formulario 1.1'!$B145,$DS145),#REF!,0),MATCH('Respuestas de formulario 1.1'!FO$1,#REF!,0)))</f>
        <v/>
      </c>
      <c r="FP145" s="56" t="str">
        <f t="array" ref="FP145">IF($DT145="","", INDEX(#REF!,MATCH(CONCATENATE('Respuestas de formulario 1.1'!$B145,$DS145),#REF!,0),MATCH('Respuestas de formulario 1.1'!FP$1,#REF!,0)))</f>
        <v/>
      </c>
      <c r="FQ145" s="56" t="str">
        <f t="array" ref="FQ145">IF($DT145="","", INDEX(#REF!,MATCH(CONCATENATE('Respuestas de formulario 1.1'!$B145,$DS145),#REF!,0),MATCH('Respuestas de formulario 1.1'!FQ$1,#REF!,0)))</f>
        <v/>
      </c>
      <c r="FR145" s="45" t="str">
        <f t="array" ref="FR145">IF($DT145="","", INDEX(#REF!,MATCH(CONCATENATE('Respuestas de formulario 1.1'!$B145,$DS145),#REF!,0),MATCH('Respuestas de formulario 1.1'!FR$1,#REF!,0)))</f>
        <v/>
      </c>
      <c r="FS145" s="45" t="str">
        <f t="array" ref="FS145">IF($DU145="","", INDEX(#REF!,MATCH(CONCATENATE('Respuestas de formulario 1.1'!$B145,$DT145),#REF!,0),MATCH('Respuestas de formulario 1.1'!FS$1,#REF!,0)))</f>
        <v/>
      </c>
      <c r="FT145" s="56" t="str">
        <f t="array" ref="FT145">IF($DU145="","", INDEX(#REF!,MATCH(CONCATENATE('Respuestas de formulario 1.1'!$B145,$DT145),#REF!,0),MATCH('Respuestas de formulario 1.1'!FT$1,#REF!,0)))</f>
        <v/>
      </c>
      <c r="FU145" s="56" t="str">
        <f t="array" ref="FU145">IF($DU145="","", INDEX(#REF!,MATCH(CONCATENATE('Respuestas de formulario 1.1'!$B145,$DT145),#REF!,0),MATCH('Respuestas de formulario 1.1'!FU$1,#REF!,0)))</f>
        <v/>
      </c>
      <c r="FV145" s="56" t="str">
        <f t="array" ref="FV145">IF($DU145="","", INDEX(#REF!,MATCH(CONCATENATE('Respuestas de formulario 1.1'!$B145,$DT145),#REF!,0),MATCH('Respuestas de formulario 1.1'!FV$1,#REF!,0)))</f>
        <v/>
      </c>
      <c r="FW145" s="56" t="str">
        <f t="array" ref="FW145">IF($DU145="","", INDEX(#REF!,MATCH(CONCATENATE('Respuestas de formulario 1.1'!$B145,$DT145),#REF!,0),MATCH('Respuestas de formulario 1.1'!FW$1,#REF!,0)))</f>
        <v/>
      </c>
      <c r="FX145" s="56" t="str">
        <f t="array" ref="FX145">IF($DU145="","", INDEX(#REF!,MATCH(CONCATENATE('Respuestas de formulario 1.1'!$B145,$DT145),#REF!,0),MATCH('Respuestas de formulario 1.1'!FX$1,#REF!,0)))</f>
        <v/>
      </c>
      <c r="FY145" s="45" t="str">
        <f t="array" ref="FY145">IF($DU145="","", INDEX(#REF!,MATCH(CONCATENATE('Respuestas de formulario 1.1'!$B145,$DT145),#REF!,0),MATCH('Respuestas de formulario 1.1'!FY$1,#REF!,0)))</f>
        <v/>
      </c>
      <c r="FZ145" s="3" t="s">
        <v>2860</v>
      </c>
      <c r="GA145" s="1" t="s">
        <v>5309</v>
      </c>
      <c r="GB145" s="5" t="s">
        <v>5310</v>
      </c>
      <c r="GC145" s="4" t="str">
        <f>HYPERLINK("https://drive.google.com/file/d/18wyw8iSkj4Y-aoiMIIxueMn1F04DYfBU/view?usp=drivesdk","CONTRERAS  PLATA  FERNANDA MICHELLE  Formato de reinscripción y pago 2022-2")</f>
        <v>CONTRERAS  PLATA  FERNANDA MICHELLE  Formato de reinscripción y pago 2022-2</v>
      </c>
      <c r="GD145" s="1" t="s">
        <v>5311</v>
      </c>
      <c r="GE145" s="1"/>
      <c r="GF145" s="1"/>
      <c r="GG145" s="1"/>
      <c r="GH145" s="1"/>
      <c r="GI145" s="1" t="s">
        <v>5312</v>
      </c>
      <c r="GJ145" s="5" t="s">
        <v>5313</v>
      </c>
      <c r="GK145" s="5" t="str">
        <f>HYPERLINK("https://drive.google.com/file/d/1ChS9KQ239TWFpsltlOya-rV8ZWD1la_n/view?usp=drivesdk","CONTRERAS  PLATA  FERNANDA MICHELLE  Formato de reinscripción y pago 2022-2")</f>
        <v>CONTRERAS  PLATA  FERNANDA MICHELLE  Formato de reinscripción y pago 2022-2</v>
      </c>
      <c r="GL145" s="1" t="s">
        <v>5314</v>
      </c>
    </row>
    <row r="146" spans="1:194" ht="38.25" x14ac:dyDescent="0.2">
      <c r="A146" s="2">
        <v>45139.459697662038</v>
      </c>
      <c r="B146" s="1" t="s">
        <v>5315</v>
      </c>
      <c r="C146" s="1" t="s">
        <v>2453</v>
      </c>
      <c r="D146" s="1" t="s">
        <v>390</v>
      </c>
      <c r="E146" s="1" t="s">
        <v>5316</v>
      </c>
      <c r="F146" s="1" t="s">
        <v>223</v>
      </c>
      <c r="G146" s="5" t="s">
        <v>5317</v>
      </c>
      <c r="H146" s="41">
        <v>39292</v>
      </c>
      <c r="I146" s="1">
        <v>15</v>
      </c>
      <c r="J146" s="1">
        <v>5626859922</v>
      </c>
      <c r="K146" s="1">
        <v>7351342291</v>
      </c>
      <c r="L146" s="1" t="s">
        <v>5318</v>
      </c>
      <c r="M146" s="1">
        <v>22309060570124</v>
      </c>
      <c r="N146" s="1" t="s">
        <v>562</v>
      </c>
      <c r="O146" s="1" t="s">
        <v>247</v>
      </c>
      <c r="P146" s="1" t="s">
        <v>226</v>
      </c>
      <c r="Q146" s="1" t="s">
        <v>227</v>
      </c>
      <c r="R146" s="1" t="s">
        <v>236</v>
      </c>
      <c r="S146" s="1" t="s">
        <v>228</v>
      </c>
      <c r="T146" s="1" t="s">
        <v>411</v>
      </c>
      <c r="U146" s="1" t="s">
        <v>249</v>
      </c>
      <c r="V146" s="1" t="s">
        <v>228</v>
      </c>
      <c r="W146" s="1" t="s">
        <v>5319</v>
      </c>
      <c r="X146" s="1" t="s">
        <v>249</v>
      </c>
      <c r="Y146" s="1" t="s">
        <v>952</v>
      </c>
      <c r="Z146" s="1" t="s">
        <v>240</v>
      </c>
      <c r="AA146" s="44" t="s">
        <v>716</v>
      </c>
      <c r="AB146" s="1" t="s">
        <v>2274</v>
      </c>
      <c r="AC146" s="1" t="s">
        <v>2663</v>
      </c>
      <c r="AD146" s="1" t="s">
        <v>5320</v>
      </c>
      <c r="AE146" s="1" t="s">
        <v>5321</v>
      </c>
      <c r="AF146" s="1" t="s">
        <v>445</v>
      </c>
      <c r="AG146" s="1">
        <v>55</v>
      </c>
      <c r="AH146" s="5" t="s">
        <v>5322</v>
      </c>
      <c r="AI146" s="1">
        <v>5537952292</v>
      </c>
      <c r="AJ146" s="1">
        <v>5537952292</v>
      </c>
      <c r="AK146" s="1" t="s">
        <v>5323</v>
      </c>
      <c r="AL146" s="1" t="s">
        <v>792</v>
      </c>
      <c r="AM146" s="1" t="s">
        <v>544</v>
      </c>
      <c r="AN146" s="1" t="s">
        <v>2251</v>
      </c>
      <c r="AO146" s="1" t="s">
        <v>5324</v>
      </c>
      <c r="AP146" s="1">
        <v>63</v>
      </c>
      <c r="AQ146" s="1" t="s">
        <v>2688</v>
      </c>
      <c r="AR146" s="42">
        <v>0.29166666666424135</v>
      </c>
      <c r="AS146" s="42">
        <v>0.41666666666424135</v>
      </c>
      <c r="AT146" s="1">
        <v>5514951114</v>
      </c>
      <c r="AU146" s="1">
        <v>5514951114</v>
      </c>
      <c r="AV146" s="1" t="s">
        <v>5325</v>
      </c>
      <c r="AW146" s="5" t="s">
        <v>5326</v>
      </c>
      <c r="AX146" s="1" t="s">
        <v>1159</v>
      </c>
      <c r="AY146" s="1" t="s">
        <v>5327</v>
      </c>
      <c r="AZ146" s="1" t="s">
        <v>2618</v>
      </c>
      <c r="BA146" s="1" t="s">
        <v>672</v>
      </c>
      <c r="BB146" s="1">
        <v>34</v>
      </c>
      <c r="BC146" s="1" t="s">
        <v>294</v>
      </c>
      <c r="BD146" s="43">
        <v>0.33333333333575865</v>
      </c>
      <c r="BE146" s="43">
        <v>0.41666666666424135</v>
      </c>
      <c r="BF146" s="1">
        <v>5531687436</v>
      </c>
      <c r="BG146" s="1">
        <v>5635295099</v>
      </c>
      <c r="BH146" s="1" t="s">
        <v>5328</v>
      </c>
      <c r="BI146" s="5" t="s">
        <v>5329</v>
      </c>
      <c r="BJ146" s="1" t="s">
        <v>236</v>
      </c>
      <c r="BL146" s="1">
        <v>1.55</v>
      </c>
      <c r="BM146" s="1">
        <v>49</v>
      </c>
      <c r="BN146" s="1" t="s">
        <v>236</v>
      </c>
      <c r="BO146" s="1" t="s">
        <v>228</v>
      </c>
      <c r="BQ146" s="1" t="s">
        <v>228</v>
      </c>
      <c r="BR146" s="1" t="s">
        <v>237</v>
      </c>
      <c r="BS146" s="1" t="s">
        <v>236</v>
      </c>
      <c r="BT146" s="1" t="s">
        <v>457</v>
      </c>
      <c r="BU146" s="1" t="s">
        <v>228</v>
      </c>
      <c r="BW146" s="1" t="s">
        <v>272</v>
      </c>
      <c r="BX146" s="1">
        <v>40</v>
      </c>
      <c r="BY146" s="1">
        <v>180</v>
      </c>
      <c r="BZ146" s="1" t="s">
        <v>253</v>
      </c>
      <c r="CA146" s="1" t="s">
        <v>343</v>
      </c>
      <c r="CB146" s="1" t="s">
        <v>240</v>
      </c>
      <c r="CC146" s="1" t="s">
        <v>274</v>
      </c>
      <c r="CD146" s="1">
        <v>1000</v>
      </c>
      <c r="CE146" s="1">
        <v>1000</v>
      </c>
      <c r="CF146" s="1" t="s">
        <v>236</v>
      </c>
      <c r="CG146" s="1" t="s">
        <v>242</v>
      </c>
      <c r="CH146" s="1" t="s">
        <v>243</v>
      </c>
      <c r="CI146" s="1" t="s">
        <v>243</v>
      </c>
      <c r="CJ146" s="1" t="s">
        <v>2848</v>
      </c>
      <c r="CL146" s="5" t="s">
        <v>5330</v>
      </c>
      <c r="CM146" s="44" t="s">
        <v>5331</v>
      </c>
      <c r="CN146" s="1" t="s">
        <v>228</v>
      </c>
      <c r="CQ146" s="42">
        <v>0.29166666666424135</v>
      </c>
      <c r="CR146" s="42">
        <v>0.41666666666424135</v>
      </c>
      <c r="CT146" s="45" t="str">
        <f t="array" ref="CT146">IFERROR(INDEX(#REF!,MATCH('Respuestas de formulario 1.1'!$B146,#REF!,0),MATCH('Respuestas de formulario 1.1'!CT$1,#REF!,0)),"")</f>
        <v/>
      </c>
      <c r="CU146" s="56" t="str">
        <f t="array" ref="CU146">IFERROR(INDEX(#REF!,MATCH('Respuestas de formulario 1.1'!$B146,#REF!,0),MATCH('Respuestas de formulario 1.1'!CU$1,#REF!,0)),"")</f>
        <v/>
      </c>
      <c r="CV146" s="56" t="str">
        <f t="array" ref="CV146">IFERROR(INDEX(#REF!,MATCH('Respuestas de formulario 1.1'!$B146,#REF!,0),MATCH('Respuestas de formulario 1.1'!CV$1,#REF!,0)),"")</f>
        <v/>
      </c>
      <c r="CW146" s="56" t="str">
        <f t="array" ref="CW146">IFERROR(INDEX(#REF!,MATCH('Respuestas de formulario 1.1'!$B146,#REF!,0),MATCH('Respuestas de formulario 1.1'!CW$1,#REF!,0)),"")</f>
        <v/>
      </c>
      <c r="CX146" s="56" t="str">
        <f t="array" ref="CX146">IFERROR(INDEX(#REF!,MATCH('Respuestas de formulario 1.1'!$B146,#REF!,0),MATCH('Respuestas de formulario 1.1'!CX$1,#REF!,0)),"")</f>
        <v/>
      </c>
      <c r="CY146" s="56" t="str">
        <f t="array" ref="CY146">IFERROR(INDEX(#REF!,MATCH('Respuestas de formulario 1.1'!$B146,#REF!,0),MATCH('Respuestas de formulario 1.1'!CY$1,#REF!,0)),"")</f>
        <v/>
      </c>
      <c r="CZ146" s="57" t="str">
        <f t="array" ref="CZ146">IFERROR(INDEX(#REF!,MATCH('Respuestas de formulario 1.1'!$B146,#REF!,0),MATCH('Respuestas de formulario 1.1'!CZ$1,#REF!,0)),"")</f>
        <v/>
      </c>
      <c r="DA146" s="45" t="e">
        <f t="array" ref="DA146">INDEX(#REF!,MATCH('Respuestas de formulario 1.1'!$B146,#REF!,0),MATCH('Respuestas de formulario 1.1'!DA$1,#REF!,0))</f>
        <v>#REF!</v>
      </c>
      <c r="DB146" s="45" t="e">
        <f t="array" ref="DB146">INDEX(#REF!,MATCH('Respuestas de formulario 1.1'!$B146,#REF!,0),MATCH('Respuestas de formulario 1.1'!DB$1,#REF!,0))</f>
        <v>#REF!</v>
      </c>
      <c r="DC146" s="45" t="e">
        <f t="array" ref="DC146">INDEX(#REF!,MATCH('Respuestas de formulario 1.1'!$B146,#REF!,0),MATCH('Respuestas de formulario 1.1'!DC$1,#REF!,0))</f>
        <v>#REF!</v>
      </c>
      <c r="DD146" s="45" t="e">
        <f t="array" ref="DD146">INDEX(#REF!,MATCH('Respuestas de formulario 1.1'!$B146,#REF!,0),MATCH('Respuestas de formulario 1.1'!DD$1,#REF!,0))</f>
        <v>#REF!</v>
      </c>
      <c r="DE146" s="45" t="e">
        <f t="array" ref="DE146">INDEX(#REF!,MATCH('Respuestas de formulario 1.1'!$B146,#REF!,0),MATCH('Respuestas de formulario 1.1'!DE$1,#REF!,0))</f>
        <v>#REF!</v>
      </c>
      <c r="DF146" s="45" t="e">
        <f t="array" ref="DF146">INDEX(#REF!,MATCH('Respuestas de formulario 1.1'!$B146,#REF!,0),MATCH('Respuestas de formulario 1.1'!DF$1,#REF!,0))</f>
        <v>#REF!</v>
      </c>
      <c r="DG146" s="45" t="e">
        <f t="array" ref="DG146">INDEX(#REF!,MATCH('Respuestas de formulario 1.1'!$B146,#REF!,0),MATCH('Respuestas de formulario 1.1'!DG$1,#REF!,0))</f>
        <v>#REF!</v>
      </c>
      <c r="DH146" s="45" t="e">
        <f t="array" ref="DH146">INDEX(#REF!,MATCH('Respuestas de formulario 1.1'!$B146,#REF!,0),MATCH('Respuestas de formulario 1.1'!DH$1,#REF!,0))</f>
        <v>#REF!</v>
      </c>
      <c r="DI146" s="48" t="e">
        <f>VLOOKUP(CONCATENATE($DF146," TUTO ",$DC146),#REF!,3,0)</f>
        <v>#REF!</v>
      </c>
      <c r="DJ146" s="48" t="e">
        <f t="array" ref="DJ146">IF('Respuestas de formulario 1.1'!A146="","",INDEX(#REF!,MATCH('Respuestas de formulario 1.1'!B146,#REF!,0),MATCH('Respuestas de formulario 1.1'!$DH$1,#REF!,0)))</f>
        <v>#REF!</v>
      </c>
      <c r="DK146" s="52" t="str">
        <f>CONCATENATE("http://doc.google.com/uc?id=",MID('Respuestas de formulario 1.1'!G146,34,33))</f>
        <v>http://doc.google.com/uc?id=11Wi3MGhWz1e5aHCovDgxUT23aA_T_Dow</v>
      </c>
      <c r="DL146" s="49" t="str">
        <f>CONCATENATE("http://doc.google.com/uc?id=",MID('Respuestas de formulario 1.1'!AH146,34,33))</f>
        <v>http://doc.google.com/uc?id=1l6mvwdD5xVlTZufUJ6jaswJR_c1czNIR</v>
      </c>
      <c r="DM146" s="50" t="str">
        <f>CONCATENATE("http://doc.google.com/uc?id=",MID('Respuestas de formulario 1.1'!AW146,34,33))</f>
        <v>http://doc.google.com/uc?id=17-Suv4Ln6tj3sIxpnhl27pFVb8WQaLEW</v>
      </c>
      <c r="DN146" s="53" t="str">
        <f>CONCATENATE("http://doc.google.com/uc?id=",MID('Respuestas de formulario 1.1'!$BI146,34,33))</f>
        <v>http://doc.google.com/uc?id=1Mc3m8yHgfTwzOrXUK5IdbAoLeZh2ldTQ</v>
      </c>
      <c r="DO146" s="45" t="str">
        <f>IFERROR(VLOOKUP(CONCATENATE('Respuestas de formulario 1.1'!$B146,MID('Respuestas de formulario 1.1'!DO$1,2,1)),#REF!,12,0),"")</f>
        <v/>
      </c>
      <c r="DP146" s="45" t="str">
        <f>IFERROR(VLOOKUP(CONCATENATE('Respuestas de formulario 1.1'!$B146,MID('Respuestas de formulario 1.1'!DP$1,2,1)),#REF!,12,0),"")</f>
        <v/>
      </c>
      <c r="DQ146" s="45" t="str">
        <f>IFERROR(VLOOKUP(CONCATENATE('Respuestas de formulario 1.1'!$B146,MID('Respuestas de formulario 1.1'!DQ$1,2,1)),#REF!,12,0),"")</f>
        <v/>
      </c>
      <c r="DR146" s="45" t="str">
        <f>IFERROR(VLOOKUP(CONCATENATE('Respuestas de formulario 1.1'!$B146,MID('Respuestas de formulario 1.1'!DR$1,2,1)),#REF!,12,0),"")</f>
        <v/>
      </c>
      <c r="DS146" s="45" t="str">
        <f>IFERROR(VLOOKUP(CONCATENATE('Respuestas de formulario 1.1'!$B146,MID('Respuestas de formulario 1.1'!DS$1,2,1)),#REF!,12,0),"")</f>
        <v/>
      </c>
      <c r="DT146" s="45" t="str">
        <f>IFERROR(VLOOKUP(CONCATENATE('Respuestas de formulario 1.1'!$B146,MID('Respuestas de formulario 1.1'!DT$1,2,1)),#REF!,12,0),"")</f>
        <v/>
      </c>
      <c r="DU146" s="45" t="str">
        <f>IFERROR(VLOOKUP(CONCATENATE('Respuestas de formulario 1.1'!$B146,MID('Respuestas de formulario 1.1'!DU$1,2,1)),#REF!,12,0),"")</f>
        <v/>
      </c>
      <c r="DV146" s="45" t="str">
        <f>IFERROR(VLOOKUP(CONCATENATE('Respuestas de formulario 1.1'!$B146,MID('Respuestas de formulario 1.1'!DV$1,2,1)),#REF!,12,0),"")</f>
        <v/>
      </c>
      <c r="DW146" s="45" t="str">
        <f>IFERROR(VLOOKUP(CONCATENATE('Respuestas de formulario 1.1'!$B146,MID('Respuestas de formulario 1.1'!DW$1,2,1)),#REF!,12,0),"")</f>
        <v/>
      </c>
      <c r="DX146" s="45" t="str">
        <f>IFERROR(VLOOKUP(CONCATENATE('Respuestas de formulario 1.1'!$B146,MID('Respuestas de formulario 1.1'!DX$1,2,1)),#REF!,12,0),"")</f>
        <v/>
      </c>
      <c r="DY146" s="45" t="str">
        <f>IFERROR(VLOOKUP(CONCATENATE('Respuestas de formulario 1.1'!$B146,MID('Respuestas de formulario 1.1'!DY$1,2,1)),#REF!,12,0),"")</f>
        <v/>
      </c>
      <c r="DZ146" s="45" t="str">
        <f>IFERROR(VLOOKUP(CONCATENATE('Respuestas de formulario 1.1'!$B146,MID('Respuestas de formulario 1.1'!DZ$1,2,1)),#REF!,12,0),"")</f>
        <v/>
      </c>
      <c r="EA146" s="45" t="str">
        <f>IFERROR(VLOOKUP(CONCATENATE('Respuestas de formulario 1.1'!$B146,MID('Respuestas de formulario 1.1'!EA$1,2,1)),#REF!,12,0),"")</f>
        <v/>
      </c>
      <c r="EB146" s="45" t="str">
        <f>IFERROR(VLOOKUP(CONCATENATE('Respuestas de formulario 1.1'!$B146,MID('Respuestas de formulario 1.1'!EB$1,2,1)),#REF!,12,0),"")</f>
        <v/>
      </c>
      <c r="EC146" s="45" t="str">
        <f>IFERROR(VLOOKUP(CONCATENATE('Respuestas de formulario 1.1'!$B146,MID('Respuestas de formulario 1.1'!EC$1,2,1)),#REF!,12,0),"")</f>
        <v/>
      </c>
      <c r="ED146" s="45" t="str">
        <f>IFERROR(VLOOKUP(CONCATENATE('Respuestas de formulario 1.1'!$B146,MID('Respuestas de formulario 1.1'!ED$1,2,1)),#REF!,12,0),"")</f>
        <v/>
      </c>
      <c r="EE146" s="45" t="str">
        <f>IFERROR(VLOOKUP(CONCATENATE('Respuestas de formulario 1.1'!$B146,MID('Respuestas de formulario 1.1'!EE$1,2,1)),#REF!,12,0),"")</f>
        <v/>
      </c>
      <c r="EF146" s="45" t="str">
        <f>IFERROR(VLOOKUP(CONCATENATE('Respuestas de formulario 1.1'!$B146,MID('Respuestas de formulario 1.1'!EF$1,2,1)),#REF!,12,0),"")</f>
        <v/>
      </c>
      <c r="EG146" s="45" t="str">
        <f>IFERROR(VLOOKUP(CONCATENATE('Respuestas de formulario 1.1'!$B146,MID('Respuestas de formulario 1.1'!EG$1,2,1)),#REF!,12,0),"")</f>
        <v/>
      </c>
      <c r="EH146" s="45" t="str">
        <f>IFERROR(VLOOKUP(CONCATENATE('Respuestas de formulario 1.1'!$B146,MID('Respuestas de formulario 1.1'!EH$1,2,1)),#REF!,12,0),"")</f>
        <v/>
      </c>
      <c r="EI146" s="45" t="str">
        <f>IFERROR(VLOOKUP(CONCATENATE('Respuestas de formulario 1.1'!$B146,MID('Respuestas de formulario 1.1'!EI$1,2,1)),#REF!,12,0),"")</f>
        <v/>
      </c>
      <c r="EJ146" s="45" t="str">
        <f t="array" ref="EJ146">IF(DO146="","", INDEX(#REF!,MATCH(CONCATENATE('Respuestas de formulario 1.1'!$B146,DO146),#REF!,0),MATCH('Respuestas de formulario 1.1'!EJ$1,#REF!,0)))</f>
        <v/>
      </c>
      <c r="EK146" s="56" t="str">
        <f t="array" ref="EK146">IF(DP146="","", INDEX(#REF!,MATCH(CONCATENATE('Respuestas de formulario 1.1'!$B146,DP146),#REF!,0),MATCH('Respuestas de formulario 1.1'!EK$1,#REF!,0)))</f>
        <v/>
      </c>
      <c r="EL146" s="56" t="str">
        <f t="array" ref="EL146">IF(DQ146="","", INDEX(#REF!,MATCH(CONCATENATE('Respuestas de formulario 1.1'!$B146,DQ146),#REF!,0),MATCH('Respuestas de formulario 1.1'!EL$1,#REF!,0)))</f>
        <v/>
      </c>
      <c r="EM146" s="56" t="str">
        <f t="array" ref="EM146">IF(DR146="","", INDEX(#REF!,MATCH(CONCATENATE('Respuestas de formulario 1.1'!$B146,DR146),#REF!,0),MATCH('Respuestas de formulario 1.1'!EM$1,#REF!,0)))</f>
        <v/>
      </c>
      <c r="EN146" s="56" t="str">
        <f t="array" ref="EN146">IF(DS146="","", INDEX(#REF!,MATCH(CONCATENATE('Respuestas de formulario 1.1'!$B146,DS146),#REF!,0),MATCH('Respuestas de formulario 1.1'!EN$1,#REF!,0)))</f>
        <v/>
      </c>
      <c r="EO146" s="56" t="str">
        <f t="array" ref="EO146">IF(DT146="","", INDEX(#REF!,MATCH(CONCATENATE('Respuestas de formulario 1.1'!$B146,DT146),#REF!,0),MATCH('Respuestas de formulario 1.1'!EO$1,#REF!,0)))</f>
        <v/>
      </c>
      <c r="EP146" s="45" t="str">
        <f t="array" ref="EP146">IF(DU146="","", INDEX(#REF!,MATCH(CONCATENATE('Respuestas de formulario 1.1'!$B146,DU146),#REF!,0),MATCH('Respuestas de formulario 1.1'!EP$1,#REF!,0)))</f>
        <v/>
      </c>
      <c r="EQ146" s="45" t="str">
        <f t="array" ref="EQ146">IF(DP146="","", INDEX(#REF!,MATCH(CONCATENATE('Respuestas de formulario 1.1'!$B146,DP146),#REF!,0),MATCH('Respuestas de formulario 1.1'!EQ$1,#REF!,0)))</f>
        <v/>
      </c>
      <c r="ER146" s="56" t="str">
        <f t="array" ref="ER146">IF(DQ146="","", INDEX(#REF!,MATCH(CONCATENATE('Respuestas de formulario 1.1'!$B146,DQ146),#REF!,0),MATCH('Respuestas de formulario 1.1'!ER$1,#REF!,0)))</f>
        <v/>
      </c>
      <c r="ES146" s="56" t="str">
        <f t="array" ref="ES146">IF(DR146="","", INDEX(#REF!,MATCH(CONCATENATE('Respuestas de formulario 1.1'!$B146,DR146),#REF!,0),MATCH('Respuestas de formulario 1.1'!ES$1,#REF!,0)))</f>
        <v/>
      </c>
      <c r="ET146" s="56" t="str">
        <f t="array" ref="ET146">IF(DS146="","", INDEX(#REF!,MATCH(CONCATENATE('Respuestas de formulario 1.1'!$B146,DS146),#REF!,0),MATCH('Respuestas de formulario 1.1'!ET$1,#REF!,0)))</f>
        <v/>
      </c>
      <c r="EU146" s="56" t="str">
        <f t="array" ref="EU146">IF(DT146="","", INDEX(#REF!,MATCH(CONCATENATE('Respuestas de formulario 1.1'!$B146,DT146),#REF!,0),MATCH('Respuestas de formulario 1.1'!EU$1,#REF!,0)))</f>
        <v/>
      </c>
      <c r="EV146" s="56" t="str">
        <f t="array" ref="EV146">IF(DU146="","", INDEX(#REF!,MATCH(CONCATENATE('Respuestas de formulario 1.1'!$B146,DU146),#REF!,0),MATCH('Respuestas de formulario 1.1'!EV$1,#REF!,0)))</f>
        <v/>
      </c>
      <c r="EW146" s="45" t="str">
        <f t="array" ref="EW146">IF(DV146="","", INDEX(#REF!,MATCH(CONCATENATE('Respuestas de formulario 1.1'!$B146,DV146),#REF!,0),MATCH('Respuestas de formulario 1.1'!EW$1,#REF!,0)))</f>
        <v/>
      </c>
      <c r="EX146" s="45" t="str">
        <f t="array" ref="EX146">IF($DQ146="","", INDEX(#REF!,MATCH(CONCATENATE('Respuestas de formulario 1.1'!$B146,$DQ146),#REF!,0),MATCH('Respuestas de formulario 1.1'!EX$1,#REF!,0)))</f>
        <v/>
      </c>
      <c r="EY146" s="56" t="str">
        <f t="array" ref="EY146">IF($DQ146="","", INDEX(#REF!,MATCH(CONCATENATE('Respuestas de formulario 1.1'!$B146,$DQ146),#REF!,0),MATCH('Respuestas de formulario 1.1'!EY$1,#REF!,0)))</f>
        <v/>
      </c>
      <c r="EZ146" s="56" t="str">
        <f t="array" ref="EZ146">IF($DQ146="","", INDEX(#REF!,MATCH(CONCATENATE('Respuestas de formulario 1.1'!$B146,$DQ146),#REF!,0),MATCH('Respuestas de formulario 1.1'!EZ$1,#REF!,0)))</f>
        <v/>
      </c>
      <c r="FA146" s="56" t="str">
        <f t="array" ref="FA146">IF($DQ146="","", INDEX(#REF!,MATCH(CONCATENATE('Respuestas de formulario 1.1'!$B146,$DQ146),#REF!,0),MATCH('Respuestas de formulario 1.1'!FA$1,#REF!,0)))</f>
        <v/>
      </c>
      <c r="FB146" s="56" t="str">
        <f t="array" ref="FB146">IF($DQ146="","", INDEX(#REF!,MATCH(CONCATENATE('Respuestas de formulario 1.1'!$B146,$DQ146),#REF!,0),MATCH('Respuestas de formulario 1.1'!FB$1,#REF!,0)))</f>
        <v/>
      </c>
      <c r="FC146" s="56" t="str">
        <f t="array" ref="FC146">IF($DQ146="","", INDEX(#REF!,MATCH(CONCATENATE('Respuestas de formulario 1.1'!$B146,$DQ146),#REF!,0),MATCH('Respuestas de formulario 1.1'!FC$1,#REF!,0)))</f>
        <v/>
      </c>
      <c r="FD146" s="45" t="str">
        <f t="array" ref="FD146">IF($DQ146="","", INDEX(#REF!,MATCH(CONCATENATE('Respuestas de formulario 1.1'!$B146,$DQ146),#REF!,0),MATCH('Respuestas de formulario 1.1'!FD$1,#REF!,0)))</f>
        <v/>
      </c>
      <c r="FE146" s="45" t="str">
        <f t="array" ref="FE146">IF($DR146="","", INDEX(#REF!,MATCH(CONCATENATE(#REF!,$DR146),#REF!,0),MATCH(#REF!,#REF!,0)))</f>
        <v/>
      </c>
      <c r="FF146" s="56" t="str">
        <f t="array" ref="FF146">IF($DR146="","", INDEX(#REF!,MATCH(CONCATENATE(#REF!,$DR146),#REF!,0),MATCH(#REF!,#REF!,0)))</f>
        <v/>
      </c>
      <c r="FG146" s="56" t="str">
        <f t="array" ref="FG146">IF($DR146="","", INDEX(#REF!,MATCH(CONCATENATE(#REF!,$DR146),#REF!,0),MATCH(#REF!,#REF!,0)))</f>
        <v/>
      </c>
      <c r="FH146" s="56" t="str">
        <f t="array" ref="FH146">IF($DR146="","", INDEX(#REF!,MATCH(CONCATENATE(#REF!,$DR146),#REF!,0),MATCH(#REF!,#REF!,0)))</f>
        <v/>
      </c>
      <c r="FI146" s="56" t="str">
        <f t="array" ref="FI146">IF($DR146="","", INDEX(#REF!,MATCH(CONCATENATE(#REF!,$DR146),#REF!,0),MATCH(#REF!,#REF!,0)))</f>
        <v/>
      </c>
      <c r="FJ146" s="56" t="str">
        <f t="array" ref="FJ146">IF($DR146="","", INDEX(#REF!,MATCH(CONCATENATE(#REF!,$DR146),#REF!,0),MATCH(#REF!,#REF!,0)))</f>
        <v/>
      </c>
      <c r="FK146" s="45" t="str">
        <f t="array" ref="FK146">IF($DR146="","", INDEX(#REF!,MATCH(CONCATENATE(#REF!,$DR146),#REF!,0),MATCH(#REF!,#REF!,0)))</f>
        <v/>
      </c>
      <c r="FL146" s="45" t="str">
        <f t="array" ref="FL146">IF($DT146="","", INDEX(#REF!,MATCH(CONCATENATE('Respuestas de formulario 1.1'!$B146,$DS146),#REF!,0),MATCH('Respuestas de formulario 1.1'!FL$1,#REF!,0)))</f>
        <v/>
      </c>
      <c r="FM146" s="56" t="str">
        <f t="array" ref="FM146">IF($DT146="","", INDEX(#REF!,MATCH(CONCATENATE('Respuestas de formulario 1.1'!$B146,$DS146),#REF!,0),MATCH('Respuestas de formulario 1.1'!FM$1,#REF!,0)))</f>
        <v/>
      </c>
      <c r="FN146" s="56" t="str">
        <f t="array" ref="FN146">IF($DT146="","", INDEX(#REF!,MATCH(CONCATENATE('Respuestas de formulario 1.1'!$B146,$DS146),#REF!,0),MATCH('Respuestas de formulario 1.1'!FN$1,#REF!,0)))</f>
        <v/>
      </c>
      <c r="FO146" s="56" t="str">
        <f t="array" ref="FO146">IF($DT146="","", INDEX(#REF!,MATCH(CONCATENATE('Respuestas de formulario 1.1'!$B146,$DS146),#REF!,0),MATCH('Respuestas de formulario 1.1'!FO$1,#REF!,0)))</f>
        <v/>
      </c>
      <c r="FP146" s="56" t="str">
        <f t="array" ref="FP146">IF($DT146="","", INDEX(#REF!,MATCH(CONCATENATE('Respuestas de formulario 1.1'!$B146,$DS146),#REF!,0),MATCH('Respuestas de formulario 1.1'!FP$1,#REF!,0)))</f>
        <v/>
      </c>
      <c r="FQ146" s="56" t="str">
        <f t="array" ref="FQ146">IF($DT146="","", INDEX(#REF!,MATCH(CONCATENATE('Respuestas de formulario 1.1'!$B146,$DS146),#REF!,0),MATCH('Respuestas de formulario 1.1'!FQ$1,#REF!,0)))</f>
        <v/>
      </c>
      <c r="FR146" s="45" t="str">
        <f t="array" ref="FR146">IF($DT146="","", INDEX(#REF!,MATCH(CONCATENATE('Respuestas de formulario 1.1'!$B146,$DS146),#REF!,0),MATCH('Respuestas de formulario 1.1'!FR$1,#REF!,0)))</f>
        <v/>
      </c>
      <c r="FS146" s="45" t="str">
        <f t="array" ref="FS146">IF($DU146="","", INDEX(#REF!,MATCH(CONCATENATE('Respuestas de formulario 1.1'!$B146,$DT146),#REF!,0),MATCH('Respuestas de formulario 1.1'!FS$1,#REF!,0)))</f>
        <v/>
      </c>
      <c r="FT146" s="56" t="str">
        <f t="array" ref="FT146">IF($DU146="","", INDEX(#REF!,MATCH(CONCATENATE('Respuestas de formulario 1.1'!$B146,$DT146),#REF!,0),MATCH('Respuestas de formulario 1.1'!FT$1,#REF!,0)))</f>
        <v/>
      </c>
      <c r="FU146" s="56" t="str">
        <f t="array" ref="FU146">IF($DU146="","", INDEX(#REF!,MATCH(CONCATENATE('Respuestas de formulario 1.1'!$B146,$DT146),#REF!,0),MATCH('Respuestas de formulario 1.1'!FU$1,#REF!,0)))</f>
        <v/>
      </c>
      <c r="FV146" s="56" t="str">
        <f t="array" ref="FV146">IF($DU146="","", INDEX(#REF!,MATCH(CONCATENATE('Respuestas de formulario 1.1'!$B146,$DT146),#REF!,0),MATCH('Respuestas de formulario 1.1'!FV$1,#REF!,0)))</f>
        <v/>
      </c>
      <c r="FW146" s="56" t="str">
        <f t="array" ref="FW146">IF($DU146="","", INDEX(#REF!,MATCH(CONCATENATE('Respuestas de formulario 1.1'!$B146,$DT146),#REF!,0),MATCH('Respuestas de formulario 1.1'!FW$1,#REF!,0)))</f>
        <v/>
      </c>
      <c r="FX146" s="56" t="str">
        <f t="array" ref="FX146">IF($DU146="","", INDEX(#REF!,MATCH(CONCATENATE('Respuestas de formulario 1.1'!$B146,$DT146),#REF!,0),MATCH('Respuestas de formulario 1.1'!FX$1,#REF!,0)))</f>
        <v/>
      </c>
      <c r="FY146" s="45" t="str">
        <f t="array" ref="FY146">IF($DU146="","", INDEX(#REF!,MATCH(CONCATENATE('Respuestas de formulario 1.1'!$B146,$DT146),#REF!,0),MATCH('Respuestas de formulario 1.1'!FY$1,#REF!,0)))</f>
        <v/>
      </c>
      <c r="FZ146" s="3" t="s">
        <v>2860</v>
      </c>
      <c r="GA146" s="1" t="s">
        <v>5332</v>
      </c>
      <c r="GB146" s="5" t="s">
        <v>5333</v>
      </c>
      <c r="GC146" s="4" t="str">
        <f>HYPERLINK("https://drive.google.com/file/d/1c4DYl8cZ6JNj-dOc0tBH5Fi-yCfOARQK/view?usp=drivesdk","CADENA GARCIA  JANET ABIGAIL  Formato de reinscripción y pago 2022-2")</f>
        <v>CADENA GARCIA  JANET ABIGAIL  Formato de reinscripción y pago 2022-2</v>
      </c>
      <c r="GD146" s="1" t="s">
        <v>5334</v>
      </c>
      <c r="GI146" s="1" t="s">
        <v>5335</v>
      </c>
      <c r="GJ146" s="5" t="s">
        <v>5336</v>
      </c>
      <c r="GK146" s="4" t="str">
        <f>HYPERLINK("https://drive.google.com/file/d/1Vc0Iw4GiN6WYumVoZP5FgGSkwdoUW52G/view?usp=drivesdk","CADENA GARCIA  JANET ABIGAIL  Formato de reinscripción y pago 2022-2")</f>
        <v>CADENA GARCIA  JANET ABIGAIL  Formato de reinscripción y pago 2022-2</v>
      </c>
      <c r="GL146" s="1" t="s">
        <v>5337</v>
      </c>
    </row>
    <row r="147" spans="1:194" ht="38.25" x14ac:dyDescent="0.2">
      <c r="A147" s="2">
        <v>45139.459941967594</v>
      </c>
      <c r="B147" s="1" t="s">
        <v>2178</v>
      </c>
      <c r="C147" s="1" t="s">
        <v>753</v>
      </c>
      <c r="D147" s="1" t="s">
        <v>2179</v>
      </c>
      <c r="E147" s="1" t="s">
        <v>2180</v>
      </c>
      <c r="F147" s="1" t="s">
        <v>262</v>
      </c>
      <c r="G147" s="5" t="s">
        <v>5338</v>
      </c>
      <c r="H147" s="41">
        <v>39288</v>
      </c>
      <c r="I147" s="1">
        <v>16</v>
      </c>
      <c r="J147" s="1">
        <v>5518734207</v>
      </c>
      <c r="K147" s="1">
        <v>22</v>
      </c>
      <c r="L147" s="1" t="s">
        <v>2181</v>
      </c>
      <c r="M147" s="1">
        <v>22309060570633</v>
      </c>
      <c r="N147" s="1" t="s">
        <v>562</v>
      </c>
      <c r="O147" s="1" t="s">
        <v>247</v>
      </c>
      <c r="P147" s="1" t="s">
        <v>278</v>
      </c>
      <c r="Q147" s="1" t="s">
        <v>227</v>
      </c>
      <c r="R147" s="1" t="s">
        <v>236</v>
      </c>
      <c r="S147" s="1" t="s">
        <v>236</v>
      </c>
      <c r="T147" s="1" t="s">
        <v>229</v>
      </c>
      <c r="U147" s="1" t="s">
        <v>394</v>
      </c>
      <c r="V147" s="1" t="s">
        <v>228</v>
      </c>
      <c r="W147" s="1" t="s">
        <v>5339</v>
      </c>
      <c r="X147" s="1" t="s">
        <v>394</v>
      </c>
      <c r="Y147" s="1" t="s">
        <v>1009</v>
      </c>
      <c r="Z147" s="1" t="s">
        <v>231</v>
      </c>
      <c r="AA147" s="1">
        <v>56514</v>
      </c>
      <c r="AB147" s="1">
        <v>22</v>
      </c>
      <c r="AC147" s="1">
        <v>3</v>
      </c>
      <c r="AD147" s="1" t="s">
        <v>1829</v>
      </c>
      <c r="AE147" s="1" t="s">
        <v>5340</v>
      </c>
      <c r="AF147" s="1" t="s">
        <v>265</v>
      </c>
      <c r="AG147" s="1">
        <v>42</v>
      </c>
      <c r="AH147" s="5" t="s">
        <v>5341</v>
      </c>
      <c r="AI147" s="1">
        <v>5616376237</v>
      </c>
      <c r="AJ147" s="1">
        <v>5522865636</v>
      </c>
      <c r="AK147" s="1" t="s">
        <v>2183</v>
      </c>
      <c r="AL147" s="1" t="s">
        <v>1064</v>
      </c>
      <c r="AM147" s="1" t="s">
        <v>244</v>
      </c>
      <c r="AN147" s="1" t="s">
        <v>5342</v>
      </c>
      <c r="AO147" s="1" t="s">
        <v>5343</v>
      </c>
      <c r="AP147" s="1">
        <v>57</v>
      </c>
      <c r="AQ147" s="1" t="s">
        <v>1976</v>
      </c>
      <c r="AR147" s="42">
        <v>0.25</v>
      </c>
      <c r="AS147" s="42">
        <v>0.5</v>
      </c>
      <c r="AT147" s="1">
        <v>5615377069</v>
      </c>
      <c r="AU147" s="1">
        <v>5522865636</v>
      </c>
      <c r="AV147" s="1" t="s">
        <v>2182</v>
      </c>
      <c r="AW147" s="5" t="s">
        <v>5344</v>
      </c>
      <c r="AX147" s="1" t="s">
        <v>507</v>
      </c>
      <c r="AY147" s="1" t="s">
        <v>1241</v>
      </c>
      <c r="AZ147" s="1" t="s">
        <v>5345</v>
      </c>
      <c r="BA147" s="1" t="s">
        <v>5346</v>
      </c>
      <c r="BB147" s="1">
        <v>38</v>
      </c>
      <c r="BC147" s="1" t="s">
        <v>1315</v>
      </c>
      <c r="BD147" s="43">
        <v>0.79166666666424135</v>
      </c>
      <c r="BE147" s="43">
        <v>0.95833333333575865</v>
      </c>
      <c r="BF147" s="1">
        <v>5515599960</v>
      </c>
      <c r="BG147" s="1">
        <v>5515599960</v>
      </c>
      <c r="BH147" s="1" t="s">
        <v>5347</v>
      </c>
      <c r="BI147" s="5" t="s">
        <v>5348</v>
      </c>
      <c r="BJ147" s="1" t="s">
        <v>236</v>
      </c>
      <c r="BL147" s="1">
        <v>169</v>
      </c>
      <c r="BM147" s="1">
        <v>53</v>
      </c>
      <c r="BN147" s="1" t="s">
        <v>236</v>
      </c>
      <c r="BO147" s="1" t="s">
        <v>228</v>
      </c>
      <c r="BQ147" s="1" t="s">
        <v>228</v>
      </c>
      <c r="BR147" s="1" t="s">
        <v>237</v>
      </c>
      <c r="BS147" s="1" t="s">
        <v>236</v>
      </c>
      <c r="BT147" s="1" t="s">
        <v>462</v>
      </c>
      <c r="BU147" s="1" t="s">
        <v>228</v>
      </c>
      <c r="BW147" s="1" t="s">
        <v>238</v>
      </c>
      <c r="BX147" s="1">
        <v>240</v>
      </c>
      <c r="BY147" s="1">
        <v>400</v>
      </c>
      <c r="BZ147" s="1" t="s">
        <v>814</v>
      </c>
      <c r="CA147" s="1" t="s">
        <v>343</v>
      </c>
      <c r="CB147" s="1" t="s">
        <v>231</v>
      </c>
      <c r="CC147" s="1" t="s">
        <v>2374</v>
      </c>
      <c r="CD147" s="1">
        <v>3000</v>
      </c>
      <c r="CE147" s="1">
        <v>2000</v>
      </c>
      <c r="CF147" s="1" t="s">
        <v>236</v>
      </c>
      <c r="CG147" s="1" t="s">
        <v>242</v>
      </c>
      <c r="CH147" s="1" t="s">
        <v>243</v>
      </c>
      <c r="CI147" s="1" t="s">
        <v>243</v>
      </c>
      <c r="CJ147" s="1" t="s">
        <v>2848</v>
      </c>
      <c r="CL147" s="5" t="s">
        <v>5349</v>
      </c>
      <c r="CM147" s="44" t="s">
        <v>2184</v>
      </c>
      <c r="CN147" s="1" t="s">
        <v>228</v>
      </c>
      <c r="CQ147" s="42">
        <v>0.25</v>
      </c>
      <c r="CR147" s="42">
        <v>0.95833333333575865</v>
      </c>
      <c r="CT147" s="45" t="str">
        <f t="array" ref="CT147">IFERROR(INDEX(#REF!,MATCH('Respuestas de formulario 1.1'!$B147,#REF!,0),MATCH('Respuestas de formulario 1.1'!CT$1,#REF!,0)),"")</f>
        <v/>
      </c>
      <c r="CU147" s="56" t="str">
        <f t="array" ref="CU147">IFERROR(INDEX(#REF!,MATCH('Respuestas de formulario 1.1'!$B147,#REF!,0),MATCH('Respuestas de formulario 1.1'!CU$1,#REF!,0)),"")</f>
        <v/>
      </c>
      <c r="CV147" s="56" t="str">
        <f t="array" ref="CV147">IFERROR(INDEX(#REF!,MATCH('Respuestas de formulario 1.1'!$B147,#REF!,0),MATCH('Respuestas de formulario 1.1'!CV$1,#REF!,0)),"")</f>
        <v/>
      </c>
      <c r="CW147" s="56" t="str">
        <f t="array" ref="CW147">IFERROR(INDEX(#REF!,MATCH('Respuestas de formulario 1.1'!$B147,#REF!,0),MATCH('Respuestas de formulario 1.1'!CW$1,#REF!,0)),"")</f>
        <v/>
      </c>
      <c r="CX147" s="56" t="str">
        <f t="array" ref="CX147">IFERROR(INDEX(#REF!,MATCH('Respuestas de formulario 1.1'!$B147,#REF!,0),MATCH('Respuestas de formulario 1.1'!CX$1,#REF!,0)),"")</f>
        <v/>
      </c>
      <c r="CY147" s="56" t="str">
        <f t="array" ref="CY147">IFERROR(INDEX(#REF!,MATCH('Respuestas de formulario 1.1'!$B147,#REF!,0),MATCH('Respuestas de formulario 1.1'!CY$1,#REF!,0)),"")</f>
        <v/>
      </c>
      <c r="CZ147" s="57" t="str">
        <f t="array" ref="CZ147">IFERROR(INDEX(#REF!,MATCH('Respuestas de formulario 1.1'!$B147,#REF!,0),MATCH('Respuestas de formulario 1.1'!CZ$1,#REF!,0)),"")</f>
        <v/>
      </c>
      <c r="DA147" s="45" t="e">
        <f t="array" ref="DA147">INDEX(#REF!,MATCH('Respuestas de formulario 1.1'!$B147,#REF!,0),MATCH('Respuestas de formulario 1.1'!DA$1,#REF!,0))</f>
        <v>#REF!</v>
      </c>
      <c r="DB147" s="45" t="e">
        <f t="array" ref="DB147">INDEX(#REF!,MATCH('Respuestas de formulario 1.1'!$B147,#REF!,0),MATCH('Respuestas de formulario 1.1'!DB$1,#REF!,0))</f>
        <v>#REF!</v>
      </c>
      <c r="DC147" s="45" t="e">
        <f t="array" ref="DC147">INDEX(#REF!,MATCH('Respuestas de formulario 1.1'!$B147,#REF!,0),MATCH('Respuestas de formulario 1.1'!DC$1,#REF!,0))</f>
        <v>#REF!</v>
      </c>
      <c r="DD147" s="45" t="e">
        <f t="array" ref="DD147">INDEX(#REF!,MATCH('Respuestas de formulario 1.1'!$B147,#REF!,0),MATCH('Respuestas de formulario 1.1'!DD$1,#REF!,0))</f>
        <v>#REF!</v>
      </c>
      <c r="DE147" s="45" t="e">
        <f t="array" ref="DE147">INDEX(#REF!,MATCH('Respuestas de formulario 1.1'!$B147,#REF!,0),MATCH('Respuestas de formulario 1.1'!DE$1,#REF!,0))</f>
        <v>#REF!</v>
      </c>
      <c r="DF147" s="45" t="e">
        <f t="array" ref="DF147">INDEX(#REF!,MATCH('Respuestas de formulario 1.1'!$B147,#REF!,0),MATCH('Respuestas de formulario 1.1'!DF$1,#REF!,0))</f>
        <v>#REF!</v>
      </c>
      <c r="DG147" s="45" t="e">
        <f t="array" ref="DG147">INDEX(#REF!,MATCH('Respuestas de formulario 1.1'!$B147,#REF!,0),MATCH('Respuestas de formulario 1.1'!DG$1,#REF!,0))</f>
        <v>#REF!</v>
      </c>
      <c r="DH147" s="45" t="e">
        <f t="array" ref="DH147">INDEX(#REF!,MATCH('Respuestas de formulario 1.1'!$B147,#REF!,0),MATCH('Respuestas de formulario 1.1'!DH$1,#REF!,0))</f>
        <v>#REF!</v>
      </c>
      <c r="DI147" s="48" t="e">
        <f>VLOOKUP(CONCATENATE($DF147," TUTO ",$DC147),#REF!,3,0)</f>
        <v>#REF!</v>
      </c>
      <c r="DJ147" s="48" t="e">
        <f t="array" ref="DJ147">IF('Respuestas de formulario 1.1'!A147="","",INDEX(#REF!,MATCH('Respuestas de formulario 1.1'!B147,#REF!,0),MATCH('Respuestas de formulario 1.1'!$DH$1,#REF!,0)))</f>
        <v>#REF!</v>
      </c>
      <c r="DK147" s="52" t="str">
        <f>CONCATENATE("http://doc.google.com/uc?id=",MID('Respuestas de formulario 1.1'!G147,34,33))</f>
        <v>http://doc.google.com/uc?id=1-eEbnActVbFN-AskT-iYQq3SBi4V8yU8</v>
      </c>
      <c r="DL147" s="49" t="str">
        <f>CONCATENATE("http://doc.google.com/uc?id=",MID('Respuestas de formulario 1.1'!AH147,34,33))</f>
        <v>http://doc.google.com/uc?id=1AeXOmcsA0ElJcn1QmKc22b95lno5ZH3u</v>
      </c>
      <c r="DM147" s="50" t="str">
        <f>CONCATENATE("http://doc.google.com/uc?id=",MID('Respuestas de formulario 1.1'!AW147,34,33))</f>
        <v>http://doc.google.com/uc?id=1G_d81RthVR0aUCPXmh6B0TN0gwNH1piz</v>
      </c>
      <c r="DN147" s="53" t="str">
        <f>CONCATENATE("http://doc.google.com/uc?id=",MID('Respuestas de formulario 1.1'!$BI147,34,33))</f>
        <v>http://doc.google.com/uc?id=13rPirthoSYHWMsk8_hpVkQWQ4O4SrJIu</v>
      </c>
      <c r="DO147" s="45" t="str">
        <f>IFERROR(VLOOKUP(CONCATENATE('Respuestas de formulario 1.1'!$B147,MID('Respuestas de formulario 1.1'!DO$1,2,1)),#REF!,12,0),"")</f>
        <v/>
      </c>
      <c r="DP147" s="45" t="str">
        <f>IFERROR(VLOOKUP(CONCATENATE('Respuestas de formulario 1.1'!$B147,MID('Respuestas de formulario 1.1'!DP$1,2,1)),#REF!,12,0),"")</f>
        <v/>
      </c>
      <c r="DQ147" s="45" t="str">
        <f>IFERROR(VLOOKUP(CONCATENATE('Respuestas de formulario 1.1'!$B147,MID('Respuestas de formulario 1.1'!DQ$1,2,1)),#REF!,12,0),"")</f>
        <v/>
      </c>
      <c r="DR147" s="45" t="str">
        <f>IFERROR(VLOOKUP(CONCATENATE('Respuestas de formulario 1.1'!$B147,MID('Respuestas de formulario 1.1'!DR$1,2,1)),#REF!,12,0),"")</f>
        <v/>
      </c>
      <c r="DS147" s="45" t="str">
        <f>IFERROR(VLOOKUP(CONCATENATE('Respuestas de formulario 1.1'!$B147,MID('Respuestas de formulario 1.1'!DS$1,2,1)),#REF!,12,0),"")</f>
        <v/>
      </c>
      <c r="DT147" s="45" t="str">
        <f>IFERROR(VLOOKUP(CONCATENATE('Respuestas de formulario 1.1'!$B147,MID('Respuestas de formulario 1.1'!DT$1,2,1)),#REF!,12,0),"")</f>
        <v/>
      </c>
      <c r="DU147" s="45" t="str">
        <f>IFERROR(VLOOKUP(CONCATENATE('Respuestas de formulario 1.1'!$B147,MID('Respuestas de formulario 1.1'!DU$1,2,1)),#REF!,12,0),"")</f>
        <v/>
      </c>
      <c r="DV147" s="45" t="str">
        <f>IFERROR(VLOOKUP(CONCATENATE('Respuestas de formulario 1.1'!$B147,MID('Respuestas de formulario 1.1'!DV$1,2,1)),#REF!,12,0),"")</f>
        <v/>
      </c>
      <c r="DW147" s="45" t="str">
        <f>IFERROR(VLOOKUP(CONCATENATE('Respuestas de formulario 1.1'!$B147,MID('Respuestas de formulario 1.1'!DW$1,2,1)),#REF!,12,0),"")</f>
        <v/>
      </c>
      <c r="DX147" s="45" t="str">
        <f>IFERROR(VLOOKUP(CONCATENATE('Respuestas de formulario 1.1'!$B147,MID('Respuestas de formulario 1.1'!DX$1,2,1)),#REF!,12,0),"")</f>
        <v/>
      </c>
      <c r="DY147" s="45" t="str">
        <f>IFERROR(VLOOKUP(CONCATENATE('Respuestas de formulario 1.1'!$B147,MID('Respuestas de formulario 1.1'!DY$1,2,1)),#REF!,12,0),"")</f>
        <v/>
      </c>
      <c r="DZ147" s="45" t="str">
        <f>IFERROR(VLOOKUP(CONCATENATE('Respuestas de formulario 1.1'!$B147,MID('Respuestas de formulario 1.1'!DZ$1,2,1)),#REF!,12,0),"")</f>
        <v/>
      </c>
      <c r="EA147" s="45" t="str">
        <f>IFERROR(VLOOKUP(CONCATENATE('Respuestas de formulario 1.1'!$B147,MID('Respuestas de formulario 1.1'!EA$1,2,1)),#REF!,12,0),"")</f>
        <v/>
      </c>
      <c r="EB147" s="45" t="str">
        <f>IFERROR(VLOOKUP(CONCATENATE('Respuestas de formulario 1.1'!$B147,MID('Respuestas de formulario 1.1'!EB$1,2,1)),#REF!,12,0),"")</f>
        <v/>
      </c>
      <c r="EC147" s="45" t="str">
        <f>IFERROR(VLOOKUP(CONCATENATE('Respuestas de formulario 1.1'!$B147,MID('Respuestas de formulario 1.1'!EC$1,2,1)),#REF!,12,0),"")</f>
        <v/>
      </c>
      <c r="ED147" s="45" t="str">
        <f>IFERROR(VLOOKUP(CONCATENATE('Respuestas de formulario 1.1'!$B147,MID('Respuestas de formulario 1.1'!ED$1,2,1)),#REF!,12,0),"")</f>
        <v/>
      </c>
      <c r="EE147" s="45" t="str">
        <f>IFERROR(VLOOKUP(CONCATENATE('Respuestas de formulario 1.1'!$B147,MID('Respuestas de formulario 1.1'!EE$1,2,1)),#REF!,12,0),"")</f>
        <v/>
      </c>
      <c r="EF147" s="45" t="str">
        <f>IFERROR(VLOOKUP(CONCATENATE('Respuestas de formulario 1.1'!$B147,MID('Respuestas de formulario 1.1'!EF$1,2,1)),#REF!,12,0),"")</f>
        <v/>
      </c>
      <c r="EG147" s="45" t="str">
        <f>IFERROR(VLOOKUP(CONCATENATE('Respuestas de formulario 1.1'!$B147,MID('Respuestas de formulario 1.1'!EG$1,2,1)),#REF!,12,0),"")</f>
        <v/>
      </c>
      <c r="EH147" s="45" t="str">
        <f>IFERROR(VLOOKUP(CONCATENATE('Respuestas de formulario 1.1'!$B147,MID('Respuestas de formulario 1.1'!EH$1,2,1)),#REF!,12,0),"")</f>
        <v/>
      </c>
      <c r="EI147" s="45" t="str">
        <f>IFERROR(VLOOKUP(CONCATENATE('Respuestas de formulario 1.1'!$B147,MID('Respuestas de formulario 1.1'!EI$1,2,1)),#REF!,12,0),"")</f>
        <v/>
      </c>
      <c r="EJ147" s="45" t="str">
        <f t="array" ref="EJ147">IF(DO147="","", INDEX(#REF!,MATCH(CONCATENATE('Respuestas de formulario 1.1'!$B147,DO147),#REF!,0),MATCH('Respuestas de formulario 1.1'!EJ$1,#REF!,0)))</f>
        <v/>
      </c>
      <c r="EK147" s="56" t="str">
        <f t="array" ref="EK147">IF(DP147="","", INDEX(#REF!,MATCH(CONCATENATE('Respuestas de formulario 1.1'!$B147,DP147),#REF!,0),MATCH('Respuestas de formulario 1.1'!EK$1,#REF!,0)))</f>
        <v/>
      </c>
      <c r="EL147" s="56" t="str">
        <f t="array" ref="EL147">IF(DQ147="","", INDEX(#REF!,MATCH(CONCATENATE('Respuestas de formulario 1.1'!$B147,DQ147),#REF!,0),MATCH('Respuestas de formulario 1.1'!EL$1,#REF!,0)))</f>
        <v/>
      </c>
      <c r="EM147" s="56" t="str">
        <f t="array" ref="EM147">IF(DR147="","", INDEX(#REF!,MATCH(CONCATENATE('Respuestas de formulario 1.1'!$B147,DR147),#REF!,0),MATCH('Respuestas de formulario 1.1'!EM$1,#REF!,0)))</f>
        <v/>
      </c>
      <c r="EN147" s="56" t="str">
        <f t="array" ref="EN147">IF(DS147="","", INDEX(#REF!,MATCH(CONCATENATE('Respuestas de formulario 1.1'!$B147,DS147),#REF!,0),MATCH('Respuestas de formulario 1.1'!EN$1,#REF!,0)))</f>
        <v/>
      </c>
      <c r="EO147" s="56" t="str">
        <f t="array" ref="EO147">IF(DT147="","", INDEX(#REF!,MATCH(CONCATENATE('Respuestas de formulario 1.1'!$B147,DT147),#REF!,0),MATCH('Respuestas de formulario 1.1'!EO$1,#REF!,0)))</f>
        <v/>
      </c>
      <c r="EP147" s="45" t="str">
        <f t="array" ref="EP147">IF(DU147="","", INDEX(#REF!,MATCH(CONCATENATE('Respuestas de formulario 1.1'!$B147,DU147),#REF!,0),MATCH('Respuestas de formulario 1.1'!EP$1,#REF!,0)))</f>
        <v/>
      </c>
      <c r="EQ147" s="45" t="str">
        <f t="array" ref="EQ147">IF(DP147="","", INDEX(#REF!,MATCH(CONCATENATE('Respuestas de formulario 1.1'!$B147,DP147),#REF!,0),MATCH('Respuestas de formulario 1.1'!EQ$1,#REF!,0)))</f>
        <v/>
      </c>
      <c r="ER147" s="56" t="str">
        <f t="array" ref="ER147">IF(DQ147="","", INDEX(#REF!,MATCH(CONCATENATE('Respuestas de formulario 1.1'!$B147,DQ147),#REF!,0),MATCH('Respuestas de formulario 1.1'!ER$1,#REF!,0)))</f>
        <v/>
      </c>
      <c r="ES147" s="56" t="str">
        <f t="array" ref="ES147">IF(DR147="","", INDEX(#REF!,MATCH(CONCATENATE('Respuestas de formulario 1.1'!$B147,DR147),#REF!,0),MATCH('Respuestas de formulario 1.1'!ES$1,#REF!,0)))</f>
        <v/>
      </c>
      <c r="ET147" s="56" t="str">
        <f t="array" ref="ET147">IF(DS147="","", INDEX(#REF!,MATCH(CONCATENATE('Respuestas de formulario 1.1'!$B147,DS147),#REF!,0),MATCH('Respuestas de formulario 1.1'!ET$1,#REF!,0)))</f>
        <v/>
      </c>
      <c r="EU147" s="56" t="str">
        <f t="array" ref="EU147">IF(DT147="","", INDEX(#REF!,MATCH(CONCATENATE('Respuestas de formulario 1.1'!$B147,DT147),#REF!,0),MATCH('Respuestas de formulario 1.1'!EU$1,#REF!,0)))</f>
        <v/>
      </c>
      <c r="EV147" s="56" t="str">
        <f t="array" ref="EV147">IF(DU147="","", INDEX(#REF!,MATCH(CONCATENATE('Respuestas de formulario 1.1'!$B147,DU147),#REF!,0),MATCH('Respuestas de formulario 1.1'!EV$1,#REF!,0)))</f>
        <v/>
      </c>
      <c r="EW147" s="45" t="str">
        <f t="array" ref="EW147">IF(DV147="","", INDEX(#REF!,MATCH(CONCATENATE('Respuestas de formulario 1.1'!$B147,DV147),#REF!,0),MATCH('Respuestas de formulario 1.1'!EW$1,#REF!,0)))</f>
        <v/>
      </c>
      <c r="EX147" s="45" t="str">
        <f t="array" ref="EX147">IF($DQ147="","", INDEX(#REF!,MATCH(CONCATENATE('Respuestas de formulario 1.1'!$B147,$DQ147),#REF!,0),MATCH('Respuestas de formulario 1.1'!EX$1,#REF!,0)))</f>
        <v/>
      </c>
      <c r="EY147" s="56" t="str">
        <f t="array" ref="EY147">IF($DQ147="","", INDEX(#REF!,MATCH(CONCATENATE('Respuestas de formulario 1.1'!$B147,$DQ147),#REF!,0),MATCH('Respuestas de formulario 1.1'!EY$1,#REF!,0)))</f>
        <v/>
      </c>
      <c r="EZ147" s="56" t="str">
        <f t="array" ref="EZ147">IF($DQ147="","", INDEX(#REF!,MATCH(CONCATENATE('Respuestas de formulario 1.1'!$B147,$DQ147),#REF!,0),MATCH('Respuestas de formulario 1.1'!EZ$1,#REF!,0)))</f>
        <v/>
      </c>
      <c r="FA147" s="56" t="str">
        <f t="array" ref="FA147">IF($DQ147="","", INDEX(#REF!,MATCH(CONCATENATE('Respuestas de formulario 1.1'!$B147,$DQ147),#REF!,0),MATCH('Respuestas de formulario 1.1'!FA$1,#REF!,0)))</f>
        <v/>
      </c>
      <c r="FB147" s="56" t="str">
        <f t="array" ref="FB147">IF($DQ147="","", INDEX(#REF!,MATCH(CONCATENATE('Respuestas de formulario 1.1'!$B147,$DQ147),#REF!,0),MATCH('Respuestas de formulario 1.1'!FB$1,#REF!,0)))</f>
        <v/>
      </c>
      <c r="FC147" s="56" t="str">
        <f t="array" ref="FC147">IF($DQ147="","", INDEX(#REF!,MATCH(CONCATENATE('Respuestas de formulario 1.1'!$B147,$DQ147),#REF!,0),MATCH('Respuestas de formulario 1.1'!FC$1,#REF!,0)))</f>
        <v/>
      </c>
      <c r="FD147" s="45" t="str">
        <f t="array" ref="FD147">IF($DQ147="","", INDEX(#REF!,MATCH(CONCATENATE('Respuestas de formulario 1.1'!$B147,$DQ147),#REF!,0),MATCH('Respuestas de formulario 1.1'!FD$1,#REF!,0)))</f>
        <v/>
      </c>
      <c r="FE147" s="45" t="str">
        <f t="array" ref="FE147">IF($DR147="","", INDEX(#REF!,MATCH(CONCATENATE(#REF!,$DR147),#REF!,0),MATCH(#REF!,#REF!,0)))</f>
        <v/>
      </c>
      <c r="FF147" s="56" t="str">
        <f t="array" ref="FF147">IF($DR147="","", INDEX(#REF!,MATCH(CONCATENATE(#REF!,$DR147),#REF!,0),MATCH(#REF!,#REF!,0)))</f>
        <v/>
      </c>
      <c r="FG147" s="56" t="str">
        <f t="array" ref="FG147">IF($DR147="","", INDEX(#REF!,MATCH(CONCATENATE(#REF!,$DR147),#REF!,0),MATCH(#REF!,#REF!,0)))</f>
        <v/>
      </c>
      <c r="FH147" s="56" t="str">
        <f t="array" ref="FH147">IF($DR147="","", INDEX(#REF!,MATCH(CONCATENATE(#REF!,$DR147),#REF!,0),MATCH(#REF!,#REF!,0)))</f>
        <v/>
      </c>
      <c r="FI147" s="56" t="str">
        <f t="array" ref="FI147">IF($DR147="","", INDEX(#REF!,MATCH(CONCATENATE(#REF!,$DR147),#REF!,0),MATCH(#REF!,#REF!,0)))</f>
        <v/>
      </c>
      <c r="FJ147" s="56" t="str">
        <f t="array" ref="FJ147">IF($DR147="","", INDEX(#REF!,MATCH(CONCATENATE(#REF!,$DR147),#REF!,0),MATCH(#REF!,#REF!,0)))</f>
        <v/>
      </c>
      <c r="FK147" s="45" t="str">
        <f t="array" ref="FK147">IF($DR147="","", INDEX(#REF!,MATCH(CONCATENATE(#REF!,$DR147),#REF!,0),MATCH(#REF!,#REF!,0)))</f>
        <v/>
      </c>
      <c r="FL147" s="45" t="str">
        <f t="array" ref="FL147">IF($DT147="","", INDEX(#REF!,MATCH(CONCATENATE('Respuestas de formulario 1.1'!$B147,$DS147),#REF!,0),MATCH('Respuestas de formulario 1.1'!FL$1,#REF!,0)))</f>
        <v/>
      </c>
      <c r="FM147" s="56" t="str">
        <f t="array" ref="FM147">IF($DT147="","", INDEX(#REF!,MATCH(CONCATENATE('Respuestas de formulario 1.1'!$B147,$DS147),#REF!,0),MATCH('Respuestas de formulario 1.1'!FM$1,#REF!,0)))</f>
        <v/>
      </c>
      <c r="FN147" s="56" t="str">
        <f t="array" ref="FN147">IF($DT147="","", INDEX(#REF!,MATCH(CONCATENATE('Respuestas de formulario 1.1'!$B147,$DS147),#REF!,0),MATCH('Respuestas de formulario 1.1'!FN$1,#REF!,0)))</f>
        <v/>
      </c>
      <c r="FO147" s="56" t="str">
        <f t="array" ref="FO147">IF($DT147="","", INDEX(#REF!,MATCH(CONCATENATE('Respuestas de formulario 1.1'!$B147,$DS147),#REF!,0),MATCH('Respuestas de formulario 1.1'!FO$1,#REF!,0)))</f>
        <v/>
      </c>
      <c r="FP147" s="56" t="str">
        <f t="array" ref="FP147">IF($DT147="","", INDEX(#REF!,MATCH(CONCATENATE('Respuestas de formulario 1.1'!$B147,$DS147),#REF!,0),MATCH('Respuestas de formulario 1.1'!FP$1,#REF!,0)))</f>
        <v/>
      </c>
      <c r="FQ147" s="56" t="str">
        <f t="array" ref="FQ147">IF($DT147="","", INDEX(#REF!,MATCH(CONCATENATE('Respuestas de formulario 1.1'!$B147,$DS147),#REF!,0),MATCH('Respuestas de formulario 1.1'!FQ$1,#REF!,0)))</f>
        <v/>
      </c>
      <c r="FR147" s="45" t="str">
        <f t="array" ref="FR147">IF($DT147="","", INDEX(#REF!,MATCH(CONCATENATE('Respuestas de formulario 1.1'!$B147,$DS147),#REF!,0),MATCH('Respuestas de formulario 1.1'!FR$1,#REF!,0)))</f>
        <v/>
      </c>
      <c r="FS147" s="45" t="str">
        <f t="array" ref="FS147">IF($DU147="","", INDEX(#REF!,MATCH(CONCATENATE('Respuestas de formulario 1.1'!$B147,$DT147),#REF!,0),MATCH('Respuestas de formulario 1.1'!FS$1,#REF!,0)))</f>
        <v/>
      </c>
      <c r="FT147" s="56" t="str">
        <f t="array" ref="FT147">IF($DU147="","", INDEX(#REF!,MATCH(CONCATENATE('Respuestas de formulario 1.1'!$B147,$DT147),#REF!,0),MATCH('Respuestas de formulario 1.1'!FT$1,#REF!,0)))</f>
        <v/>
      </c>
      <c r="FU147" s="56" t="str">
        <f t="array" ref="FU147">IF($DU147="","", INDEX(#REF!,MATCH(CONCATENATE('Respuestas de formulario 1.1'!$B147,$DT147),#REF!,0),MATCH('Respuestas de formulario 1.1'!FU$1,#REF!,0)))</f>
        <v/>
      </c>
      <c r="FV147" s="56" t="str">
        <f t="array" ref="FV147">IF($DU147="","", INDEX(#REF!,MATCH(CONCATENATE('Respuestas de formulario 1.1'!$B147,$DT147),#REF!,0),MATCH('Respuestas de formulario 1.1'!FV$1,#REF!,0)))</f>
        <v/>
      </c>
      <c r="FW147" s="56" t="str">
        <f t="array" ref="FW147">IF($DU147="","", INDEX(#REF!,MATCH(CONCATENATE('Respuestas de formulario 1.1'!$B147,$DT147),#REF!,0),MATCH('Respuestas de formulario 1.1'!FW$1,#REF!,0)))</f>
        <v/>
      </c>
      <c r="FX147" s="56" t="str">
        <f t="array" ref="FX147">IF($DU147="","", INDEX(#REF!,MATCH(CONCATENATE('Respuestas de formulario 1.1'!$B147,$DT147),#REF!,0),MATCH('Respuestas de formulario 1.1'!FX$1,#REF!,0)))</f>
        <v/>
      </c>
      <c r="FY147" s="45" t="str">
        <f t="array" ref="FY147">IF($DU147="","", INDEX(#REF!,MATCH(CONCATENATE('Respuestas de formulario 1.1'!$B147,$DT147),#REF!,0),MATCH('Respuestas de formulario 1.1'!FY$1,#REF!,0)))</f>
        <v/>
      </c>
      <c r="FZ147" s="3" t="s">
        <v>2860</v>
      </c>
      <c r="GA147" s="1" t="s">
        <v>5350</v>
      </c>
      <c r="GB147" s="5" t="s">
        <v>5351</v>
      </c>
      <c r="GC147" s="4" t="str">
        <f>HYPERLINK("https://drive.google.com/file/d/16FSpzHfZRR8f4VCBLt48MrDUR5T6L-MS/view?usp=drivesdk","MARQUEZ ARREOLA GERMAIN SANTIAGO Formato de reinscripción y pago 2022-2")</f>
        <v>MARQUEZ ARREOLA GERMAIN SANTIAGO Formato de reinscripción y pago 2022-2</v>
      </c>
      <c r="GD147" s="1" t="s">
        <v>5352</v>
      </c>
      <c r="GE147" s="1"/>
      <c r="GF147" s="1"/>
      <c r="GG147" s="1"/>
      <c r="GH147" s="1"/>
      <c r="GI147" s="1" t="s">
        <v>5353</v>
      </c>
      <c r="GJ147" s="5" t="s">
        <v>5354</v>
      </c>
      <c r="GK147" s="5" t="str">
        <f>HYPERLINK("https://drive.google.com/file/d/15ymlD11EydpguSZ-HMYSINqh5BOkfv0p/view?usp=drivesdk","MARQUEZ ARREOLA GERMAIN SANTIAGO Formato de reinscripción y pago 2022-2")</f>
        <v>MARQUEZ ARREOLA GERMAIN SANTIAGO Formato de reinscripción y pago 2022-2</v>
      </c>
      <c r="GL147" s="1" t="s">
        <v>5355</v>
      </c>
    </row>
    <row r="148" spans="1:194" ht="38.25" x14ac:dyDescent="0.2">
      <c r="A148" s="2">
        <v>45139.461125671296</v>
      </c>
      <c r="B148" s="1" t="s">
        <v>2104</v>
      </c>
      <c r="C148" s="1" t="s">
        <v>504</v>
      </c>
      <c r="D148" s="1" t="s">
        <v>1373</v>
      </c>
      <c r="E148" s="1" t="s">
        <v>2106</v>
      </c>
      <c r="F148" s="1" t="s">
        <v>223</v>
      </c>
      <c r="G148" s="5" t="s">
        <v>5356</v>
      </c>
      <c r="H148" s="41">
        <v>33505</v>
      </c>
      <c r="I148" s="1">
        <v>31</v>
      </c>
      <c r="J148" s="1">
        <v>5519324328</v>
      </c>
      <c r="K148" s="1">
        <v>5519324328</v>
      </c>
      <c r="L148" s="1" t="s">
        <v>2107</v>
      </c>
      <c r="M148" s="1">
        <v>21309060570580</v>
      </c>
      <c r="N148" s="1" t="s">
        <v>1108</v>
      </c>
      <c r="O148" s="1" t="s">
        <v>225</v>
      </c>
      <c r="P148" s="1" t="s">
        <v>226</v>
      </c>
      <c r="Q148" s="1" t="s">
        <v>227</v>
      </c>
      <c r="R148" s="1" t="s">
        <v>236</v>
      </c>
      <c r="S148" s="1" t="s">
        <v>236</v>
      </c>
      <c r="T148" s="1" t="s">
        <v>1167</v>
      </c>
      <c r="U148" s="1" t="s">
        <v>264</v>
      </c>
      <c r="V148" s="1" t="s">
        <v>228</v>
      </c>
      <c r="W148" s="1" t="s">
        <v>5357</v>
      </c>
      <c r="X148" s="1" t="s">
        <v>264</v>
      </c>
      <c r="Y148" s="1" t="s">
        <v>2065</v>
      </c>
      <c r="Z148" s="1" t="s">
        <v>231</v>
      </c>
      <c r="AA148" s="1">
        <v>57710</v>
      </c>
      <c r="AB148" s="1">
        <v>105</v>
      </c>
      <c r="AC148" s="1">
        <v>4</v>
      </c>
      <c r="AD148" s="1" t="s">
        <v>5358</v>
      </c>
      <c r="AE148" s="1" t="s">
        <v>5359</v>
      </c>
      <c r="AF148" s="1" t="s">
        <v>5360</v>
      </c>
      <c r="AG148" s="1">
        <v>31</v>
      </c>
      <c r="AH148" s="5" t="s">
        <v>5361</v>
      </c>
      <c r="AI148" s="1">
        <v>5519324328</v>
      </c>
      <c r="AJ148" s="1">
        <v>5519324328</v>
      </c>
      <c r="AK148" s="1" t="s">
        <v>2109</v>
      </c>
      <c r="AL148" s="1" t="s">
        <v>507</v>
      </c>
      <c r="AM148" s="1" t="s">
        <v>2105</v>
      </c>
      <c r="AN148" s="1" t="s">
        <v>2106</v>
      </c>
      <c r="AO148" s="1" t="s">
        <v>2108</v>
      </c>
      <c r="AP148" s="1">
        <v>31</v>
      </c>
      <c r="AQ148" s="1" t="s">
        <v>663</v>
      </c>
      <c r="AR148" s="42">
        <v>0.33333333333575865</v>
      </c>
      <c r="AS148" s="42">
        <v>0.58333333333575865</v>
      </c>
      <c r="AT148" s="1">
        <v>5519324328</v>
      </c>
      <c r="AU148" s="1">
        <v>5519324328</v>
      </c>
      <c r="AV148" s="1" t="s">
        <v>2109</v>
      </c>
      <c r="AW148" s="5" t="s">
        <v>5362</v>
      </c>
      <c r="AX148" s="1" t="s">
        <v>504</v>
      </c>
      <c r="AY148" s="1" t="s">
        <v>2105</v>
      </c>
      <c r="AZ148" s="1" t="s">
        <v>2106</v>
      </c>
      <c r="BA148" s="1" t="s">
        <v>2108</v>
      </c>
      <c r="BB148" s="1">
        <v>31</v>
      </c>
      <c r="BC148" s="1" t="s">
        <v>5360</v>
      </c>
      <c r="BD148" s="43">
        <v>0.33333333333575865</v>
      </c>
      <c r="BE148" s="43">
        <v>0.58333333333575865</v>
      </c>
      <c r="BF148" s="1">
        <v>5519324328</v>
      </c>
      <c r="BG148" s="1">
        <v>5519324328</v>
      </c>
      <c r="BH148" s="1" t="s">
        <v>2109</v>
      </c>
      <c r="BI148" s="5" t="s">
        <v>5363</v>
      </c>
      <c r="BJ148" s="1" t="s">
        <v>228</v>
      </c>
      <c r="BK148" s="1" t="s">
        <v>2656</v>
      </c>
      <c r="BL148" s="1">
        <v>1.58</v>
      </c>
      <c r="BM148" s="1">
        <v>68</v>
      </c>
      <c r="BN148" s="1" t="s">
        <v>236</v>
      </c>
      <c r="BO148" s="1" t="s">
        <v>228</v>
      </c>
      <c r="BQ148" s="1" t="s">
        <v>228</v>
      </c>
      <c r="BR148" s="1" t="s">
        <v>237</v>
      </c>
      <c r="BS148" s="1" t="s">
        <v>228</v>
      </c>
      <c r="BT148" s="1" t="s">
        <v>237</v>
      </c>
      <c r="BU148" s="1" t="s">
        <v>228</v>
      </c>
      <c r="BW148" s="1" t="s">
        <v>272</v>
      </c>
      <c r="BX148" s="1">
        <v>45</v>
      </c>
      <c r="BY148" s="1">
        <v>120</v>
      </c>
      <c r="BZ148" s="1" t="s">
        <v>298</v>
      </c>
      <c r="CA148" s="1" t="s">
        <v>343</v>
      </c>
      <c r="CB148" s="1" t="s">
        <v>231</v>
      </c>
      <c r="CC148" s="1" t="s">
        <v>588</v>
      </c>
      <c r="CD148" s="1">
        <v>1500</v>
      </c>
      <c r="CE148" s="1">
        <v>2000</v>
      </c>
      <c r="CF148" s="1" t="s">
        <v>236</v>
      </c>
      <c r="CG148" s="1" t="s">
        <v>242</v>
      </c>
      <c r="CH148" s="1" t="s">
        <v>243</v>
      </c>
      <c r="CI148" s="1" t="s">
        <v>243</v>
      </c>
      <c r="CJ148" s="1" t="s">
        <v>2848</v>
      </c>
      <c r="CL148" s="5" t="s">
        <v>5364</v>
      </c>
      <c r="CM148" s="1">
        <v>9609914704</v>
      </c>
      <c r="CN148" s="1" t="s">
        <v>228</v>
      </c>
      <c r="CQ148" s="42">
        <v>0.33333333333575865</v>
      </c>
      <c r="CR148" s="42">
        <v>0.58333333333575865</v>
      </c>
      <c r="CT148" s="45" t="str">
        <f t="array" ref="CT148">IFERROR(INDEX(#REF!,MATCH('Respuestas de formulario 1.1'!$B148,#REF!,0),MATCH('Respuestas de formulario 1.1'!CT$1,#REF!,0)),"")</f>
        <v/>
      </c>
      <c r="CU148" s="56" t="str">
        <f t="array" ref="CU148">IFERROR(INDEX(#REF!,MATCH('Respuestas de formulario 1.1'!$B148,#REF!,0),MATCH('Respuestas de formulario 1.1'!CU$1,#REF!,0)),"")</f>
        <v/>
      </c>
      <c r="CV148" s="56" t="str">
        <f t="array" ref="CV148">IFERROR(INDEX(#REF!,MATCH('Respuestas de formulario 1.1'!$B148,#REF!,0),MATCH('Respuestas de formulario 1.1'!CV$1,#REF!,0)),"")</f>
        <v/>
      </c>
      <c r="CW148" s="56" t="str">
        <f t="array" ref="CW148">IFERROR(INDEX(#REF!,MATCH('Respuestas de formulario 1.1'!$B148,#REF!,0),MATCH('Respuestas de formulario 1.1'!CW$1,#REF!,0)),"")</f>
        <v/>
      </c>
      <c r="CX148" s="56" t="str">
        <f t="array" ref="CX148">IFERROR(INDEX(#REF!,MATCH('Respuestas de formulario 1.1'!$B148,#REF!,0),MATCH('Respuestas de formulario 1.1'!CX$1,#REF!,0)),"")</f>
        <v/>
      </c>
      <c r="CY148" s="56" t="str">
        <f t="array" ref="CY148">IFERROR(INDEX(#REF!,MATCH('Respuestas de formulario 1.1'!$B148,#REF!,0),MATCH('Respuestas de formulario 1.1'!CY$1,#REF!,0)),"")</f>
        <v/>
      </c>
      <c r="CZ148" s="57" t="str">
        <f t="array" ref="CZ148">IFERROR(INDEX(#REF!,MATCH('Respuestas de formulario 1.1'!$B148,#REF!,0),MATCH('Respuestas de formulario 1.1'!CZ$1,#REF!,0)),"")</f>
        <v/>
      </c>
      <c r="DA148" s="45" t="e">
        <f t="array" ref="DA148">INDEX(#REF!,MATCH('Respuestas de formulario 1.1'!$B148,#REF!,0),MATCH('Respuestas de formulario 1.1'!DA$1,#REF!,0))</f>
        <v>#REF!</v>
      </c>
      <c r="DB148" s="45" t="e">
        <f t="array" ref="DB148">INDEX(#REF!,MATCH('Respuestas de formulario 1.1'!$B148,#REF!,0),MATCH('Respuestas de formulario 1.1'!DB$1,#REF!,0))</f>
        <v>#REF!</v>
      </c>
      <c r="DC148" s="45" t="e">
        <f t="array" ref="DC148">INDEX(#REF!,MATCH('Respuestas de formulario 1.1'!$B148,#REF!,0),MATCH('Respuestas de formulario 1.1'!DC$1,#REF!,0))</f>
        <v>#REF!</v>
      </c>
      <c r="DD148" s="45" t="e">
        <f t="array" ref="DD148">INDEX(#REF!,MATCH('Respuestas de formulario 1.1'!$B148,#REF!,0),MATCH('Respuestas de formulario 1.1'!DD$1,#REF!,0))</f>
        <v>#REF!</v>
      </c>
      <c r="DE148" s="45" t="e">
        <f t="array" ref="DE148">INDEX(#REF!,MATCH('Respuestas de formulario 1.1'!$B148,#REF!,0),MATCH('Respuestas de formulario 1.1'!DE$1,#REF!,0))</f>
        <v>#REF!</v>
      </c>
      <c r="DF148" s="45" t="e">
        <f t="array" ref="DF148">INDEX(#REF!,MATCH('Respuestas de formulario 1.1'!$B148,#REF!,0),MATCH('Respuestas de formulario 1.1'!DF$1,#REF!,0))</f>
        <v>#REF!</v>
      </c>
      <c r="DG148" s="45" t="e">
        <f t="array" ref="DG148">INDEX(#REF!,MATCH('Respuestas de formulario 1.1'!$B148,#REF!,0),MATCH('Respuestas de formulario 1.1'!DG$1,#REF!,0))</f>
        <v>#REF!</v>
      </c>
      <c r="DH148" s="45" t="e">
        <f t="array" ref="DH148">INDEX(#REF!,MATCH('Respuestas de formulario 1.1'!$B148,#REF!,0),MATCH('Respuestas de formulario 1.1'!DH$1,#REF!,0))</f>
        <v>#REF!</v>
      </c>
      <c r="DI148" s="48" t="e">
        <f>VLOOKUP(CONCATENATE($DF148," TUTO ",$DC148),#REF!,3,0)</f>
        <v>#REF!</v>
      </c>
      <c r="DJ148" s="48" t="e">
        <f t="array" ref="DJ148">IF('Respuestas de formulario 1.1'!A148="","",INDEX(#REF!,MATCH('Respuestas de formulario 1.1'!B148,#REF!,0),MATCH('Respuestas de formulario 1.1'!$DH$1,#REF!,0)))</f>
        <v>#REF!</v>
      </c>
      <c r="DK148" s="52" t="str">
        <f>CONCATENATE("http://doc.google.com/uc?id=",MID('Respuestas de formulario 1.1'!G148,34,33))</f>
        <v>http://doc.google.com/uc?id=1-Bp0VtzooofwQf0IAlWdPlqWT2x0glM6</v>
      </c>
      <c r="DL148" s="49" t="str">
        <f>CONCATENATE("http://doc.google.com/uc?id=",MID('Respuestas de formulario 1.1'!AH148,34,33))</f>
        <v>http://doc.google.com/uc?id=11aZdz3H5sYk3mhixHBfOb5wMwWe76f-R</v>
      </c>
      <c r="DM148" s="50" t="str">
        <f>CONCATENATE("http://doc.google.com/uc?id=",MID('Respuestas de formulario 1.1'!AW148,34,33))</f>
        <v>http://doc.google.com/uc?id=1PkmYDta5zVXaferSSZ0eQ--ZapgZYN-S</v>
      </c>
      <c r="DN148" s="53" t="str">
        <f>CONCATENATE("http://doc.google.com/uc?id=",MID('Respuestas de formulario 1.1'!$BI148,34,33))</f>
        <v>http://doc.google.com/uc?id=1zDvcpT9XmMfJ2FlJFmmjkbTy97MNENwj</v>
      </c>
      <c r="DO148" s="45" t="str">
        <f>IFERROR(VLOOKUP(CONCATENATE('Respuestas de formulario 1.1'!$B148,MID('Respuestas de formulario 1.1'!DO$1,2,1)),#REF!,12,0),"")</f>
        <v/>
      </c>
      <c r="DP148" s="45" t="str">
        <f>IFERROR(VLOOKUP(CONCATENATE('Respuestas de formulario 1.1'!$B148,MID('Respuestas de formulario 1.1'!DP$1,2,1)),#REF!,12,0),"")</f>
        <v/>
      </c>
      <c r="DQ148" s="45" t="str">
        <f>IFERROR(VLOOKUP(CONCATENATE('Respuestas de formulario 1.1'!$B148,MID('Respuestas de formulario 1.1'!DQ$1,2,1)),#REF!,12,0),"")</f>
        <v/>
      </c>
      <c r="DR148" s="45" t="str">
        <f>IFERROR(VLOOKUP(CONCATENATE('Respuestas de formulario 1.1'!$B148,MID('Respuestas de formulario 1.1'!DR$1,2,1)),#REF!,12,0),"")</f>
        <v/>
      </c>
      <c r="DS148" s="45" t="str">
        <f>IFERROR(VLOOKUP(CONCATENATE('Respuestas de formulario 1.1'!$B148,MID('Respuestas de formulario 1.1'!DS$1,2,1)),#REF!,12,0),"")</f>
        <v/>
      </c>
      <c r="DT148" s="45" t="str">
        <f>IFERROR(VLOOKUP(CONCATENATE('Respuestas de formulario 1.1'!$B148,MID('Respuestas de formulario 1.1'!DT$1,2,1)),#REF!,12,0),"")</f>
        <v/>
      </c>
      <c r="DU148" s="45" t="str">
        <f>IFERROR(VLOOKUP(CONCATENATE('Respuestas de formulario 1.1'!$B148,MID('Respuestas de formulario 1.1'!DU$1,2,1)),#REF!,12,0),"")</f>
        <v/>
      </c>
      <c r="DV148" s="45" t="str">
        <f>IFERROR(VLOOKUP(CONCATENATE('Respuestas de formulario 1.1'!$B148,MID('Respuestas de formulario 1.1'!DV$1,2,1)),#REF!,12,0),"")</f>
        <v/>
      </c>
      <c r="DW148" s="45" t="str">
        <f>IFERROR(VLOOKUP(CONCATENATE('Respuestas de formulario 1.1'!$B148,MID('Respuestas de formulario 1.1'!DW$1,2,1)),#REF!,12,0),"")</f>
        <v/>
      </c>
      <c r="DX148" s="45" t="str">
        <f>IFERROR(VLOOKUP(CONCATENATE('Respuestas de formulario 1.1'!$B148,MID('Respuestas de formulario 1.1'!DX$1,2,1)),#REF!,12,0),"")</f>
        <v/>
      </c>
      <c r="DY148" s="45" t="str">
        <f>IFERROR(VLOOKUP(CONCATENATE('Respuestas de formulario 1.1'!$B148,MID('Respuestas de formulario 1.1'!DY$1,2,1)),#REF!,12,0),"")</f>
        <v/>
      </c>
      <c r="DZ148" s="45" t="str">
        <f>IFERROR(VLOOKUP(CONCATENATE('Respuestas de formulario 1.1'!$B148,MID('Respuestas de formulario 1.1'!DZ$1,2,1)),#REF!,12,0),"")</f>
        <v/>
      </c>
      <c r="EA148" s="45" t="str">
        <f>IFERROR(VLOOKUP(CONCATENATE('Respuestas de formulario 1.1'!$B148,MID('Respuestas de formulario 1.1'!EA$1,2,1)),#REF!,12,0),"")</f>
        <v/>
      </c>
      <c r="EB148" s="45" t="str">
        <f>IFERROR(VLOOKUP(CONCATENATE('Respuestas de formulario 1.1'!$B148,MID('Respuestas de formulario 1.1'!EB$1,2,1)),#REF!,12,0),"")</f>
        <v/>
      </c>
      <c r="EC148" s="45" t="str">
        <f>IFERROR(VLOOKUP(CONCATENATE('Respuestas de formulario 1.1'!$B148,MID('Respuestas de formulario 1.1'!EC$1,2,1)),#REF!,12,0),"")</f>
        <v/>
      </c>
      <c r="ED148" s="45" t="str">
        <f>IFERROR(VLOOKUP(CONCATENATE('Respuestas de formulario 1.1'!$B148,MID('Respuestas de formulario 1.1'!ED$1,2,1)),#REF!,12,0),"")</f>
        <v/>
      </c>
      <c r="EE148" s="45" t="str">
        <f>IFERROR(VLOOKUP(CONCATENATE('Respuestas de formulario 1.1'!$B148,MID('Respuestas de formulario 1.1'!EE$1,2,1)),#REF!,12,0),"")</f>
        <v/>
      </c>
      <c r="EF148" s="45" t="str">
        <f>IFERROR(VLOOKUP(CONCATENATE('Respuestas de formulario 1.1'!$B148,MID('Respuestas de formulario 1.1'!EF$1,2,1)),#REF!,12,0),"")</f>
        <v/>
      </c>
      <c r="EG148" s="45" t="str">
        <f>IFERROR(VLOOKUP(CONCATENATE('Respuestas de formulario 1.1'!$B148,MID('Respuestas de formulario 1.1'!EG$1,2,1)),#REF!,12,0),"")</f>
        <v/>
      </c>
      <c r="EH148" s="45" t="str">
        <f>IFERROR(VLOOKUP(CONCATENATE('Respuestas de formulario 1.1'!$B148,MID('Respuestas de formulario 1.1'!EH$1,2,1)),#REF!,12,0),"")</f>
        <v/>
      </c>
      <c r="EI148" s="45" t="str">
        <f>IFERROR(VLOOKUP(CONCATENATE('Respuestas de formulario 1.1'!$B148,MID('Respuestas de formulario 1.1'!EI$1,2,1)),#REF!,12,0),"")</f>
        <v/>
      </c>
      <c r="EJ148" s="45" t="str">
        <f t="array" ref="EJ148">IF(DO148="","", INDEX(#REF!,MATCH(CONCATENATE('Respuestas de formulario 1.1'!$B148,DO148),#REF!,0),MATCH('Respuestas de formulario 1.1'!EJ$1,#REF!,0)))</f>
        <v/>
      </c>
      <c r="EK148" s="56" t="str">
        <f t="array" ref="EK148">IF(DP148="","", INDEX(#REF!,MATCH(CONCATENATE('Respuestas de formulario 1.1'!$B148,DP148),#REF!,0),MATCH('Respuestas de formulario 1.1'!EK$1,#REF!,0)))</f>
        <v/>
      </c>
      <c r="EL148" s="56" t="str">
        <f t="array" ref="EL148">IF(DQ148="","", INDEX(#REF!,MATCH(CONCATENATE('Respuestas de formulario 1.1'!$B148,DQ148),#REF!,0),MATCH('Respuestas de formulario 1.1'!EL$1,#REF!,0)))</f>
        <v/>
      </c>
      <c r="EM148" s="56" t="str">
        <f t="array" ref="EM148">IF(DR148="","", INDEX(#REF!,MATCH(CONCATENATE('Respuestas de formulario 1.1'!$B148,DR148),#REF!,0),MATCH('Respuestas de formulario 1.1'!EM$1,#REF!,0)))</f>
        <v/>
      </c>
      <c r="EN148" s="56" t="str">
        <f t="array" ref="EN148">IF(DS148="","", INDEX(#REF!,MATCH(CONCATENATE('Respuestas de formulario 1.1'!$B148,DS148),#REF!,0),MATCH('Respuestas de formulario 1.1'!EN$1,#REF!,0)))</f>
        <v/>
      </c>
      <c r="EO148" s="56" t="str">
        <f t="array" ref="EO148">IF(DT148="","", INDEX(#REF!,MATCH(CONCATENATE('Respuestas de formulario 1.1'!$B148,DT148),#REF!,0),MATCH('Respuestas de formulario 1.1'!EO$1,#REF!,0)))</f>
        <v/>
      </c>
      <c r="EP148" s="45" t="str">
        <f t="array" ref="EP148">IF(DU148="","", INDEX(#REF!,MATCH(CONCATENATE('Respuestas de formulario 1.1'!$B148,DU148),#REF!,0),MATCH('Respuestas de formulario 1.1'!EP$1,#REF!,0)))</f>
        <v/>
      </c>
      <c r="EQ148" s="45" t="str">
        <f t="array" ref="EQ148">IF(DP148="","", INDEX(#REF!,MATCH(CONCATENATE('Respuestas de formulario 1.1'!$B148,DP148),#REF!,0),MATCH('Respuestas de formulario 1.1'!EQ$1,#REF!,0)))</f>
        <v/>
      </c>
      <c r="ER148" s="56" t="str">
        <f t="array" ref="ER148">IF(DQ148="","", INDEX(#REF!,MATCH(CONCATENATE('Respuestas de formulario 1.1'!$B148,DQ148),#REF!,0),MATCH('Respuestas de formulario 1.1'!ER$1,#REF!,0)))</f>
        <v/>
      </c>
      <c r="ES148" s="56" t="str">
        <f t="array" ref="ES148">IF(DR148="","", INDEX(#REF!,MATCH(CONCATENATE('Respuestas de formulario 1.1'!$B148,DR148),#REF!,0),MATCH('Respuestas de formulario 1.1'!ES$1,#REF!,0)))</f>
        <v/>
      </c>
      <c r="ET148" s="56" t="str">
        <f t="array" ref="ET148">IF(DS148="","", INDEX(#REF!,MATCH(CONCATENATE('Respuestas de formulario 1.1'!$B148,DS148),#REF!,0),MATCH('Respuestas de formulario 1.1'!ET$1,#REF!,0)))</f>
        <v/>
      </c>
      <c r="EU148" s="56" t="str">
        <f t="array" ref="EU148">IF(DT148="","", INDEX(#REF!,MATCH(CONCATENATE('Respuestas de formulario 1.1'!$B148,DT148),#REF!,0),MATCH('Respuestas de formulario 1.1'!EU$1,#REF!,0)))</f>
        <v/>
      </c>
      <c r="EV148" s="56" t="str">
        <f t="array" ref="EV148">IF(DU148="","", INDEX(#REF!,MATCH(CONCATENATE('Respuestas de formulario 1.1'!$B148,DU148),#REF!,0),MATCH('Respuestas de formulario 1.1'!EV$1,#REF!,0)))</f>
        <v/>
      </c>
      <c r="EW148" s="45" t="str">
        <f t="array" ref="EW148">IF(DV148="","", INDEX(#REF!,MATCH(CONCATENATE('Respuestas de formulario 1.1'!$B148,DV148),#REF!,0),MATCH('Respuestas de formulario 1.1'!EW$1,#REF!,0)))</f>
        <v/>
      </c>
      <c r="EX148" s="45" t="str">
        <f t="array" ref="EX148">IF($DQ148="","", INDEX(#REF!,MATCH(CONCATENATE('Respuestas de formulario 1.1'!$B148,$DQ148),#REF!,0),MATCH('Respuestas de formulario 1.1'!EX$1,#REF!,0)))</f>
        <v/>
      </c>
      <c r="EY148" s="56" t="str">
        <f t="array" ref="EY148">IF($DQ148="","", INDEX(#REF!,MATCH(CONCATENATE('Respuestas de formulario 1.1'!$B148,$DQ148),#REF!,0),MATCH('Respuestas de formulario 1.1'!EY$1,#REF!,0)))</f>
        <v/>
      </c>
      <c r="EZ148" s="56" t="str">
        <f t="array" ref="EZ148">IF($DQ148="","", INDEX(#REF!,MATCH(CONCATENATE('Respuestas de formulario 1.1'!$B148,$DQ148),#REF!,0),MATCH('Respuestas de formulario 1.1'!EZ$1,#REF!,0)))</f>
        <v/>
      </c>
      <c r="FA148" s="56" t="str">
        <f t="array" ref="FA148">IF($DQ148="","", INDEX(#REF!,MATCH(CONCATENATE('Respuestas de formulario 1.1'!$B148,$DQ148),#REF!,0),MATCH('Respuestas de formulario 1.1'!FA$1,#REF!,0)))</f>
        <v/>
      </c>
      <c r="FB148" s="56" t="str">
        <f t="array" ref="FB148">IF($DQ148="","", INDEX(#REF!,MATCH(CONCATENATE('Respuestas de formulario 1.1'!$B148,$DQ148),#REF!,0),MATCH('Respuestas de formulario 1.1'!FB$1,#REF!,0)))</f>
        <v/>
      </c>
      <c r="FC148" s="56" t="str">
        <f t="array" ref="FC148">IF($DQ148="","", INDEX(#REF!,MATCH(CONCATENATE('Respuestas de formulario 1.1'!$B148,$DQ148),#REF!,0),MATCH('Respuestas de formulario 1.1'!FC$1,#REF!,0)))</f>
        <v/>
      </c>
      <c r="FD148" s="45" t="str">
        <f t="array" ref="FD148">IF($DQ148="","", INDEX(#REF!,MATCH(CONCATENATE('Respuestas de formulario 1.1'!$B148,$DQ148),#REF!,0),MATCH('Respuestas de formulario 1.1'!FD$1,#REF!,0)))</f>
        <v/>
      </c>
      <c r="FE148" s="45" t="str">
        <f t="array" ref="FE148">IF($DR148="","", INDEX(#REF!,MATCH(CONCATENATE(#REF!,$DR148),#REF!,0),MATCH(#REF!,#REF!,0)))</f>
        <v/>
      </c>
      <c r="FF148" s="56" t="str">
        <f t="array" ref="FF148">IF($DR148="","", INDEX(#REF!,MATCH(CONCATENATE(#REF!,$DR148),#REF!,0),MATCH(#REF!,#REF!,0)))</f>
        <v/>
      </c>
      <c r="FG148" s="56" t="str">
        <f t="array" ref="FG148">IF($DR148="","", INDEX(#REF!,MATCH(CONCATENATE(#REF!,$DR148),#REF!,0),MATCH(#REF!,#REF!,0)))</f>
        <v/>
      </c>
      <c r="FH148" s="56" t="str">
        <f t="array" ref="FH148">IF($DR148="","", INDEX(#REF!,MATCH(CONCATENATE(#REF!,$DR148),#REF!,0),MATCH(#REF!,#REF!,0)))</f>
        <v/>
      </c>
      <c r="FI148" s="56" t="str">
        <f t="array" ref="FI148">IF($DR148="","", INDEX(#REF!,MATCH(CONCATENATE(#REF!,$DR148),#REF!,0),MATCH(#REF!,#REF!,0)))</f>
        <v/>
      </c>
      <c r="FJ148" s="56" t="str">
        <f t="array" ref="FJ148">IF($DR148="","", INDEX(#REF!,MATCH(CONCATENATE(#REF!,$DR148),#REF!,0),MATCH(#REF!,#REF!,0)))</f>
        <v/>
      </c>
      <c r="FK148" s="45" t="str">
        <f t="array" ref="FK148">IF($DR148="","", INDEX(#REF!,MATCH(CONCATENATE(#REF!,$DR148),#REF!,0),MATCH(#REF!,#REF!,0)))</f>
        <v/>
      </c>
      <c r="FL148" s="45" t="str">
        <f t="array" ref="FL148">IF($DT148="","", INDEX(#REF!,MATCH(CONCATENATE('Respuestas de formulario 1.1'!$B148,$DS148),#REF!,0),MATCH('Respuestas de formulario 1.1'!FL$1,#REF!,0)))</f>
        <v/>
      </c>
      <c r="FM148" s="56" t="str">
        <f t="array" ref="FM148">IF($DT148="","", INDEX(#REF!,MATCH(CONCATENATE('Respuestas de formulario 1.1'!$B148,$DS148),#REF!,0),MATCH('Respuestas de formulario 1.1'!FM$1,#REF!,0)))</f>
        <v/>
      </c>
      <c r="FN148" s="56" t="str">
        <f t="array" ref="FN148">IF($DT148="","", INDEX(#REF!,MATCH(CONCATENATE('Respuestas de formulario 1.1'!$B148,$DS148),#REF!,0),MATCH('Respuestas de formulario 1.1'!FN$1,#REF!,0)))</f>
        <v/>
      </c>
      <c r="FO148" s="56" t="str">
        <f t="array" ref="FO148">IF($DT148="","", INDEX(#REF!,MATCH(CONCATENATE('Respuestas de formulario 1.1'!$B148,$DS148),#REF!,0),MATCH('Respuestas de formulario 1.1'!FO$1,#REF!,0)))</f>
        <v/>
      </c>
      <c r="FP148" s="56" t="str">
        <f t="array" ref="FP148">IF($DT148="","", INDEX(#REF!,MATCH(CONCATENATE('Respuestas de formulario 1.1'!$B148,$DS148),#REF!,0),MATCH('Respuestas de formulario 1.1'!FP$1,#REF!,0)))</f>
        <v/>
      </c>
      <c r="FQ148" s="56" t="str">
        <f t="array" ref="FQ148">IF($DT148="","", INDEX(#REF!,MATCH(CONCATENATE('Respuestas de formulario 1.1'!$B148,$DS148),#REF!,0),MATCH('Respuestas de formulario 1.1'!FQ$1,#REF!,0)))</f>
        <v/>
      </c>
      <c r="FR148" s="45" t="str">
        <f t="array" ref="FR148">IF($DT148="","", INDEX(#REF!,MATCH(CONCATENATE('Respuestas de formulario 1.1'!$B148,$DS148),#REF!,0),MATCH('Respuestas de formulario 1.1'!FR$1,#REF!,0)))</f>
        <v/>
      </c>
      <c r="FS148" s="45" t="str">
        <f t="array" ref="FS148">IF($DU148="","", INDEX(#REF!,MATCH(CONCATENATE('Respuestas de formulario 1.1'!$B148,$DT148),#REF!,0),MATCH('Respuestas de formulario 1.1'!FS$1,#REF!,0)))</f>
        <v/>
      </c>
      <c r="FT148" s="56" t="str">
        <f t="array" ref="FT148">IF($DU148="","", INDEX(#REF!,MATCH(CONCATENATE('Respuestas de formulario 1.1'!$B148,$DT148),#REF!,0),MATCH('Respuestas de formulario 1.1'!FT$1,#REF!,0)))</f>
        <v/>
      </c>
      <c r="FU148" s="56" t="str">
        <f t="array" ref="FU148">IF($DU148="","", INDEX(#REF!,MATCH(CONCATENATE('Respuestas de formulario 1.1'!$B148,$DT148),#REF!,0),MATCH('Respuestas de formulario 1.1'!FU$1,#REF!,0)))</f>
        <v/>
      </c>
      <c r="FV148" s="56" t="str">
        <f t="array" ref="FV148">IF($DU148="","", INDEX(#REF!,MATCH(CONCATENATE('Respuestas de formulario 1.1'!$B148,$DT148),#REF!,0),MATCH('Respuestas de formulario 1.1'!FV$1,#REF!,0)))</f>
        <v/>
      </c>
      <c r="FW148" s="56" t="str">
        <f t="array" ref="FW148">IF($DU148="","", INDEX(#REF!,MATCH(CONCATENATE('Respuestas de formulario 1.1'!$B148,$DT148),#REF!,0),MATCH('Respuestas de formulario 1.1'!FW$1,#REF!,0)))</f>
        <v/>
      </c>
      <c r="FX148" s="56" t="str">
        <f t="array" ref="FX148">IF($DU148="","", INDEX(#REF!,MATCH(CONCATENATE('Respuestas de formulario 1.1'!$B148,$DT148),#REF!,0),MATCH('Respuestas de formulario 1.1'!FX$1,#REF!,0)))</f>
        <v/>
      </c>
      <c r="FY148" s="45" t="str">
        <f t="array" ref="FY148">IF($DU148="","", INDEX(#REF!,MATCH(CONCATENATE('Respuestas de formulario 1.1'!$B148,$DT148),#REF!,0),MATCH('Respuestas de formulario 1.1'!FY$1,#REF!,0)))</f>
        <v/>
      </c>
      <c r="FZ148" s="3" t="s">
        <v>2860</v>
      </c>
      <c r="GA148" s="1" t="s">
        <v>5365</v>
      </c>
      <c r="GB148" s="5" t="s">
        <v>5366</v>
      </c>
      <c r="GC148" s="4" t="str">
        <f>HYPERLINK("https://drive.google.com/file/d/1dHn0BXYwS_5DGyE9z4KJggZlYAcFCEQc/view?usp=drivesdk","JIMENEZ  PAREDES  ISLA MERCEDES  Formato de reinscripción y pago 2022-2")</f>
        <v>JIMENEZ  PAREDES  ISLA MERCEDES  Formato de reinscripción y pago 2022-2</v>
      </c>
      <c r="GD148" s="1" t="s">
        <v>5367</v>
      </c>
      <c r="GE148" s="1"/>
      <c r="GF148" s="1"/>
      <c r="GG148" s="1"/>
      <c r="GH148" s="1"/>
      <c r="GI148" s="1" t="s">
        <v>5368</v>
      </c>
      <c r="GJ148" s="5" t="s">
        <v>5369</v>
      </c>
      <c r="GK148" s="5" t="str">
        <f>HYPERLINK("https://drive.google.com/file/d/1lKzFPeEQ4xES7fl60QuCDyNHBGbNpIi2/view?usp=drivesdk","JIMENEZ  PAREDES  ISLA MERCEDES  Formato de reinscripción y pago 2022-2")</f>
        <v>JIMENEZ  PAREDES  ISLA MERCEDES  Formato de reinscripción y pago 2022-2</v>
      </c>
      <c r="GL148" s="1" t="s">
        <v>5370</v>
      </c>
    </row>
    <row r="149" spans="1:194" ht="14.25" x14ac:dyDescent="0.2">
      <c r="A149" s="2">
        <v>45139.461853217595</v>
      </c>
      <c r="B149" s="1" t="s">
        <v>2642</v>
      </c>
      <c r="C149" s="1" t="s">
        <v>1806</v>
      </c>
      <c r="D149" s="1" t="s">
        <v>2643</v>
      </c>
      <c r="E149" s="1" t="s">
        <v>2644</v>
      </c>
      <c r="F149" s="1" t="s">
        <v>262</v>
      </c>
      <c r="G149" s="5" t="s">
        <v>5371</v>
      </c>
      <c r="H149" s="41">
        <v>38794</v>
      </c>
      <c r="I149" s="1">
        <v>17</v>
      </c>
      <c r="J149" s="1">
        <v>5528625592</v>
      </c>
      <c r="K149" s="1">
        <v>5590491139</v>
      </c>
      <c r="L149" s="1" t="s">
        <v>2645</v>
      </c>
      <c r="M149" s="1">
        <v>21309060570699</v>
      </c>
      <c r="N149" s="1" t="s">
        <v>1108</v>
      </c>
      <c r="O149" s="1" t="s">
        <v>225</v>
      </c>
      <c r="P149" s="1" t="s">
        <v>226</v>
      </c>
      <c r="Q149" s="1" t="s">
        <v>315</v>
      </c>
      <c r="R149" s="1" t="s">
        <v>236</v>
      </c>
      <c r="S149" s="1" t="s">
        <v>228</v>
      </c>
      <c r="T149" s="1" t="s">
        <v>229</v>
      </c>
      <c r="U149" s="1" t="s">
        <v>393</v>
      </c>
      <c r="V149" s="1" t="s">
        <v>228</v>
      </c>
      <c r="W149" s="1" t="s">
        <v>5372</v>
      </c>
      <c r="X149" s="1" t="s">
        <v>249</v>
      </c>
      <c r="Y149" s="1" t="s">
        <v>5373</v>
      </c>
      <c r="Z149" s="1" t="s">
        <v>240</v>
      </c>
      <c r="AA149" s="44" t="s">
        <v>460</v>
      </c>
      <c r="AB149" s="1">
        <v>1300</v>
      </c>
      <c r="AC149" s="1" t="s">
        <v>5374</v>
      </c>
      <c r="AD149" s="1" t="s">
        <v>5375</v>
      </c>
      <c r="AE149" s="1" t="s">
        <v>5376</v>
      </c>
      <c r="AF149" s="1" t="s">
        <v>445</v>
      </c>
      <c r="AG149" s="1">
        <v>52</v>
      </c>
      <c r="AH149" s="5" t="s">
        <v>5377</v>
      </c>
      <c r="AI149" s="1">
        <v>5579880070</v>
      </c>
      <c r="AJ149" s="1">
        <v>5590491139</v>
      </c>
      <c r="AK149" s="1" t="s">
        <v>5378</v>
      </c>
      <c r="AL149" s="1" t="s">
        <v>2643</v>
      </c>
      <c r="AM149" s="1" t="s">
        <v>1238</v>
      </c>
      <c r="AN149" s="1" t="s">
        <v>2646</v>
      </c>
      <c r="AO149" s="1" t="s">
        <v>445</v>
      </c>
      <c r="AP149" s="1">
        <v>52</v>
      </c>
      <c r="AQ149" s="1" t="s">
        <v>2284</v>
      </c>
      <c r="AR149" s="42">
        <v>0.375</v>
      </c>
      <c r="AS149" s="42">
        <v>0.79166666666424135</v>
      </c>
      <c r="AT149" s="1">
        <v>5590491139</v>
      </c>
      <c r="AU149" s="1">
        <v>5590491139</v>
      </c>
      <c r="AV149" s="1" t="s">
        <v>5378</v>
      </c>
      <c r="AW149" s="5" t="s">
        <v>5379</v>
      </c>
      <c r="AX149" s="1" t="s">
        <v>2643</v>
      </c>
      <c r="AY149" s="1" t="s">
        <v>1238</v>
      </c>
      <c r="AZ149" s="1" t="s">
        <v>2646</v>
      </c>
      <c r="BA149" s="1" t="s">
        <v>445</v>
      </c>
      <c r="BB149" s="1">
        <v>52</v>
      </c>
      <c r="BC149" s="1" t="s">
        <v>2284</v>
      </c>
      <c r="BD149" s="43">
        <v>0.375</v>
      </c>
      <c r="BE149" s="43">
        <v>0.79166666666424135</v>
      </c>
      <c r="BF149" s="1">
        <v>5590491139</v>
      </c>
      <c r="BG149" s="1">
        <v>5590491139</v>
      </c>
      <c r="BH149" s="1" t="s">
        <v>5378</v>
      </c>
      <c r="BI149" s="5" t="s">
        <v>5380</v>
      </c>
      <c r="BJ149" s="1" t="s">
        <v>236</v>
      </c>
      <c r="BL149" s="1">
        <v>1.65</v>
      </c>
      <c r="BM149" s="1">
        <v>45.4</v>
      </c>
      <c r="BN149" s="1" t="s">
        <v>236</v>
      </c>
      <c r="BO149" s="1" t="s">
        <v>228</v>
      </c>
      <c r="BQ149" s="1" t="s">
        <v>228</v>
      </c>
      <c r="BR149" s="1" t="s">
        <v>237</v>
      </c>
      <c r="BS149" s="1" t="s">
        <v>236</v>
      </c>
      <c r="BT149" s="1" t="s">
        <v>457</v>
      </c>
      <c r="BU149" s="1" t="s">
        <v>228</v>
      </c>
      <c r="BW149" s="1" t="s">
        <v>272</v>
      </c>
      <c r="BX149" s="1">
        <v>20</v>
      </c>
      <c r="BY149" s="1">
        <v>100</v>
      </c>
      <c r="BZ149" s="1" t="s">
        <v>298</v>
      </c>
      <c r="CA149" s="1" t="s">
        <v>1919</v>
      </c>
      <c r="CB149" s="1" t="s">
        <v>2066</v>
      </c>
      <c r="CC149" s="1" t="s">
        <v>274</v>
      </c>
      <c r="CD149" s="1">
        <v>1500</v>
      </c>
      <c r="CE149" s="1">
        <v>1000</v>
      </c>
      <c r="CF149" s="1" t="s">
        <v>236</v>
      </c>
      <c r="CG149" s="1" t="s">
        <v>242</v>
      </c>
      <c r="CH149" s="1" t="s">
        <v>243</v>
      </c>
      <c r="CI149" s="1" t="s">
        <v>243</v>
      </c>
      <c r="CJ149" s="1" t="s">
        <v>2848</v>
      </c>
      <c r="CL149" s="5" t="s">
        <v>5381</v>
      </c>
      <c r="CM149" s="1">
        <v>62210639480</v>
      </c>
      <c r="CN149" s="1" t="s">
        <v>236</v>
      </c>
      <c r="CO149" s="1" t="s">
        <v>2760</v>
      </c>
      <c r="CP149" s="1" t="s">
        <v>2695</v>
      </c>
      <c r="CQ149" s="42">
        <v>0.375</v>
      </c>
      <c r="CR149" s="42">
        <v>0.79166666666424135</v>
      </c>
      <c r="CT149" s="45" t="str">
        <f t="array" ref="CT149">IFERROR(INDEX(#REF!,MATCH('Respuestas de formulario 1.1'!$B149,#REF!,0),MATCH('Respuestas de formulario 1.1'!CT$1,#REF!,0)),"")</f>
        <v/>
      </c>
      <c r="CU149" s="56" t="str">
        <f t="array" ref="CU149">IFERROR(INDEX(#REF!,MATCH('Respuestas de formulario 1.1'!$B149,#REF!,0),MATCH('Respuestas de formulario 1.1'!CU$1,#REF!,0)),"")</f>
        <v/>
      </c>
      <c r="CV149" s="56" t="str">
        <f t="array" ref="CV149">IFERROR(INDEX(#REF!,MATCH('Respuestas de formulario 1.1'!$B149,#REF!,0),MATCH('Respuestas de formulario 1.1'!CV$1,#REF!,0)),"")</f>
        <v/>
      </c>
      <c r="CW149" s="56" t="str">
        <f t="array" ref="CW149">IFERROR(INDEX(#REF!,MATCH('Respuestas de formulario 1.1'!$B149,#REF!,0),MATCH('Respuestas de formulario 1.1'!CW$1,#REF!,0)),"")</f>
        <v/>
      </c>
      <c r="CX149" s="56" t="str">
        <f t="array" ref="CX149">IFERROR(INDEX(#REF!,MATCH('Respuestas de formulario 1.1'!$B149,#REF!,0),MATCH('Respuestas de formulario 1.1'!CX$1,#REF!,0)),"")</f>
        <v/>
      </c>
      <c r="CY149" s="56" t="str">
        <f t="array" ref="CY149">IFERROR(INDEX(#REF!,MATCH('Respuestas de formulario 1.1'!$B149,#REF!,0),MATCH('Respuestas de formulario 1.1'!CY$1,#REF!,0)),"")</f>
        <v/>
      </c>
      <c r="CZ149" s="57" t="str">
        <f t="array" ref="CZ149">IFERROR(INDEX(#REF!,MATCH('Respuestas de formulario 1.1'!$B149,#REF!,0),MATCH('Respuestas de formulario 1.1'!CZ$1,#REF!,0)),"")</f>
        <v/>
      </c>
      <c r="DA149" s="45" t="e">
        <f t="array" ref="DA149">INDEX(#REF!,MATCH('Respuestas de formulario 1.1'!$B149,#REF!,0),MATCH('Respuestas de formulario 1.1'!DA$1,#REF!,0))</f>
        <v>#REF!</v>
      </c>
      <c r="DB149" s="45" t="e">
        <f t="array" ref="DB149">INDEX(#REF!,MATCH('Respuestas de formulario 1.1'!$B149,#REF!,0),MATCH('Respuestas de formulario 1.1'!DB$1,#REF!,0))</f>
        <v>#REF!</v>
      </c>
      <c r="DC149" s="45" t="e">
        <f t="array" ref="DC149">INDEX(#REF!,MATCH('Respuestas de formulario 1.1'!$B149,#REF!,0),MATCH('Respuestas de formulario 1.1'!DC$1,#REF!,0))</f>
        <v>#REF!</v>
      </c>
      <c r="DD149" s="45" t="e">
        <f t="array" ref="DD149">INDEX(#REF!,MATCH('Respuestas de formulario 1.1'!$B149,#REF!,0),MATCH('Respuestas de formulario 1.1'!DD$1,#REF!,0))</f>
        <v>#REF!</v>
      </c>
      <c r="DE149" s="45" t="e">
        <f t="array" ref="DE149">INDEX(#REF!,MATCH('Respuestas de formulario 1.1'!$B149,#REF!,0),MATCH('Respuestas de formulario 1.1'!DE$1,#REF!,0))</f>
        <v>#REF!</v>
      </c>
      <c r="DF149" s="45" t="e">
        <f t="array" ref="DF149">INDEX(#REF!,MATCH('Respuestas de formulario 1.1'!$B149,#REF!,0),MATCH('Respuestas de formulario 1.1'!DF$1,#REF!,0))</f>
        <v>#REF!</v>
      </c>
      <c r="DG149" s="45" t="e">
        <f t="array" ref="DG149">INDEX(#REF!,MATCH('Respuestas de formulario 1.1'!$B149,#REF!,0),MATCH('Respuestas de formulario 1.1'!DG$1,#REF!,0))</f>
        <v>#REF!</v>
      </c>
      <c r="DH149" s="45" t="e">
        <f t="array" ref="DH149">INDEX(#REF!,MATCH('Respuestas de formulario 1.1'!$B149,#REF!,0),MATCH('Respuestas de formulario 1.1'!DH$1,#REF!,0))</f>
        <v>#REF!</v>
      </c>
      <c r="DI149" s="48" t="e">
        <f>VLOOKUP(CONCATENATE($DF149," TUTO ",$DC149),#REF!,3,0)</f>
        <v>#REF!</v>
      </c>
      <c r="DJ149" s="48" t="e">
        <f t="array" ref="DJ149">IF('Respuestas de formulario 1.1'!A149="","",INDEX(#REF!,MATCH('Respuestas de formulario 1.1'!B149,#REF!,0),MATCH('Respuestas de formulario 1.1'!$DH$1,#REF!,0)))</f>
        <v>#REF!</v>
      </c>
      <c r="DK149" s="52" t="str">
        <f>CONCATENATE("http://doc.google.com/uc?id=",MID('Respuestas de formulario 1.1'!G149,34,33))</f>
        <v>http://doc.google.com/uc?id=1uZu1zqzrD6TzuYNpVXIDcg_81TWJqVDX</v>
      </c>
      <c r="DL149" s="49" t="str">
        <f>CONCATENATE("http://doc.google.com/uc?id=",MID('Respuestas de formulario 1.1'!AH149,34,33))</f>
        <v>http://doc.google.com/uc?id=1tXT6nCtMDZTs47ueNYcDDkxPOIvtwTnJ</v>
      </c>
      <c r="DM149" s="50" t="str">
        <f>CONCATENATE("http://doc.google.com/uc?id=",MID('Respuestas de formulario 1.1'!AW149,34,33))</f>
        <v>http://doc.google.com/uc?id=1STrl8lyLRADmofJiBejJrZqf8Wvo9-iG</v>
      </c>
      <c r="DN149" s="53" t="str">
        <f>CONCATENATE("http://doc.google.com/uc?id=",MID('Respuestas de formulario 1.1'!$BI149,34,33))</f>
        <v>http://doc.google.com/uc?id=1FjYwC8RnxKmQ0xB9fbaPjBEGwtc9c4_L</v>
      </c>
      <c r="DO149" s="45" t="str">
        <f>IFERROR(VLOOKUP(CONCATENATE('Respuestas de formulario 1.1'!$B149,MID('Respuestas de formulario 1.1'!DO$1,2,1)),#REF!,12,0),"")</f>
        <v/>
      </c>
      <c r="DP149" s="45" t="str">
        <f>IFERROR(VLOOKUP(CONCATENATE('Respuestas de formulario 1.1'!$B149,MID('Respuestas de formulario 1.1'!DP$1,2,1)),#REF!,12,0),"")</f>
        <v/>
      </c>
      <c r="DQ149" s="45" t="str">
        <f>IFERROR(VLOOKUP(CONCATENATE('Respuestas de formulario 1.1'!$B149,MID('Respuestas de formulario 1.1'!DQ$1,2,1)),#REF!,12,0),"")</f>
        <v/>
      </c>
      <c r="DR149" s="45" t="str">
        <f>IFERROR(VLOOKUP(CONCATENATE('Respuestas de formulario 1.1'!$B149,MID('Respuestas de formulario 1.1'!DR$1,2,1)),#REF!,12,0),"")</f>
        <v/>
      </c>
      <c r="DS149" s="45" t="str">
        <f>IFERROR(VLOOKUP(CONCATENATE('Respuestas de formulario 1.1'!$B149,MID('Respuestas de formulario 1.1'!DS$1,2,1)),#REF!,12,0),"")</f>
        <v/>
      </c>
      <c r="DT149" s="45" t="str">
        <f>IFERROR(VLOOKUP(CONCATENATE('Respuestas de formulario 1.1'!$B149,MID('Respuestas de formulario 1.1'!DT$1,2,1)),#REF!,12,0),"")</f>
        <v/>
      </c>
      <c r="DU149" s="45" t="str">
        <f>IFERROR(VLOOKUP(CONCATENATE('Respuestas de formulario 1.1'!$B149,MID('Respuestas de formulario 1.1'!DU$1,2,1)),#REF!,12,0),"")</f>
        <v/>
      </c>
      <c r="DV149" s="45" t="str">
        <f>IFERROR(VLOOKUP(CONCATENATE('Respuestas de formulario 1.1'!$B149,MID('Respuestas de formulario 1.1'!DV$1,2,1)),#REF!,12,0),"")</f>
        <v/>
      </c>
      <c r="DW149" s="45" t="str">
        <f>IFERROR(VLOOKUP(CONCATENATE('Respuestas de formulario 1.1'!$B149,MID('Respuestas de formulario 1.1'!DW$1,2,1)),#REF!,12,0),"")</f>
        <v/>
      </c>
      <c r="DX149" s="45" t="str">
        <f>IFERROR(VLOOKUP(CONCATENATE('Respuestas de formulario 1.1'!$B149,MID('Respuestas de formulario 1.1'!DX$1,2,1)),#REF!,12,0),"")</f>
        <v/>
      </c>
      <c r="DY149" s="45" t="str">
        <f>IFERROR(VLOOKUP(CONCATENATE('Respuestas de formulario 1.1'!$B149,MID('Respuestas de formulario 1.1'!DY$1,2,1)),#REF!,12,0),"")</f>
        <v/>
      </c>
      <c r="DZ149" s="45" t="str">
        <f>IFERROR(VLOOKUP(CONCATENATE('Respuestas de formulario 1.1'!$B149,MID('Respuestas de formulario 1.1'!DZ$1,2,1)),#REF!,12,0),"")</f>
        <v/>
      </c>
      <c r="EA149" s="45" t="str">
        <f>IFERROR(VLOOKUP(CONCATENATE('Respuestas de formulario 1.1'!$B149,MID('Respuestas de formulario 1.1'!EA$1,2,1)),#REF!,12,0),"")</f>
        <v/>
      </c>
      <c r="EB149" s="45" t="str">
        <f>IFERROR(VLOOKUP(CONCATENATE('Respuestas de formulario 1.1'!$B149,MID('Respuestas de formulario 1.1'!EB$1,2,1)),#REF!,12,0),"")</f>
        <v/>
      </c>
      <c r="EC149" s="45" t="str">
        <f>IFERROR(VLOOKUP(CONCATENATE('Respuestas de formulario 1.1'!$B149,MID('Respuestas de formulario 1.1'!EC$1,2,1)),#REF!,12,0),"")</f>
        <v/>
      </c>
      <c r="ED149" s="45" t="str">
        <f>IFERROR(VLOOKUP(CONCATENATE('Respuestas de formulario 1.1'!$B149,MID('Respuestas de formulario 1.1'!ED$1,2,1)),#REF!,12,0),"")</f>
        <v/>
      </c>
      <c r="EE149" s="45" t="str">
        <f>IFERROR(VLOOKUP(CONCATENATE('Respuestas de formulario 1.1'!$B149,MID('Respuestas de formulario 1.1'!EE$1,2,1)),#REF!,12,0),"")</f>
        <v/>
      </c>
      <c r="EF149" s="45" t="str">
        <f>IFERROR(VLOOKUP(CONCATENATE('Respuestas de formulario 1.1'!$B149,MID('Respuestas de formulario 1.1'!EF$1,2,1)),#REF!,12,0),"")</f>
        <v/>
      </c>
      <c r="EG149" s="45" t="str">
        <f>IFERROR(VLOOKUP(CONCATENATE('Respuestas de formulario 1.1'!$B149,MID('Respuestas de formulario 1.1'!EG$1,2,1)),#REF!,12,0),"")</f>
        <v/>
      </c>
      <c r="EH149" s="45" t="str">
        <f>IFERROR(VLOOKUP(CONCATENATE('Respuestas de formulario 1.1'!$B149,MID('Respuestas de formulario 1.1'!EH$1,2,1)),#REF!,12,0),"")</f>
        <v/>
      </c>
      <c r="EI149" s="45" t="str">
        <f>IFERROR(VLOOKUP(CONCATENATE('Respuestas de formulario 1.1'!$B149,MID('Respuestas de formulario 1.1'!EI$1,2,1)),#REF!,12,0),"")</f>
        <v/>
      </c>
      <c r="EJ149" s="45" t="str">
        <f t="array" ref="EJ149">IF(DO149="","", INDEX(#REF!,MATCH(CONCATENATE('Respuestas de formulario 1.1'!$B149,DO149),#REF!,0),MATCH('Respuestas de formulario 1.1'!EJ$1,#REF!,0)))</f>
        <v/>
      </c>
      <c r="EK149" s="56" t="str">
        <f t="array" ref="EK149">IF(DP149="","", INDEX(#REF!,MATCH(CONCATENATE('Respuestas de formulario 1.1'!$B149,DP149),#REF!,0),MATCH('Respuestas de formulario 1.1'!EK$1,#REF!,0)))</f>
        <v/>
      </c>
      <c r="EL149" s="56" t="str">
        <f t="array" ref="EL149">IF(DQ149="","", INDEX(#REF!,MATCH(CONCATENATE('Respuestas de formulario 1.1'!$B149,DQ149),#REF!,0),MATCH('Respuestas de formulario 1.1'!EL$1,#REF!,0)))</f>
        <v/>
      </c>
      <c r="EM149" s="56" t="str">
        <f t="array" ref="EM149">IF(DR149="","", INDEX(#REF!,MATCH(CONCATENATE('Respuestas de formulario 1.1'!$B149,DR149),#REF!,0),MATCH('Respuestas de formulario 1.1'!EM$1,#REF!,0)))</f>
        <v/>
      </c>
      <c r="EN149" s="56" t="str">
        <f t="array" ref="EN149">IF(DS149="","", INDEX(#REF!,MATCH(CONCATENATE('Respuestas de formulario 1.1'!$B149,DS149),#REF!,0),MATCH('Respuestas de formulario 1.1'!EN$1,#REF!,0)))</f>
        <v/>
      </c>
      <c r="EO149" s="56" t="str">
        <f t="array" ref="EO149">IF(DT149="","", INDEX(#REF!,MATCH(CONCATENATE('Respuestas de formulario 1.1'!$B149,DT149),#REF!,0),MATCH('Respuestas de formulario 1.1'!EO$1,#REF!,0)))</f>
        <v/>
      </c>
      <c r="EP149" s="45" t="str">
        <f t="array" ref="EP149">IF(DU149="","", INDEX(#REF!,MATCH(CONCATENATE('Respuestas de formulario 1.1'!$B149,DU149),#REF!,0),MATCH('Respuestas de formulario 1.1'!EP$1,#REF!,0)))</f>
        <v/>
      </c>
      <c r="EQ149" s="45" t="str">
        <f t="array" ref="EQ149">IF(DP149="","", INDEX(#REF!,MATCH(CONCATENATE('Respuestas de formulario 1.1'!$B149,DP149),#REF!,0),MATCH('Respuestas de formulario 1.1'!EQ$1,#REF!,0)))</f>
        <v/>
      </c>
      <c r="ER149" s="56" t="str">
        <f t="array" ref="ER149">IF(DQ149="","", INDEX(#REF!,MATCH(CONCATENATE('Respuestas de formulario 1.1'!$B149,DQ149),#REF!,0),MATCH('Respuestas de formulario 1.1'!ER$1,#REF!,0)))</f>
        <v/>
      </c>
      <c r="ES149" s="56" t="str">
        <f t="array" ref="ES149">IF(DR149="","", INDEX(#REF!,MATCH(CONCATENATE('Respuestas de formulario 1.1'!$B149,DR149),#REF!,0),MATCH('Respuestas de formulario 1.1'!ES$1,#REF!,0)))</f>
        <v/>
      </c>
      <c r="ET149" s="56" t="str">
        <f t="array" ref="ET149">IF(DS149="","", INDEX(#REF!,MATCH(CONCATENATE('Respuestas de formulario 1.1'!$B149,DS149),#REF!,0),MATCH('Respuestas de formulario 1.1'!ET$1,#REF!,0)))</f>
        <v/>
      </c>
      <c r="EU149" s="56" t="str">
        <f t="array" ref="EU149">IF(DT149="","", INDEX(#REF!,MATCH(CONCATENATE('Respuestas de formulario 1.1'!$B149,DT149),#REF!,0),MATCH('Respuestas de formulario 1.1'!EU$1,#REF!,0)))</f>
        <v/>
      </c>
      <c r="EV149" s="56" t="str">
        <f t="array" ref="EV149">IF(DU149="","", INDEX(#REF!,MATCH(CONCATENATE('Respuestas de formulario 1.1'!$B149,DU149),#REF!,0),MATCH('Respuestas de formulario 1.1'!EV$1,#REF!,0)))</f>
        <v/>
      </c>
      <c r="EW149" s="45" t="str">
        <f t="array" ref="EW149">IF(DV149="","", INDEX(#REF!,MATCH(CONCATENATE('Respuestas de formulario 1.1'!$B149,DV149),#REF!,0),MATCH('Respuestas de formulario 1.1'!EW$1,#REF!,0)))</f>
        <v/>
      </c>
      <c r="EX149" s="45" t="str">
        <f t="array" ref="EX149">IF($DQ149="","", INDEX(#REF!,MATCH(CONCATENATE('Respuestas de formulario 1.1'!$B149,$DQ149),#REF!,0),MATCH('Respuestas de formulario 1.1'!EX$1,#REF!,0)))</f>
        <v/>
      </c>
      <c r="EY149" s="56" t="str">
        <f t="array" ref="EY149">IF($DQ149="","", INDEX(#REF!,MATCH(CONCATENATE('Respuestas de formulario 1.1'!$B149,$DQ149),#REF!,0),MATCH('Respuestas de formulario 1.1'!EY$1,#REF!,0)))</f>
        <v/>
      </c>
      <c r="EZ149" s="56" t="str">
        <f t="array" ref="EZ149">IF($DQ149="","", INDEX(#REF!,MATCH(CONCATENATE('Respuestas de formulario 1.1'!$B149,$DQ149),#REF!,0),MATCH('Respuestas de formulario 1.1'!EZ$1,#REF!,0)))</f>
        <v/>
      </c>
      <c r="FA149" s="56" t="str">
        <f t="array" ref="FA149">IF($DQ149="","", INDEX(#REF!,MATCH(CONCATENATE('Respuestas de formulario 1.1'!$B149,$DQ149),#REF!,0),MATCH('Respuestas de formulario 1.1'!FA$1,#REF!,0)))</f>
        <v/>
      </c>
      <c r="FB149" s="56" t="str">
        <f t="array" ref="FB149">IF($DQ149="","", INDEX(#REF!,MATCH(CONCATENATE('Respuestas de formulario 1.1'!$B149,$DQ149),#REF!,0),MATCH('Respuestas de formulario 1.1'!FB$1,#REF!,0)))</f>
        <v/>
      </c>
      <c r="FC149" s="56" t="str">
        <f t="array" ref="FC149">IF($DQ149="","", INDEX(#REF!,MATCH(CONCATENATE('Respuestas de formulario 1.1'!$B149,$DQ149),#REF!,0),MATCH('Respuestas de formulario 1.1'!FC$1,#REF!,0)))</f>
        <v/>
      </c>
      <c r="FD149" s="45" t="str">
        <f t="array" ref="FD149">IF($DQ149="","", INDEX(#REF!,MATCH(CONCATENATE('Respuestas de formulario 1.1'!$B149,$DQ149),#REF!,0),MATCH('Respuestas de formulario 1.1'!FD$1,#REF!,0)))</f>
        <v/>
      </c>
      <c r="FE149" s="45" t="str">
        <f t="array" ref="FE149">IF($DR149="","", INDEX(#REF!,MATCH(CONCATENATE(#REF!,$DR149),#REF!,0),MATCH(#REF!,#REF!,0)))</f>
        <v/>
      </c>
      <c r="FF149" s="56" t="str">
        <f t="array" ref="FF149">IF($DR149="","", INDEX(#REF!,MATCH(CONCATENATE(#REF!,$DR149),#REF!,0),MATCH(#REF!,#REF!,0)))</f>
        <v/>
      </c>
      <c r="FG149" s="56" t="str">
        <f t="array" ref="FG149">IF($DR149="","", INDEX(#REF!,MATCH(CONCATENATE(#REF!,$DR149),#REF!,0),MATCH(#REF!,#REF!,0)))</f>
        <v/>
      </c>
      <c r="FH149" s="56" t="str">
        <f t="array" ref="FH149">IF($DR149="","", INDEX(#REF!,MATCH(CONCATENATE(#REF!,$DR149),#REF!,0),MATCH(#REF!,#REF!,0)))</f>
        <v/>
      </c>
      <c r="FI149" s="56" t="str">
        <f t="array" ref="FI149">IF($DR149="","", INDEX(#REF!,MATCH(CONCATENATE(#REF!,$DR149),#REF!,0),MATCH(#REF!,#REF!,0)))</f>
        <v/>
      </c>
      <c r="FJ149" s="56" t="str">
        <f t="array" ref="FJ149">IF($DR149="","", INDEX(#REF!,MATCH(CONCATENATE(#REF!,$DR149),#REF!,0),MATCH(#REF!,#REF!,0)))</f>
        <v/>
      </c>
      <c r="FK149" s="45" t="str">
        <f t="array" ref="FK149">IF($DR149="","", INDEX(#REF!,MATCH(CONCATENATE(#REF!,$DR149),#REF!,0),MATCH(#REF!,#REF!,0)))</f>
        <v/>
      </c>
      <c r="FL149" s="45" t="str">
        <f t="array" ref="FL149">IF($DT149="","", INDEX(#REF!,MATCH(CONCATENATE('Respuestas de formulario 1.1'!$B149,$DS149),#REF!,0),MATCH('Respuestas de formulario 1.1'!FL$1,#REF!,0)))</f>
        <v/>
      </c>
      <c r="FM149" s="56" t="str">
        <f t="array" ref="FM149">IF($DT149="","", INDEX(#REF!,MATCH(CONCATENATE('Respuestas de formulario 1.1'!$B149,$DS149),#REF!,0),MATCH('Respuestas de formulario 1.1'!FM$1,#REF!,0)))</f>
        <v/>
      </c>
      <c r="FN149" s="56" t="str">
        <f t="array" ref="FN149">IF($DT149="","", INDEX(#REF!,MATCH(CONCATENATE('Respuestas de formulario 1.1'!$B149,$DS149),#REF!,0),MATCH('Respuestas de formulario 1.1'!FN$1,#REF!,0)))</f>
        <v/>
      </c>
      <c r="FO149" s="56" t="str">
        <f t="array" ref="FO149">IF($DT149="","", INDEX(#REF!,MATCH(CONCATENATE('Respuestas de formulario 1.1'!$B149,$DS149),#REF!,0),MATCH('Respuestas de formulario 1.1'!FO$1,#REF!,0)))</f>
        <v/>
      </c>
      <c r="FP149" s="56" t="str">
        <f t="array" ref="FP149">IF($DT149="","", INDEX(#REF!,MATCH(CONCATENATE('Respuestas de formulario 1.1'!$B149,$DS149),#REF!,0),MATCH('Respuestas de formulario 1.1'!FP$1,#REF!,0)))</f>
        <v/>
      </c>
      <c r="FQ149" s="56" t="str">
        <f t="array" ref="FQ149">IF($DT149="","", INDEX(#REF!,MATCH(CONCATENATE('Respuestas de formulario 1.1'!$B149,$DS149),#REF!,0),MATCH('Respuestas de formulario 1.1'!FQ$1,#REF!,0)))</f>
        <v/>
      </c>
      <c r="FR149" s="45" t="str">
        <f t="array" ref="FR149">IF($DT149="","", INDEX(#REF!,MATCH(CONCATENATE('Respuestas de formulario 1.1'!$B149,$DS149),#REF!,0),MATCH('Respuestas de formulario 1.1'!FR$1,#REF!,0)))</f>
        <v/>
      </c>
      <c r="FS149" s="45" t="str">
        <f t="array" ref="FS149">IF($DU149="","", INDEX(#REF!,MATCH(CONCATENATE('Respuestas de formulario 1.1'!$B149,$DT149),#REF!,0),MATCH('Respuestas de formulario 1.1'!FS$1,#REF!,0)))</f>
        <v/>
      </c>
      <c r="FT149" s="56" t="str">
        <f t="array" ref="FT149">IF($DU149="","", INDEX(#REF!,MATCH(CONCATENATE('Respuestas de formulario 1.1'!$B149,$DT149),#REF!,0),MATCH('Respuestas de formulario 1.1'!FT$1,#REF!,0)))</f>
        <v/>
      </c>
      <c r="FU149" s="56" t="str">
        <f t="array" ref="FU149">IF($DU149="","", INDEX(#REF!,MATCH(CONCATENATE('Respuestas de formulario 1.1'!$B149,$DT149),#REF!,0),MATCH('Respuestas de formulario 1.1'!FU$1,#REF!,0)))</f>
        <v/>
      </c>
      <c r="FV149" s="56" t="str">
        <f t="array" ref="FV149">IF($DU149="","", INDEX(#REF!,MATCH(CONCATENATE('Respuestas de formulario 1.1'!$B149,$DT149),#REF!,0),MATCH('Respuestas de formulario 1.1'!FV$1,#REF!,0)))</f>
        <v/>
      </c>
      <c r="FW149" s="56" t="str">
        <f t="array" ref="FW149">IF($DU149="","", INDEX(#REF!,MATCH(CONCATENATE('Respuestas de formulario 1.1'!$B149,$DT149),#REF!,0),MATCH('Respuestas de formulario 1.1'!FW$1,#REF!,0)))</f>
        <v/>
      </c>
      <c r="FX149" s="56" t="str">
        <f t="array" ref="FX149">IF($DU149="","", INDEX(#REF!,MATCH(CONCATENATE('Respuestas de formulario 1.1'!$B149,$DT149),#REF!,0),MATCH('Respuestas de formulario 1.1'!FX$1,#REF!,0)))</f>
        <v/>
      </c>
      <c r="FY149" s="45" t="str">
        <f t="array" ref="FY149">IF($DU149="","", INDEX(#REF!,MATCH(CONCATENATE('Respuestas de formulario 1.1'!$B149,$DT149),#REF!,0),MATCH('Respuestas de formulario 1.1'!FY$1,#REF!,0)))</f>
        <v/>
      </c>
      <c r="GA149" s="1" t="s">
        <v>5382</v>
      </c>
      <c r="GB149" s="5" t="s">
        <v>5383</v>
      </c>
      <c r="GC149" s="4" t="str">
        <f>HYPERLINK("https://drive.google.com/file/d/1IK5uuJB3lU7OZFDYHqBs9cZSlnWhQlTI/view?usp=drivesdk","PINEDA  MONTOYA  IRVING GAMALIEL  Formato de reinscripción y pago 2022-2")</f>
        <v>PINEDA  MONTOYA  IRVING GAMALIEL  Formato de reinscripción y pago 2022-2</v>
      </c>
      <c r="GD149" s="1" t="s">
        <v>5384</v>
      </c>
      <c r="GE149" s="1"/>
      <c r="GF149" s="1"/>
      <c r="GG149" s="1"/>
      <c r="GH149" s="1"/>
      <c r="GI149" s="1" t="s">
        <v>5385</v>
      </c>
      <c r="GJ149" s="5" t="s">
        <v>5386</v>
      </c>
      <c r="GK149" s="5" t="str">
        <f>HYPERLINK("https://drive.google.com/file/d/1MqMUYz1LCEX61ty92V6tr6TK3cc7fy0c/view?usp=drivesdk","PINEDA  MONTOYA  IRVING GAMALIEL  Formato de reinscripción y pago 2022-2")</f>
        <v>PINEDA  MONTOYA  IRVING GAMALIEL  Formato de reinscripción y pago 2022-2</v>
      </c>
      <c r="GL149" s="1" t="s">
        <v>5387</v>
      </c>
    </row>
    <row r="150" spans="1:194" ht="38.25" x14ac:dyDescent="0.2">
      <c r="A150" s="2">
        <v>45139.461863946759</v>
      </c>
      <c r="B150" s="1" t="s">
        <v>2581</v>
      </c>
      <c r="C150" s="1" t="s">
        <v>245</v>
      </c>
      <c r="D150" s="1" t="s">
        <v>252</v>
      </c>
      <c r="E150" s="1" t="s">
        <v>2582</v>
      </c>
      <c r="F150" s="1" t="s">
        <v>223</v>
      </c>
      <c r="G150" s="5" t="s">
        <v>5388</v>
      </c>
      <c r="H150" s="41">
        <v>39355</v>
      </c>
      <c r="I150" s="1">
        <v>15</v>
      </c>
      <c r="J150" s="1">
        <v>5521116245</v>
      </c>
      <c r="K150" s="1">
        <v>5513125887</v>
      </c>
      <c r="L150" s="1" t="s">
        <v>2583</v>
      </c>
      <c r="M150" s="1">
        <v>22309060570203</v>
      </c>
      <c r="N150" s="1" t="s">
        <v>562</v>
      </c>
      <c r="O150" s="1" t="s">
        <v>225</v>
      </c>
      <c r="P150" s="1" t="s">
        <v>314</v>
      </c>
      <c r="Q150" s="1" t="s">
        <v>248</v>
      </c>
      <c r="R150" s="1" t="s">
        <v>236</v>
      </c>
      <c r="S150" s="1" t="s">
        <v>228</v>
      </c>
      <c r="T150" s="1" t="s">
        <v>229</v>
      </c>
      <c r="U150" s="1" t="s">
        <v>249</v>
      </c>
      <c r="V150" s="1" t="s">
        <v>228</v>
      </c>
      <c r="W150" s="1" t="s">
        <v>5389</v>
      </c>
      <c r="X150" s="1" t="s">
        <v>249</v>
      </c>
      <c r="Y150" s="1" t="s">
        <v>5390</v>
      </c>
      <c r="Z150" s="1" t="s">
        <v>240</v>
      </c>
      <c r="AA150" s="44" t="s">
        <v>676</v>
      </c>
      <c r="AB150" s="1" t="s">
        <v>2612</v>
      </c>
      <c r="AC150" s="1" t="s">
        <v>2756</v>
      </c>
      <c r="AD150" s="1" t="s">
        <v>5391</v>
      </c>
      <c r="AE150" s="1" t="s">
        <v>5392</v>
      </c>
      <c r="AF150" s="1" t="s">
        <v>461</v>
      </c>
      <c r="AG150" s="1">
        <v>44</v>
      </c>
      <c r="AH150" s="5" t="s">
        <v>5393</v>
      </c>
      <c r="AI150" s="1">
        <v>5575316489</v>
      </c>
      <c r="AJ150" s="1">
        <v>5513125887</v>
      </c>
      <c r="AK150" s="1" t="s">
        <v>2584</v>
      </c>
      <c r="AL150" s="1" t="s">
        <v>245</v>
      </c>
      <c r="AM150" s="1" t="s">
        <v>1783</v>
      </c>
      <c r="AN150" s="1" t="s">
        <v>282</v>
      </c>
      <c r="AO150" s="1" t="s">
        <v>420</v>
      </c>
      <c r="AP150" s="1">
        <v>45</v>
      </c>
      <c r="AQ150" s="1" t="s">
        <v>2238</v>
      </c>
      <c r="AR150" s="42">
        <v>0</v>
      </c>
      <c r="AS150" s="42">
        <v>0</v>
      </c>
      <c r="AT150" s="1">
        <v>5528225477</v>
      </c>
      <c r="AU150" s="1">
        <v>5513125887</v>
      </c>
      <c r="AV150" s="1" t="s">
        <v>2585</v>
      </c>
      <c r="AW150" s="5" t="s">
        <v>5394</v>
      </c>
      <c r="AX150" s="1" t="s">
        <v>252</v>
      </c>
      <c r="AY150" s="1" t="s">
        <v>491</v>
      </c>
      <c r="AZ150" s="1" t="s">
        <v>897</v>
      </c>
      <c r="BA150" s="1" t="s">
        <v>453</v>
      </c>
      <c r="BB150" s="1">
        <v>27</v>
      </c>
      <c r="BC150" s="1" t="s">
        <v>2447</v>
      </c>
      <c r="BD150" s="43">
        <v>0.25</v>
      </c>
      <c r="BE150" s="43">
        <v>0.125</v>
      </c>
      <c r="BF150" s="1">
        <v>5619140266</v>
      </c>
      <c r="BG150" s="1">
        <v>5513125887</v>
      </c>
      <c r="BH150" s="1" t="s">
        <v>5395</v>
      </c>
      <c r="BI150" s="5" t="s">
        <v>5396</v>
      </c>
      <c r="BJ150" s="1" t="s">
        <v>236</v>
      </c>
      <c r="BL150" s="1">
        <v>148</v>
      </c>
      <c r="BM150" s="1">
        <v>58</v>
      </c>
      <c r="BN150" s="1" t="s">
        <v>236</v>
      </c>
      <c r="BO150" s="1" t="s">
        <v>228</v>
      </c>
      <c r="BQ150" s="1" t="s">
        <v>228</v>
      </c>
      <c r="BR150" s="1" t="s">
        <v>237</v>
      </c>
      <c r="BS150" s="1" t="s">
        <v>228</v>
      </c>
      <c r="BT150" s="1" t="s">
        <v>237</v>
      </c>
      <c r="BU150" s="1" t="s">
        <v>228</v>
      </c>
      <c r="BW150" s="1" t="s">
        <v>238</v>
      </c>
      <c r="BX150" s="1">
        <v>180</v>
      </c>
      <c r="BY150" s="1">
        <v>210</v>
      </c>
      <c r="BZ150" s="1" t="s">
        <v>5397</v>
      </c>
      <c r="CA150" s="1" t="s">
        <v>1169</v>
      </c>
      <c r="CB150" s="1" t="s">
        <v>231</v>
      </c>
      <c r="CC150" s="1" t="s">
        <v>5398</v>
      </c>
      <c r="CD150" s="1">
        <v>1200</v>
      </c>
      <c r="CE150" s="1">
        <v>2000</v>
      </c>
      <c r="CF150" s="1" t="s">
        <v>236</v>
      </c>
      <c r="CG150" s="1" t="s">
        <v>323</v>
      </c>
      <c r="CH150" s="1" t="s">
        <v>243</v>
      </c>
      <c r="CI150" s="1" t="s">
        <v>243</v>
      </c>
      <c r="CJ150" s="1" t="s">
        <v>2848</v>
      </c>
      <c r="CL150" s="5" t="s">
        <v>5399</v>
      </c>
      <c r="CM150" s="1">
        <v>12220708627</v>
      </c>
      <c r="CN150" s="1" t="s">
        <v>228</v>
      </c>
      <c r="CQ150" s="42">
        <v>0.35416666666424135</v>
      </c>
      <c r="CR150" s="42">
        <v>0.3125</v>
      </c>
      <c r="CT150" s="45" t="str">
        <f t="array" ref="CT150">IFERROR(INDEX(#REF!,MATCH('Respuestas de formulario 1.1'!$B150,#REF!,0),MATCH('Respuestas de formulario 1.1'!CT$1,#REF!,0)),"")</f>
        <v/>
      </c>
      <c r="CU150" s="56" t="str">
        <f t="array" ref="CU150">IFERROR(INDEX(#REF!,MATCH('Respuestas de formulario 1.1'!$B150,#REF!,0),MATCH('Respuestas de formulario 1.1'!CU$1,#REF!,0)),"")</f>
        <v/>
      </c>
      <c r="CV150" s="56" t="str">
        <f t="array" ref="CV150">IFERROR(INDEX(#REF!,MATCH('Respuestas de formulario 1.1'!$B150,#REF!,0),MATCH('Respuestas de formulario 1.1'!CV$1,#REF!,0)),"")</f>
        <v/>
      </c>
      <c r="CW150" s="56" t="str">
        <f t="array" ref="CW150">IFERROR(INDEX(#REF!,MATCH('Respuestas de formulario 1.1'!$B150,#REF!,0),MATCH('Respuestas de formulario 1.1'!CW$1,#REF!,0)),"")</f>
        <v/>
      </c>
      <c r="CX150" s="56" t="str">
        <f t="array" ref="CX150">IFERROR(INDEX(#REF!,MATCH('Respuestas de formulario 1.1'!$B150,#REF!,0),MATCH('Respuestas de formulario 1.1'!CX$1,#REF!,0)),"")</f>
        <v/>
      </c>
      <c r="CY150" s="56" t="str">
        <f t="array" ref="CY150">IFERROR(INDEX(#REF!,MATCH('Respuestas de formulario 1.1'!$B150,#REF!,0),MATCH('Respuestas de formulario 1.1'!CY$1,#REF!,0)),"")</f>
        <v/>
      </c>
      <c r="CZ150" s="57" t="str">
        <f t="array" ref="CZ150">IFERROR(INDEX(#REF!,MATCH('Respuestas de formulario 1.1'!$B150,#REF!,0),MATCH('Respuestas de formulario 1.1'!CZ$1,#REF!,0)),"")</f>
        <v/>
      </c>
      <c r="DA150" s="45" t="e">
        <f t="array" ref="DA150">INDEX(#REF!,MATCH('Respuestas de formulario 1.1'!$B150,#REF!,0),MATCH('Respuestas de formulario 1.1'!DA$1,#REF!,0))</f>
        <v>#REF!</v>
      </c>
      <c r="DB150" s="45" t="e">
        <f t="array" ref="DB150">INDEX(#REF!,MATCH('Respuestas de formulario 1.1'!$B150,#REF!,0),MATCH('Respuestas de formulario 1.1'!DB$1,#REF!,0))</f>
        <v>#REF!</v>
      </c>
      <c r="DC150" s="45" t="e">
        <f t="array" ref="DC150">INDEX(#REF!,MATCH('Respuestas de formulario 1.1'!$B150,#REF!,0),MATCH('Respuestas de formulario 1.1'!DC$1,#REF!,0))</f>
        <v>#REF!</v>
      </c>
      <c r="DD150" s="45" t="e">
        <f t="array" ref="DD150">INDEX(#REF!,MATCH('Respuestas de formulario 1.1'!$B150,#REF!,0),MATCH('Respuestas de formulario 1.1'!DD$1,#REF!,0))</f>
        <v>#REF!</v>
      </c>
      <c r="DE150" s="45" t="e">
        <f t="array" ref="DE150">INDEX(#REF!,MATCH('Respuestas de formulario 1.1'!$B150,#REF!,0),MATCH('Respuestas de formulario 1.1'!DE$1,#REF!,0))</f>
        <v>#REF!</v>
      </c>
      <c r="DF150" s="45" t="e">
        <f t="array" ref="DF150">INDEX(#REF!,MATCH('Respuestas de formulario 1.1'!$B150,#REF!,0),MATCH('Respuestas de formulario 1.1'!DF$1,#REF!,0))</f>
        <v>#REF!</v>
      </c>
      <c r="DG150" s="45" t="e">
        <f t="array" ref="DG150">INDEX(#REF!,MATCH('Respuestas de formulario 1.1'!$B150,#REF!,0),MATCH('Respuestas de formulario 1.1'!DG$1,#REF!,0))</f>
        <v>#REF!</v>
      </c>
      <c r="DH150" s="45" t="e">
        <f t="array" ref="DH150">INDEX(#REF!,MATCH('Respuestas de formulario 1.1'!$B150,#REF!,0),MATCH('Respuestas de formulario 1.1'!DH$1,#REF!,0))</f>
        <v>#REF!</v>
      </c>
      <c r="DI150" s="48" t="e">
        <f>VLOOKUP(CONCATENATE($DF150," TUTO ",$DC150),#REF!,3,0)</f>
        <v>#REF!</v>
      </c>
      <c r="DJ150" s="48" t="e">
        <f t="array" ref="DJ150">IF('Respuestas de formulario 1.1'!A150="","",INDEX(#REF!,MATCH('Respuestas de formulario 1.1'!B150,#REF!,0),MATCH('Respuestas de formulario 1.1'!$DH$1,#REF!,0)))</f>
        <v>#REF!</v>
      </c>
      <c r="DK150" s="52" t="str">
        <f>CONCATENATE("http://doc.google.com/uc?id=",MID('Respuestas de formulario 1.1'!G150,34,33))</f>
        <v>http://doc.google.com/uc?id=1UVE0VHr4f894tYTLqgaL8GH8tEn_w8f-</v>
      </c>
      <c r="DL150" s="49" t="str">
        <f>CONCATENATE("http://doc.google.com/uc?id=",MID('Respuestas de formulario 1.1'!AH150,34,33))</f>
        <v>http://doc.google.com/uc?id=14d5dclbROWE8AccNg490fAo_XgE8urkA</v>
      </c>
      <c r="DM150" s="50" t="str">
        <f>CONCATENATE("http://doc.google.com/uc?id=",MID('Respuestas de formulario 1.1'!AW150,34,33))</f>
        <v>http://doc.google.com/uc?id=1FtGSfvMgIQrmzBVzt-uNwxASAPvrT5nw</v>
      </c>
      <c r="DN150" s="53" t="str">
        <f>CONCATENATE("http://doc.google.com/uc?id=",MID('Respuestas de formulario 1.1'!$BI150,34,33))</f>
        <v>http://doc.google.com/uc?id=1xt6ZZXzt7xJwaSWxcJ-RPzvLAkuVq4MU</v>
      </c>
      <c r="DO150" s="45" t="str">
        <f>IFERROR(VLOOKUP(CONCATENATE('Respuestas de formulario 1.1'!$B150,MID('Respuestas de formulario 1.1'!DO$1,2,1)),#REF!,12,0),"")</f>
        <v/>
      </c>
      <c r="DP150" s="45" t="str">
        <f>IFERROR(VLOOKUP(CONCATENATE('Respuestas de formulario 1.1'!$B150,MID('Respuestas de formulario 1.1'!DP$1,2,1)),#REF!,12,0),"")</f>
        <v/>
      </c>
      <c r="DQ150" s="45" t="str">
        <f>IFERROR(VLOOKUP(CONCATENATE('Respuestas de formulario 1.1'!$B150,MID('Respuestas de formulario 1.1'!DQ$1,2,1)),#REF!,12,0),"")</f>
        <v/>
      </c>
      <c r="DR150" s="45" t="str">
        <f>IFERROR(VLOOKUP(CONCATENATE('Respuestas de formulario 1.1'!$B150,MID('Respuestas de formulario 1.1'!DR$1,2,1)),#REF!,12,0),"")</f>
        <v/>
      </c>
      <c r="DS150" s="45" t="str">
        <f>IFERROR(VLOOKUP(CONCATENATE('Respuestas de formulario 1.1'!$B150,MID('Respuestas de formulario 1.1'!DS$1,2,1)),#REF!,12,0),"")</f>
        <v/>
      </c>
      <c r="DT150" s="45" t="str">
        <f>IFERROR(VLOOKUP(CONCATENATE('Respuestas de formulario 1.1'!$B150,MID('Respuestas de formulario 1.1'!DT$1,2,1)),#REF!,12,0),"")</f>
        <v/>
      </c>
      <c r="DU150" s="45" t="str">
        <f>IFERROR(VLOOKUP(CONCATENATE('Respuestas de formulario 1.1'!$B150,MID('Respuestas de formulario 1.1'!DU$1,2,1)),#REF!,12,0),"")</f>
        <v/>
      </c>
      <c r="DV150" s="45" t="str">
        <f>IFERROR(VLOOKUP(CONCATENATE('Respuestas de formulario 1.1'!$B150,MID('Respuestas de formulario 1.1'!DV$1,2,1)),#REF!,12,0),"")</f>
        <v/>
      </c>
      <c r="DW150" s="45" t="str">
        <f>IFERROR(VLOOKUP(CONCATENATE('Respuestas de formulario 1.1'!$B150,MID('Respuestas de formulario 1.1'!DW$1,2,1)),#REF!,12,0),"")</f>
        <v/>
      </c>
      <c r="DX150" s="45" t="str">
        <f>IFERROR(VLOOKUP(CONCATENATE('Respuestas de formulario 1.1'!$B150,MID('Respuestas de formulario 1.1'!DX$1,2,1)),#REF!,12,0),"")</f>
        <v/>
      </c>
      <c r="DY150" s="45" t="str">
        <f>IFERROR(VLOOKUP(CONCATENATE('Respuestas de formulario 1.1'!$B150,MID('Respuestas de formulario 1.1'!DY$1,2,1)),#REF!,12,0),"")</f>
        <v/>
      </c>
      <c r="DZ150" s="45" t="str">
        <f>IFERROR(VLOOKUP(CONCATENATE('Respuestas de formulario 1.1'!$B150,MID('Respuestas de formulario 1.1'!DZ$1,2,1)),#REF!,12,0),"")</f>
        <v/>
      </c>
      <c r="EA150" s="45" t="str">
        <f>IFERROR(VLOOKUP(CONCATENATE('Respuestas de formulario 1.1'!$B150,MID('Respuestas de formulario 1.1'!EA$1,2,1)),#REF!,12,0),"")</f>
        <v/>
      </c>
      <c r="EB150" s="45" t="str">
        <f>IFERROR(VLOOKUP(CONCATENATE('Respuestas de formulario 1.1'!$B150,MID('Respuestas de formulario 1.1'!EB$1,2,1)),#REF!,12,0),"")</f>
        <v/>
      </c>
      <c r="EC150" s="45" t="str">
        <f>IFERROR(VLOOKUP(CONCATENATE('Respuestas de formulario 1.1'!$B150,MID('Respuestas de formulario 1.1'!EC$1,2,1)),#REF!,12,0),"")</f>
        <v/>
      </c>
      <c r="ED150" s="45" t="str">
        <f>IFERROR(VLOOKUP(CONCATENATE('Respuestas de formulario 1.1'!$B150,MID('Respuestas de formulario 1.1'!ED$1,2,1)),#REF!,12,0),"")</f>
        <v/>
      </c>
      <c r="EE150" s="45" t="str">
        <f>IFERROR(VLOOKUP(CONCATENATE('Respuestas de formulario 1.1'!$B150,MID('Respuestas de formulario 1.1'!EE$1,2,1)),#REF!,12,0),"")</f>
        <v/>
      </c>
      <c r="EF150" s="45" t="str">
        <f>IFERROR(VLOOKUP(CONCATENATE('Respuestas de formulario 1.1'!$B150,MID('Respuestas de formulario 1.1'!EF$1,2,1)),#REF!,12,0),"")</f>
        <v/>
      </c>
      <c r="EG150" s="45" t="str">
        <f>IFERROR(VLOOKUP(CONCATENATE('Respuestas de formulario 1.1'!$B150,MID('Respuestas de formulario 1.1'!EG$1,2,1)),#REF!,12,0),"")</f>
        <v/>
      </c>
      <c r="EH150" s="45" t="str">
        <f>IFERROR(VLOOKUP(CONCATENATE('Respuestas de formulario 1.1'!$B150,MID('Respuestas de formulario 1.1'!EH$1,2,1)),#REF!,12,0),"")</f>
        <v/>
      </c>
      <c r="EI150" s="45" t="str">
        <f>IFERROR(VLOOKUP(CONCATENATE('Respuestas de formulario 1.1'!$B150,MID('Respuestas de formulario 1.1'!EI$1,2,1)),#REF!,12,0),"")</f>
        <v/>
      </c>
      <c r="EJ150" s="45" t="str">
        <f t="array" ref="EJ150">IF(DO150="","", INDEX(#REF!,MATCH(CONCATENATE('Respuestas de formulario 1.1'!$B150,DO150),#REF!,0),MATCH('Respuestas de formulario 1.1'!EJ$1,#REF!,0)))</f>
        <v/>
      </c>
      <c r="EK150" s="56" t="str">
        <f t="array" ref="EK150">IF(DP150="","", INDEX(#REF!,MATCH(CONCATENATE('Respuestas de formulario 1.1'!$B150,DP150),#REF!,0),MATCH('Respuestas de formulario 1.1'!EK$1,#REF!,0)))</f>
        <v/>
      </c>
      <c r="EL150" s="56" t="str">
        <f t="array" ref="EL150">IF(DQ150="","", INDEX(#REF!,MATCH(CONCATENATE('Respuestas de formulario 1.1'!$B150,DQ150),#REF!,0),MATCH('Respuestas de formulario 1.1'!EL$1,#REF!,0)))</f>
        <v/>
      </c>
      <c r="EM150" s="56" t="str">
        <f t="array" ref="EM150">IF(DR150="","", INDEX(#REF!,MATCH(CONCATENATE('Respuestas de formulario 1.1'!$B150,DR150),#REF!,0),MATCH('Respuestas de formulario 1.1'!EM$1,#REF!,0)))</f>
        <v/>
      </c>
      <c r="EN150" s="56" t="str">
        <f t="array" ref="EN150">IF(DS150="","", INDEX(#REF!,MATCH(CONCATENATE('Respuestas de formulario 1.1'!$B150,DS150),#REF!,0),MATCH('Respuestas de formulario 1.1'!EN$1,#REF!,0)))</f>
        <v/>
      </c>
      <c r="EO150" s="56" t="str">
        <f t="array" ref="EO150">IF(DT150="","", INDEX(#REF!,MATCH(CONCATENATE('Respuestas de formulario 1.1'!$B150,DT150),#REF!,0),MATCH('Respuestas de formulario 1.1'!EO$1,#REF!,0)))</f>
        <v/>
      </c>
      <c r="EP150" s="45" t="str">
        <f t="array" ref="EP150">IF(DU150="","", INDEX(#REF!,MATCH(CONCATENATE('Respuestas de formulario 1.1'!$B150,DU150),#REF!,0),MATCH('Respuestas de formulario 1.1'!EP$1,#REF!,0)))</f>
        <v/>
      </c>
      <c r="EQ150" s="45" t="str">
        <f t="array" ref="EQ150">IF(DP150="","", INDEX(#REF!,MATCH(CONCATENATE('Respuestas de formulario 1.1'!$B150,DP150),#REF!,0),MATCH('Respuestas de formulario 1.1'!EQ$1,#REF!,0)))</f>
        <v/>
      </c>
      <c r="ER150" s="56" t="str">
        <f t="array" ref="ER150">IF(DQ150="","", INDEX(#REF!,MATCH(CONCATENATE('Respuestas de formulario 1.1'!$B150,DQ150),#REF!,0),MATCH('Respuestas de formulario 1.1'!ER$1,#REF!,0)))</f>
        <v/>
      </c>
      <c r="ES150" s="56" t="str">
        <f t="array" ref="ES150">IF(DR150="","", INDEX(#REF!,MATCH(CONCATENATE('Respuestas de formulario 1.1'!$B150,DR150),#REF!,0),MATCH('Respuestas de formulario 1.1'!ES$1,#REF!,0)))</f>
        <v/>
      </c>
      <c r="ET150" s="56" t="str">
        <f t="array" ref="ET150">IF(DS150="","", INDEX(#REF!,MATCH(CONCATENATE('Respuestas de formulario 1.1'!$B150,DS150),#REF!,0),MATCH('Respuestas de formulario 1.1'!ET$1,#REF!,0)))</f>
        <v/>
      </c>
      <c r="EU150" s="56" t="str">
        <f t="array" ref="EU150">IF(DT150="","", INDEX(#REF!,MATCH(CONCATENATE('Respuestas de formulario 1.1'!$B150,DT150),#REF!,0),MATCH('Respuestas de formulario 1.1'!EU$1,#REF!,0)))</f>
        <v/>
      </c>
      <c r="EV150" s="56" t="str">
        <f t="array" ref="EV150">IF(DU150="","", INDEX(#REF!,MATCH(CONCATENATE('Respuestas de formulario 1.1'!$B150,DU150),#REF!,0),MATCH('Respuestas de formulario 1.1'!EV$1,#REF!,0)))</f>
        <v/>
      </c>
      <c r="EW150" s="45" t="str">
        <f t="array" ref="EW150">IF(DV150="","", INDEX(#REF!,MATCH(CONCATENATE('Respuestas de formulario 1.1'!$B150,DV150),#REF!,0),MATCH('Respuestas de formulario 1.1'!EW$1,#REF!,0)))</f>
        <v/>
      </c>
      <c r="EX150" s="45" t="str">
        <f t="array" ref="EX150">IF($DQ150="","", INDEX(#REF!,MATCH(CONCATENATE('Respuestas de formulario 1.1'!$B150,$DQ150),#REF!,0),MATCH('Respuestas de formulario 1.1'!EX$1,#REF!,0)))</f>
        <v/>
      </c>
      <c r="EY150" s="56" t="str">
        <f t="array" ref="EY150">IF($DQ150="","", INDEX(#REF!,MATCH(CONCATENATE('Respuestas de formulario 1.1'!$B150,$DQ150),#REF!,0),MATCH('Respuestas de formulario 1.1'!EY$1,#REF!,0)))</f>
        <v/>
      </c>
      <c r="EZ150" s="56" t="str">
        <f t="array" ref="EZ150">IF($DQ150="","", INDEX(#REF!,MATCH(CONCATENATE('Respuestas de formulario 1.1'!$B150,$DQ150),#REF!,0),MATCH('Respuestas de formulario 1.1'!EZ$1,#REF!,0)))</f>
        <v/>
      </c>
      <c r="FA150" s="56" t="str">
        <f t="array" ref="FA150">IF($DQ150="","", INDEX(#REF!,MATCH(CONCATENATE('Respuestas de formulario 1.1'!$B150,$DQ150),#REF!,0),MATCH('Respuestas de formulario 1.1'!FA$1,#REF!,0)))</f>
        <v/>
      </c>
      <c r="FB150" s="56" t="str">
        <f t="array" ref="FB150">IF($DQ150="","", INDEX(#REF!,MATCH(CONCATENATE('Respuestas de formulario 1.1'!$B150,$DQ150),#REF!,0),MATCH('Respuestas de formulario 1.1'!FB$1,#REF!,0)))</f>
        <v/>
      </c>
      <c r="FC150" s="56" t="str">
        <f t="array" ref="FC150">IF($DQ150="","", INDEX(#REF!,MATCH(CONCATENATE('Respuestas de formulario 1.1'!$B150,$DQ150),#REF!,0),MATCH('Respuestas de formulario 1.1'!FC$1,#REF!,0)))</f>
        <v/>
      </c>
      <c r="FD150" s="45" t="str">
        <f t="array" ref="FD150">IF($DQ150="","", INDEX(#REF!,MATCH(CONCATENATE('Respuestas de formulario 1.1'!$B150,$DQ150),#REF!,0),MATCH('Respuestas de formulario 1.1'!FD$1,#REF!,0)))</f>
        <v/>
      </c>
      <c r="FE150" s="45" t="str">
        <f t="array" ref="FE150">IF($DR150="","", INDEX(#REF!,MATCH(CONCATENATE(#REF!,$DR150),#REF!,0),MATCH(#REF!,#REF!,0)))</f>
        <v/>
      </c>
      <c r="FF150" s="56" t="str">
        <f t="array" ref="FF150">IF($DR150="","", INDEX(#REF!,MATCH(CONCATENATE(#REF!,$DR150),#REF!,0),MATCH(#REF!,#REF!,0)))</f>
        <v/>
      </c>
      <c r="FG150" s="56" t="str">
        <f t="array" ref="FG150">IF($DR150="","", INDEX(#REF!,MATCH(CONCATENATE(#REF!,$DR150),#REF!,0),MATCH(#REF!,#REF!,0)))</f>
        <v/>
      </c>
      <c r="FH150" s="56" t="str">
        <f t="array" ref="FH150">IF($DR150="","", INDEX(#REF!,MATCH(CONCATENATE(#REF!,$DR150),#REF!,0),MATCH(#REF!,#REF!,0)))</f>
        <v/>
      </c>
      <c r="FI150" s="56" t="str">
        <f t="array" ref="FI150">IF($DR150="","", INDEX(#REF!,MATCH(CONCATENATE(#REF!,$DR150),#REF!,0),MATCH(#REF!,#REF!,0)))</f>
        <v/>
      </c>
      <c r="FJ150" s="56" t="str">
        <f t="array" ref="FJ150">IF($DR150="","", INDEX(#REF!,MATCH(CONCATENATE(#REF!,$DR150),#REF!,0),MATCH(#REF!,#REF!,0)))</f>
        <v/>
      </c>
      <c r="FK150" s="45" t="str">
        <f t="array" ref="FK150">IF($DR150="","", INDEX(#REF!,MATCH(CONCATENATE(#REF!,$DR150),#REF!,0),MATCH(#REF!,#REF!,0)))</f>
        <v/>
      </c>
      <c r="FL150" s="45" t="str">
        <f t="array" ref="FL150">IF($DT150="","", INDEX(#REF!,MATCH(CONCATENATE('Respuestas de formulario 1.1'!$B150,$DS150),#REF!,0),MATCH('Respuestas de formulario 1.1'!FL$1,#REF!,0)))</f>
        <v/>
      </c>
      <c r="FM150" s="56" t="str">
        <f t="array" ref="FM150">IF($DT150="","", INDEX(#REF!,MATCH(CONCATENATE('Respuestas de formulario 1.1'!$B150,$DS150),#REF!,0),MATCH('Respuestas de formulario 1.1'!FM$1,#REF!,0)))</f>
        <v/>
      </c>
      <c r="FN150" s="56" t="str">
        <f t="array" ref="FN150">IF($DT150="","", INDEX(#REF!,MATCH(CONCATENATE('Respuestas de formulario 1.1'!$B150,$DS150),#REF!,0),MATCH('Respuestas de formulario 1.1'!FN$1,#REF!,0)))</f>
        <v/>
      </c>
      <c r="FO150" s="56" t="str">
        <f t="array" ref="FO150">IF($DT150="","", INDEX(#REF!,MATCH(CONCATENATE('Respuestas de formulario 1.1'!$B150,$DS150),#REF!,0),MATCH('Respuestas de formulario 1.1'!FO$1,#REF!,0)))</f>
        <v/>
      </c>
      <c r="FP150" s="56" t="str">
        <f t="array" ref="FP150">IF($DT150="","", INDEX(#REF!,MATCH(CONCATENATE('Respuestas de formulario 1.1'!$B150,$DS150),#REF!,0),MATCH('Respuestas de formulario 1.1'!FP$1,#REF!,0)))</f>
        <v/>
      </c>
      <c r="FQ150" s="56" t="str">
        <f t="array" ref="FQ150">IF($DT150="","", INDEX(#REF!,MATCH(CONCATENATE('Respuestas de formulario 1.1'!$B150,$DS150),#REF!,0),MATCH('Respuestas de formulario 1.1'!FQ$1,#REF!,0)))</f>
        <v/>
      </c>
      <c r="FR150" s="45" t="str">
        <f t="array" ref="FR150">IF($DT150="","", INDEX(#REF!,MATCH(CONCATENATE('Respuestas de formulario 1.1'!$B150,$DS150),#REF!,0),MATCH('Respuestas de formulario 1.1'!FR$1,#REF!,0)))</f>
        <v/>
      </c>
      <c r="FS150" s="45" t="str">
        <f t="array" ref="FS150">IF($DU150="","", INDEX(#REF!,MATCH(CONCATENATE('Respuestas de formulario 1.1'!$B150,$DT150),#REF!,0),MATCH('Respuestas de formulario 1.1'!FS$1,#REF!,0)))</f>
        <v/>
      </c>
      <c r="FT150" s="56" t="str">
        <f t="array" ref="FT150">IF($DU150="","", INDEX(#REF!,MATCH(CONCATENATE('Respuestas de formulario 1.1'!$B150,$DT150),#REF!,0),MATCH('Respuestas de formulario 1.1'!FT$1,#REF!,0)))</f>
        <v/>
      </c>
      <c r="FU150" s="56" t="str">
        <f t="array" ref="FU150">IF($DU150="","", INDEX(#REF!,MATCH(CONCATENATE('Respuestas de formulario 1.1'!$B150,$DT150),#REF!,0),MATCH('Respuestas de formulario 1.1'!FU$1,#REF!,0)))</f>
        <v/>
      </c>
      <c r="FV150" s="56" t="str">
        <f t="array" ref="FV150">IF($DU150="","", INDEX(#REF!,MATCH(CONCATENATE('Respuestas de formulario 1.1'!$B150,$DT150),#REF!,0),MATCH('Respuestas de formulario 1.1'!FV$1,#REF!,0)))</f>
        <v/>
      </c>
      <c r="FW150" s="56" t="str">
        <f t="array" ref="FW150">IF($DU150="","", INDEX(#REF!,MATCH(CONCATENATE('Respuestas de formulario 1.1'!$B150,$DT150),#REF!,0),MATCH('Respuestas de formulario 1.1'!FW$1,#REF!,0)))</f>
        <v/>
      </c>
      <c r="FX150" s="56" t="str">
        <f t="array" ref="FX150">IF($DU150="","", INDEX(#REF!,MATCH(CONCATENATE('Respuestas de formulario 1.1'!$B150,$DT150),#REF!,0),MATCH('Respuestas de formulario 1.1'!FX$1,#REF!,0)))</f>
        <v/>
      </c>
      <c r="FY150" s="45" t="str">
        <f t="array" ref="FY150">IF($DU150="","", INDEX(#REF!,MATCH(CONCATENATE('Respuestas de formulario 1.1'!$B150,$DT150),#REF!,0),MATCH('Respuestas de formulario 1.1'!FY$1,#REF!,0)))</f>
        <v/>
      </c>
      <c r="FZ150" s="3" t="s">
        <v>2860</v>
      </c>
      <c r="GA150" s="1" t="s">
        <v>5400</v>
      </c>
      <c r="GB150" s="5" t="s">
        <v>5401</v>
      </c>
      <c r="GC150" s="4" t="str">
        <f>HYPERLINK("https://drive.google.com/file/d/1yUXK5M8wv_VfwpvJQor52H-qZ9kOTmhx/view?usp=drivesdk","LOPEZ PEREZ ANGELA SARAY Formato de reinscripción y pago 2022-2")</f>
        <v>LOPEZ PEREZ ANGELA SARAY Formato de reinscripción y pago 2022-2</v>
      </c>
      <c r="GD150" s="1" t="s">
        <v>5402</v>
      </c>
      <c r="GE150" s="1"/>
      <c r="GF150" s="1"/>
      <c r="GG150" s="1"/>
      <c r="GH150" s="1"/>
      <c r="GI150" s="1" t="s">
        <v>5403</v>
      </c>
      <c r="GJ150" s="5" t="s">
        <v>5404</v>
      </c>
      <c r="GK150" s="5" t="str">
        <f>HYPERLINK("https://drive.google.com/file/d/1Rs0ZQjv_Eo_dpd05SXjX73iaSlDtiSo8/view?usp=drivesdk","LOPEZ PEREZ ANGELA SARAY Formato de reinscripción y pago 2022-2")</f>
        <v>LOPEZ PEREZ ANGELA SARAY Formato de reinscripción y pago 2022-2</v>
      </c>
      <c r="GL150" s="1" t="s">
        <v>5405</v>
      </c>
    </row>
    <row r="151" spans="1:194" ht="38.25" x14ac:dyDescent="0.2">
      <c r="A151" s="2">
        <v>45139.462428217594</v>
      </c>
      <c r="B151" s="1" t="s">
        <v>2001</v>
      </c>
      <c r="C151" s="1" t="s">
        <v>5406</v>
      </c>
      <c r="D151" s="1" t="s">
        <v>2002</v>
      </c>
      <c r="E151" s="1" t="s">
        <v>2003</v>
      </c>
      <c r="F151" s="1" t="s">
        <v>223</v>
      </c>
      <c r="G151" s="5" t="s">
        <v>5407</v>
      </c>
      <c r="H151" s="41">
        <v>38748</v>
      </c>
      <c r="I151" s="1">
        <v>17</v>
      </c>
      <c r="J151" s="1">
        <v>5540612521</v>
      </c>
      <c r="K151" s="1">
        <v>5554274909</v>
      </c>
      <c r="L151" s="1" t="s">
        <v>2004</v>
      </c>
      <c r="M151" s="1">
        <v>21309070570011</v>
      </c>
      <c r="N151" s="1" t="s">
        <v>1108</v>
      </c>
      <c r="O151" s="1" t="s">
        <v>247</v>
      </c>
      <c r="P151" s="1" t="s">
        <v>314</v>
      </c>
      <c r="Q151" s="1" t="s">
        <v>315</v>
      </c>
      <c r="R151" s="1" t="s">
        <v>236</v>
      </c>
      <c r="S151" s="1" t="s">
        <v>228</v>
      </c>
      <c r="T151" s="1" t="s">
        <v>229</v>
      </c>
      <c r="U151" s="1" t="s">
        <v>394</v>
      </c>
      <c r="V151" s="1" t="s">
        <v>228</v>
      </c>
      <c r="W151" s="1" t="s">
        <v>5408</v>
      </c>
      <c r="X151" s="1" t="s">
        <v>249</v>
      </c>
      <c r="Y151" s="1" t="s">
        <v>1193</v>
      </c>
      <c r="Z151" s="1" t="s">
        <v>240</v>
      </c>
      <c r="AA151" s="44" t="s">
        <v>692</v>
      </c>
      <c r="AB151" s="1" t="s">
        <v>2005</v>
      </c>
      <c r="AC151" s="1" t="s">
        <v>2747</v>
      </c>
      <c r="AD151" s="1" t="s">
        <v>2006</v>
      </c>
      <c r="AE151" s="1" t="s">
        <v>5409</v>
      </c>
      <c r="AF151" s="1" t="s">
        <v>580</v>
      </c>
      <c r="AG151" s="1">
        <v>34</v>
      </c>
      <c r="AH151" s="5" t="s">
        <v>5410</v>
      </c>
      <c r="AI151" s="1">
        <v>5561672171</v>
      </c>
      <c r="AJ151" s="1">
        <v>5554274909</v>
      </c>
      <c r="AK151" s="1" t="s">
        <v>2008</v>
      </c>
      <c r="AL151" s="1" t="s">
        <v>2002</v>
      </c>
      <c r="AM151" s="1" t="s">
        <v>2007</v>
      </c>
      <c r="AN151" s="1" t="s">
        <v>1834</v>
      </c>
      <c r="AO151" s="1" t="s">
        <v>493</v>
      </c>
      <c r="AP151" s="1">
        <v>28</v>
      </c>
      <c r="AQ151" s="1" t="s">
        <v>454</v>
      </c>
      <c r="AR151" s="42">
        <v>0.33333333333575865</v>
      </c>
      <c r="AS151" s="42">
        <v>0.45833333333575865</v>
      </c>
      <c r="AT151" s="1">
        <v>5529849826</v>
      </c>
      <c r="AU151" s="1">
        <v>5570353018</v>
      </c>
      <c r="AV151" s="1"/>
      <c r="AW151" s="5" t="s">
        <v>5411</v>
      </c>
      <c r="AX151" s="1" t="s">
        <v>440</v>
      </c>
      <c r="AY151" s="1" t="s">
        <v>2002</v>
      </c>
      <c r="AZ151" s="1" t="s">
        <v>5412</v>
      </c>
      <c r="BA151" s="1" t="s">
        <v>2220</v>
      </c>
      <c r="BB151" s="1">
        <v>20</v>
      </c>
      <c r="BC151" s="1" t="s">
        <v>306</v>
      </c>
      <c r="BD151" s="43">
        <v>0.41666666666424135</v>
      </c>
      <c r="BE151" s="43">
        <v>0.33333333333575865</v>
      </c>
      <c r="BF151" s="1">
        <v>5637173485</v>
      </c>
      <c r="BG151" s="1">
        <v>5554274909</v>
      </c>
      <c r="BH151" s="1"/>
      <c r="BI151" s="5" t="s">
        <v>5413</v>
      </c>
      <c r="BJ151" s="1" t="s">
        <v>236</v>
      </c>
      <c r="BL151" s="1">
        <v>1.57</v>
      </c>
      <c r="BM151" s="1">
        <v>56</v>
      </c>
      <c r="BN151" s="1" t="s">
        <v>236</v>
      </c>
      <c r="BO151" s="1" t="s">
        <v>228</v>
      </c>
      <c r="BQ151" s="1" t="s">
        <v>228</v>
      </c>
      <c r="BR151" s="1" t="s">
        <v>237</v>
      </c>
      <c r="BS151" s="1" t="s">
        <v>228</v>
      </c>
      <c r="BT151" s="1" t="s">
        <v>237</v>
      </c>
      <c r="BU151" s="1" t="s">
        <v>228</v>
      </c>
      <c r="BW151" s="1" t="s">
        <v>272</v>
      </c>
      <c r="BX151" s="1">
        <v>120</v>
      </c>
      <c r="BY151" s="1">
        <v>180</v>
      </c>
      <c r="BZ151" s="1" t="s">
        <v>583</v>
      </c>
      <c r="CA151" s="1" t="s">
        <v>237</v>
      </c>
      <c r="CB151" s="1" t="s">
        <v>240</v>
      </c>
      <c r="CC151" s="1" t="s">
        <v>300</v>
      </c>
      <c r="CD151" s="1">
        <v>600</v>
      </c>
      <c r="CE151" s="1">
        <v>2000</v>
      </c>
      <c r="CF151" s="1" t="s">
        <v>236</v>
      </c>
      <c r="CG151" s="1" t="s">
        <v>242</v>
      </c>
      <c r="CH151" s="1" t="s">
        <v>243</v>
      </c>
      <c r="CI151" s="1" t="s">
        <v>243</v>
      </c>
      <c r="CJ151" s="1" t="s">
        <v>2848</v>
      </c>
      <c r="CL151" s="5" t="s">
        <v>5414</v>
      </c>
      <c r="CM151" s="44" t="s">
        <v>2009</v>
      </c>
      <c r="CN151" s="1" t="s">
        <v>228</v>
      </c>
      <c r="CQ151" s="42">
        <v>0.25</v>
      </c>
      <c r="CR151" s="42">
        <v>8.3333333335758653E-2</v>
      </c>
      <c r="CT151" s="45" t="str">
        <f t="array" ref="CT151">IFERROR(INDEX(#REF!,MATCH('Respuestas de formulario 1.1'!$B151,#REF!,0),MATCH('Respuestas de formulario 1.1'!CT$1,#REF!,0)),"")</f>
        <v/>
      </c>
      <c r="CU151" s="56" t="str">
        <f t="array" ref="CU151">IFERROR(INDEX(#REF!,MATCH('Respuestas de formulario 1.1'!$B151,#REF!,0),MATCH('Respuestas de formulario 1.1'!CU$1,#REF!,0)),"")</f>
        <v/>
      </c>
      <c r="CV151" s="56" t="str">
        <f t="array" ref="CV151">IFERROR(INDEX(#REF!,MATCH('Respuestas de formulario 1.1'!$B151,#REF!,0),MATCH('Respuestas de formulario 1.1'!CV$1,#REF!,0)),"")</f>
        <v/>
      </c>
      <c r="CW151" s="56" t="str">
        <f t="array" ref="CW151">IFERROR(INDEX(#REF!,MATCH('Respuestas de formulario 1.1'!$B151,#REF!,0),MATCH('Respuestas de formulario 1.1'!CW$1,#REF!,0)),"")</f>
        <v/>
      </c>
      <c r="CX151" s="56" t="str">
        <f t="array" ref="CX151">IFERROR(INDEX(#REF!,MATCH('Respuestas de formulario 1.1'!$B151,#REF!,0),MATCH('Respuestas de formulario 1.1'!CX$1,#REF!,0)),"")</f>
        <v/>
      </c>
      <c r="CY151" s="56" t="str">
        <f t="array" ref="CY151">IFERROR(INDEX(#REF!,MATCH('Respuestas de formulario 1.1'!$B151,#REF!,0),MATCH('Respuestas de formulario 1.1'!CY$1,#REF!,0)),"")</f>
        <v/>
      </c>
      <c r="CZ151" s="57" t="str">
        <f t="array" ref="CZ151">IFERROR(INDEX(#REF!,MATCH('Respuestas de formulario 1.1'!$B151,#REF!,0),MATCH('Respuestas de formulario 1.1'!CZ$1,#REF!,0)),"")</f>
        <v/>
      </c>
      <c r="DA151" s="45" t="e">
        <f t="array" ref="DA151">INDEX(#REF!,MATCH('Respuestas de formulario 1.1'!$B151,#REF!,0),MATCH('Respuestas de formulario 1.1'!DA$1,#REF!,0))</f>
        <v>#REF!</v>
      </c>
      <c r="DB151" s="45" t="e">
        <f t="array" ref="DB151">INDEX(#REF!,MATCH('Respuestas de formulario 1.1'!$B151,#REF!,0),MATCH('Respuestas de formulario 1.1'!DB$1,#REF!,0))</f>
        <v>#REF!</v>
      </c>
      <c r="DC151" s="45" t="e">
        <f t="array" ref="DC151">INDEX(#REF!,MATCH('Respuestas de formulario 1.1'!$B151,#REF!,0),MATCH('Respuestas de formulario 1.1'!DC$1,#REF!,0))</f>
        <v>#REF!</v>
      </c>
      <c r="DD151" s="45" t="e">
        <f t="array" ref="DD151">INDEX(#REF!,MATCH('Respuestas de formulario 1.1'!$B151,#REF!,0),MATCH('Respuestas de formulario 1.1'!DD$1,#REF!,0))</f>
        <v>#REF!</v>
      </c>
      <c r="DE151" s="45" t="e">
        <f t="array" ref="DE151">INDEX(#REF!,MATCH('Respuestas de formulario 1.1'!$B151,#REF!,0),MATCH('Respuestas de formulario 1.1'!DE$1,#REF!,0))</f>
        <v>#REF!</v>
      </c>
      <c r="DF151" s="45" t="e">
        <f t="array" ref="DF151">INDEX(#REF!,MATCH('Respuestas de formulario 1.1'!$B151,#REF!,0),MATCH('Respuestas de formulario 1.1'!DF$1,#REF!,0))</f>
        <v>#REF!</v>
      </c>
      <c r="DG151" s="45" t="e">
        <f t="array" ref="DG151">INDEX(#REF!,MATCH('Respuestas de formulario 1.1'!$B151,#REF!,0),MATCH('Respuestas de formulario 1.1'!DG$1,#REF!,0))</f>
        <v>#REF!</v>
      </c>
      <c r="DH151" s="45" t="e">
        <f t="array" ref="DH151">INDEX(#REF!,MATCH('Respuestas de formulario 1.1'!$B151,#REF!,0),MATCH('Respuestas de formulario 1.1'!DH$1,#REF!,0))</f>
        <v>#REF!</v>
      </c>
      <c r="DI151" s="48" t="e">
        <f>VLOOKUP(CONCATENATE($DF151," TUTO ",$DC151),#REF!,3,0)</f>
        <v>#REF!</v>
      </c>
      <c r="DJ151" s="48" t="e">
        <f t="array" ref="DJ151">IF('Respuestas de formulario 1.1'!A151="","",INDEX(#REF!,MATCH('Respuestas de formulario 1.1'!B151,#REF!,0),MATCH('Respuestas de formulario 1.1'!$DH$1,#REF!,0)))</f>
        <v>#REF!</v>
      </c>
      <c r="DK151" s="52" t="str">
        <f>CONCATENATE("http://doc.google.com/uc?id=",MID('Respuestas de formulario 1.1'!G151,34,33))</f>
        <v>http://doc.google.com/uc?id=1AO_gYjBJ4ch0g-Zn0nSk2wfoGEWWkI5r</v>
      </c>
      <c r="DL151" s="49" t="str">
        <f>CONCATENATE("http://doc.google.com/uc?id=",MID('Respuestas de formulario 1.1'!AH151,34,33))</f>
        <v>http://doc.google.com/uc?id=1pMpJv3cVyCa9C_oZN0j4t1Ga7zc5KutE</v>
      </c>
      <c r="DM151" s="50" t="str">
        <f>CONCATENATE("http://doc.google.com/uc?id=",MID('Respuestas de formulario 1.1'!AW151,34,33))</f>
        <v>http://doc.google.com/uc?id=153uFvydQH9DzrxUgQdxHivYHAnP-NlgR</v>
      </c>
      <c r="DN151" s="53" t="str">
        <f>CONCATENATE("http://doc.google.com/uc?id=",MID('Respuestas de formulario 1.1'!$BI151,34,33))</f>
        <v>http://doc.google.com/uc?id=1w0vQaTj7wHvYk2IgG8dDqSG2nEL4myth</v>
      </c>
      <c r="DO151" s="45" t="str">
        <f>IFERROR(VLOOKUP(CONCATENATE('Respuestas de formulario 1.1'!$B151,MID('Respuestas de formulario 1.1'!DO$1,2,1)),#REF!,12,0),"")</f>
        <v/>
      </c>
      <c r="DP151" s="45" t="str">
        <f>IFERROR(VLOOKUP(CONCATENATE('Respuestas de formulario 1.1'!$B151,MID('Respuestas de formulario 1.1'!DP$1,2,1)),#REF!,12,0),"")</f>
        <v/>
      </c>
      <c r="DQ151" s="45" t="str">
        <f>IFERROR(VLOOKUP(CONCATENATE('Respuestas de formulario 1.1'!$B151,MID('Respuestas de formulario 1.1'!DQ$1,2,1)),#REF!,12,0),"")</f>
        <v/>
      </c>
      <c r="DR151" s="45" t="str">
        <f>IFERROR(VLOOKUP(CONCATENATE('Respuestas de formulario 1.1'!$B151,MID('Respuestas de formulario 1.1'!DR$1,2,1)),#REF!,12,0),"")</f>
        <v/>
      </c>
      <c r="DS151" s="45" t="str">
        <f>IFERROR(VLOOKUP(CONCATENATE('Respuestas de formulario 1.1'!$B151,MID('Respuestas de formulario 1.1'!DS$1,2,1)),#REF!,12,0),"")</f>
        <v/>
      </c>
      <c r="DT151" s="45" t="str">
        <f>IFERROR(VLOOKUP(CONCATENATE('Respuestas de formulario 1.1'!$B151,MID('Respuestas de formulario 1.1'!DT$1,2,1)),#REF!,12,0),"")</f>
        <v/>
      </c>
      <c r="DU151" s="45" t="str">
        <f>IFERROR(VLOOKUP(CONCATENATE('Respuestas de formulario 1.1'!$B151,MID('Respuestas de formulario 1.1'!DU$1,2,1)),#REF!,12,0),"")</f>
        <v/>
      </c>
      <c r="DV151" s="45" t="str">
        <f>IFERROR(VLOOKUP(CONCATENATE('Respuestas de formulario 1.1'!$B151,MID('Respuestas de formulario 1.1'!DV$1,2,1)),#REF!,12,0),"")</f>
        <v/>
      </c>
      <c r="DW151" s="45" t="str">
        <f>IFERROR(VLOOKUP(CONCATENATE('Respuestas de formulario 1.1'!$B151,MID('Respuestas de formulario 1.1'!DW$1,2,1)),#REF!,12,0),"")</f>
        <v/>
      </c>
      <c r="DX151" s="45" t="str">
        <f>IFERROR(VLOOKUP(CONCATENATE('Respuestas de formulario 1.1'!$B151,MID('Respuestas de formulario 1.1'!DX$1,2,1)),#REF!,12,0),"")</f>
        <v/>
      </c>
      <c r="DY151" s="45" t="str">
        <f>IFERROR(VLOOKUP(CONCATENATE('Respuestas de formulario 1.1'!$B151,MID('Respuestas de formulario 1.1'!DY$1,2,1)),#REF!,12,0),"")</f>
        <v/>
      </c>
      <c r="DZ151" s="45" t="str">
        <f>IFERROR(VLOOKUP(CONCATENATE('Respuestas de formulario 1.1'!$B151,MID('Respuestas de formulario 1.1'!DZ$1,2,1)),#REF!,12,0),"")</f>
        <v/>
      </c>
      <c r="EA151" s="45" t="str">
        <f>IFERROR(VLOOKUP(CONCATENATE('Respuestas de formulario 1.1'!$B151,MID('Respuestas de formulario 1.1'!EA$1,2,1)),#REF!,12,0),"")</f>
        <v/>
      </c>
      <c r="EB151" s="45" t="str">
        <f>IFERROR(VLOOKUP(CONCATENATE('Respuestas de formulario 1.1'!$B151,MID('Respuestas de formulario 1.1'!EB$1,2,1)),#REF!,12,0),"")</f>
        <v/>
      </c>
      <c r="EC151" s="45" t="str">
        <f>IFERROR(VLOOKUP(CONCATENATE('Respuestas de formulario 1.1'!$B151,MID('Respuestas de formulario 1.1'!EC$1,2,1)),#REF!,12,0),"")</f>
        <v/>
      </c>
      <c r="ED151" s="45" t="str">
        <f>IFERROR(VLOOKUP(CONCATENATE('Respuestas de formulario 1.1'!$B151,MID('Respuestas de formulario 1.1'!ED$1,2,1)),#REF!,12,0),"")</f>
        <v/>
      </c>
      <c r="EE151" s="45" t="str">
        <f>IFERROR(VLOOKUP(CONCATENATE('Respuestas de formulario 1.1'!$B151,MID('Respuestas de formulario 1.1'!EE$1,2,1)),#REF!,12,0),"")</f>
        <v/>
      </c>
      <c r="EF151" s="45" t="str">
        <f>IFERROR(VLOOKUP(CONCATENATE('Respuestas de formulario 1.1'!$B151,MID('Respuestas de formulario 1.1'!EF$1,2,1)),#REF!,12,0),"")</f>
        <v/>
      </c>
      <c r="EG151" s="45" t="str">
        <f>IFERROR(VLOOKUP(CONCATENATE('Respuestas de formulario 1.1'!$B151,MID('Respuestas de formulario 1.1'!EG$1,2,1)),#REF!,12,0),"")</f>
        <v/>
      </c>
      <c r="EH151" s="45" t="str">
        <f>IFERROR(VLOOKUP(CONCATENATE('Respuestas de formulario 1.1'!$B151,MID('Respuestas de formulario 1.1'!EH$1,2,1)),#REF!,12,0),"")</f>
        <v/>
      </c>
      <c r="EI151" s="45" t="str">
        <f>IFERROR(VLOOKUP(CONCATENATE('Respuestas de formulario 1.1'!$B151,MID('Respuestas de formulario 1.1'!EI$1,2,1)),#REF!,12,0),"")</f>
        <v/>
      </c>
      <c r="EJ151" s="45" t="str">
        <f t="array" ref="EJ151">IF(DO151="","", INDEX(#REF!,MATCH(CONCATENATE('Respuestas de formulario 1.1'!$B151,DO151),#REF!,0),MATCH('Respuestas de formulario 1.1'!EJ$1,#REF!,0)))</f>
        <v/>
      </c>
      <c r="EK151" s="56" t="str">
        <f t="array" ref="EK151">IF(DP151="","", INDEX(#REF!,MATCH(CONCATENATE('Respuestas de formulario 1.1'!$B151,DP151),#REF!,0),MATCH('Respuestas de formulario 1.1'!EK$1,#REF!,0)))</f>
        <v/>
      </c>
      <c r="EL151" s="56" t="str">
        <f t="array" ref="EL151">IF(DQ151="","", INDEX(#REF!,MATCH(CONCATENATE('Respuestas de formulario 1.1'!$B151,DQ151),#REF!,0),MATCH('Respuestas de formulario 1.1'!EL$1,#REF!,0)))</f>
        <v/>
      </c>
      <c r="EM151" s="56" t="str">
        <f t="array" ref="EM151">IF(DR151="","", INDEX(#REF!,MATCH(CONCATENATE('Respuestas de formulario 1.1'!$B151,DR151),#REF!,0),MATCH('Respuestas de formulario 1.1'!EM$1,#REF!,0)))</f>
        <v/>
      </c>
      <c r="EN151" s="56" t="str">
        <f t="array" ref="EN151">IF(DS151="","", INDEX(#REF!,MATCH(CONCATENATE('Respuestas de formulario 1.1'!$B151,DS151),#REF!,0),MATCH('Respuestas de formulario 1.1'!EN$1,#REF!,0)))</f>
        <v/>
      </c>
      <c r="EO151" s="56" t="str">
        <f t="array" ref="EO151">IF(DT151="","", INDEX(#REF!,MATCH(CONCATENATE('Respuestas de formulario 1.1'!$B151,DT151),#REF!,0),MATCH('Respuestas de formulario 1.1'!EO$1,#REF!,0)))</f>
        <v/>
      </c>
      <c r="EP151" s="45" t="str">
        <f t="array" ref="EP151">IF(DU151="","", INDEX(#REF!,MATCH(CONCATENATE('Respuestas de formulario 1.1'!$B151,DU151),#REF!,0),MATCH('Respuestas de formulario 1.1'!EP$1,#REF!,0)))</f>
        <v/>
      </c>
      <c r="EQ151" s="45" t="str">
        <f t="array" ref="EQ151">IF(DP151="","", INDEX(#REF!,MATCH(CONCATENATE('Respuestas de formulario 1.1'!$B151,DP151),#REF!,0),MATCH('Respuestas de formulario 1.1'!EQ$1,#REF!,0)))</f>
        <v/>
      </c>
      <c r="ER151" s="56" t="str">
        <f t="array" ref="ER151">IF(DQ151="","", INDEX(#REF!,MATCH(CONCATENATE('Respuestas de formulario 1.1'!$B151,DQ151),#REF!,0),MATCH('Respuestas de formulario 1.1'!ER$1,#REF!,0)))</f>
        <v/>
      </c>
      <c r="ES151" s="56" t="str">
        <f t="array" ref="ES151">IF(DR151="","", INDEX(#REF!,MATCH(CONCATENATE('Respuestas de formulario 1.1'!$B151,DR151),#REF!,0),MATCH('Respuestas de formulario 1.1'!ES$1,#REF!,0)))</f>
        <v/>
      </c>
      <c r="ET151" s="56" t="str">
        <f t="array" ref="ET151">IF(DS151="","", INDEX(#REF!,MATCH(CONCATENATE('Respuestas de formulario 1.1'!$B151,DS151),#REF!,0),MATCH('Respuestas de formulario 1.1'!ET$1,#REF!,0)))</f>
        <v/>
      </c>
      <c r="EU151" s="56" t="str">
        <f t="array" ref="EU151">IF(DT151="","", INDEX(#REF!,MATCH(CONCATENATE('Respuestas de formulario 1.1'!$B151,DT151),#REF!,0),MATCH('Respuestas de formulario 1.1'!EU$1,#REF!,0)))</f>
        <v/>
      </c>
      <c r="EV151" s="56" t="str">
        <f t="array" ref="EV151">IF(DU151="","", INDEX(#REF!,MATCH(CONCATENATE('Respuestas de formulario 1.1'!$B151,DU151),#REF!,0),MATCH('Respuestas de formulario 1.1'!EV$1,#REF!,0)))</f>
        <v/>
      </c>
      <c r="EW151" s="45" t="str">
        <f t="array" ref="EW151">IF(DV151="","", INDEX(#REF!,MATCH(CONCATENATE('Respuestas de formulario 1.1'!$B151,DV151),#REF!,0),MATCH('Respuestas de formulario 1.1'!EW$1,#REF!,0)))</f>
        <v/>
      </c>
      <c r="EX151" s="45" t="str">
        <f t="array" ref="EX151">IF($DQ151="","", INDEX(#REF!,MATCH(CONCATENATE('Respuestas de formulario 1.1'!$B151,$DQ151),#REF!,0),MATCH('Respuestas de formulario 1.1'!EX$1,#REF!,0)))</f>
        <v/>
      </c>
      <c r="EY151" s="56" t="str">
        <f t="array" ref="EY151">IF($DQ151="","", INDEX(#REF!,MATCH(CONCATENATE('Respuestas de formulario 1.1'!$B151,$DQ151),#REF!,0),MATCH('Respuestas de formulario 1.1'!EY$1,#REF!,0)))</f>
        <v/>
      </c>
      <c r="EZ151" s="56" t="str">
        <f t="array" ref="EZ151">IF($DQ151="","", INDEX(#REF!,MATCH(CONCATENATE('Respuestas de formulario 1.1'!$B151,$DQ151),#REF!,0),MATCH('Respuestas de formulario 1.1'!EZ$1,#REF!,0)))</f>
        <v/>
      </c>
      <c r="FA151" s="56" t="str">
        <f t="array" ref="FA151">IF($DQ151="","", INDEX(#REF!,MATCH(CONCATENATE('Respuestas de formulario 1.1'!$B151,$DQ151),#REF!,0),MATCH('Respuestas de formulario 1.1'!FA$1,#REF!,0)))</f>
        <v/>
      </c>
      <c r="FB151" s="56" t="str">
        <f t="array" ref="FB151">IF($DQ151="","", INDEX(#REF!,MATCH(CONCATENATE('Respuestas de formulario 1.1'!$B151,$DQ151),#REF!,0),MATCH('Respuestas de formulario 1.1'!FB$1,#REF!,0)))</f>
        <v/>
      </c>
      <c r="FC151" s="56" t="str">
        <f t="array" ref="FC151">IF($DQ151="","", INDEX(#REF!,MATCH(CONCATENATE('Respuestas de formulario 1.1'!$B151,$DQ151),#REF!,0),MATCH('Respuestas de formulario 1.1'!FC$1,#REF!,0)))</f>
        <v/>
      </c>
      <c r="FD151" s="45" t="str">
        <f t="array" ref="FD151">IF($DQ151="","", INDEX(#REF!,MATCH(CONCATENATE('Respuestas de formulario 1.1'!$B151,$DQ151),#REF!,0),MATCH('Respuestas de formulario 1.1'!FD$1,#REF!,0)))</f>
        <v/>
      </c>
      <c r="FE151" s="45" t="str">
        <f t="array" ref="FE151">IF($DR151="","", INDEX(#REF!,MATCH(CONCATENATE(#REF!,$DR151),#REF!,0),MATCH(#REF!,#REF!,0)))</f>
        <v/>
      </c>
      <c r="FF151" s="56" t="str">
        <f t="array" ref="FF151">IF($DR151="","", INDEX(#REF!,MATCH(CONCATENATE(#REF!,$DR151),#REF!,0),MATCH(#REF!,#REF!,0)))</f>
        <v/>
      </c>
      <c r="FG151" s="56" t="str">
        <f t="array" ref="FG151">IF($DR151="","", INDEX(#REF!,MATCH(CONCATENATE(#REF!,$DR151),#REF!,0),MATCH(#REF!,#REF!,0)))</f>
        <v/>
      </c>
      <c r="FH151" s="56" t="str">
        <f t="array" ref="FH151">IF($DR151="","", INDEX(#REF!,MATCH(CONCATENATE(#REF!,$DR151),#REF!,0),MATCH(#REF!,#REF!,0)))</f>
        <v/>
      </c>
      <c r="FI151" s="56" t="str">
        <f t="array" ref="FI151">IF($DR151="","", INDEX(#REF!,MATCH(CONCATENATE(#REF!,$DR151),#REF!,0),MATCH(#REF!,#REF!,0)))</f>
        <v/>
      </c>
      <c r="FJ151" s="56" t="str">
        <f t="array" ref="FJ151">IF($DR151="","", INDEX(#REF!,MATCH(CONCATENATE(#REF!,$DR151),#REF!,0),MATCH(#REF!,#REF!,0)))</f>
        <v/>
      </c>
      <c r="FK151" s="45" t="str">
        <f t="array" ref="FK151">IF($DR151="","", INDEX(#REF!,MATCH(CONCATENATE(#REF!,$DR151),#REF!,0),MATCH(#REF!,#REF!,0)))</f>
        <v/>
      </c>
      <c r="FL151" s="45" t="str">
        <f t="array" ref="FL151">IF($DT151="","", INDEX(#REF!,MATCH(CONCATENATE('Respuestas de formulario 1.1'!$B151,$DS151),#REF!,0),MATCH('Respuestas de formulario 1.1'!FL$1,#REF!,0)))</f>
        <v/>
      </c>
      <c r="FM151" s="56" t="str">
        <f t="array" ref="FM151">IF($DT151="","", INDEX(#REF!,MATCH(CONCATENATE('Respuestas de formulario 1.1'!$B151,$DS151),#REF!,0),MATCH('Respuestas de formulario 1.1'!FM$1,#REF!,0)))</f>
        <v/>
      </c>
      <c r="FN151" s="56" t="str">
        <f t="array" ref="FN151">IF($DT151="","", INDEX(#REF!,MATCH(CONCATENATE('Respuestas de formulario 1.1'!$B151,$DS151),#REF!,0),MATCH('Respuestas de formulario 1.1'!FN$1,#REF!,0)))</f>
        <v/>
      </c>
      <c r="FO151" s="56" t="str">
        <f t="array" ref="FO151">IF($DT151="","", INDEX(#REF!,MATCH(CONCATENATE('Respuestas de formulario 1.1'!$B151,$DS151),#REF!,0),MATCH('Respuestas de formulario 1.1'!FO$1,#REF!,0)))</f>
        <v/>
      </c>
      <c r="FP151" s="56" t="str">
        <f t="array" ref="FP151">IF($DT151="","", INDEX(#REF!,MATCH(CONCATENATE('Respuestas de formulario 1.1'!$B151,$DS151),#REF!,0),MATCH('Respuestas de formulario 1.1'!FP$1,#REF!,0)))</f>
        <v/>
      </c>
      <c r="FQ151" s="56" t="str">
        <f t="array" ref="FQ151">IF($DT151="","", INDEX(#REF!,MATCH(CONCATENATE('Respuestas de formulario 1.1'!$B151,$DS151),#REF!,0),MATCH('Respuestas de formulario 1.1'!FQ$1,#REF!,0)))</f>
        <v/>
      </c>
      <c r="FR151" s="45" t="str">
        <f t="array" ref="FR151">IF($DT151="","", INDEX(#REF!,MATCH(CONCATENATE('Respuestas de formulario 1.1'!$B151,$DS151),#REF!,0),MATCH('Respuestas de formulario 1.1'!FR$1,#REF!,0)))</f>
        <v/>
      </c>
      <c r="FS151" s="45" t="str">
        <f t="array" ref="FS151">IF($DU151="","", INDEX(#REF!,MATCH(CONCATENATE('Respuestas de formulario 1.1'!$B151,$DT151),#REF!,0),MATCH('Respuestas de formulario 1.1'!FS$1,#REF!,0)))</f>
        <v/>
      </c>
      <c r="FT151" s="56" t="str">
        <f t="array" ref="FT151">IF($DU151="","", INDEX(#REF!,MATCH(CONCATENATE('Respuestas de formulario 1.1'!$B151,$DT151),#REF!,0),MATCH('Respuestas de formulario 1.1'!FT$1,#REF!,0)))</f>
        <v/>
      </c>
      <c r="FU151" s="56" t="str">
        <f t="array" ref="FU151">IF($DU151="","", INDEX(#REF!,MATCH(CONCATENATE('Respuestas de formulario 1.1'!$B151,$DT151),#REF!,0),MATCH('Respuestas de formulario 1.1'!FU$1,#REF!,0)))</f>
        <v/>
      </c>
      <c r="FV151" s="56" t="str">
        <f t="array" ref="FV151">IF($DU151="","", INDEX(#REF!,MATCH(CONCATENATE('Respuestas de formulario 1.1'!$B151,$DT151),#REF!,0),MATCH('Respuestas de formulario 1.1'!FV$1,#REF!,0)))</f>
        <v/>
      </c>
      <c r="FW151" s="56" t="str">
        <f t="array" ref="FW151">IF($DU151="","", INDEX(#REF!,MATCH(CONCATENATE('Respuestas de formulario 1.1'!$B151,$DT151),#REF!,0),MATCH('Respuestas de formulario 1.1'!FW$1,#REF!,0)))</f>
        <v/>
      </c>
      <c r="FX151" s="56" t="str">
        <f t="array" ref="FX151">IF($DU151="","", INDEX(#REF!,MATCH(CONCATENATE('Respuestas de formulario 1.1'!$B151,$DT151),#REF!,0),MATCH('Respuestas de formulario 1.1'!FX$1,#REF!,0)))</f>
        <v/>
      </c>
      <c r="FY151" s="45" t="str">
        <f t="array" ref="FY151">IF($DU151="","", INDEX(#REF!,MATCH(CONCATENATE('Respuestas de formulario 1.1'!$B151,$DT151),#REF!,0),MATCH('Respuestas de formulario 1.1'!FY$1,#REF!,0)))</f>
        <v/>
      </c>
      <c r="FZ151" s="3" t="s">
        <v>2860</v>
      </c>
      <c r="GA151" s="1" t="s">
        <v>5415</v>
      </c>
      <c r="GB151" s="5" t="s">
        <v>5416</v>
      </c>
      <c r="GC151" s="4" t="str">
        <f>HYPERLINK("https://drive.google.com/file/d/1r2M53qCDYkCqMooNY_4oeLndb_7CC1v5/view?usp=drivesdk","ARAN DE AQUINO  MARIELI AIDEE  Formato de reinscripción y pago 2022-2")</f>
        <v>ARAN DE AQUINO  MARIELI AIDEE  Formato de reinscripción y pago 2022-2</v>
      </c>
      <c r="GD151" s="1" t="s">
        <v>5417</v>
      </c>
      <c r="GE151" s="1"/>
      <c r="GF151" s="1"/>
      <c r="GG151" s="1"/>
      <c r="GH151" s="1"/>
      <c r="GI151" s="1" t="s">
        <v>5418</v>
      </c>
      <c r="GJ151" s="5" t="s">
        <v>5419</v>
      </c>
      <c r="GK151" s="5" t="str">
        <f>HYPERLINK("https://drive.google.com/file/d/11-wcXnCua9k8yiqs11ijPplao6R-Fl8U/view?usp=drivesdk","ARAN DE AQUINO  MARIELI AIDEE  Formato de reinscripción y pago 2022-2")</f>
        <v>ARAN DE AQUINO  MARIELI AIDEE  Formato de reinscripción y pago 2022-2</v>
      </c>
      <c r="GL151" s="1" t="s">
        <v>5420</v>
      </c>
    </row>
    <row r="152" spans="1:194" ht="38.25" x14ac:dyDescent="0.2">
      <c r="A152" s="2">
        <v>45139.46322740741</v>
      </c>
      <c r="B152" s="1" t="s">
        <v>34</v>
      </c>
      <c r="C152" s="1" t="s">
        <v>934</v>
      </c>
      <c r="D152" s="1" t="s">
        <v>935</v>
      </c>
      <c r="E152" s="1" t="s">
        <v>2360</v>
      </c>
      <c r="F152" s="1" t="s">
        <v>262</v>
      </c>
      <c r="G152" s="5" t="s">
        <v>5421</v>
      </c>
      <c r="H152" s="41">
        <v>39009</v>
      </c>
      <c r="I152" s="1">
        <v>16</v>
      </c>
      <c r="J152" s="1">
        <v>5537916266</v>
      </c>
      <c r="K152" s="1">
        <v>28</v>
      </c>
      <c r="L152" s="1" t="s">
        <v>936</v>
      </c>
      <c r="M152" s="1">
        <v>21309060570737</v>
      </c>
      <c r="N152" s="1" t="s">
        <v>1108</v>
      </c>
      <c r="O152" s="1" t="s">
        <v>225</v>
      </c>
      <c r="P152" s="1" t="s">
        <v>226</v>
      </c>
      <c r="Q152" s="1" t="s">
        <v>315</v>
      </c>
      <c r="R152" s="1" t="s">
        <v>236</v>
      </c>
      <c r="S152" s="1" t="s">
        <v>236</v>
      </c>
      <c r="T152" s="1" t="s">
        <v>411</v>
      </c>
      <c r="U152" s="1" t="s">
        <v>249</v>
      </c>
      <c r="V152" s="1" t="s">
        <v>228</v>
      </c>
      <c r="W152" s="1" t="s">
        <v>5422</v>
      </c>
      <c r="X152" s="1" t="s">
        <v>249</v>
      </c>
      <c r="Y152" s="1" t="s">
        <v>5423</v>
      </c>
      <c r="Z152" s="1" t="s">
        <v>240</v>
      </c>
      <c r="AA152" s="44" t="s">
        <v>735</v>
      </c>
      <c r="AB152" s="1">
        <v>484</v>
      </c>
      <c r="AC152" s="1">
        <v>28</v>
      </c>
      <c r="AD152" s="1" t="s">
        <v>5424</v>
      </c>
      <c r="AE152" s="1" t="s">
        <v>5425</v>
      </c>
      <c r="AF152" s="1" t="s">
        <v>435</v>
      </c>
      <c r="AG152" s="1">
        <v>47</v>
      </c>
      <c r="AH152" s="5" t="s">
        <v>5426</v>
      </c>
      <c r="AI152" s="1">
        <v>5543376582</v>
      </c>
      <c r="AJ152" s="1">
        <v>5526350751</v>
      </c>
      <c r="AK152" s="1" t="s">
        <v>937</v>
      </c>
      <c r="AL152" s="1" t="s">
        <v>935</v>
      </c>
      <c r="AM152" s="1" t="s">
        <v>259</v>
      </c>
      <c r="AN152" s="1" t="s">
        <v>938</v>
      </c>
      <c r="AO152" s="1" t="s">
        <v>265</v>
      </c>
      <c r="AP152" s="1">
        <v>44</v>
      </c>
      <c r="AQ152" s="1" t="s">
        <v>294</v>
      </c>
      <c r="AR152" s="42">
        <v>0.375</v>
      </c>
      <c r="AS152" s="42">
        <v>0.75</v>
      </c>
      <c r="AT152" s="1">
        <v>5526350751</v>
      </c>
      <c r="AU152" s="1">
        <v>5526350751</v>
      </c>
      <c r="AV152" s="1" t="s">
        <v>937</v>
      </c>
      <c r="AW152" s="5" t="s">
        <v>5427</v>
      </c>
      <c r="AX152" s="1" t="s">
        <v>5428</v>
      </c>
      <c r="AY152" s="1" t="s">
        <v>259</v>
      </c>
      <c r="AZ152" s="1" t="s">
        <v>5429</v>
      </c>
      <c r="BA152" s="1" t="s">
        <v>493</v>
      </c>
      <c r="BB152" s="1">
        <v>28</v>
      </c>
      <c r="BC152" s="1" t="s">
        <v>362</v>
      </c>
      <c r="BD152" s="43">
        <v>0.375</v>
      </c>
      <c r="BE152" s="43">
        <v>0.75</v>
      </c>
      <c r="BF152" s="1">
        <v>5526350751</v>
      </c>
      <c r="BG152" s="1">
        <v>5526350751</v>
      </c>
      <c r="BH152" s="1" t="s">
        <v>5430</v>
      </c>
      <c r="BI152" s="5" t="s">
        <v>5431</v>
      </c>
      <c r="BJ152" s="1" t="s">
        <v>236</v>
      </c>
      <c r="BL152" s="1">
        <v>170</v>
      </c>
      <c r="BM152" s="1">
        <v>70</v>
      </c>
      <c r="BN152" s="1" t="s">
        <v>236</v>
      </c>
      <c r="BO152" s="1" t="s">
        <v>228</v>
      </c>
      <c r="BQ152" s="1" t="s">
        <v>228</v>
      </c>
      <c r="BR152" s="1" t="s">
        <v>237</v>
      </c>
      <c r="BS152" s="1" t="s">
        <v>228</v>
      </c>
      <c r="BT152" s="1" t="s">
        <v>237</v>
      </c>
      <c r="BU152" s="1" t="s">
        <v>228</v>
      </c>
      <c r="BW152" s="1" t="s">
        <v>272</v>
      </c>
      <c r="BX152" s="1">
        <v>120</v>
      </c>
      <c r="BY152" s="1">
        <v>90</v>
      </c>
      <c r="BZ152" s="1" t="s">
        <v>5432</v>
      </c>
      <c r="CA152" s="1" t="s">
        <v>343</v>
      </c>
      <c r="CB152" s="1" t="s">
        <v>240</v>
      </c>
      <c r="CC152" s="1" t="s">
        <v>274</v>
      </c>
      <c r="CD152" s="1">
        <v>8000</v>
      </c>
      <c r="CE152" s="1">
        <v>4000</v>
      </c>
      <c r="CF152" s="1" t="s">
        <v>236</v>
      </c>
      <c r="CG152" s="1" t="s">
        <v>323</v>
      </c>
      <c r="CH152" s="1" t="s">
        <v>243</v>
      </c>
      <c r="CI152" s="1" t="s">
        <v>243</v>
      </c>
      <c r="CJ152" s="1" t="s">
        <v>2848</v>
      </c>
      <c r="CL152" s="5" t="s">
        <v>5433</v>
      </c>
      <c r="CM152" s="1">
        <v>15210697890</v>
      </c>
      <c r="CN152" s="1" t="s">
        <v>228</v>
      </c>
      <c r="CQ152" s="42">
        <v>0.375</v>
      </c>
      <c r="CR152" s="42">
        <v>0.75</v>
      </c>
      <c r="CT152" s="45" t="str">
        <f t="array" ref="CT152">IFERROR(INDEX(#REF!,MATCH('Respuestas de formulario 1.1'!$B152,#REF!,0),MATCH('Respuestas de formulario 1.1'!CT$1,#REF!,0)),"")</f>
        <v/>
      </c>
      <c r="CU152" s="56" t="str">
        <f t="array" ref="CU152">IFERROR(INDEX(#REF!,MATCH('Respuestas de formulario 1.1'!$B152,#REF!,0),MATCH('Respuestas de formulario 1.1'!CU$1,#REF!,0)),"")</f>
        <v/>
      </c>
      <c r="CV152" s="56" t="str">
        <f t="array" ref="CV152">IFERROR(INDEX(#REF!,MATCH('Respuestas de formulario 1.1'!$B152,#REF!,0),MATCH('Respuestas de formulario 1.1'!CV$1,#REF!,0)),"")</f>
        <v/>
      </c>
      <c r="CW152" s="56" t="str">
        <f t="array" ref="CW152">IFERROR(INDEX(#REF!,MATCH('Respuestas de formulario 1.1'!$B152,#REF!,0),MATCH('Respuestas de formulario 1.1'!CW$1,#REF!,0)),"")</f>
        <v/>
      </c>
      <c r="CX152" s="56" t="str">
        <f t="array" ref="CX152">IFERROR(INDEX(#REF!,MATCH('Respuestas de formulario 1.1'!$B152,#REF!,0),MATCH('Respuestas de formulario 1.1'!CX$1,#REF!,0)),"")</f>
        <v/>
      </c>
      <c r="CY152" s="56" t="str">
        <f t="array" ref="CY152">IFERROR(INDEX(#REF!,MATCH('Respuestas de formulario 1.1'!$B152,#REF!,0),MATCH('Respuestas de formulario 1.1'!CY$1,#REF!,0)),"")</f>
        <v/>
      </c>
      <c r="CZ152" s="57" t="str">
        <f t="array" ref="CZ152">IFERROR(INDEX(#REF!,MATCH('Respuestas de formulario 1.1'!$B152,#REF!,0),MATCH('Respuestas de formulario 1.1'!CZ$1,#REF!,0)),"")</f>
        <v/>
      </c>
      <c r="DA152" s="45" t="e">
        <f t="array" ref="DA152">INDEX(#REF!,MATCH('Respuestas de formulario 1.1'!$B152,#REF!,0),MATCH('Respuestas de formulario 1.1'!DA$1,#REF!,0))</f>
        <v>#REF!</v>
      </c>
      <c r="DB152" s="45" t="e">
        <f t="array" ref="DB152">INDEX(#REF!,MATCH('Respuestas de formulario 1.1'!$B152,#REF!,0),MATCH('Respuestas de formulario 1.1'!DB$1,#REF!,0))</f>
        <v>#REF!</v>
      </c>
      <c r="DC152" s="45" t="e">
        <f t="array" ref="DC152">INDEX(#REF!,MATCH('Respuestas de formulario 1.1'!$B152,#REF!,0),MATCH('Respuestas de formulario 1.1'!DC$1,#REF!,0))</f>
        <v>#REF!</v>
      </c>
      <c r="DD152" s="45" t="e">
        <f t="array" ref="DD152">INDEX(#REF!,MATCH('Respuestas de formulario 1.1'!$B152,#REF!,0),MATCH('Respuestas de formulario 1.1'!DD$1,#REF!,0))</f>
        <v>#REF!</v>
      </c>
      <c r="DE152" s="45" t="e">
        <f t="array" ref="DE152">INDEX(#REF!,MATCH('Respuestas de formulario 1.1'!$B152,#REF!,0),MATCH('Respuestas de formulario 1.1'!DE$1,#REF!,0))</f>
        <v>#REF!</v>
      </c>
      <c r="DF152" s="45" t="e">
        <f t="array" ref="DF152">INDEX(#REF!,MATCH('Respuestas de formulario 1.1'!$B152,#REF!,0),MATCH('Respuestas de formulario 1.1'!DF$1,#REF!,0))</f>
        <v>#REF!</v>
      </c>
      <c r="DG152" s="45" t="e">
        <f t="array" ref="DG152">INDEX(#REF!,MATCH('Respuestas de formulario 1.1'!$B152,#REF!,0),MATCH('Respuestas de formulario 1.1'!DG$1,#REF!,0))</f>
        <v>#REF!</v>
      </c>
      <c r="DH152" s="45" t="e">
        <f t="array" ref="DH152">INDEX(#REF!,MATCH('Respuestas de formulario 1.1'!$B152,#REF!,0),MATCH('Respuestas de formulario 1.1'!DH$1,#REF!,0))</f>
        <v>#REF!</v>
      </c>
      <c r="DI152" s="48" t="e">
        <f>VLOOKUP(CONCATENATE($DF152," TUTO ",$DC152),#REF!,3,0)</f>
        <v>#REF!</v>
      </c>
      <c r="DJ152" s="48" t="e">
        <f t="array" ref="DJ152">IF('Respuestas de formulario 1.1'!A152="","",INDEX(#REF!,MATCH('Respuestas de formulario 1.1'!B152,#REF!,0),MATCH('Respuestas de formulario 1.1'!$DH$1,#REF!,0)))</f>
        <v>#REF!</v>
      </c>
      <c r="DK152" s="52" t="str">
        <f>CONCATENATE("http://doc.google.com/uc?id=",MID('Respuestas de formulario 1.1'!G152,34,33))</f>
        <v>http://doc.google.com/uc?id=1X4MQQQ7Vjq0beEwu6iEStWgOA-ZLWrb8</v>
      </c>
      <c r="DL152" s="49" t="str">
        <f>CONCATENATE("http://doc.google.com/uc?id=",MID('Respuestas de formulario 1.1'!AH152,34,33))</f>
        <v>http://doc.google.com/uc?id=13dzAAoWqukJ0RYtjp1U0xZaVq46kprnZ</v>
      </c>
      <c r="DM152" s="50" t="str">
        <f>CONCATENATE("http://doc.google.com/uc?id=",MID('Respuestas de formulario 1.1'!AW152,34,33))</f>
        <v>http://doc.google.com/uc?id=1Gh2Pvq_8qQ7GtQVEEqIA4NQBilJyGf9z</v>
      </c>
      <c r="DN152" s="53" t="str">
        <f>CONCATENATE("http://doc.google.com/uc?id=",MID('Respuestas de formulario 1.1'!$BI152,34,33))</f>
        <v>http://doc.google.com/uc?id=14VKVdC2eIL6ptsMziByBGLwxndyQQqWH</v>
      </c>
      <c r="DO152" s="45" t="str">
        <f>IFERROR(VLOOKUP(CONCATENATE('Respuestas de formulario 1.1'!$B152,MID('Respuestas de formulario 1.1'!DO$1,2,1)),#REF!,12,0),"")</f>
        <v/>
      </c>
      <c r="DP152" s="45" t="str">
        <f>IFERROR(VLOOKUP(CONCATENATE('Respuestas de formulario 1.1'!$B152,MID('Respuestas de formulario 1.1'!DP$1,2,1)),#REF!,12,0),"")</f>
        <v/>
      </c>
      <c r="DQ152" s="45" t="str">
        <f>IFERROR(VLOOKUP(CONCATENATE('Respuestas de formulario 1.1'!$B152,MID('Respuestas de formulario 1.1'!DQ$1,2,1)),#REF!,12,0),"")</f>
        <v/>
      </c>
      <c r="DR152" s="45" t="str">
        <f>IFERROR(VLOOKUP(CONCATENATE('Respuestas de formulario 1.1'!$B152,MID('Respuestas de formulario 1.1'!DR$1,2,1)),#REF!,12,0),"")</f>
        <v/>
      </c>
      <c r="DS152" s="45" t="str">
        <f>IFERROR(VLOOKUP(CONCATENATE('Respuestas de formulario 1.1'!$B152,MID('Respuestas de formulario 1.1'!DS$1,2,1)),#REF!,12,0),"")</f>
        <v/>
      </c>
      <c r="DT152" s="45" t="str">
        <f>IFERROR(VLOOKUP(CONCATENATE('Respuestas de formulario 1.1'!$B152,MID('Respuestas de formulario 1.1'!DT$1,2,1)),#REF!,12,0),"")</f>
        <v/>
      </c>
      <c r="DU152" s="45" t="str">
        <f>IFERROR(VLOOKUP(CONCATENATE('Respuestas de formulario 1.1'!$B152,MID('Respuestas de formulario 1.1'!DU$1,2,1)),#REF!,12,0),"")</f>
        <v/>
      </c>
      <c r="DV152" s="45" t="str">
        <f>IFERROR(VLOOKUP(CONCATENATE('Respuestas de formulario 1.1'!$B152,MID('Respuestas de formulario 1.1'!DV$1,2,1)),#REF!,12,0),"")</f>
        <v/>
      </c>
      <c r="DW152" s="45" t="str">
        <f>IFERROR(VLOOKUP(CONCATENATE('Respuestas de formulario 1.1'!$B152,MID('Respuestas de formulario 1.1'!DW$1,2,1)),#REF!,12,0),"")</f>
        <v/>
      </c>
      <c r="DX152" s="45" t="str">
        <f>IFERROR(VLOOKUP(CONCATENATE('Respuestas de formulario 1.1'!$B152,MID('Respuestas de formulario 1.1'!DX$1,2,1)),#REF!,12,0),"")</f>
        <v/>
      </c>
      <c r="DY152" s="45" t="str">
        <f>IFERROR(VLOOKUP(CONCATENATE('Respuestas de formulario 1.1'!$B152,MID('Respuestas de formulario 1.1'!DY$1,2,1)),#REF!,12,0),"")</f>
        <v/>
      </c>
      <c r="DZ152" s="45" t="str">
        <f>IFERROR(VLOOKUP(CONCATENATE('Respuestas de formulario 1.1'!$B152,MID('Respuestas de formulario 1.1'!DZ$1,2,1)),#REF!,12,0),"")</f>
        <v/>
      </c>
      <c r="EA152" s="45" t="str">
        <f>IFERROR(VLOOKUP(CONCATENATE('Respuestas de formulario 1.1'!$B152,MID('Respuestas de formulario 1.1'!EA$1,2,1)),#REF!,12,0),"")</f>
        <v/>
      </c>
      <c r="EB152" s="45" t="str">
        <f>IFERROR(VLOOKUP(CONCATENATE('Respuestas de formulario 1.1'!$B152,MID('Respuestas de formulario 1.1'!EB$1,2,1)),#REF!,12,0),"")</f>
        <v/>
      </c>
      <c r="EC152" s="45" t="str">
        <f>IFERROR(VLOOKUP(CONCATENATE('Respuestas de formulario 1.1'!$B152,MID('Respuestas de formulario 1.1'!EC$1,2,1)),#REF!,12,0),"")</f>
        <v/>
      </c>
      <c r="ED152" s="45" t="str">
        <f>IFERROR(VLOOKUP(CONCATENATE('Respuestas de formulario 1.1'!$B152,MID('Respuestas de formulario 1.1'!ED$1,2,1)),#REF!,12,0),"")</f>
        <v/>
      </c>
      <c r="EE152" s="45" t="str">
        <f>IFERROR(VLOOKUP(CONCATENATE('Respuestas de formulario 1.1'!$B152,MID('Respuestas de formulario 1.1'!EE$1,2,1)),#REF!,12,0),"")</f>
        <v/>
      </c>
      <c r="EF152" s="45" t="str">
        <f>IFERROR(VLOOKUP(CONCATENATE('Respuestas de formulario 1.1'!$B152,MID('Respuestas de formulario 1.1'!EF$1,2,1)),#REF!,12,0),"")</f>
        <v/>
      </c>
      <c r="EG152" s="45" t="str">
        <f>IFERROR(VLOOKUP(CONCATENATE('Respuestas de formulario 1.1'!$B152,MID('Respuestas de formulario 1.1'!EG$1,2,1)),#REF!,12,0),"")</f>
        <v/>
      </c>
      <c r="EH152" s="45" t="str">
        <f>IFERROR(VLOOKUP(CONCATENATE('Respuestas de formulario 1.1'!$B152,MID('Respuestas de formulario 1.1'!EH$1,2,1)),#REF!,12,0),"")</f>
        <v/>
      </c>
      <c r="EI152" s="45" t="str">
        <f>IFERROR(VLOOKUP(CONCATENATE('Respuestas de formulario 1.1'!$B152,MID('Respuestas de formulario 1.1'!EI$1,2,1)),#REF!,12,0),"")</f>
        <v/>
      </c>
      <c r="EJ152" s="45" t="str">
        <f t="array" ref="EJ152">IF(DO152="","", INDEX(#REF!,MATCH(CONCATENATE('Respuestas de formulario 1.1'!$B152,DO152),#REF!,0),MATCH('Respuestas de formulario 1.1'!EJ$1,#REF!,0)))</f>
        <v/>
      </c>
      <c r="EK152" s="56" t="str">
        <f t="array" ref="EK152">IF(DP152="","", INDEX(#REF!,MATCH(CONCATENATE('Respuestas de formulario 1.1'!$B152,DP152),#REF!,0),MATCH('Respuestas de formulario 1.1'!EK$1,#REF!,0)))</f>
        <v/>
      </c>
      <c r="EL152" s="56" t="str">
        <f t="array" ref="EL152">IF(DQ152="","", INDEX(#REF!,MATCH(CONCATENATE('Respuestas de formulario 1.1'!$B152,DQ152),#REF!,0),MATCH('Respuestas de formulario 1.1'!EL$1,#REF!,0)))</f>
        <v/>
      </c>
      <c r="EM152" s="56" t="str">
        <f t="array" ref="EM152">IF(DR152="","", INDEX(#REF!,MATCH(CONCATENATE('Respuestas de formulario 1.1'!$B152,DR152),#REF!,0),MATCH('Respuestas de formulario 1.1'!EM$1,#REF!,0)))</f>
        <v/>
      </c>
      <c r="EN152" s="56" t="str">
        <f t="array" ref="EN152">IF(DS152="","", INDEX(#REF!,MATCH(CONCATENATE('Respuestas de formulario 1.1'!$B152,DS152),#REF!,0),MATCH('Respuestas de formulario 1.1'!EN$1,#REF!,0)))</f>
        <v/>
      </c>
      <c r="EO152" s="56" t="str">
        <f t="array" ref="EO152">IF(DT152="","", INDEX(#REF!,MATCH(CONCATENATE('Respuestas de formulario 1.1'!$B152,DT152),#REF!,0),MATCH('Respuestas de formulario 1.1'!EO$1,#REF!,0)))</f>
        <v/>
      </c>
      <c r="EP152" s="45" t="str">
        <f t="array" ref="EP152">IF(DU152="","", INDEX(#REF!,MATCH(CONCATENATE('Respuestas de formulario 1.1'!$B152,DU152),#REF!,0),MATCH('Respuestas de formulario 1.1'!EP$1,#REF!,0)))</f>
        <v/>
      </c>
      <c r="EQ152" s="45" t="str">
        <f t="array" ref="EQ152">IF(DP152="","", INDEX(#REF!,MATCH(CONCATENATE('Respuestas de formulario 1.1'!$B152,DP152),#REF!,0),MATCH('Respuestas de formulario 1.1'!EQ$1,#REF!,0)))</f>
        <v/>
      </c>
      <c r="ER152" s="56" t="str">
        <f t="array" ref="ER152">IF(DQ152="","", INDEX(#REF!,MATCH(CONCATENATE('Respuestas de formulario 1.1'!$B152,DQ152),#REF!,0),MATCH('Respuestas de formulario 1.1'!ER$1,#REF!,0)))</f>
        <v/>
      </c>
      <c r="ES152" s="56" t="str">
        <f t="array" ref="ES152">IF(DR152="","", INDEX(#REF!,MATCH(CONCATENATE('Respuestas de formulario 1.1'!$B152,DR152),#REF!,0),MATCH('Respuestas de formulario 1.1'!ES$1,#REF!,0)))</f>
        <v/>
      </c>
      <c r="ET152" s="56" t="str">
        <f t="array" ref="ET152">IF(DS152="","", INDEX(#REF!,MATCH(CONCATENATE('Respuestas de formulario 1.1'!$B152,DS152),#REF!,0),MATCH('Respuestas de formulario 1.1'!ET$1,#REF!,0)))</f>
        <v/>
      </c>
      <c r="EU152" s="56" t="str">
        <f t="array" ref="EU152">IF(DT152="","", INDEX(#REF!,MATCH(CONCATENATE('Respuestas de formulario 1.1'!$B152,DT152),#REF!,0),MATCH('Respuestas de formulario 1.1'!EU$1,#REF!,0)))</f>
        <v/>
      </c>
      <c r="EV152" s="56" t="str">
        <f t="array" ref="EV152">IF(DU152="","", INDEX(#REF!,MATCH(CONCATENATE('Respuestas de formulario 1.1'!$B152,DU152),#REF!,0),MATCH('Respuestas de formulario 1.1'!EV$1,#REF!,0)))</f>
        <v/>
      </c>
      <c r="EW152" s="45" t="str">
        <f t="array" ref="EW152">IF(DV152="","", INDEX(#REF!,MATCH(CONCATENATE('Respuestas de formulario 1.1'!$B152,DV152),#REF!,0),MATCH('Respuestas de formulario 1.1'!EW$1,#REF!,0)))</f>
        <v/>
      </c>
      <c r="EX152" s="45" t="str">
        <f t="array" ref="EX152">IF($DQ152="","", INDEX(#REF!,MATCH(CONCATENATE('Respuestas de formulario 1.1'!$B152,$DQ152),#REF!,0),MATCH('Respuestas de formulario 1.1'!EX$1,#REF!,0)))</f>
        <v/>
      </c>
      <c r="EY152" s="56" t="str">
        <f t="array" ref="EY152">IF($DQ152="","", INDEX(#REF!,MATCH(CONCATENATE('Respuestas de formulario 1.1'!$B152,$DQ152),#REF!,0),MATCH('Respuestas de formulario 1.1'!EY$1,#REF!,0)))</f>
        <v/>
      </c>
      <c r="EZ152" s="56" t="str">
        <f t="array" ref="EZ152">IF($DQ152="","", INDEX(#REF!,MATCH(CONCATENATE('Respuestas de formulario 1.1'!$B152,$DQ152),#REF!,0),MATCH('Respuestas de formulario 1.1'!EZ$1,#REF!,0)))</f>
        <v/>
      </c>
      <c r="FA152" s="56" t="str">
        <f t="array" ref="FA152">IF($DQ152="","", INDEX(#REF!,MATCH(CONCATENATE('Respuestas de formulario 1.1'!$B152,$DQ152),#REF!,0),MATCH('Respuestas de formulario 1.1'!FA$1,#REF!,0)))</f>
        <v/>
      </c>
      <c r="FB152" s="56" t="str">
        <f t="array" ref="FB152">IF($DQ152="","", INDEX(#REF!,MATCH(CONCATENATE('Respuestas de formulario 1.1'!$B152,$DQ152),#REF!,0),MATCH('Respuestas de formulario 1.1'!FB$1,#REF!,0)))</f>
        <v/>
      </c>
      <c r="FC152" s="56" t="str">
        <f t="array" ref="FC152">IF($DQ152="","", INDEX(#REF!,MATCH(CONCATENATE('Respuestas de formulario 1.1'!$B152,$DQ152),#REF!,0),MATCH('Respuestas de formulario 1.1'!FC$1,#REF!,0)))</f>
        <v/>
      </c>
      <c r="FD152" s="45" t="str">
        <f t="array" ref="FD152">IF($DQ152="","", INDEX(#REF!,MATCH(CONCATENATE('Respuestas de formulario 1.1'!$B152,$DQ152),#REF!,0),MATCH('Respuestas de formulario 1.1'!FD$1,#REF!,0)))</f>
        <v/>
      </c>
      <c r="FE152" s="45" t="str">
        <f t="array" ref="FE152">IF($DR152="","", INDEX(#REF!,MATCH(CONCATENATE(#REF!,$DR152),#REF!,0),MATCH(#REF!,#REF!,0)))</f>
        <v/>
      </c>
      <c r="FF152" s="56" t="str">
        <f t="array" ref="FF152">IF($DR152="","", INDEX(#REF!,MATCH(CONCATENATE(#REF!,$DR152),#REF!,0),MATCH(#REF!,#REF!,0)))</f>
        <v/>
      </c>
      <c r="FG152" s="56" t="str">
        <f t="array" ref="FG152">IF($DR152="","", INDEX(#REF!,MATCH(CONCATENATE(#REF!,$DR152),#REF!,0),MATCH(#REF!,#REF!,0)))</f>
        <v/>
      </c>
      <c r="FH152" s="56" t="str">
        <f t="array" ref="FH152">IF($DR152="","", INDEX(#REF!,MATCH(CONCATENATE(#REF!,$DR152),#REF!,0),MATCH(#REF!,#REF!,0)))</f>
        <v/>
      </c>
      <c r="FI152" s="56" t="str">
        <f t="array" ref="FI152">IF($DR152="","", INDEX(#REF!,MATCH(CONCATENATE(#REF!,$DR152),#REF!,0),MATCH(#REF!,#REF!,0)))</f>
        <v/>
      </c>
      <c r="FJ152" s="56" t="str">
        <f t="array" ref="FJ152">IF($DR152="","", INDEX(#REF!,MATCH(CONCATENATE(#REF!,$DR152),#REF!,0),MATCH(#REF!,#REF!,0)))</f>
        <v/>
      </c>
      <c r="FK152" s="45" t="str">
        <f t="array" ref="FK152">IF($DR152="","", INDEX(#REF!,MATCH(CONCATENATE(#REF!,$DR152),#REF!,0),MATCH(#REF!,#REF!,0)))</f>
        <v/>
      </c>
      <c r="FL152" s="45" t="str">
        <f t="array" ref="FL152">IF($DT152="","", INDEX(#REF!,MATCH(CONCATENATE('Respuestas de formulario 1.1'!$B152,$DS152),#REF!,0),MATCH('Respuestas de formulario 1.1'!FL$1,#REF!,0)))</f>
        <v/>
      </c>
      <c r="FM152" s="56" t="str">
        <f t="array" ref="FM152">IF($DT152="","", INDEX(#REF!,MATCH(CONCATENATE('Respuestas de formulario 1.1'!$B152,$DS152),#REF!,0),MATCH('Respuestas de formulario 1.1'!FM$1,#REF!,0)))</f>
        <v/>
      </c>
      <c r="FN152" s="56" t="str">
        <f t="array" ref="FN152">IF($DT152="","", INDEX(#REF!,MATCH(CONCATENATE('Respuestas de formulario 1.1'!$B152,$DS152),#REF!,0),MATCH('Respuestas de formulario 1.1'!FN$1,#REF!,0)))</f>
        <v/>
      </c>
      <c r="FO152" s="56" t="str">
        <f t="array" ref="FO152">IF($DT152="","", INDEX(#REF!,MATCH(CONCATENATE('Respuestas de formulario 1.1'!$B152,$DS152),#REF!,0),MATCH('Respuestas de formulario 1.1'!FO$1,#REF!,0)))</f>
        <v/>
      </c>
      <c r="FP152" s="56" t="str">
        <f t="array" ref="FP152">IF($DT152="","", INDEX(#REF!,MATCH(CONCATENATE('Respuestas de formulario 1.1'!$B152,$DS152),#REF!,0),MATCH('Respuestas de formulario 1.1'!FP$1,#REF!,0)))</f>
        <v/>
      </c>
      <c r="FQ152" s="56" t="str">
        <f t="array" ref="FQ152">IF($DT152="","", INDEX(#REF!,MATCH(CONCATENATE('Respuestas de formulario 1.1'!$B152,$DS152),#REF!,0),MATCH('Respuestas de formulario 1.1'!FQ$1,#REF!,0)))</f>
        <v/>
      </c>
      <c r="FR152" s="45" t="str">
        <f t="array" ref="FR152">IF($DT152="","", INDEX(#REF!,MATCH(CONCATENATE('Respuestas de formulario 1.1'!$B152,$DS152),#REF!,0),MATCH('Respuestas de formulario 1.1'!FR$1,#REF!,0)))</f>
        <v/>
      </c>
      <c r="FS152" s="45" t="str">
        <f t="array" ref="FS152">IF($DU152="","", INDEX(#REF!,MATCH(CONCATENATE('Respuestas de formulario 1.1'!$B152,$DT152),#REF!,0),MATCH('Respuestas de formulario 1.1'!FS$1,#REF!,0)))</f>
        <v/>
      </c>
      <c r="FT152" s="56" t="str">
        <f t="array" ref="FT152">IF($DU152="","", INDEX(#REF!,MATCH(CONCATENATE('Respuestas de formulario 1.1'!$B152,$DT152),#REF!,0),MATCH('Respuestas de formulario 1.1'!FT$1,#REF!,0)))</f>
        <v/>
      </c>
      <c r="FU152" s="56" t="str">
        <f t="array" ref="FU152">IF($DU152="","", INDEX(#REF!,MATCH(CONCATENATE('Respuestas de formulario 1.1'!$B152,$DT152),#REF!,0),MATCH('Respuestas de formulario 1.1'!FU$1,#REF!,0)))</f>
        <v/>
      </c>
      <c r="FV152" s="56" t="str">
        <f t="array" ref="FV152">IF($DU152="","", INDEX(#REF!,MATCH(CONCATENATE('Respuestas de formulario 1.1'!$B152,$DT152),#REF!,0),MATCH('Respuestas de formulario 1.1'!FV$1,#REF!,0)))</f>
        <v/>
      </c>
      <c r="FW152" s="56" t="str">
        <f t="array" ref="FW152">IF($DU152="","", INDEX(#REF!,MATCH(CONCATENATE('Respuestas de formulario 1.1'!$B152,$DT152),#REF!,0),MATCH('Respuestas de formulario 1.1'!FW$1,#REF!,0)))</f>
        <v/>
      </c>
      <c r="FX152" s="56" t="str">
        <f t="array" ref="FX152">IF($DU152="","", INDEX(#REF!,MATCH(CONCATENATE('Respuestas de formulario 1.1'!$B152,$DT152),#REF!,0),MATCH('Respuestas de formulario 1.1'!FX$1,#REF!,0)))</f>
        <v/>
      </c>
      <c r="FY152" s="45" t="str">
        <f t="array" ref="FY152">IF($DU152="","", INDEX(#REF!,MATCH(CONCATENATE('Respuestas de formulario 1.1'!$B152,$DT152),#REF!,0),MATCH('Respuestas de formulario 1.1'!FY$1,#REF!,0)))</f>
        <v/>
      </c>
      <c r="FZ152" s="3" t="s">
        <v>2860</v>
      </c>
      <c r="GA152" s="1" t="s">
        <v>5434</v>
      </c>
      <c r="GB152" s="5" t="s">
        <v>5435</v>
      </c>
      <c r="GC152" s="4" t="str">
        <f>HYPERLINK("https://drive.google.com/file/d/1ud-0dpbfqVyOqp8KmBmNK3LWM7Z4Spkq/view?usp=drivesdk","SALINAS REGINO EDGAR ALEJANDRO  Formato de reinscripción y pago 2022-2")</f>
        <v>SALINAS REGINO EDGAR ALEJANDRO  Formato de reinscripción y pago 2022-2</v>
      </c>
      <c r="GD152" s="1" t="s">
        <v>5436</v>
      </c>
      <c r="GE152" s="1"/>
      <c r="GF152" s="1"/>
      <c r="GG152" s="1"/>
      <c r="GH152" s="1"/>
      <c r="GI152" s="1" t="s">
        <v>5437</v>
      </c>
      <c r="GJ152" s="5" t="s">
        <v>5438</v>
      </c>
      <c r="GK152" s="5" t="str">
        <f>HYPERLINK("https://drive.google.com/file/d/1AX1OZ3FdVJXIP34Qp-i2-aubVA5zh1Zz/view?usp=drivesdk","SALINAS REGINO EDGAR ALEJANDRO  Formato de reinscripción y pago 2022-2")</f>
        <v>SALINAS REGINO EDGAR ALEJANDRO  Formato de reinscripción y pago 2022-2</v>
      </c>
      <c r="GL152" s="1" t="s">
        <v>5439</v>
      </c>
    </row>
    <row r="153" spans="1:194" ht="38.25" x14ac:dyDescent="0.2">
      <c r="A153" s="2">
        <v>45139.833949108797</v>
      </c>
      <c r="B153" s="1" t="s">
        <v>2266</v>
      </c>
      <c r="C153" s="1" t="s">
        <v>1833</v>
      </c>
      <c r="D153" s="1" t="s">
        <v>433</v>
      </c>
      <c r="E153" s="1" t="s">
        <v>2267</v>
      </c>
      <c r="F153" s="1" t="s">
        <v>223</v>
      </c>
      <c r="G153" s="5" t="s">
        <v>5440</v>
      </c>
      <c r="H153" s="41">
        <v>39053</v>
      </c>
      <c r="I153" s="1">
        <v>16</v>
      </c>
      <c r="J153" s="1">
        <v>5617332378</v>
      </c>
      <c r="K153" s="1">
        <v>362</v>
      </c>
      <c r="L153" s="1" t="s">
        <v>2268</v>
      </c>
      <c r="M153" s="1">
        <v>21309060570794</v>
      </c>
      <c r="N153" s="1" t="s">
        <v>1108</v>
      </c>
      <c r="O153" s="1" t="s">
        <v>225</v>
      </c>
      <c r="P153" s="1" t="s">
        <v>278</v>
      </c>
      <c r="Q153" s="1" t="s">
        <v>227</v>
      </c>
      <c r="R153" s="1" t="s">
        <v>236</v>
      </c>
      <c r="S153" s="1" t="s">
        <v>228</v>
      </c>
      <c r="T153" s="1" t="s">
        <v>229</v>
      </c>
      <c r="U153" s="1" t="s">
        <v>264</v>
      </c>
      <c r="V153" s="1" t="s">
        <v>228</v>
      </c>
      <c r="W153" s="1" t="s">
        <v>5441</v>
      </c>
      <c r="X153" s="1" t="s">
        <v>264</v>
      </c>
      <c r="Y153" s="1" t="s">
        <v>5442</v>
      </c>
      <c r="Z153" s="1" t="s">
        <v>231</v>
      </c>
      <c r="AA153" s="1">
        <v>57710</v>
      </c>
      <c r="AB153" s="1">
        <v>362</v>
      </c>
      <c r="AC153" s="1">
        <v>362</v>
      </c>
      <c r="AD153" s="1" t="s">
        <v>5443</v>
      </c>
      <c r="AE153" s="1" t="s">
        <v>5444</v>
      </c>
      <c r="AF153" s="1" t="s">
        <v>461</v>
      </c>
      <c r="AG153" s="1">
        <v>36</v>
      </c>
      <c r="AH153" s="5" t="s">
        <v>5445</v>
      </c>
      <c r="AI153" s="1">
        <v>5626814656</v>
      </c>
      <c r="AJ153" s="1">
        <v>5581869192</v>
      </c>
      <c r="AK153" s="1" t="s">
        <v>2269</v>
      </c>
      <c r="AL153" s="1" t="s">
        <v>433</v>
      </c>
      <c r="AM153" s="1" t="s">
        <v>5446</v>
      </c>
      <c r="AN153" s="1" t="s">
        <v>5447</v>
      </c>
      <c r="AO153" s="1" t="s">
        <v>493</v>
      </c>
      <c r="AP153" s="1">
        <v>34</v>
      </c>
      <c r="AQ153" s="1" t="s">
        <v>556</v>
      </c>
      <c r="AR153" s="42">
        <v>0.45833333333575865</v>
      </c>
      <c r="AS153" s="42">
        <v>0.20833333333575865</v>
      </c>
      <c r="AT153" s="1">
        <v>5627403386</v>
      </c>
      <c r="AU153" s="1">
        <v>5581869192</v>
      </c>
      <c r="AV153" s="1" t="s">
        <v>5448</v>
      </c>
      <c r="AW153" s="5" t="s">
        <v>5449</v>
      </c>
      <c r="AX153" s="1" t="s">
        <v>5450</v>
      </c>
      <c r="AY153" s="1" t="s">
        <v>486</v>
      </c>
      <c r="AZ153" s="1" t="s">
        <v>2270</v>
      </c>
      <c r="BA153" s="1" t="s">
        <v>420</v>
      </c>
      <c r="BB153" s="1">
        <v>36</v>
      </c>
      <c r="BC153" s="1" t="s">
        <v>2341</v>
      </c>
      <c r="BD153" s="43">
        <v>0.25</v>
      </c>
      <c r="BE153" s="43">
        <v>0.29166666666424135</v>
      </c>
      <c r="BF153" s="1">
        <v>5549000295</v>
      </c>
      <c r="BG153" s="1">
        <v>5581869192</v>
      </c>
      <c r="BH153" s="1" t="s">
        <v>5451</v>
      </c>
      <c r="BI153" s="5" t="s">
        <v>5452</v>
      </c>
      <c r="BJ153" s="1" t="s">
        <v>228</v>
      </c>
      <c r="BK153" s="1" t="s">
        <v>5453</v>
      </c>
      <c r="BL153" s="1">
        <v>1.6</v>
      </c>
      <c r="BM153" s="1">
        <v>64</v>
      </c>
      <c r="BN153" s="1" t="s">
        <v>236</v>
      </c>
      <c r="BO153" s="1" t="s">
        <v>228</v>
      </c>
      <c r="BP153" s="1" t="s">
        <v>237</v>
      </c>
      <c r="BQ153" s="1" t="s">
        <v>228</v>
      </c>
      <c r="BR153" s="1" t="s">
        <v>237</v>
      </c>
      <c r="BS153" s="1" t="s">
        <v>228</v>
      </c>
      <c r="BT153" s="1" t="s">
        <v>237</v>
      </c>
      <c r="BU153" s="1" t="s">
        <v>228</v>
      </c>
      <c r="BW153" s="1" t="s">
        <v>238</v>
      </c>
      <c r="BX153" s="1">
        <v>45</v>
      </c>
      <c r="BY153" s="1">
        <v>250</v>
      </c>
      <c r="BZ153" s="1" t="s">
        <v>284</v>
      </c>
      <c r="CA153" s="1" t="s">
        <v>343</v>
      </c>
      <c r="CB153" s="1" t="s">
        <v>240</v>
      </c>
      <c r="CC153" s="1" t="s">
        <v>459</v>
      </c>
      <c r="CD153" s="1">
        <v>500</v>
      </c>
      <c r="CE153" s="1">
        <v>700</v>
      </c>
      <c r="CF153" s="1" t="s">
        <v>236</v>
      </c>
      <c r="CG153" s="1" t="s">
        <v>242</v>
      </c>
      <c r="CH153" s="1" t="s">
        <v>243</v>
      </c>
      <c r="CI153" s="1" t="s">
        <v>243</v>
      </c>
      <c r="CJ153" s="1" t="s">
        <v>2848</v>
      </c>
      <c r="CL153" s="5" t="s">
        <v>5454</v>
      </c>
      <c r="CM153" s="44" t="s">
        <v>2271</v>
      </c>
      <c r="CN153" s="1" t="s">
        <v>228</v>
      </c>
      <c r="CQ153" s="42">
        <v>0.45833333333575865</v>
      </c>
      <c r="CR153" s="42">
        <v>0.25</v>
      </c>
      <c r="CT153" s="45" t="str">
        <f t="array" ref="CT153">IFERROR(INDEX(#REF!,MATCH('Respuestas de formulario 1.1'!$B153,#REF!,0),MATCH('Respuestas de formulario 1.1'!CT$1,#REF!,0)),"")</f>
        <v/>
      </c>
      <c r="CU153" s="56" t="str">
        <f t="array" ref="CU153">IFERROR(INDEX(#REF!,MATCH('Respuestas de formulario 1.1'!$B153,#REF!,0),MATCH('Respuestas de formulario 1.1'!CU$1,#REF!,0)),"")</f>
        <v/>
      </c>
      <c r="CV153" s="56" t="str">
        <f t="array" ref="CV153">IFERROR(INDEX(#REF!,MATCH('Respuestas de formulario 1.1'!$B153,#REF!,0),MATCH('Respuestas de formulario 1.1'!CV$1,#REF!,0)),"")</f>
        <v/>
      </c>
      <c r="CW153" s="56" t="str">
        <f t="array" ref="CW153">IFERROR(INDEX(#REF!,MATCH('Respuestas de formulario 1.1'!$B153,#REF!,0),MATCH('Respuestas de formulario 1.1'!CW$1,#REF!,0)),"")</f>
        <v/>
      </c>
      <c r="CX153" s="56" t="str">
        <f t="array" ref="CX153">IFERROR(INDEX(#REF!,MATCH('Respuestas de formulario 1.1'!$B153,#REF!,0),MATCH('Respuestas de formulario 1.1'!CX$1,#REF!,0)),"")</f>
        <v/>
      </c>
      <c r="CY153" s="56" t="str">
        <f t="array" ref="CY153">IFERROR(INDEX(#REF!,MATCH('Respuestas de formulario 1.1'!$B153,#REF!,0),MATCH('Respuestas de formulario 1.1'!CY$1,#REF!,0)),"")</f>
        <v/>
      </c>
      <c r="CZ153" s="57" t="str">
        <f t="array" ref="CZ153">IFERROR(INDEX(#REF!,MATCH('Respuestas de formulario 1.1'!$B153,#REF!,0),MATCH('Respuestas de formulario 1.1'!CZ$1,#REF!,0)),"")</f>
        <v/>
      </c>
      <c r="DA153" s="45" t="e">
        <f t="array" ref="DA153">INDEX(#REF!,MATCH('Respuestas de formulario 1.1'!$B153,#REF!,0),MATCH('Respuestas de formulario 1.1'!DA$1,#REF!,0))</f>
        <v>#REF!</v>
      </c>
      <c r="DB153" s="45" t="e">
        <f t="array" ref="DB153">INDEX(#REF!,MATCH('Respuestas de formulario 1.1'!$B153,#REF!,0),MATCH('Respuestas de formulario 1.1'!DB$1,#REF!,0))</f>
        <v>#REF!</v>
      </c>
      <c r="DC153" s="45" t="e">
        <f t="array" ref="DC153">INDEX(#REF!,MATCH('Respuestas de formulario 1.1'!$B153,#REF!,0),MATCH('Respuestas de formulario 1.1'!DC$1,#REF!,0))</f>
        <v>#REF!</v>
      </c>
      <c r="DD153" s="45" t="e">
        <f t="array" ref="DD153">INDEX(#REF!,MATCH('Respuestas de formulario 1.1'!$B153,#REF!,0),MATCH('Respuestas de formulario 1.1'!DD$1,#REF!,0))</f>
        <v>#REF!</v>
      </c>
      <c r="DE153" s="45" t="e">
        <f t="array" ref="DE153">INDEX(#REF!,MATCH('Respuestas de formulario 1.1'!$B153,#REF!,0),MATCH('Respuestas de formulario 1.1'!DE$1,#REF!,0))</f>
        <v>#REF!</v>
      </c>
      <c r="DF153" s="45" t="e">
        <f t="array" ref="DF153">INDEX(#REF!,MATCH('Respuestas de formulario 1.1'!$B153,#REF!,0),MATCH('Respuestas de formulario 1.1'!DF$1,#REF!,0))</f>
        <v>#REF!</v>
      </c>
      <c r="DG153" s="45" t="e">
        <f t="array" ref="DG153">INDEX(#REF!,MATCH('Respuestas de formulario 1.1'!$B153,#REF!,0),MATCH('Respuestas de formulario 1.1'!DG$1,#REF!,0))</f>
        <v>#REF!</v>
      </c>
      <c r="DH153" s="45" t="e">
        <f t="array" ref="DH153">INDEX(#REF!,MATCH('Respuestas de formulario 1.1'!$B153,#REF!,0),MATCH('Respuestas de formulario 1.1'!DH$1,#REF!,0))</f>
        <v>#REF!</v>
      </c>
      <c r="DI153" s="48" t="e">
        <f>VLOOKUP(CONCATENATE($DF153," TUTO ",$DC153),#REF!,3,0)</f>
        <v>#REF!</v>
      </c>
      <c r="DJ153" s="48" t="e">
        <f t="array" ref="DJ153">IF('Respuestas de formulario 1.1'!A153="","",INDEX(#REF!,MATCH('Respuestas de formulario 1.1'!B153,#REF!,0),MATCH('Respuestas de formulario 1.1'!$DH$1,#REF!,0)))</f>
        <v>#REF!</v>
      </c>
      <c r="DK153" s="52" t="str">
        <f>CONCATENATE("http://doc.google.com/uc?id=",MID('Respuestas de formulario 1.1'!G153,34,33))</f>
        <v>http://doc.google.com/uc?id=1Dy3f1VeEE-K2ZL0tdh3T_i3MlvYMcz2t</v>
      </c>
      <c r="DL153" s="49" t="str">
        <f>CONCATENATE("http://doc.google.com/uc?id=",MID('Respuestas de formulario 1.1'!AH153,34,33))</f>
        <v>http://doc.google.com/uc?id=1xtXAtXutuWH0-KsnstbtzkdIBtzhaU0U</v>
      </c>
      <c r="DM153" s="50" t="str">
        <f>CONCATENATE("http://doc.google.com/uc?id=",MID('Respuestas de formulario 1.1'!AW153,34,33))</f>
        <v>http://doc.google.com/uc?id=1tAa9OIMw1rBQLCYHzoTGaj2vQRRAYVSS</v>
      </c>
      <c r="DN153" s="53" t="str">
        <f>CONCATENATE("http://doc.google.com/uc?id=",MID('Respuestas de formulario 1.1'!$BI153,34,33))</f>
        <v>http://doc.google.com/uc?id=19UE08UhzgT-nC73K4UHdQUSJMN9Sj3by</v>
      </c>
      <c r="DO153" s="45" t="str">
        <f>IFERROR(VLOOKUP(CONCATENATE('Respuestas de formulario 1.1'!$B153,MID('Respuestas de formulario 1.1'!DO$1,2,1)),#REF!,12,0),"")</f>
        <v/>
      </c>
      <c r="DP153" s="45" t="str">
        <f>IFERROR(VLOOKUP(CONCATENATE('Respuestas de formulario 1.1'!$B153,MID('Respuestas de formulario 1.1'!DP$1,2,1)),#REF!,12,0),"")</f>
        <v/>
      </c>
      <c r="DQ153" s="45" t="str">
        <f>IFERROR(VLOOKUP(CONCATENATE('Respuestas de formulario 1.1'!$B153,MID('Respuestas de formulario 1.1'!DQ$1,2,1)),#REF!,12,0),"")</f>
        <v/>
      </c>
      <c r="DR153" s="45" t="str">
        <f>IFERROR(VLOOKUP(CONCATENATE('Respuestas de formulario 1.1'!$B153,MID('Respuestas de formulario 1.1'!DR$1,2,1)),#REF!,12,0),"")</f>
        <v/>
      </c>
      <c r="DS153" s="45" t="str">
        <f>IFERROR(VLOOKUP(CONCATENATE('Respuestas de formulario 1.1'!$B153,MID('Respuestas de formulario 1.1'!DS$1,2,1)),#REF!,12,0),"")</f>
        <v/>
      </c>
      <c r="DT153" s="45" t="str">
        <f>IFERROR(VLOOKUP(CONCATENATE('Respuestas de formulario 1.1'!$B153,MID('Respuestas de formulario 1.1'!DT$1,2,1)),#REF!,12,0),"")</f>
        <v/>
      </c>
      <c r="DU153" s="45" t="str">
        <f>IFERROR(VLOOKUP(CONCATENATE('Respuestas de formulario 1.1'!$B153,MID('Respuestas de formulario 1.1'!DU$1,2,1)),#REF!,12,0),"")</f>
        <v/>
      </c>
      <c r="DV153" s="45" t="str">
        <f>IFERROR(VLOOKUP(CONCATENATE('Respuestas de formulario 1.1'!$B153,MID('Respuestas de formulario 1.1'!DV$1,2,1)),#REF!,12,0),"")</f>
        <v/>
      </c>
      <c r="DW153" s="45" t="str">
        <f>IFERROR(VLOOKUP(CONCATENATE('Respuestas de formulario 1.1'!$B153,MID('Respuestas de formulario 1.1'!DW$1,2,1)),#REF!,12,0),"")</f>
        <v/>
      </c>
      <c r="DX153" s="45" t="str">
        <f>IFERROR(VLOOKUP(CONCATENATE('Respuestas de formulario 1.1'!$B153,MID('Respuestas de formulario 1.1'!DX$1,2,1)),#REF!,12,0),"")</f>
        <v/>
      </c>
      <c r="DY153" s="45" t="str">
        <f>IFERROR(VLOOKUP(CONCATENATE('Respuestas de formulario 1.1'!$B153,MID('Respuestas de formulario 1.1'!DY$1,2,1)),#REF!,12,0),"")</f>
        <v/>
      </c>
      <c r="DZ153" s="45" t="str">
        <f>IFERROR(VLOOKUP(CONCATENATE('Respuestas de formulario 1.1'!$B153,MID('Respuestas de formulario 1.1'!DZ$1,2,1)),#REF!,12,0),"")</f>
        <v/>
      </c>
      <c r="EA153" s="45" t="str">
        <f>IFERROR(VLOOKUP(CONCATENATE('Respuestas de formulario 1.1'!$B153,MID('Respuestas de formulario 1.1'!EA$1,2,1)),#REF!,12,0),"")</f>
        <v/>
      </c>
      <c r="EB153" s="45" t="str">
        <f>IFERROR(VLOOKUP(CONCATENATE('Respuestas de formulario 1.1'!$B153,MID('Respuestas de formulario 1.1'!EB$1,2,1)),#REF!,12,0),"")</f>
        <v/>
      </c>
      <c r="EC153" s="45" t="str">
        <f>IFERROR(VLOOKUP(CONCATENATE('Respuestas de formulario 1.1'!$B153,MID('Respuestas de formulario 1.1'!EC$1,2,1)),#REF!,12,0),"")</f>
        <v/>
      </c>
      <c r="ED153" s="45" t="str">
        <f>IFERROR(VLOOKUP(CONCATENATE('Respuestas de formulario 1.1'!$B153,MID('Respuestas de formulario 1.1'!ED$1,2,1)),#REF!,12,0),"")</f>
        <v/>
      </c>
      <c r="EE153" s="45" t="str">
        <f>IFERROR(VLOOKUP(CONCATENATE('Respuestas de formulario 1.1'!$B153,MID('Respuestas de formulario 1.1'!EE$1,2,1)),#REF!,12,0),"")</f>
        <v/>
      </c>
      <c r="EF153" s="45" t="str">
        <f>IFERROR(VLOOKUP(CONCATENATE('Respuestas de formulario 1.1'!$B153,MID('Respuestas de formulario 1.1'!EF$1,2,1)),#REF!,12,0),"")</f>
        <v/>
      </c>
      <c r="EG153" s="45" t="str">
        <f>IFERROR(VLOOKUP(CONCATENATE('Respuestas de formulario 1.1'!$B153,MID('Respuestas de formulario 1.1'!EG$1,2,1)),#REF!,12,0),"")</f>
        <v/>
      </c>
      <c r="EH153" s="45" t="str">
        <f>IFERROR(VLOOKUP(CONCATENATE('Respuestas de formulario 1.1'!$B153,MID('Respuestas de formulario 1.1'!EH$1,2,1)),#REF!,12,0),"")</f>
        <v/>
      </c>
      <c r="EI153" s="45" t="str">
        <f>IFERROR(VLOOKUP(CONCATENATE('Respuestas de formulario 1.1'!$B153,MID('Respuestas de formulario 1.1'!EI$1,2,1)),#REF!,12,0),"")</f>
        <v/>
      </c>
      <c r="EJ153" s="45" t="str">
        <f t="array" ref="EJ153">IF(DO153="","", INDEX(#REF!,MATCH(CONCATENATE('Respuestas de formulario 1.1'!$B153,DO153),#REF!,0),MATCH('Respuestas de formulario 1.1'!EJ$1,#REF!,0)))</f>
        <v/>
      </c>
      <c r="EK153" s="56" t="str">
        <f t="array" ref="EK153">IF(DP153="","", INDEX(#REF!,MATCH(CONCATENATE('Respuestas de formulario 1.1'!$B153,DP153),#REF!,0),MATCH('Respuestas de formulario 1.1'!EK$1,#REF!,0)))</f>
        <v/>
      </c>
      <c r="EL153" s="56" t="str">
        <f t="array" ref="EL153">IF(DQ153="","", INDEX(#REF!,MATCH(CONCATENATE('Respuestas de formulario 1.1'!$B153,DQ153),#REF!,0),MATCH('Respuestas de formulario 1.1'!EL$1,#REF!,0)))</f>
        <v/>
      </c>
      <c r="EM153" s="56" t="str">
        <f t="array" ref="EM153">IF(DR153="","", INDEX(#REF!,MATCH(CONCATENATE('Respuestas de formulario 1.1'!$B153,DR153),#REF!,0),MATCH('Respuestas de formulario 1.1'!EM$1,#REF!,0)))</f>
        <v/>
      </c>
      <c r="EN153" s="56" t="str">
        <f t="array" ref="EN153">IF(DS153="","", INDEX(#REF!,MATCH(CONCATENATE('Respuestas de formulario 1.1'!$B153,DS153),#REF!,0),MATCH('Respuestas de formulario 1.1'!EN$1,#REF!,0)))</f>
        <v/>
      </c>
      <c r="EO153" s="56" t="str">
        <f t="array" ref="EO153">IF(DT153="","", INDEX(#REF!,MATCH(CONCATENATE('Respuestas de formulario 1.1'!$B153,DT153),#REF!,0),MATCH('Respuestas de formulario 1.1'!EO$1,#REF!,0)))</f>
        <v/>
      </c>
      <c r="EP153" s="45" t="str">
        <f t="array" ref="EP153">IF(DU153="","", INDEX(#REF!,MATCH(CONCATENATE('Respuestas de formulario 1.1'!$B153,DU153),#REF!,0),MATCH('Respuestas de formulario 1.1'!EP$1,#REF!,0)))</f>
        <v/>
      </c>
      <c r="EQ153" s="45" t="str">
        <f t="array" ref="EQ153">IF(DP153="","", INDEX(#REF!,MATCH(CONCATENATE('Respuestas de formulario 1.1'!$B153,DP153),#REF!,0),MATCH('Respuestas de formulario 1.1'!EQ$1,#REF!,0)))</f>
        <v/>
      </c>
      <c r="ER153" s="56" t="str">
        <f t="array" ref="ER153">IF(DQ153="","", INDEX(#REF!,MATCH(CONCATENATE('Respuestas de formulario 1.1'!$B153,DQ153),#REF!,0),MATCH('Respuestas de formulario 1.1'!ER$1,#REF!,0)))</f>
        <v/>
      </c>
      <c r="ES153" s="56" t="str">
        <f t="array" ref="ES153">IF(DR153="","", INDEX(#REF!,MATCH(CONCATENATE('Respuestas de formulario 1.1'!$B153,DR153),#REF!,0),MATCH('Respuestas de formulario 1.1'!ES$1,#REF!,0)))</f>
        <v/>
      </c>
      <c r="ET153" s="56" t="str">
        <f t="array" ref="ET153">IF(DS153="","", INDEX(#REF!,MATCH(CONCATENATE('Respuestas de formulario 1.1'!$B153,DS153),#REF!,0),MATCH('Respuestas de formulario 1.1'!ET$1,#REF!,0)))</f>
        <v/>
      </c>
      <c r="EU153" s="56" t="str">
        <f t="array" ref="EU153">IF(DT153="","", INDEX(#REF!,MATCH(CONCATENATE('Respuestas de formulario 1.1'!$B153,DT153),#REF!,0),MATCH('Respuestas de formulario 1.1'!EU$1,#REF!,0)))</f>
        <v/>
      </c>
      <c r="EV153" s="56" t="str">
        <f t="array" ref="EV153">IF(DU153="","", INDEX(#REF!,MATCH(CONCATENATE('Respuestas de formulario 1.1'!$B153,DU153),#REF!,0),MATCH('Respuestas de formulario 1.1'!EV$1,#REF!,0)))</f>
        <v/>
      </c>
      <c r="EW153" s="45" t="str">
        <f t="array" ref="EW153">IF(DV153="","", INDEX(#REF!,MATCH(CONCATENATE('Respuestas de formulario 1.1'!$B153,DV153),#REF!,0),MATCH('Respuestas de formulario 1.1'!EW$1,#REF!,0)))</f>
        <v/>
      </c>
      <c r="EX153" s="45" t="str">
        <f t="array" ref="EX153">IF($DQ153="","", INDEX(#REF!,MATCH(CONCATENATE('Respuestas de formulario 1.1'!$B153,$DQ153),#REF!,0),MATCH('Respuestas de formulario 1.1'!EX$1,#REF!,0)))</f>
        <v/>
      </c>
      <c r="EY153" s="56" t="str">
        <f t="array" ref="EY153">IF($DQ153="","", INDEX(#REF!,MATCH(CONCATENATE('Respuestas de formulario 1.1'!$B153,$DQ153),#REF!,0),MATCH('Respuestas de formulario 1.1'!EY$1,#REF!,0)))</f>
        <v/>
      </c>
      <c r="EZ153" s="56" t="str">
        <f t="array" ref="EZ153">IF($DQ153="","", INDEX(#REF!,MATCH(CONCATENATE('Respuestas de formulario 1.1'!$B153,$DQ153),#REF!,0),MATCH('Respuestas de formulario 1.1'!EZ$1,#REF!,0)))</f>
        <v/>
      </c>
      <c r="FA153" s="56" t="str">
        <f t="array" ref="FA153">IF($DQ153="","", INDEX(#REF!,MATCH(CONCATENATE('Respuestas de formulario 1.1'!$B153,$DQ153),#REF!,0),MATCH('Respuestas de formulario 1.1'!FA$1,#REF!,0)))</f>
        <v/>
      </c>
      <c r="FB153" s="56" t="str">
        <f t="array" ref="FB153">IF($DQ153="","", INDEX(#REF!,MATCH(CONCATENATE('Respuestas de formulario 1.1'!$B153,$DQ153),#REF!,0),MATCH('Respuestas de formulario 1.1'!FB$1,#REF!,0)))</f>
        <v/>
      </c>
      <c r="FC153" s="56" t="str">
        <f t="array" ref="FC153">IF($DQ153="","", INDEX(#REF!,MATCH(CONCATENATE('Respuestas de formulario 1.1'!$B153,$DQ153),#REF!,0),MATCH('Respuestas de formulario 1.1'!FC$1,#REF!,0)))</f>
        <v/>
      </c>
      <c r="FD153" s="45" t="str">
        <f t="array" ref="FD153">IF($DQ153="","", INDEX(#REF!,MATCH(CONCATENATE('Respuestas de formulario 1.1'!$B153,$DQ153),#REF!,0),MATCH('Respuestas de formulario 1.1'!FD$1,#REF!,0)))</f>
        <v/>
      </c>
      <c r="FE153" s="45" t="str">
        <f t="array" ref="FE153">IF($DR153="","", INDEX(#REF!,MATCH(CONCATENATE(#REF!,$DR153),#REF!,0),MATCH(#REF!,#REF!,0)))</f>
        <v/>
      </c>
      <c r="FF153" s="56" t="str">
        <f t="array" ref="FF153">IF($DR153="","", INDEX(#REF!,MATCH(CONCATENATE(#REF!,$DR153),#REF!,0),MATCH(#REF!,#REF!,0)))</f>
        <v/>
      </c>
      <c r="FG153" s="56" t="str">
        <f t="array" ref="FG153">IF($DR153="","", INDEX(#REF!,MATCH(CONCATENATE(#REF!,$DR153),#REF!,0),MATCH(#REF!,#REF!,0)))</f>
        <v/>
      </c>
      <c r="FH153" s="56" t="str">
        <f t="array" ref="FH153">IF($DR153="","", INDEX(#REF!,MATCH(CONCATENATE(#REF!,$DR153),#REF!,0),MATCH(#REF!,#REF!,0)))</f>
        <v/>
      </c>
      <c r="FI153" s="56" t="str">
        <f t="array" ref="FI153">IF($DR153="","", INDEX(#REF!,MATCH(CONCATENATE(#REF!,$DR153),#REF!,0),MATCH(#REF!,#REF!,0)))</f>
        <v/>
      </c>
      <c r="FJ153" s="56" t="str">
        <f t="array" ref="FJ153">IF($DR153="","", INDEX(#REF!,MATCH(CONCATENATE(#REF!,$DR153),#REF!,0),MATCH(#REF!,#REF!,0)))</f>
        <v/>
      </c>
      <c r="FK153" s="45" t="str">
        <f t="array" ref="FK153">IF($DR153="","", INDEX(#REF!,MATCH(CONCATENATE(#REF!,$DR153),#REF!,0),MATCH(#REF!,#REF!,0)))</f>
        <v/>
      </c>
      <c r="FL153" s="45" t="str">
        <f t="array" ref="FL153">IF($DT153="","", INDEX(#REF!,MATCH(CONCATENATE('Respuestas de formulario 1.1'!$B153,$DS153),#REF!,0),MATCH('Respuestas de formulario 1.1'!FL$1,#REF!,0)))</f>
        <v/>
      </c>
      <c r="FM153" s="56" t="str">
        <f t="array" ref="FM153">IF($DT153="","", INDEX(#REF!,MATCH(CONCATENATE('Respuestas de formulario 1.1'!$B153,$DS153),#REF!,0),MATCH('Respuestas de formulario 1.1'!FM$1,#REF!,0)))</f>
        <v/>
      </c>
      <c r="FN153" s="56" t="str">
        <f t="array" ref="FN153">IF($DT153="","", INDEX(#REF!,MATCH(CONCATENATE('Respuestas de formulario 1.1'!$B153,$DS153),#REF!,0),MATCH('Respuestas de formulario 1.1'!FN$1,#REF!,0)))</f>
        <v/>
      </c>
      <c r="FO153" s="56" t="str">
        <f t="array" ref="FO153">IF($DT153="","", INDEX(#REF!,MATCH(CONCATENATE('Respuestas de formulario 1.1'!$B153,$DS153),#REF!,0),MATCH('Respuestas de formulario 1.1'!FO$1,#REF!,0)))</f>
        <v/>
      </c>
      <c r="FP153" s="56" t="str">
        <f t="array" ref="FP153">IF($DT153="","", INDEX(#REF!,MATCH(CONCATENATE('Respuestas de formulario 1.1'!$B153,$DS153),#REF!,0),MATCH('Respuestas de formulario 1.1'!FP$1,#REF!,0)))</f>
        <v/>
      </c>
      <c r="FQ153" s="56" t="str">
        <f t="array" ref="FQ153">IF($DT153="","", INDEX(#REF!,MATCH(CONCATENATE('Respuestas de formulario 1.1'!$B153,$DS153),#REF!,0),MATCH('Respuestas de formulario 1.1'!FQ$1,#REF!,0)))</f>
        <v/>
      </c>
      <c r="FR153" s="45" t="str">
        <f t="array" ref="FR153">IF($DT153="","", INDEX(#REF!,MATCH(CONCATENATE('Respuestas de formulario 1.1'!$B153,$DS153),#REF!,0),MATCH('Respuestas de formulario 1.1'!FR$1,#REF!,0)))</f>
        <v/>
      </c>
      <c r="FS153" s="45" t="str">
        <f t="array" ref="FS153">IF($DU153="","", INDEX(#REF!,MATCH(CONCATENATE('Respuestas de formulario 1.1'!$B153,$DT153),#REF!,0),MATCH('Respuestas de formulario 1.1'!FS$1,#REF!,0)))</f>
        <v/>
      </c>
      <c r="FT153" s="56" t="str">
        <f t="array" ref="FT153">IF($DU153="","", INDEX(#REF!,MATCH(CONCATENATE('Respuestas de formulario 1.1'!$B153,$DT153),#REF!,0),MATCH('Respuestas de formulario 1.1'!FT$1,#REF!,0)))</f>
        <v/>
      </c>
      <c r="FU153" s="56" t="str">
        <f t="array" ref="FU153">IF($DU153="","", INDEX(#REF!,MATCH(CONCATENATE('Respuestas de formulario 1.1'!$B153,$DT153),#REF!,0),MATCH('Respuestas de formulario 1.1'!FU$1,#REF!,0)))</f>
        <v/>
      </c>
      <c r="FV153" s="56" t="str">
        <f t="array" ref="FV153">IF($DU153="","", INDEX(#REF!,MATCH(CONCATENATE('Respuestas de formulario 1.1'!$B153,$DT153),#REF!,0),MATCH('Respuestas de formulario 1.1'!FV$1,#REF!,0)))</f>
        <v/>
      </c>
      <c r="FW153" s="56" t="str">
        <f t="array" ref="FW153">IF($DU153="","", INDEX(#REF!,MATCH(CONCATENATE('Respuestas de formulario 1.1'!$B153,$DT153),#REF!,0),MATCH('Respuestas de formulario 1.1'!FW$1,#REF!,0)))</f>
        <v/>
      </c>
      <c r="FX153" s="56" t="str">
        <f t="array" ref="FX153">IF($DU153="","", INDEX(#REF!,MATCH(CONCATENATE('Respuestas de formulario 1.1'!$B153,$DT153),#REF!,0),MATCH('Respuestas de formulario 1.1'!FX$1,#REF!,0)))</f>
        <v/>
      </c>
      <c r="FY153" s="45" t="str">
        <f t="array" ref="FY153">IF($DU153="","", INDEX(#REF!,MATCH(CONCATENATE('Respuestas de formulario 1.1'!$B153,$DT153),#REF!,0),MATCH('Respuestas de formulario 1.1'!FY$1,#REF!,0)))</f>
        <v/>
      </c>
      <c r="FZ153" s="3" t="s">
        <v>2860</v>
      </c>
      <c r="GA153" s="1" t="s">
        <v>5455</v>
      </c>
      <c r="GB153" s="5" t="s">
        <v>5456</v>
      </c>
      <c r="GC153" s="4" t="str">
        <f>HYPERLINK("https://drive.google.com/file/d/1i8IjrJ9BHPODFiON_iVq3qehxhx55sPQ/view?usp=drivesdk","ELIZONDO  MARTINEZ EMILY AMAIRIANY  Formato de reinscripción y pago 2022-2")</f>
        <v>ELIZONDO  MARTINEZ EMILY AMAIRIANY  Formato de reinscripción y pago 2022-2</v>
      </c>
      <c r="GD153" s="1" t="s">
        <v>5457</v>
      </c>
      <c r="GE153" s="1"/>
      <c r="GF153" s="1"/>
      <c r="GG153" s="1"/>
      <c r="GH153" s="1"/>
      <c r="GI153" s="1" t="s">
        <v>5458</v>
      </c>
      <c r="GJ153" s="5" t="s">
        <v>5459</v>
      </c>
      <c r="GK153" s="5" t="str">
        <f>HYPERLINK("https://drive.google.com/file/d/1nbFo5Uo_hrUguORX34CQL5PchHIpRUrL/view?usp=drivesdk","ELIZONDO  MARTINEZ EMILY AMAIRIANY  Formato de reinscripción y pago 2022-2")</f>
        <v>ELIZONDO  MARTINEZ EMILY AMAIRIANY  Formato de reinscripción y pago 2022-2</v>
      </c>
      <c r="GL153" s="1" t="s">
        <v>5460</v>
      </c>
    </row>
    <row r="154" spans="1:194" ht="38.25" x14ac:dyDescent="0.2">
      <c r="A154" s="2">
        <v>45139.830525625002</v>
      </c>
      <c r="B154" s="1" t="s">
        <v>57</v>
      </c>
      <c r="C154" s="1" t="s">
        <v>1336</v>
      </c>
      <c r="D154" s="1" t="s">
        <v>433</v>
      </c>
      <c r="E154" s="1" t="s">
        <v>5461</v>
      </c>
      <c r="F154" s="1" t="s">
        <v>262</v>
      </c>
      <c r="G154" s="5" t="s">
        <v>5462</v>
      </c>
      <c r="H154" s="41">
        <v>38463</v>
      </c>
      <c r="I154" s="1">
        <v>18</v>
      </c>
      <c r="J154" s="1">
        <v>5546359947</v>
      </c>
      <c r="K154" s="1">
        <v>5546359947</v>
      </c>
      <c r="L154" s="1" t="s">
        <v>1698</v>
      </c>
      <c r="M154" s="1">
        <v>22309060570298</v>
      </c>
      <c r="N154" s="1" t="s">
        <v>562</v>
      </c>
      <c r="O154" s="1" t="s">
        <v>225</v>
      </c>
      <c r="P154" s="1" t="s">
        <v>278</v>
      </c>
      <c r="Q154" s="1" t="s">
        <v>263</v>
      </c>
      <c r="R154" s="1" t="s">
        <v>236</v>
      </c>
      <c r="S154" s="1" t="s">
        <v>228</v>
      </c>
      <c r="T154" s="1" t="s">
        <v>229</v>
      </c>
      <c r="U154" s="1" t="s">
        <v>249</v>
      </c>
      <c r="V154" s="1" t="s">
        <v>228</v>
      </c>
      <c r="W154" s="1" t="s">
        <v>1699</v>
      </c>
      <c r="X154" s="1" t="s">
        <v>249</v>
      </c>
      <c r="Y154" s="1" t="s">
        <v>5463</v>
      </c>
      <c r="Z154" s="1" t="s">
        <v>240</v>
      </c>
      <c r="AA154" s="44" t="s">
        <v>555</v>
      </c>
      <c r="AB154" s="1" t="s">
        <v>1701</v>
      </c>
      <c r="AC154" s="1" t="s">
        <v>1700</v>
      </c>
      <c r="AD154" s="1" t="s">
        <v>5464</v>
      </c>
      <c r="AE154" s="1" t="s">
        <v>5465</v>
      </c>
      <c r="AF154" s="1" t="s">
        <v>5466</v>
      </c>
      <c r="AG154" s="1">
        <v>54</v>
      </c>
      <c r="AH154" s="5" t="s">
        <v>5467</v>
      </c>
      <c r="AI154" s="1">
        <v>5585947761</v>
      </c>
      <c r="AJ154" s="1">
        <v>5585947761</v>
      </c>
      <c r="AK154" s="1"/>
      <c r="AL154" s="1" t="s">
        <v>1336</v>
      </c>
      <c r="AM154" s="1" t="s">
        <v>325</v>
      </c>
      <c r="AN154" s="1" t="s">
        <v>1702</v>
      </c>
      <c r="AO154" s="1" t="s">
        <v>5468</v>
      </c>
      <c r="AP154" s="1">
        <v>62</v>
      </c>
      <c r="AQ154" s="1" t="s">
        <v>614</v>
      </c>
      <c r="AR154" s="42">
        <v>0.375</v>
      </c>
      <c r="AS154" s="42">
        <v>0.91666666666424135</v>
      </c>
      <c r="AT154" s="1">
        <v>5549061905</v>
      </c>
      <c r="AU154" s="1">
        <v>5549061905</v>
      </c>
      <c r="AV154" s="1"/>
      <c r="AW154" s="5" t="s">
        <v>5469</v>
      </c>
      <c r="AX154" s="1" t="s">
        <v>259</v>
      </c>
      <c r="AY154" s="1" t="s">
        <v>392</v>
      </c>
      <c r="AZ154" s="1" t="s">
        <v>702</v>
      </c>
      <c r="BA154" s="1" t="s">
        <v>5466</v>
      </c>
      <c r="BB154" s="1">
        <v>45</v>
      </c>
      <c r="BC154" s="1" t="s">
        <v>5470</v>
      </c>
      <c r="BD154" s="43">
        <v>0.29166666666424135</v>
      </c>
      <c r="BE154" s="43">
        <v>0.70833333333575865</v>
      </c>
      <c r="BF154" s="1">
        <v>5569859109</v>
      </c>
      <c r="BG154" s="1">
        <v>5569859109</v>
      </c>
      <c r="BH154" s="1"/>
      <c r="BI154" s="5" t="s">
        <v>5471</v>
      </c>
      <c r="BJ154" s="1" t="s">
        <v>236</v>
      </c>
      <c r="BL154" s="1">
        <v>168</v>
      </c>
      <c r="BM154" s="1">
        <v>90</v>
      </c>
      <c r="BN154" s="1" t="s">
        <v>228</v>
      </c>
      <c r="BO154" s="1" t="s">
        <v>228</v>
      </c>
      <c r="BQ154" s="1" t="s">
        <v>228</v>
      </c>
      <c r="BR154" s="1" t="s">
        <v>237</v>
      </c>
      <c r="BS154" s="1" t="s">
        <v>228</v>
      </c>
      <c r="BT154" s="1" t="s">
        <v>237</v>
      </c>
      <c r="BU154" s="1" t="s">
        <v>228</v>
      </c>
      <c r="BW154" s="1" t="s">
        <v>238</v>
      </c>
      <c r="BX154" s="1">
        <v>100</v>
      </c>
      <c r="BY154" s="1">
        <v>200</v>
      </c>
      <c r="BZ154" s="1" t="s">
        <v>253</v>
      </c>
      <c r="CA154" s="1" t="s">
        <v>254</v>
      </c>
      <c r="CB154" s="1" t="s">
        <v>240</v>
      </c>
      <c r="CC154" s="1" t="s">
        <v>255</v>
      </c>
      <c r="CD154" s="1">
        <v>2000</v>
      </c>
      <c r="CE154" s="1">
        <v>1000</v>
      </c>
      <c r="CF154" s="1" t="s">
        <v>236</v>
      </c>
      <c r="CG154" s="1" t="s">
        <v>242</v>
      </c>
      <c r="CH154" s="1" t="s">
        <v>243</v>
      </c>
      <c r="CI154" s="1" t="s">
        <v>243</v>
      </c>
      <c r="CJ154" s="1" t="s">
        <v>2848</v>
      </c>
      <c r="CL154" s="5" t="s">
        <v>5472</v>
      </c>
      <c r="CM154" s="44" t="s">
        <v>1703</v>
      </c>
      <c r="CN154" s="1" t="s">
        <v>228</v>
      </c>
      <c r="CQ154" s="42">
        <v>0.33333333333575865</v>
      </c>
      <c r="CR154" s="42">
        <v>0.54166666666424135</v>
      </c>
      <c r="CT154" s="45" t="str">
        <f t="array" ref="CT154">IFERROR(INDEX(#REF!,MATCH('Respuestas de formulario 1.1'!$B154,#REF!,0),MATCH('Respuestas de formulario 1.1'!CT$1,#REF!,0)),"")</f>
        <v/>
      </c>
      <c r="CU154" s="56" t="str">
        <f t="array" ref="CU154">IFERROR(INDEX(#REF!,MATCH('Respuestas de formulario 1.1'!$B154,#REF!,0),MATCH('Respuestas de formulario 1.1'!CU$1,#REF!,0)),"")</f>
        <v/>
      </c>
      <c r="CV154" s="56" t="str">
        <f t="array" ref="CV154">IFERROR(INDEX(#REF!,MATCH('Respuestas de formulario 1.1'!$B154,#REF!,0),MATCH('Respuestas de formulario 1.1'!CV$1,#REF!,0)),"")</f>
        <v/>
      </c>
      <c r="CW154" s="56" t="str">
        <f t="array" ref="CW154">IFERROR(INDEX(#REF!,MATCH('Respuestas de formulario 1.1'!$B154,#REF!,0),MATCH('Respuestas de formulario 1.1'!CW$1,#REF!,0)),"")</f>
        <v/>
      </c>
      <c r="CX154" s="56" t="str">
        <f t="array" ref="CX154">IFERROR(INDEX(#REF!,MATCH('Respuestas de formulario 1.1'!$B154,#REF!,0),MATCH('Respuestas de formulario 1.1'!CX$1,#REF!,0)),"")</f>
        <v/>
      </c>
      <c r="CY154" s="56" t="str">
        <f t="array" ref="CY154">IFERROR(INDEX(#REF!,MATCH('Respuestas de formulario 1.1'!$B154,#REF!,0),MATCH('Respuestas de formulario 1.1'!CY$1,#REF!,0)),"")</f>
        <v/>
      </c>
      <c r="CZ154" s="57" t="str">
        <f t="array" ref="CZ154">IFERROR(INDEX(#REF!,MATCH('Respuestas de formulario 1.1'!$B154,#REF!,0),MATCH('Respuestas de formulario 1.1'!CZ$1,#REF!,0)),"")</f>
        <v/>
      </c>
      <c r="DA154" s="45" t="e">
        <f t="array" ref="DA154">INDEX(#REF!,MATCH('Respuestas de formulario 1.1'!$B154,#REF!,0),MATCH('Respuestas de formulario 1.1'!DA$1,#REF!,0))</f>
        <v>#REF!</v>
      </c>
      <c r="DB154" s="45" t="e">
        <f t="array" ref="DB154">INDEX(#REF!,MATCH('Respuestas de formulario 1.1'!$B154,#REF!,0),MATCH('Respuestas de formulario 1.1'!DB$1,#REF!,0))</f>
        <v>#REF!</v>
      </c>
      <c r="DC154" s="45" t="e">
        <f t="array" ref="DC154">INDEX(#REF!,MATCH('Respuestas de formulario 1.1'!$B154,#REF!,0),MATCH('Respuestas de formulario 1.1'!DC$1,#REF!,0))</f>
        <v>#REF!</v>
      </c>
      <c r="DD154" s="45" t="e">
        <f t="array" ref="DD154">INDEX(#REF!,MATCH('Respuestas de formulario 1.1'!$B154,#REF!,0),MATCH('Respuestas de formulario 1.1'!DD$1,#REF!,0))</f>
        <v>#REF!</v>
      </c>
      <c r="DE154" s="45" t="e">
        <f t="array" ref="DE154">INDEX(#REF!,MATCH('Respuestas de formulario 1.1'!$B154,#REF!,0),MATCH('Respuestas de formulario 1.1'!DE$1,#REF!,0))</f>
        <v>#REF!</v>
      </c>
      <c r="DF154" s="45" t="e">
        <f t="array" ref="DF154">INDEX(#REF!,MATCH('Respuestas de formulario 1.1'!$B154,#REF!,0),MATCH('Respuestas de formulario 1.1'!DF$1,#REF!,0))</f>
        <v>#REF!</v>
      </c>
      <c r="DG154" s="45" t="e">
        <f t="array" ref="DG154">INDEX(#REF!,MATCH('Respuestas de formulario 1.1'!$B154,#REF!,0),MATCH('Respuestas de formulario 1.1'!DG$1,#REF!,0))</f>
        <v>#REF!</v>
      </c>
      <c r="DH154" s="45" t="e">
        <f t="array" ref="DH154">INDEX(#REF!,MATCH('Respuestas de formulario 1.1'!$B154,#REF!,0),MATCH('Respuestas de formulario 1.1'!DH$1,#REF!,0))</f>
        <v>#REF!</v>
      </c>
      <c r="DI154" s="48" t="e">
        <f>VLOOKUP(CONCATENATE($DF154," TUTO ",$DC154),#REF!,3,0)</f>
        <v>#REF!</v>
      </c>
      <c r="DJ154" s="48" t="e">
        <f t="array" ref="DJ154">IF('Respuestas de formulario 1.1'!A154="","",INDEX(#REF!,MATCH('Respuestas de formulario 1.1'!B154,#REF!,0),MATCH('Respuestas de formulario 1.1'!$DH$1,#REF!,0)))</f>
        <v>#REF!</v>
      </c>
      <c r="DK154" s="52" t="str">
        <f>CONCATENATE("http://doc.google.com/uc?id=",MID('Respuestas de formulario 1.1'!G154,34,33))</f>
        <v>http://doc.google.com/uc?id=1POS0CBFSiN2TL58FOigHjl9IUbJX2oNn</v>
      </c>
      <c r="DL154" s="49" t="str">
        <f>CONCATENATE("http://doc.google.com/uc?id=",MID('Respuestas de formulario 1.1'!AH154,34,33))</f>
        <v>http://doc.google.com/uc?id=1ZJRDaXymq2ivhKSvQmGngRUQhHAyUY3Q</v>
      </c>
      <c r="DM154" s="50" t="str">
        <f>CONCATENATE("http://doc.google.com/uc?id=",MID('Respuestas de formulario 1.1'!AW154,34,33))</f>
        <v>http://doc.google.com/uc?id=1cw77nbT7AhVw5-m1to_X-6YWbDcRtteB</v>
      </c>
      <c r="DN154" s="53" t="str">
        <f>CONCATENATE("http://doc.google.com/uc?id=",MID('Respuestas de formulario 1.1'!$BI154,34,33))</f>
        <v>http://doc.google.com/uc?id=1lhh7756HQ6IqTDhRot0f6cftyPXHh3b2</v>
      </c>
      <c r="DO154" s="45" t="str">
        <f>IFERROR(VLOOKUP(CONCATENATE('Respuestas de formulario 1.1'!$B154,MID('Respuestas de formulario 1.1'!DO$1,2,1)),#REF!,12,0),"")</f>
        <v/>
      </c>
      <c r="DP154" s="45" t="str">
        <f>IFERROR(VLOOKUP(CONCATENATE('Respuestas de formulario 1.1'!$B154,MID('Respuestas de formulario 1.1'!DP$1,2,1)),#REF!,12,0),"")</f>
        <v/>
      </c>
      <c r="DQ154" s="45" t="str">
        <f>IFERROR(VLOOKUP(CONCATENATE('Respuestas de formulario 1.1'!$B154,MID('Respuestas de formulario 1.1'!DQ$1,2,1)),#REF!,12,0),"")</f>
        <v/>
      </c>
      <c r="DR154" s="45" t="str">
        <f>IFERROR(VLOOKUP(CONCATENATE('Respuestas de formulario 1.1'!$B154,MID('Respuestas de formulario 1.1'!DR$1,2,1)),#REF!,12,0),"")</f>
        <v/>
      </c>
      <c r="DS154" s="45" t="str">
        <f>IFERROR(VLOOKUP(CONCATENATE('Respuestas de formulario 1.1'!$B154,MID('Respuestas de formulario 1.1'!DS$1,2,1)),#REF!,12,0),"")</f>
        <v/>
      </c>
      <c r="DT154" s="45" t="str">
        <f>IFERROR(VLOOKUP(CONCATENATE('Respuestas de formulario 1.1'!$B154,MID('Respuestas de formulario 1.1'!DT$1,2,1)),#REF!,12,0),"")</f>
        <v/>
      </c>
      <c r="DU154" s="45" t="str">
        <f>IFERROR(VLOOKUP(CONCATENATE('Respuestas de formulario 1.1'!$B154,MID('Respuestas de formulario 1.1'!DU$1,2,1)),#REF!,12,0),"")</f>
        <v/>
      </c>
      <c r="DV154" s="45" t="str">
        <f>IFERROR(VLOOKUP(CONCATENATE('Respuestas de formulario 1.1'!$B154,MID('Respuestas de formulario 1.1'!DV$1,2,1)),#REF!,12,0),"")</f>
        <v/>
      </c>
      <c r="DW154" s="45" t="str">
        <f>IFERROR(VLOOKUP(CONCATENATE('Respuestas de formulario 1.1'!$B154,MID('Respuestas de formulario 1.1'!DW$1,2,1)),#REF!,12,0),"")</f>
        <v/>
      </c>
      <c r="DX154" s="45" t="str">
        <f>IFERROR(VLOOKUP(CONCATENATE('Respuestas de formulario 1.1'!$B154,MID('Respuestas de formulario 1.1'!DX$1,2,1)),#REF!,12,0),"")</f>
        <v/>
      </c>
      <c r="DY154" s="45" t="str">
        <f>IFERROR(VLOOKUP(CONCATENATE('Respuestas de formulario 1.1'!$B154,MID('Respuestas de formulario 1.1'!DY$1,2,1)),#REF!,12,0),"")</f>
        <v/>
      </c>
      <c r="DZ154" s="45" t="str">
        <f>IFERROR(VLOOKUP(CONCATENATE('Respuestas de formulario 1.1'!$B154,MID('Respuestas de formulario 1.1'!DZ$1,2,1)),#REF!,12,0),"")</f>
        <v/>
      </c>
      <c r="EA154" s="45" t="str">
        <f>IFERROR(VLOOKUP(CONCATENATE('Respuestas de formulario 1.1'!$B154,MID('Respuestas de formulario 1.1'!EA$1,2,1)),#REF!,12,0),"")</f>
        <v/>
      </c>
      <c r="EB154" s="45" t="str">
        <f>IFERROR(VLOOKUP(CONCATENATE('Respuestas de formulario 1.1'!$B154,MID('Respuestas de formulario 1.1'!EB$1,2,1)),#REF!,12,0),"")</f>
        <v/>
      </c>
      <c r="EC154" s="45" t="str">
        <f>IFERROR(VLOOKUP(CONCATENATE('Respuestas de formulario 1.1'!$B154,MID('Respuestas de formulario 1.1'!EC$1,2,1)),#REF!,12,0),"")</f>
        <v/>
      </c>
      <c r="ED154" s="45" t="str">
        <f>IFERROR(VLOOKUP(CONCATENATE('Respuestas de formulario 1.1'!$B154,MID('Respuestas de formulario 1.1'!ED$1,2,1)),#REF!,12,0),"")</f>
        <v/>
      </c>
      <c r="EE154" s="45" t="str">
        <f>IFERROR(VLOOKUP(CONCATENATE('Respuestas de formulario 1.1'!$B154,MID('Respuestas de formulario 1.1'!EE$1,2,1)),#REF!,12,0),"")</f>
        <v/>
      </c>
      <c r="EF154" s="45" t="str">
        <f>IFERROR(VLOOKUP(CONCATENATE('Respuestas de formulario 1.1'!$B154,MID('Respuestas de formulario 1.1'!EF$1,2,1)),#REF!,12,0),"")</f>
        <v/>
      </c>
      <c r="EG154" s="45" t="str">
        <f>IFERROR(VLOOKUP(CONCATENATE('Respuestas de formulario 1.1'!$B154,MID('Respuestas de formulario 1.1'!EG$1,2,1)),#REF!,12,0),"")</f>
        <v/>
      </c>
      <c r="EH154" s="45" t="str">
        <f>IFERROR(VLOOKUP(CONCATENATE('Respuestas de formulario 1.1'!$B154,MID('Respuestas de formulario 1.1'!EH$1,2,1)),#REF!,12,0),"")</f>
        <v/>
      </c>
      <c r="EI154" s="45" t="str">
        <f>IFERROR(VLOOKUP(CONCATENATE('Respuestas de formulario 1.1'!$B154,MID('Respuestas de formulario 1.1'!EI$1,2,1)),#REF!,12,0),"")</f>
        <v/>
      </c>
      <c r="EJ154" s="45" t="str">
        <f t="array" ref="EJ154">IF(DO154="","", INDEX(#REF!,MATCH(CONCATENATE('Respuestas de formulario 1.1'!$B154,DO154),#REF!,0),MATCH('Respuestas de formulario 1.1'!EJ$1,#REF!,0)))</f>
        <v/>
      </c>
      <c r="EK154" s="56" t="str">
        <f t="array" ref="EK154">IF(DP154="","", INDEX(#REF!,MATCH(CONCATENATE('Respuestas de formulario 1.1'!$B154,DP154),#REF!,0),MATCH('Respuestas de formulario 1.1'!EK$1,#REF!,0)))</f>
        <v/>
      </c>
      <c r="EL154" s="56" t="str">
        <f t="array" ref="EL154">IF(DQ154="","", INDEX(#REF!,MATCH(CONCATENATE('Respuestas de formulario 1.1'!$B154,DQ154),#REF!,0),MATCH('Respuestas de formulario 1.1'!EL$1,#REF!,0)))</f>
        <v/>
      </c>
      <c r="EM154" s="56" t="str">
        <f t="array" ref="EM154">IF(DR154="","", INDEX(#REF!,MATCH(CONCATENATE('Respuestas de formulario 1.1'!$B154,DR154),#REF!,0),MATCH('Respuestas de formulario 1.1'!EM$1,#REF!,0)))</f>
        <v/>
      </c>
      <c r="EN154" s="56" t="str">
        <f t="array" ref="EN154">IF(DS154="","", INDEX(#REF!,MATCH(CONCATENATE('Respuestas de formulario 1.1'!$B154,DS154),#REF!,0),MATCH('Respuestas de formulario 1.1'!EN$1,#REF!,0)))</f>
        <v/>
      </c>
      <c r="EO154" s="56" t="str">
        <f t="array" ref="EO154">IF(DT154="","", INDEX(#REF!,MATCH(CONCATENATE('Respuestas de formulario 1.1'!$B154,DT154),#REF!,0),MATCH('Respuestas de formulario 1.1'!EO$1,#REF!,0)))</f>
        <v/>
      </c>
      <c r="EP154" s="45" t="str">
        <f t="array" ref="EP154">IF(DU154="","", INDEX(#REF!,MATCH(CONCATENATE('Respuestas de formulario 1.1'!$B154,DU154),#REF!,0),MATCH('Respuestas de formulario 1.1'!EP$1,#REF!,0)))</f>
        <v/>
      </c>
      <c r="EQ154" s="45" t="str">
        <f t="array" ref="EQ154">IF(DP154="","", INDEX(#REF!,MATCH(CONCATENATE('Respuestas de formulario 1.1'!$B154,DP154),#REF!,0),MATCH('Respuestas de formulario 1.1'!EQ$1,#REF!,0)))</f>
        <v/>
      </c>
      <c r="ER154" s="56" t="str">
        <f t="array" ref="ER154">IF(DQ154="","", INDEX(#REF!,MATCH(CONCATENATE('Respuestas de formulario 1.1'!$B154,DQ154),#REF!,0),MATCH('Respuestas de formulario 1.1'!ER$1,#REF!,0)))</f>
        <v/>
      </c>
      <c r="ES154" s="56" t="str">
        <f t="array" ref="ES154">IF(DR154="","", INDEX(#REF!,MATCH(CONCATENATE('Respuestas de formulario 1.1'!$B154,DR154),#REF!,0),MATCH('Respuestas de formulario 1.1'!ES$1,#REF!,0)))</f>
        <v/>
      </c>
      <c r="ET154" s="56" t="str">
        <f t="array" ref="ET154">IF(DS154="","", INDEX(#REF!,MATCH(CONCATENATE('Respuestas de formulario 1.1'!$B154,DS154),#REF!,0),MATCH('Respuestas de formulario 1.1'!ET$1,#REF!,0)))</f>
        <v/>
      </c>
      <c r="EU154" s="56" t="str">
        <f t="array" ref="EU154">IF(DT154="","", INDEX(#REF!,MATCH(CONCATENATE('Respuestas de formulario 1.1'!$B154,DT154),#REF!,0),MATCH('Respuestas de formulario 1.1'!EU$1,#REF!,0)))</f>
        <v/>
      </c>
      <c r="EV154" s="56" t="str">
        <f t="array" ref="EV154">IF(DU154="","", INDEX(#REF!,MATCH(CONCATENATE('Respuestas de formulario 1.1'!$B154,DU154),#REF!,0),MATCH('Respuestas de formulario 1.1'!EV$1,#REF!,0)))</f>
        <v/>
      </c>
      <c r="EW154" s="45" t="str">
        <f t="array" ref="EW154">IF(DV154="","", INDEX(#REF!,MATCH(CONCATENATE('Respuestas de formulario 1.1'!$B154,DV154),#REF!,0),MATCH('Respuestas de formulario 1.1'!EW$1,#REF!,0)))</f>
        <v/>
      </c>
      <c r="EX154" s="45" t="str">
        <f t="array" ref="EX154">IF($DQ154="","", INDEX(#REF!,MATCH(CONCATENATE('Respuestas de formulario 1.1'!$B154,$DQ154),#REF!,0),MATCH('Respuestas de formulario 1.1'!EX$1,#REF!,0)))</f>
        <v/>
      </c>
      <c r="EY154" s="56" t="str">
        <f t="array" ref="EY154">IF($DQ154="","", INDEX(#REF!,MATCH(CONCATENATE('Respuestas de formulario 1.1'!$B154,$DQ154),#REF!,0),MATCH('Respuestas de formulario 1.1'!EY$1,#REF!,0)))</f>
        <v/>
      </c>
      <c r="EZ154" s="56" t="str">
        <f t="array" ref="EZ154">IF($DQ154="","", INDEX(#REF!,MATCH(CONCATENATE('Respuestas de formulario 1.1'!$B154,$DQ154),#REF!,0),MATCH('Respuestas de formulario 1.1'!EZ$1,#REF!,0)))</f>
        <v/>
      </c>
      <c r="FA154" s="56" t="str">
        <f t="array" ref="FA154">IF($DQ154="","", INDEX(#REF!,MATCH(CONCATENATE('Respuestas de formulario 1.1'!$B154,$DQ154),#REF!,0),MATCH('Respuestas de formulario 1.1'!FA$1,#REF!,0)))</f>
        <v/>
      </c>
      <c r="FB154" s="56" t="str">
        <f t="array" ref="FB154">IF($DQ154="","", INDEX(#REF!,MATCH(CONCATENATE('Respuestas de formulario 1.1'!$B154,$DQ154),#REF!,0),MATCH('Respuestas de formulario 1.1'!FB$1,#REF!,0)))</f>
        <v/>
      </c>
      <c r="FC154" s="56" t="str">
        <f t="array" ref="FC154">IF($DQ154="","", INDEX(#REF!,MATCH(CONCATENATE('Respuestas de formulario 1.1'!$B154,$DQ154),#REF!,0),MATCH('Respuestas de formulario 1.1'!FC$1,#REF!,0)))</f>
        <v/>
      </c>
      <c r="FD154" s="45" t="str">
        <f t="array" ref="FD154">IF($DQ154="","", INDEX(#REF!,MATCH(CONCATENATE('Respuestas de formulario 1.1'!$B154,$DQ154),#REF!,0),MATCH('Respuestas de formulario 1.1'!FD$1,#REF!,0)))</f>
        <v/>
      </c>
      <c r="FE154" s="45" t="str">
        <f t="array" ref="FE154">IF($DR154="","", INDEX(#REF!,MATCH(CONCATENATE(#REF!,$DR154),#REF!,0),MATCH(#REF!,#REF!,0)))</f>
        <v/>
      </c>
      <c r="FF154" s="56" t="str">
        <f t="array" ref="FF154">IF($DR154="","", INDEX(#REF!,MATCH(CONCATENATE(#REF!,$DR154),#REF!,0),MATCH(#REF!,#REF!,0)))</f>
        <v/>
      </c>
      <c r="FG154" s="56" t="str">
        <f t="array" ref="FG154">IF($DR154="","", INDEX(#REF!,MATCH(CONCATENATE(#REF!,$DR154),#REF!,0),MATCH(#REF!,#REF!,0)))</f>
        <v/>
      </c>
      <c r="FH154" s="56" t="str">
        <f t="array" ref="FH154">IF($DR154="","", INDEX(#REF!,MATCH(CONCATENATE(#REF!,$DR154),#REF!,0),MATCH(#REF!,#REF!,0)))</f>
        <v/>
      </c>
      <c r="FI154" s="56" t="str">
        <f t="array" ref="FI154">IF($DR154="","", INDEX(#REF!,MATCH(CONCATENATE(#REF!,$DR154),#REF!,0),MATCH(#REF!,#REF!,0)))</f>
        <v/>
      </c>
      <c r="FJ154" s="56" t="str">
        <f t="array" ref="FJ154">IF($DR154="","", INDEX(#REF!,MATCH(CONCATENATE(#REF!,$DR154),#REF!,0),MATCH(#REF!,#REF!,0)))</f>
        <v/>
      </c>
      <c r="FK154" s="45" t="str">
        <f t="array" ref="FK154">IF($DR154="","", INDEX(#REF!,MATCH(CONCATENATE(#REF!,$DR154),#REF!,0),MATCH(#REF!,#REF!,0)))</f>
        <v/>
      </c>
      <c r="FL154" s="45" t="str">
        <f t="array" ref="FL154">IF($DT154="","", INDEX(#REF!,MATCH(CONCATENATE('Respuestas de formulario 1.1'!$B154,$DS154),#REF!,0),MATCH('Respuestas de formulario 1.1'!FL$1,#REF!,0)))</f>
        <v/>
      </c>
      <c r="FM154" s="56" t="str">
        <f t="array" ref="FM154">IF($DT154="","", INDEX(#REF!,MATCH(CONCATENATE('Respuestas de formulario 1.1'!$B154,$DS154),#REF!,0),MATCH('Respuestas de formulario 1.1'!FM$1,#REF!,0)))</f>
        <v/>
      </c>
      <c r="FN154" s="56" t="str">
        <f t="array" ref="FN154">IF($DT154="","", INDEX(#REF!,MATCH(CONCATENATE('Respuestas de formulario 1.1'!$B154,$DS154),#REF!,0),MATCH('Respuestas de formulario 1.1'!FN$1,#REF!,0)))</f>
        <v/>
      </c>
      <c r="FO154" s="56" t="str">
        <f t="array" ref="FO154">IF($DT154="","", INDEX(#REF!,MATCH(CONCATENATE('Respuestas de formulario 1.1'!$B154,$DS154),#REF!,0),MATCH('Respuestas de formulario 1.1'!FO$1,#REF!,0)))</f>
        <v/>
      </c>
      <c r="FP154" s="56" t="str">
        <f t="array" ref="FP154">IF($DT154="","", INDEX(#REF!,MATCH(CONCATENATE('Respuestas de formulario 1.1'!$B154,$DS154),#REF!,0),MATCH('Respuestas de formulario 1.1'!FP$1,#REF!,0)))</f>
        <v/>
      </c>
      <c r="FQ154" s="56" t="str">
        <f t="array" ref="FQ154">IF($DT154="","", INDEX(#REF!,MATCH(CONCATENATE('Respuestas de formulario 1.1'!$B154,$DS154),#REF!,0),MATCH('Respuestas de formulario 1.1'!FQ$1,#REF!,0)))</f>
        <v/>
      </c>
      <c r="FR154" s="45" t="str">
        <f t="array" ref="FR154">IF($DT154="","", INDEX(#REF!,MATCH(CONCATENATE('Respuestas de formulario 1.1'!$B154,$DS154),#REF!,0),MATCH('Respuestas de formulario 1.1'!FR$1,#REF!,0)))</f>
        <v/>
      </c>
      <c r="FS154" s="45" t="str">
        <f t="array" ref="FS154">IF($DU154="","", INDEX(#REF!,MATCH(CONCATENATE('Respuestas de formulario 1.1'!$B154,$DT154),#REF!,0),MATCH('Respuestas de formulario 1.1'!FS$1,#REF!,0)))</f>
        <v/>
      </c>
      <c r="FT154" s="56" t="str">
        <f t="array" ref="FT154">IF($DU154="","", INDEX(#REF!,MATCH(CONCATENATE('Respuestas de formulario 1.1'!$B154,$DT154),#REF!,0),MATCH('Respuestas de formulario 1.1'!FT$1,#REF!,0)))</f>
        <v/>
      </c>
      <c r="FU154" s="56" t="str">
        <f t="array" ref="FU154">IF($DU154="","", INDEX(#REF!,MATCH(CONCATENATE('Respuestas de formulario 1.1'!$B154,$DT154),#REF!,0),MATCH('Respuestas de formulario 1.1'!FU$1,#REF!,0)))</f>
        <v/>
      </c>
      <c r="FV154" s="56" t="str">
        <f t="array" ref="FV154">IF($DU154="","", INDEX(#REF!,MATCH(CONCATENATE('Respuestas de formulario 1.1'!$B154,$DT154),#REF!,0),MATCH('Respuestas de formulario 1.1'!FV$1,#REF!,0)))</f>
        <v/>
      </c>
      <c r="FW154" s="56" t="str">
        <f t="array" ref="FW154">IF($DU154="","", INDEX(#REF!,MATCH(CONCATENATE('Respuestas de formulario 1.1'!$B154,$DT154),#REF!,0),MATCH('Respuestas de formulario 1.1'!FW$1,#REF!,0)))</f>
        <v/>
      </c>
      <c r="FX154" s="56" t="str">
        <f t="array" ref="FX154">IF($DU154="","", INDEX(#REF!,MATCH(CONCATENATE('Respuestas de formulario 1.1'!$B154,$DT154),#REF!,0),MATCH('Respuestas de formulario 1.1'!FX$1,#REF!,0)))</f>
        <v/>
      </c>
      <c r="FY154" s="45" t="str">
        <f t="array" ref="FY154">IF($DU154="","", INDEX(#REF!,MATCH(CONCATENATE('Respuestas de formulario 1.1'!$B154,$DT154),#REF!,0),MATCH('Respuestas de formulario 1.1'!FY$1,#REF!,0)))</f>
        <v/>
      </c>
      <c r="FZ154" s="3" t="s">
        <v>2860</v>
      </c>
      <c r="GA154" s="1" t="s">
        <v>5473</v>
      </c>
      <c r="GB154" s="5" t="s">
        <v>5474</v>
      </c>
      <c r="GC154" s="4" t="str">
        <f>HYPERLINK("https://drive.google.com/file/d/1qP-nk2gGNV7axEE3ejlGOU-5Tebs_kr_/view?usp=drivesdk","MARIN MARTINEZ GUSTAVO EMILIANO Formato de reinscripción y pago 2022-2")</f>
        <v>MARIN MARTINEZ GUSTAVO EMILIANO Formato de reinscripción y pago 2022-2</v>
      </c>
      <c r="GD154" s="1" t="s">
        <v>5475</v>
      </c>
      <c r="GE154" s="1"/>
      <c r="GF154" s="1"/>
      <c r="GG154" s="1"/>
      <c r="GH154" s="1"/>
      <c r="GI154" s="1" t="s">
        <v>5476</v>
      </c>
      <c r="GJ154" s="5" t="s">
        <v>5477</v>
      </c>
      <c r="GK154" s="5" t="str">
        <f>HYPERLINK("https://drive.google.com/file/d/1k1kmL6O1a9peZEpMlGIwJQdknwQI8MyL/view?usp=drivesdk","MARIN MARTINEZ GUSTAVO EMILIANO Formato de reinscripción y pago 2022-2")</f>
        <v>MARIN MARTINEZ GUSTAVO EMILIANO Formato de reinscripción y pago 2022-2</v>
      </c>
      <c r="GL154" s="1" t="s">
        <v>5478</v>
      </c>
    </row>
    <row r="155" spans="1:194" ht="38.25" x14ac:dyDescent="0.2">
      <c r="A155" s="2">
        <v>45139.467162025467</v>
      </c>
      <c r="B155" s="1" t="s">
        <v>1405</v>
      </c>
      <c r="C155" s="1" t="s">
        <v>440</v>
      </c>
      <c r="D155" s="1" t="s">
        <v>504</v>
      </c>
      <c r="E155" s="1" t="s">
        <v>5479</v>
      </c>
      <c r="F155" s="1" t="s">
        <v>223</v>
      </c>
      <c r="G155" s="5" t="s">
        <v>5480</v>
      </c>
      <c r="H155" s="41">
        <v>39194</v>
      </c>
      <c r="I155" s="1">
        <v>16</v>
      </c>
      <c r="J155" s="1">
        <v>5646530697</v>
      </c>
      <c r="K155" s="1">
        <v>5513390220</v>
      </c>
      <c r="L155" s="1" t="s">
        <v>1406</v>
      </c>
      <c r="M155" s="1">
        <v>22309060570189</v>
      </c>
      <c r="N155" s="1" t="s">
        <v>562</v>
      </c>
      <c r="O155" s="1" t="s">
        <v>247</v>
      </c>
      <c r="P155" s="1" t="s">
        <v>278</v>
      </c>
      <c r="Q155" s="1" t="s">
        <v>248</v>
      </c>
      <c r="R155" s="1" t="s">
        <v>236</v>
      </c>
      <c r="S155" s="1" t="s">
        <v>228</v>
      </c>
      <c r="T155" s="1" t="s">
        <v>411</v>
      </c>
      <c r="U155" s="1" t="s">
        <v>249</v>
      </c>
      <c r="V155" s="1" t="s">
        <v>228</v>
      </c>
      <c r="W155" s="1" t="s">
        <v>5481</v>
      </c>
      <c r="X155" s="1" t="s">
        <v>249</v>
      </c>
      <c r="Y155" s="1" t="s">
        <v>584</v>
      </c>
      <c r="Z155" s="1" t="s">
        <v>240</v>
      </c>
      <c r="AA155" s="44" t="s">
        <v>548</v>
      </c>
      <c r="AB155" s="1">
        <v>87</v>
      </c>
      <c r="AC155" s="1">
        <v>4</v>
      </c>
      <c r="AD155" s="1" t="s">
        <v>5482</v>
      </c>
      <c r="AE155" s="1" t="s">
        <v>5483</v>
      </c>
      <c r="AF155" s="1" t="s">
        <v>445</v>
      </c>
      <c r="AG155" s="1">
        <v>42</v>
      </c>
      <c r="AH155" s="5" t="s">
        <v>5484</v>
      </c>
      <c r="AI155" s="1">
        <v>5513390220</v>
      </c>
      <c r="AJ155" s="1">
        <v>5513390220</v>
      </c>
      <c r="AK155" s="1" t="s">
        <v>1407</v>
      </c>
      <c r="AL155" s="1" t="s">
        <v>440</v>
      </c>
      <c r="AM155" s="1" t="s">
        <v>2205</v>
      </c>
      <c r="AN155" s="1" t="s">
        <v>2188</v>
      </c>
      <c r="AO155" s="1" t="s">
        <v>650</v>
      </c>
      <c r="AP155" s="1">
        <v>49</v>
      </c>
      <c r="AQ155" s="1" t="s">
        <v>5485</v>
      </c>
      <c r="AR155" s="42">
        <v>0.33333333333575865</v>
      </c>
      <c r="AS155" s="42">
        <v>0.875</v>
      </c>
      <c r="AT155" s="1">
        <v>5516839531</v>
      </c>
      <c r="AU155" s="1">
        <v>5516839531</v>
      </c>
      <c r="AV155" s="1" t="s">
        <v>5486</v>
      </c>
      <c r="AW155" s="5" t="s">
        <v>5487</v>
      </c>
      <c r="AX155" s="1" t="s">
        <v>504</v>
      </c>
      <c r="AY155" s="1" t="s">
        <v>1408</v>
      </c>
      <c r="AZ155" s="1" t="s">
        <v>5488</v>
      </c>
      <c r="BA155" s="1" t="s">
        <v>453</v>
      </c>
      <c r="BB155" s="1">
        <v>30</v>
      </c>
      <c r="BC155" s="1" t="s">
        <v>2730</v>
      </c>
      <c r="BD155" s="43">
        <v>0.33333333333575865</v>
      </c>
      <c r="BE155" s="43">
        <v>0.875</v>
      </c>
      <c r="BF155" s="1">
        <v>5626521149</v>
      </c>
      <c r="BG155" s="1">
        <v>5626521149</v>
      </c>
      <c r="BH155" s="1" t="s">
        <v>5489</v>
      </c>
      <c r="BI155" s="5" t="s">
        <v>5490</v>
      </c>
      <c r="BJ155" s="1" t="s">
        <v>236</v>
      </c>
      <c r="BK155" s="1" t="s">
        <v>929</v>
      </c>
      <c r="BL155" s="1">
        <v>164</v>
      </c>
      <c r="BM155" s="1">
        <v>65</v>
      </c>
      <c r="BN155" s="1" t="s">
        <v>228</v>
      </c>
      <c r="BO155" s="1" t="s">
        <v>228</v>
      </c>
      <c r="BP155" s="1" t="s">
        <v>5491</v>
      </c>
      <c r="BQ155" s="1" t="s">
        <v>228</v>
      </c>
      <c r="BR155" s="1" t="s">
        <v>237</v>
      </c>
      <c r="BS155" s="1" t="s">
        <v>228</v>
      </c>
      <c r="BT155" s="1" t="s">
        <v>237</v>
      </c>
      <c r="BU155" s="1" t="s">
        <v>228</v>
      </c>
      <c r="BW155" s="1" t="s">
        <v>238</v>
      </c>
      <c r="BX155" s="1">
        <v>240</v>
      </c>
      <c r="BY155" s="1">
        <v>500</v>
      </c>
      <c r="BZ155" s="1" t="s">
        <v>458</v>
      </c>
      <c r="CA155" s="1" t="s">
        <v>5492</v>
      </c>
      <c r="CB155" s="1" t="s">
        <v>240</v>
      </c>
      <c r="CC155" s="1" t="s">
        <v>705</v>
      </c>
      <c r="CD155" s="1">
        <v>5000</v>
      </c>
      <c r="CE155" s="1">
        <v>5000</v>
      </c>
      <c r="CF155" s="1" t="s">
        <v>236</v>
      </c>
      <c r="CG155" s="1" t="s">
        <v>242</v>
      </c>
      <c r="CH155" s="1" t="s">
        <v>243</v>
      </c>
      <c r="CI155" s="1" t="s">
        <v>243</v>
      </c>
      <c r="CJ155" s="1" t="s">
        <v>2848</v>
      </c>
      <c r="CL155" s="5" t="s">
        <v>5493</v>
      </c>
      <c r="CM155" s="44" t="s">
        <v>1409</v>
      </c>
      <c r="CN155" s="1" t="s">
        <v>228</v>
      </c>
      <c r="CQ155" s="42">
        <v>0.83333333333575865</v>
      </c>
      <c r="CR155" s="42">
        <v>0.33333333333575865</v>
      </c>
      <c r="CT155" s="45" t="str">
        <f t="array" ref="CT155">IFERROR(INDEX(#REF!,MATCH('Respuestas de formulario 1.1'!$B155,#REF!,0),MATCH('Respuestas de formulario 1.1'!CT$1,#REF!,0)),"")</f>
        <v/>
      </c>
      <c r="CU155" s="56" t="str">
        <f t="array" ref="CU155">IFERROR(INDEX(#REF!,MATCH('Respuestas de formulario 1.1'!$B155,#REF!,0),MATCH('Respuestas de formulario 1.1'!CU$1,#REF!,0)),"")</f>
        <v/>
      </c>
      <c r="CV155" s="56" t="str">
        <f t="array" ref="CV155">IFERROR(INDEX(#REF!,MATCH('Respuestas de formulario 1.1'!$B155,#REF!,0),MATCH('Respuestas de formulario 1.1'!CV$1,#REF!,0)),"")</f>
        <v/>
      </c>
      <c r="CW155" s="56" t="str">
        <f t="array" ref="CW155">IFERROR(INDEX(#REF!,MATCH('Respuestas de formulario 1.1'!$B155,#REF!,0),MATCH('Respuestas de formulario 1.1'!CW$1,#REF!,0)),"")</f>
        <v/>
      </c>
      <c r="CX155" s="56" t="str">
        <f t="array" ref="CX155">IFERROR(INDEX(#REF!,MATCH('Respuestas de formulario 1.1'!$B155,#REF!,0),MATCH('Respuestas de formulario 1.1'!CX$1,#REF!,0)),"")</f>
        <v/>
      </c>
      <c r="CY155" s="56" t="str">
        <f t="array" ref="CY155">IFERROR(INDEX(#REF!,MATCH('Respuestas de formulario 1.1'!$B155,#REF!,0),MATCH('Respuestas de formulario 1.1'!CY$1,#REF!,0)),"")</f>
        <v/>
      </c>
      <c r="CZ155" s="57" t="str">
        <f t="array" ref="CZ155">IFERROR(INDEX(#REF!,MATCH('Respuestas de formulario 1.1'!$B155,#REF!,0),MATCH('Respuestas de formulario 1.1'!CZ$1,#REF!,0)),"")</f>
        <v/>
      </c>
      <c r="DA155" s="45" t="e">
        <f t="array" ref="DA155">INDEX(#REF!,MATCH('Respuestas de formulario 1.1'!$B155,#REF!,0),MATCH('Respuestas de formulario 1.1'!DA$1,#REF!,0))</f>
        <v>#REF!</v>
      </c>
      <c r="DB155" s="45" t="e">
        <f t="array" ref="DB155">INDEX(#REF!,MATCH('Respuestas de formulario 1.1'!$B155,#REF!,0),MATCH('Respuestas de formulario 1.1'!DB$1,#REF!,0))</f>
        <v>#REF!</v>
      </c>
      <c r="DC155" s="45" t="e">
        <f t="array" ref="DC155">INDEX(#REF!,MATCH('Respuestas de formulario 1.1'!$B155,#REF!,0),MATCH('Respuestas de formulario 1.1'!DC$1,#REF!,0))</f>
        <v>#REF!</v>
      </c>
      <c r="DD155" s="45" t="e">
        <f t="array" ref="DD155">INDEX(#REF!,MATCH('Respuestas de formulario 1.1'!$B155,#REF!,0),MATCH('Respuestas de formulario 1.1'!DD$1,#REF!,0))</f>
        <v>#REF!</v>
      </c>
      <c r="DE155" s="45" t="e">
        <f t="array" ref="DE155">INDEX(#REF!,MATCH('Respuestas de formulario 1.1'!$B155,#REF!,0),MATCH('Respuestas de formulario 1.1'!DE$1,#REF!,0))</f>
        <v>#REF!</v>
      </c>
      <c r="DF155" s="45" t="e">
        <f t="array" ref="DF155">INDEX(#REF!,MATCH('Respuestas de formulario 1.1'!$B155,#REF!,0),MATCH('Respuestas de formulario 1.1'!DF$1,#REF!,0))</f>
        <v>#REF!</v>
      </c>
      <c r="DG155" s="45" t="e">
        <f t="array" ref="DG155">INDEX(#REF!,MATCH('Respuestas de formulario 1.1'!$B155,#REF!,0),MATCH('Respuestas de formulario 1.1'!DG$1,#REF!,0))</f>
        <v>#REF!</v>
      </c>
      <c r="DH155" s="45" t="e">
        <f t="array" ref="DH155">INDEX(#REF!,MATCH('Respuestas de formulario 1.1'!$B155,#REF!,0),MATCH('Respuestas de formulario 1.1'!DH$1,#REF!,0))</f>
        <v>#REF!</v>
      </c>
      <c r="DI155" s="48" t="e">
        <f>VLOOKUP(CONCATENATE($DF155," TUTO ",$DC155),#REF!,3,0)</f>
        <v>#REF!</v>
      </c>
      <c r="DJ155" s="48" t="e">
        <f t="array" ref="DJ155">IF('Respuestas de formulario 1.1'!A155="","",INDEX(#REF!,MATCH('Respuestas de formulario 1.1'!B155,#REF!,0),MATCH('Respuestas de formulario 1.1'!$DH$1,#REF!,0)))</f>
        <v>#REF!</v>
      </c>
      <c r="DK155" s="52" t="str">
        <f>CONCATENATE("http://doc.google.com/uc?id=",MID('Respuestas de formulario 1.1'!G155,34,33))</f>
        <v>http://doc.google.com/uc?id=1nSZUhpCVUgxrj_RlZDhLc0Mx2t23bBV4</v>
      </c>
      <c r="DL155" s="49" t="str">
        <f>CONCATENATE("http://doc.google.com/uc?id=",MID('Respuestas de formulario 1.1'!AH155,34,33))</f>
        <v>http://doc.google.com/uc?id=18GodHespOqm2qAKTOzupsG2q1nkz8d97</v>
      </c>
      <c r="DM155" s="50" t="str">
        <f>CONCATENATE("http://doc.google.com/uc?id=",MID('Respuestas de formulario 1.1'!AW155,34,33))</f>
        <v>http://doc.google.com/uc?id=1Y8PScSL41FioBG76WUUUmht-qH-QG9QZ</v>
      </c>
      <c r="DN155" s="53" t="str">
        <f>CONCATENATE("http://doc.google.com/uc?id=",MID('Respuestas de formulario 1.1'!$BI155,34,33))</f>
        <v>http://doc.google.com/uc?id=1txlWln29LVcibr19ZQDmO2fVgTuEVVYt</v>
      </c>
      <c r="DO155" s="45" t="str">
        <f>IFERROR(VLOOKUP(CONCATENATE('Respuestas de formulario 1.1'!$B155,MID('Respuestas de formulario 1.1'!DO$1,2,1)),#REF!,12,0),"")</f>
        <v/>
      </c>
      <c r="DP155" s="45" t="str">
        <f>IFERROR(VLOOKUP(CONCATENATE('Respuestas de formulario 1.1'!$B155,MID('Respuestas de formulario 1.1'!DP$1,2,1)),#REF!,12,0),"")</f>
        <v/>
      </c>
      <c r="DQ155" s="45" t="str">
        <f>IFERROR(VLOOKUP(CONCATENATE('Respuestas de formulario 1.1'!$B155,MID('Respuestas de formulario 1.1'!DQ$1,2,1)),#REF!,12,0),"")</f>
        <v/>
      </c>
      <c r="DR155" s="45" t="str">
        <f>IFERROR(VLOOKUP(CONCATENATE('Respuestas de formulario 1.1'!$B155,MID('Respuestas de formulario 1.1'!DR$1,2,1)),#REF!,12,0),"")</f>
        <v/>
      </c>
      <c r="DS155" s="45" t="str">
        <f>IFERROR(VLOOKUP(CONCATENATE('Respuestas de formulario 1.1'!$B155,MID('Respuestas de formulario 1.1'!DS$1,2,1)),#REF!,12,0),"")</f>
        <v/>
      </c>
      <c r="DT155" s="45" t="str">
        <f>IFERROR(VLOOKUP(CONCATENATE('Respuestas de formulario 1.1'!$B155,MID('Respuestas de formulario 1.1'!DT$1,2,1)),#REF!,12,0),"")</f>
        <v/>
      </c>
      <c r="DU155" s="45" t="str">
        <f>IFERROR(VLOOKUP(CONCATENATE('Respuestas de formulario 1.1'!$B155,MID('Respuestas de formulario 1.1'!DU$1,2,1)),#REF!,12,0),"")</f>
        <v/>
      </c>
      <c r="DV155" s="45" t="str">
        <f>IFERROR(VLOOKUP(CONCATENATE('Respuestas de formulario 1.1'!$B155,MID('Respuestas de formulario 1.1'!DV$1,2,1)),#REF!,12,0),"")</f>
        <v/>
      </c>
      <c r="DW155" s="45" t="str">
        <f>IFERROR(VLOOKUP(CONCATENATE('Respuestas de formulario 1.1'!$B155,MID('Respuestas de formulario 1.1'!DW$1,2,1)),#REF!,12,0),"")</f>
        <v/>
      </c>
      <c r="DX155" s="45" t="str">
        <f>IFERROR(VLOOKUP(CONCATENATE('Respuestas de formulario 1.1'!$B155,MID('Respuestas de formulario 1.1'!DX$1,2,1)),#REF!,12,0),"")</f>
        <v/>
      </c>
      <c r="DY155" s="45" t="str">
        <f>IFERROR(VLOOKUP(CONCATENATE('Respuestas de formulario 1.1'!$B155,MID('Respuestas de formulario 1.1'!DY$1,2,1)),#REF!,12,0),"")</f>
        <v/>
      </c>
      <c r="DZ155" s="45" t="str">
        <f>IFERROR(VLOOKUP(CONCATENATE('Respuestas de formulario 1.1'!$B155,MID('Respuestas de formulario 1.1'!DZ$1,2,1)),#REF!,12,0),"")</f>
        <v/>
      </c>
      <c r="EA155" s="45" t="str">
        <f>IFERROR(VLOOKUP(CONCATENATE('Respuestas de formulario 1.1'!$B155,MID('Respuestas de formulario 1.1'!EA$1,2,1)),#REF!,12,0),"")</f>
        <v/>
      </c>
      <c r="EB155" s="45" t="str">
        <f>IFERROR(VLOOKUP(CONCATENATE('Respuestas de formulario 1.1'!$B155,MID('Respuestas de formulario 1.1'!EB$1,2,1)),#REF!,12,0),"")</f>
        <v/>
      </c>
      <c r="EC155" s="45" t="str">
        <f>IFERROR(VLOOKUP(CONCATENATE('Respuestas de formulario 1.1'!$B155,MID('Respuestas de formulario 1.1'!EC$1,2,1)),#REF!,12,0),"")</f>
        <v/>
      </c>
      <c r="ED155" s="45" t="str">
        <f>IFERROR(VLOOKUP(CONCATENATE('Respuestas de formulario 1.1'!$B155,MID('Respuestas de formulario 1.1'!ED$1,2,1)),#REF!,12,0),"")</f>
        <v/>
      </c>
      <c r="EE155" s="45" t="str">
        <f>IFERROR(VLOOKUP(CONCATENATE('Respuestas de formulario 1.1'!$B155,MID('Respuestas de formulario 1.1'!EE$1,2,1)),#REF!,12,0),"")</f>
        <v/>
      </c>
      <c r="EF155" s="45" t="str">
        <f>IFERROR(VLOOKUP(CONCATENATE('Respuestas de formulario 1.1'!$B155,MID('Respuestas de formulario 1.1'!EF$1,2,1)),#REF!,12,0),"")</f>
        <v/>
      </c>
      <c r="EG155" s="45" t="str">
        <f>IFERROR(VLOOKUP(CONCATENATE('Respuestas de formulario 1.1'!$B155,MID('Respuestas de formulario 1.1'!EG$1,2,1)),#REF!,12,0),"")</f>
        <v/>
      </c>
      <c r="EH155" s="45" t="str">
        <f>IFERROR(VLOOKUP(CONCATENATE('Respuestas de formulario 1.1'!$B155,MID('Respuestas de formulario 1.1'!EH$1,2,1)),#REF!,12,0),"")</f>
        <v/>
      </c>
      <c r="EI155" s="45" t="str">
        <f>IFERROR(VLOOKUP(CONCATENATE('Respuestas de formulario 1.1'!$B155,MID('Respuestas de formulario 1.1'!EI$1,2,1)),#REF!,12,0),"")</f>
        <v/>
      </c>
      <c r="EJ155" s="45" t="str">
        <f t="array" ref="EJ155">IF(DO155="","", INDEX(#REF!,MATCH(CONCATENATE('Respuestas de formulario 1.1'!$B155,DO155),#REF!,0),MATCH('Respuestas de formulario 1.1'!EJ$1,#REF!,0)))</f>
        <v/>
      </c>
      <c r="EK155" s="56" t="str">
        <f t="array" ref="EK155">IF(DP155="","", INDEX(#REF!,MATCH(CONCATENATE('Respuestas de formulario 1.1'!$B155,DP155),#REF!,0),MATCH('Respuestas de formulario 1.1'!EK$1,#REF!,0)))</f>
        <v/>
      </c>
      <c r="EL155" s="56" t="str">
        <f t="array" ref="EL155">IF(DQ155="","", INDEX(#REF!,MATCH(CONCATENATE('Respuestas de formulario 1.1'!$B155,DQ155),#REF!,0),MATCH('Respuestas de formulario 1.1'!EL$1,#REF!,0)))</f>
        <v/>
      </c>
      <c r="EM155" s="56" t="str">
        <f t="array" ref="EM155">IF(DR155="","", INDEX(#REF!,MATCH(CONCATENATE('Respuestas de formulario 1.1'!$B155,DR155),#REF!,0),MATCH('Respuestas de formulario 1.1'!EM$1,#REF!,0)))</f>
        <v/>
      </c>
      <c r="EN155" s="56" t="str">
        <f t="array" ref="EN155">IF(DS155="","", INDEX(#REF!,MATCH(CONCATENATE('Respuestas de formulario 1.1'!$B155,DS155),#REF!,0),MATCH('Respuestas de formulario 1.1'!EN$1,#REF!,0)))</f>
        <v/>
      </c>
      <c r="EO155" s="56" t="str">
        <f t="array" ref="EO155">IF(DT155="","", INDEX(#REF!,MATCH(CONCATENATE('Respuestas de formulario 1.1'!$B155,DT155),#REF!,0),MATCH('Respuestas de formulario 1.1'!EO$1,#REF!,0)))</f>
        <v/>
      </c>
      <c r="EP155" s="45" t="str">
        <f t="array" ref="EP155">IF(DU155="","", INDEX(#REF!,MATCH(CONCATENATE('Respuestas de formulario 1.1'!$B155,DU155),#REF!,0),MATCH('Respuestas de formulario 1.1'!EP$1,#REF!,0)))</f>
        <v/>
      </c>
      <c r="EQ155" s="45" t="str">
        <f t="array" ref="EQ155">IF(DP155="","", INDEX(#REF!,MATCH(CONCATENATE('Respuestas de formulario 1.1'!$B155,DP155),#REF!,0),MATCH('Respuestas de formulario 1.1'!EQ$1,#REF!,0)))</f>
        <v/>
      </c>
      <c r="ER155" s="56" t="str">
        <f t="array" ref="ER155">IF(DQ155="","", INDEX(#REF!,MATCH(CONCATENATE('Respuestas de formulario 1.1'!$B155,DQ155),#REF!,0),MATCH('Respuestas de formulario 1.1'!ER$1,#REF!,0)))</f>
        <v/>
      </c>
      <c r="ES155" s="56" t="str">
        <f t="array" ref="ES155">IF(DR155="","", INDEX(#REF!,MATCH(CONCATENATE('Respuestas de formulario 1.1'!$B155,DR155),#REF!,0),MATCH('Respuestas de formulario 1.1'!ES$1,#REF!,0)))</f>
        <v/>
      </c>
      <c r="ET155" s="56" t="str">
        <f t="array" ref="ET155">IF(DS155="","", INDEX(#REF!,MATCH(CONCATENATE('Respuestas de formulario 1.1'!$B155,DS155),#REF!,0),MATCH('Respuestas de formulario 1.1'!ET$1,#REF!,0)))</f>
        <v/>
      </c>
      <c r="EU155" s="56" t="str">
        <f t="array" ref="EU155">IF(DT155="","", INDEX(#REF!,MATCH(CONCATENATE('Respuestas de formulario 1.1'!$B155,DT155),#REF!,0),MATCH('Respuestas de formulario 1.1'!EU$1,#REF!,0)))</f>
        <v/>
      </c>
      <c r="EV155" s="56" t="str">
        <f t="array" ref="EV155">IF(DU155="","", INDEX(#REF!,MATCH(CONCATENATE('Respuestas de formulario 1.1'!$B155,DU155),#REF!,0),MATCH('Respuestas de formulario 1.1'!EV$1,#REF!,0)))</f>
        <v/>
      </c>
      <c r="EW155" s="45" t="str">
        <f t="array" ref="EW155">IF(DV155="","", INDEX(#REF!,MATCH(CONCATENATE('Respuestas de formulario 1.1'!$B155,DV155),#REF!,0),MATCH('Respuestas de formulario 1.1'!EW$1,#REF!,0)))</f>
        <v/>
      </c>
      <c r="EX155" s="45" t="str">
        <f t="array" ref="EX155">IF($DQ155="","", INDEX(#REF!,MATCH(CONCATENATE('Respuestas de formulario 1.1'!$B155,$DQ155),#REF!,0),MATCH('Respuestas de formulario 1.1'!EX$1,#REF!,0)))</f>
        <v/>
      </c>
      <c r="EY155" s="56" t="str">
        <f t="array" ref="EY155">IF($DQ155="","", INDEX(#REF!,MATCH(CONCATENATE('Respuestas de formulario 1.1'!$B155,$DQ155),#REF!,0),MATCH('Respuestas de formulario 1.1'!EY$1,#REF!,0)))</f>
        <v/>
      </c>
      <c r="EZ155" s="56" t="str">
        <f t="array" ref="EZ155">IF($DQ155="","", INDEX(#REF!,MATCH(CONCATENATE('Respuestas de formulario 1.1'!$B155,$DQ155),#REF!,0),MATCH('Respuestas de formulario 1.1'!EZ$1,#REF!,0)))</f>
        <v/>
      </c>
      <c r="FA155" s="56" t="str">
        <f t="array" ref="FA155">IF($DQ155="","", INDEX(#REF!,MATCH(CONCATENATE('Respuestas de formulario 1.1'!$B155,$DQ155),#REF!,0),MATCH('Respuestas de formulario 1.1'!FA$1,#REF!,0)))</f>
        <v/>
      </c>
      <c r="FB155" s="56" t="str">
        <f t="array" ref="FB155">IF($DQ155="","", INDEX(#REF!,MATCH(CONCATENATE('Respuestas de formulario 1.1'!$B155,$DQ155),#REF!,0),MATCH('Respuestas de formulario 1.1'!FB$1,#REF!,0)))</f>
        <v/>
      </c>
      <c r="FC155" s="56" t="str">
        <f t="array" ref="FC155">IF($DQ155="","", INDEX(#REF!,MATCH(CONCATENATE('Respuestas de formulario 1.1'!$B155,$DQ155),#REF!,0),MATCH('Respuestas de formulario 1.1'!FC$1,#REF!,0)))</f>
        <v/>
      </c>
      <c r="FD155" s="45" t="str">
        <f t="array" ref="FD155">IF($DQ155="","", INDEX(#REF!,MATCH(CONCATENATE('Respuestas de formulario 1.1'!$B155,$DQ155),#REF!,0),MATCH('Respuestas de formulario 1.1'!FD$1,#REF!,0)))</f>
        <v/>
      </c>
      <c r="FE155" s="45" t="str">
        <f t="array" ref="FE155">IF($DR155="","", INDEX(#REF!,MATCH(CONCATENATE(#REF!,$DR155),#REF!,0),MATCH(#REF!,#REF!,0)))</f>
        <v/>
      </c>
      <c r="FF155" s="56" t="str">
        <f t="array" ref="FF155">IF($DR155="","", INDEX(#REF!,MATCH(CONCATENATE(#REF!,$DR155),#REF!,0),MATCH(#REF!,#REF!,0)))</f>
        <v/>
      </c>
      <c r="FG155" s="56" t="str">
        <f t="array" ref="FG155">IF($DR155="","", INDEX(#REF!,MATCH(CONCATENATE(#REF!,$DR155),#REF!,0),MATCH(#REF!,#REF!,0)))</f>
        <v/>
      </c>
      <c r="FH155" s="56" t="str">
        <f t="array" ref="FH155">IF($DR155="","", INDEX(#REF!,MATCH(CONCATENATE(#REF!,$DR155),#REF!,0),MATCH(#REF!,#REF!,0)))</f>
        <v/>
      </c>
      <c r="FI155" s="56" t="str">
        <f t="array" ref="FI155">IF($DR155="","", INDEX(#REF!,MATCH(CONCATENATE(#REF!,$DR155),#REF!,0),MATCH(#REF!,#REF!,0)))</f>
        <v/>
      </c>
      <c r="FJ155" s="56" t="str">
        <f t="array" ref="FJ155">IF($DR155="","", INDEX(#REF!,MATCH(CONCATENATE(#REF!,$DR155),#REF!,0),MATCH(#REF!,#REF!,0)))</f>
        <v/>
      </c>
      <c r="FK155" s="45" t="str">
        <f t="array" ref="FK155">IF($DR155="","", INDEX(#REF!,MATCH(CONCATENATE(#REF!,$DR155),#REF!,0),MATCH(#REF!,#REF!,0)))</f>
        <v/>
      </c>
      <c r="FL155" s="45" t="str">
        <f t="array" ref="FL155">IF($DT155="","", INDEX(#REF!,MATCH(CONCATENATE('Respuestas de formulario 1.1'!$B155,$DS155),#REF!,0),MATCH('Respuestas de formulario 1.1'!FL$1,#REF!,0)))</f>
        <v/>
      </c>
      <c r="FM155" s="56" t="str">
        <f t="array" ref="FM155">IF($DT155="","", INDEX(#REF!,MATCH(CONCATENATE('Respuestas de formulario 1.1'!$B155,$DS155),#REF!,0),MATCH('Respuestas de formulario 1.1'!FM$1,#REF!,0)))</f>
        <v/>
      </c>
      <c r="FN155" s="56" t="str">
        <f t="array" ref="FN155">IF($DT155="","", INDEX(#REF!,MATCH(CONCATENATE('Respuestas de formulario 1.1'!$B155,$DS155),#REF!,0),MATCH('Respuestas de formulario 1.1'!FN$1,#REF!,0)))</f>
        <v/>
      </c>
      <c r="FO155" s="56" t="str">
        <f t="array" ref="FO155">IF($DT155="","", INDEX(#REF!,MATCH(CONCATENATE('Respuestas de formulario 1.1'!$B155,$DS155),#REF!,0),MATCH('Respuestas de formulario 1.1'!FO$1,#REF!,0)))</f>
        <v/>
      </c>
      <c r="FP155" s="56" t="str">
        <f t="array" ref="FP155">IF($DT155="","", INDEX(#REF!,MATCH(CONCATENATE('Respuestas de formulario 1.1'!$B155,$DS155),#REF!,0),MATCH('Respuestas de formulario 1.1'!FP$1,#REF!,0)))</f>
        <v/>
      </c>
      <c r="FQ155" s="56" t="str">
        <f t="array" ref="FQ155">IF($DT155="","", INDEX(#REF!,MATCH(CONCATENATE('Respuestas de formulario 1.1'!$B155,$DS155),#REF!,0),MATCH('Respuestas de formulario 1.1'!FQ$1,#REF!,0)))</f>
        <v/>
      </c>
      <c r="FR155" s="45" t="str">
        <f t="array" ref="FR155">IF($DT155="","", INDEX(#REF!,MATCH(CONCATENATE('Respuestas de formulario 1.1'!$B155,$DS155),#REF!,0),MATCH('Respuestas de formulario 1.1'!FR$1,#REF!,0)))</f>
        <v/>
      </c>
      <c r="FS155" s="45" t="str">
        <f t="array" ref="FS155">IF($DU155="","", INDEX(#REF!,MATCH(CONCATENATE('Respuestas de formulario 1.1'!$B155,$DT155),#REF!,0),MATCH('Respuestas de formulario 1.1'!FS$1,#REF!,0)))</f>
        <v/>
      </c>
      <c r="FT155" s="56" t="str">
        <f t="array" ref="FT155">IF($DU155="","", INDEX(#REF!,MATCH(CONCATENATE('Respuestas de formulario 1.1'!$B155,$DT155),#REF!,0),MATCH('Respuestas de formulario 1.1'!FT$1,#REF!,0)))</f>
        <v/>
      </c>
      <c r="FU155" s="56" t="str">
        <f t="array" ref="FU155">IF($DU155="","", INDEX(#REF!,MATCH(CONCATENATE('Respuestas de formulario 1.1'!$B155,$DT155),#REF!,0),MATCH('Respuestas de formulario 1.1'!FU$1,#REF!,0)))</f>
        <v/>
      </c>
      <c r="FV155" s="56" t="str">
        <f t="array" ref="FV155">IF($DU155="","", INDEX(#REF!,MATCH(CONCATENATE('Respuestas de formulario 1.1'!$B155,$DT155),#REF!,0),MATCH('Respuestas de formulario 1.1'!FV$1,#REF!,0)))</f>
        <v/>
      </c>
      <c r="FW155" s="56" t="str">
        <f t="array" ref="FW155">IF($DU155="","", INDEX(#REF!,MATCH(CONCATENATE('Respuestas de formulario 1.1'!$B155,$DT155),#REF!,0),MATCH('Respuestas de formulario 1.1'!FW$1,#REF!,0)))</f>
        <v/>
      </c>
      <c r="FX155" s="56" t="str">
        <f t="array" ref="FX155">IF($DU155="","", INDEX(#REF!,MATCH(CONCATENATE('Respuestas de formulario 1.1'!$B155,$DT155),#REF!,0),MATCH('Respuestas de formulario 1.1'!FX$1,#REF!,0)))</f>
        <v/>
      </c>
      <c r="FY155" s="45" t="str">
        <f t="array" ref="FY155">IF($DU155="","", INDEX(#REF!,MATCH(CONCATENATE('Respuestas de formulario 1.1'!$B155,$DT155),#REF!,0),MATCH('Respuestas de formulario 1.1'!FY$1,#REF!,0)))</f>
        <v/>
      </c>
      <c r="FZ155" s="3" t="s">
        <v>2860</v>
      </c>
      <c r="GA155" s="1" t="s">
        <v>5494</v>
      </c>
      <c r="GB155" s="5" t="s">
        <v>5495</v>
      </c>
      <c r="GC155" s="4" t="str">
        <f>HYPERLINK("https://drive.google.com/file/d/1R_tq8pPHkXvY5w1HLjm3256xqeOSJCbF/view?usp=drivesdk","FLORES  JIMENEZ  LILIA EDITH  Formato de reinscripción y pago 2022-2")</f>
        <v>FLORES  JIMENEZ  LILIA EDITH  Formato de reinscripción y pago 2022-2</v>
      </c>
      <c r="GD155" s="1" t="s">
        <v>5496</v>
      </c>
      <c r="GE155" s="1"/>
      <c r="GF155" s="1"/>
      <c r="GG155" s="1"/>
      <c r="GH155" s="1"/>
      <c r="GI155" s="1" t="s">
        <v>5497</v>
      </c>
      <c r="GJ155" s="5" t="s">
        <v>5498</v>
      </c>
      <c r="GK155" s="5" t="str">
        <f>HYPERLINK("https://drive.google.com/file/d/1EMurK5CKUo8vzNgaKg8UpznEMdV5KF1b/view?usp=drivesdk","FLORES  JIMENEZ  LILIA EDITH  Formato de reinscripción y pago 2022-2")</f>
        <v>FLORES  JIMENEZ  LILIA EDITH  Formato de reinscripción y pago 2022-2</v>
      </c>
      <c r="GL155" s="1" t="s">
        <v>5499</v>
      </c>
    </row>
    <row r="156" spans="1:194" ht="38.25" x14ac:dyDescent="0.2">
      <c r="A156" s="2">
        <v>45139.46732974537</v>
      </c>
      <c r="B156" s="1" t="s">
        <v>56</v>
      </c>
      <c r="C156" s="1" t="s">
        <v>737</v>
      </c>
      <c r="D156" s="1" t="s">
        <v>244</v>
      </c>
      <c r="E156" s="1" t="s">
        <v>749</v>
      </c>
      <c r="F156" s="1" t="s">
        <v>223</v>
      </c>
      <c r="G156" s="5" t="s">
        <v>5500</v>
      </c>
      <c r="H156" s="41">
        <v>39027</v>
      </c>
      <c r="I156" s="1">
        <v>16</v>
      </c>
      <c r="J156" s="1">
        <v>5512914804</v>
      </c>
      <c r="K156" s="1">
        <v>5589842494</v>
      </c>
      <c r="L156" s="1" t="s">
        <v>5501</v>
      </c>
      <c r="M156" s="1">
        <v>21309060570204</v>
      </c>
      <c r="N156" s="1" t="s">
        <v>1108</v>
      </c>
      <c r="O156" s="1" t="s">
        <v>247</v>
      </c>
      <c r="P156" s="1" t="s">
        <v>226</v>
      </c>
      <c r="Q156" s="1" t="s">
        <v>227</v>
      </c>
      <c r="R156" s="1" t="s">
        <v>236</v>
      </c>
      <c r="S156" s="1" t="s">
        <v>228</v>
      </c>
      <c r="T156" s="1" t="s">
        <v>229</v>
      </c>
      <c r="U156" s="1" t="s">
        <v>394</v>
      </c>
      <c r="V156" s="1" t="s">
        <v>228</v>
      </c>
      <c r="W156" s="1" t="s">
        <v>5502</v>
      </c>
      <c r="X156" s="1" t="s">
        <v>394</v>
      </c>
      <c r="Y156" s="1" t="s">
        <v>5503</v>
      </c>
      <c r="Z156" s="1" t="s">
        <v>231</v>
      </c>
      <c r="AA156" s="1">
        <v>56524</v>
      </c>
      <c r="AB156" s="1">
        <v>59</v>
      </c>
      <c r="AC156" s="1">
        <v>2</v>
      </c>
      <c r="AD156" s="1" t="s">
        <v>5504</v>
      </c>
      <c r="AE156" s="1" t="s">
        <v>750</v>
      </c>
      <c r="AF156" s="1" t="s">
        <v>493</v>
      </c>
      <c r="AG156" s="1">
        <v>41</v>
      </c>
      <c r="AH156" s="5" t="s">
        <v>5505</v>
      </c>
      <c r="AI156" s="1">
        <v>5572101006</v>
      </c>
      <c r="AJ156" s="1">
        <v>5589842494</v>
      </c>
      <c r="AK156" s="1" t="s">
        <v>751</v>
      </c>
      <c r="AL156" s="1" t="s">
        <v>244</v>
      </c>
      <c r="AM156" s="1" t="s">
        <v>333</v>
      </c>
      <c r="AN156" s="1" t="s">
        <v>502</v>
      </c>
      <c r="AO156" s="1" t="s">
        <v>461</v>
      </c>
      <c r="AP156" s="1">
        <v>39</v>
      </c>
      <c r="AQ156" s="1" t="s">
        <v>454</v>
      </c>
      <c r="AR156" s="42">
        <v>0.33333333333575865</v>
      </c>
      <c r="AS156" s="42">
        <v>0.16666666666424135</v>
      </c>
      <c r="AT156" s="1">
        <v>5511460890</v>
      </c>
      <c r="AU156" s="1">
        <v>5589842494</v>
      </c>
      <c r="AV156" s="1" t="s">
        <v>752</v>
      </c>
      <c r="AW156" s="5" t="s">
        <v>5506</v>
      </c>
      <c r="AX156" s="1" t="s">
        <v>244</v>
      </c>
      <c r="AY156" s="1" t="s">
        <v>333</v>
      </c>
      <c r="AZ156" s="1" t="s">
        <v>744</v>
      </c>
      <c r="BA156" s="1" t="s">
        <v>493</v>
      </c>
      <c r="BB156" s="1">
        <v>41</v>
      </c>
      <c r="BC156" s="1" t="s">
        <v>546</v>
      </c>
      <c r="BD156" s="43">
        <v>0.33333333333575865</v>
      </c>
      <c r="BE156" s="43">
        <v>0.25</v>
      </c>
      <c r="BF156" s="1">
        <v>5572101006</v>
      </c>
      <c r="BG156" s="1">
        <v>5589842494</v>
      </c>
      <c r="BH156" s="1" t="s">
        <v>751</v>
      </c>
      <c r="BI156" s="5" t="s">
        <v>5507</v>
      </c>
      <c r="BJ156" s="1" t="s">
        <v>236</v>
      </c>
      <c r="BK156" s="1" t="s">
        <v>5508</v>
      </c>
      <c r="BL156" s="1">
        <v>1.58</v>
      </c>
      <c r="BM156" s="1">
        <v>48</v>
      </c>
      <c r="BN156" s="1" t="s">
        <v>236</v>
      </c>
      <c r="BO156" s="1" t="s">
        <v>236</v>
      </c>
      <c r="BP156" s="1" t="s">
        <v>3666</v>
      </c>
      <c r="BQ156" s="1" t="s">
        <v>228</v>
      </c>
      <c r="BR156" s="1" t="s">
        <v>237</v>
      </c>
      <c r="BS156" s="1" t="s">
        <v>228</v>
      </c>
      <c r="BT156" s="1" t="s">
        <v>237</v>
      </c>
      <c r="BU156" s="1" t="s">
        <v>228</v>
      </c>
      <c r="BW156" s="1" t="s">
        <v>238</v>
      </c>
      <c r="BX156" s="1">
        <v>120</v>
      </c>
      <c r="BY156" s="1">
        <v>230</v>
      </c>
      <c r="BZ156" s="1" t="s">
        <v>547</v>
      </c>
      <c r="CA156" s="1" t="s">
        <v>384</v>
      </c>
      <c r="CB156" s="1" t="s">
        <v>240</v>
      </c>
      <c r="CC156" s="1" t="s">
        <v>547</v>
      </c>
      <c r="CD156" s="1">
        <v>1200</v>
      </c>
      <c r="CE156" s="1">
        <v>1500</v>
      </c>
      <c r="CF156" s="1" t="s">
        <v>236</v>
      </c>
      <c r="CG156" s="1" t="s">
        <v>242</v>
      </c>
      <c r="CH156" s="1" t="s">
        <v>243</v>
      </c>
      <c r="CI156" s="1" t="s">
        <v>243</v>
      </c>
      <c r="CJ156" s="1" t="s">
        <v>2848</v>
      </c>
      <c r="CL156" s="5" t="s">
        <v>5509</v>
      </c>
      <c r="CM156" s="1">
        <v>15210678858</v>
      </c>
      <c r="CN156" s="1" t="s">
        <v>228</v>
      </c>
      <c r="CQ156" s="42">
        <v>0.33333333333575865</v>
      </c>
      <c r="CR156" s="42">
        <v>0.25</v>
      </c>
      <c r="CT156" s="45" t="str">
        <f t="array" ref="CT156">IFERROR(INDEX(#REF!,MATCH('Respuestas de formulario 1.1'!$B156,#REF!,0),MATCH('Respuestas de formulario 1.1'!CT$1,#REF!,0)),"")</f>
        <v/>
      </c>
      <c r="CU156" s="56" t="str">
        <f t="array" ref="CU156">IFERROR(INDEX(#REF!,MATCH('Respuestas de formulario 1.1'!$B156,#REF!,0),MATCH('Respuestas de formulario 1.1'!CU$1,#REF!,0)),"")</f>
        <v/>
      </c>
      <c r="CV156" s="56" t="str">
        <f t="array" ref="CV156">IFERROR(INDEX(#REF!,MATCH('Respuestas de formulario 1.1'!$B156,#REF!,0),MATCH('Respuestas de formulario 1.1'!CV$1,#REF!,0)),"")</f>
        <v/>
      </c>
      <c r="CW156" s="56" t="str">
        <f t="array" ref="CW156">IFERROR(INDEX(#REF!,MATCH('Respuestas de formulario 1.1'!$B156,#REF!,0),MATCH('Respuestas de formulario 1.1'!CW$1,#REF!,0)),"")</f>
        <v/>
      </c>
      <c r="CX156" s="56" t="str">
        <f t="array" ref="CX156">IFERROR(INDEX(#REF!,MATCH('Respuestas de formulario 1.1'!$B156,#REF!,0),MATCH('Respuestas de formulario 1.1'!CX$1,#REF!,0)),"")</f>
        <v/>
      </c>
      <c r="CY156" s="56" t="str">
        <f t="array" ref="CY156">IFERROR(INDEX(#REF!,MATCH('Respuestas de formulario 1.1'!$B156,#REF!,0),MATCH('Respuestas de formulario 1.1'!CY$1,#REF!,0)),"")</f>
        <v/>
      </c>
      <c r="CZ156" s="57" t="str">
        <f t="array" ref="CZ156">IFERROR(INDEX(#REF!,MATCH('Respuestas de formulario 1.1'!$B156,#REF!,0),MATCH('Respuestas de formulario 1.1'!CZ$1,#REF!,0)),"")</f>
        <v/>
      </c>
      <c r="DA156" s="45" t="e">
        <f t="array" ref="DA156">INDEX(#REF!,MATCH('Respuestas de formulario 1.1'!$B156,#REF!,0),MATCH('Respuestas de formulario 1.1'!DA$1,#REF!,0))</f>
        <v>#REF!</v>
      </c>
      <c r="DB156" s="45" t="e">
        <f t="array" ref="DB156">INDEX(#REF!,MATCH('Respuestas de formulario 1.1'!$B156,#REF!,0),MATCH('Respuestas de formulario 1.1'!DB$1,#REF!,0))</f>
        <v>#REF!</v>
      </c>
      <c r="DC156" s="45" t="e">
        <f t="array" ref="DC156">INDEX(#REF!,MATCH('Respuestas de formulario 1.1'!$B156,#REF!,0),MATCH('Respuestas de formulario 1.1'!DC$1,#REF!,0))</f>
        <v>#REF!</v>
      </c>
      <c r="DD156" s="45" t="e">
        <f t="array" ref="DD156">INDEX(#REF!,MATCH('Respuestas de formulario 1.1'!$B156,#REF!,0),MATCH('Respuestas de formulario 1.1'!DD$1,#REF!,0))</f>
        <v>#REF!</v>
      </c>
      <c r="DE156" s="45" t="e">
        <f t="array" ref="DE156">INDEX(#REF!,MATCH('Respuestas de formulario 1.1'!$B156,#REF!,0),MATCH('Respuestas de formulario 1.1'!DE$1,#REF!,0))</f>
        <v>#REF!</v>
      </c>
      <c r="DF156" s="45" t="e">
        <f t="array" ref="DF156">INDEX(#REF!,MATCH('Respuestas de formulario 1.1'!$B156,#REF!,0),MATCH('Respuestas de formulario 1.1'!DF$1,#REF!,0))</f>
        <v>#REF!</v>
      </c>
      <c r="DG156" s="45" t="e">
        <f t="array" ref="DG156">INDEX(#REF!,MATCH('Respuestas de formulario 1.1'!$B156,#REF!,0),MATCH('Respuestas de formulario 1.1'!DG$1,#REF!,0))</f>
        <v>#REF!</v>
      </c>
      <c r="DH156" s="45" t="e">
        <f t="array" ref="DH156">INDEX(#REF!,MATCH('Respuestas de formulario 1.1'!$B156,#REF!,0),MATCH('Respuestas de formulario 1.1'!DH$1,#REF!,0))</f>
        <v>#REF!</v>
      </c>
      <c r="DI156" s="48" t="e">
        <f>VLOOKUP(CONCATENATE($DF156," TUTO ",$DC156),#REF!,3,0)</f>
        <v>#REF!</v>
      </c>
      <c r="DJ156" s="48" t="e">
        <f t="array" ref="DJ156">IF('Respuestas de formulario 1.1'!A156="","",INDEX(#REF!,MATCH('Respuestas de formulario 1.1'!B156,#REF!,0),MATCH('Respuestas de formulario 1.1'!$DH$1,#REF!,0)))</f>
        <v>#REF!</v>
      </c>
      <c r="DK156" s="52" t="str">
        <f>CONCATENATE("http://doc.google.com/uc?id=",MID('Respuestas de formulario 1.1'!G156,34,33))</f>
        <v>http://doc.google.com/uc?id=1sSBhLUruloRvHBqq9v4q2kyROFh4e_LC</v>
      </c>
      <c r="DL156" s="49" t="str">
        <f>CONCATENATE("http://doc.google.com/uc?id=",MID('Respuestas de formulario 1.1'!AH156,34,33))</f>
        <v>http://doc.google.com/uc?id=1B8ccQIWXYeXcrZcRoJha2IWIYOZcM7yO</v>
      </c>
      <c r="DM156" s="50" t="str">
        <f>CONCATENATE("http://doc.google.com/uc?id=",MID('Respuestas de formulario 1.1'!AW156,34,33))</f>
        <v>http://doc.google.com/uc?id=1tqIBfkEg-QeJXq2JfYnQca7SPABXYu5k</v>
      </c>
      <c r="DN156" s="53" t="str">
        <f>CONCATENATE("http://doc.google.com/uc?id=",MID('Respuestas de formulario 1.1'!$BI156,34,33))</f>
        <v>http://doc.google.com/uc?id=1V4dV1_VnaooiKWJ43D0nmsegKuPNqa66</v>
      </c>
      <c r="DO156" s="45" t="str">
        <f>IFERROR(VLOOKUP(CONCATENATE('Respuestas de formulario 1.1'!$B156,MID('Respuestas de formulario 1.1'!DO$1,2,1)),#REF!,12,0),"")</f>
        <v/>
      </c>
      <c r="DP156" s="45" t="str">
        <f>IFERROR(VLOOKUP(CONCATENATE('Respuestas de formulario 1.1'!$B156,MID('Respuestas de formulario 1.1'!DP$1,2,1)),#REF!,12,0),"")</f>
        <v/>
      </c>
      <c r="DQ156" s="45" t="str">
        <f>IFERROR(VLOOKUP(CONCATENATE('Respuestas de formulario 1.1'!$B156,MID('Respuestas de formulario 1.1'!DQ$1,2,1)),#REF!,12,0),"")</f>
        <v/>
      </c>
      <c r="DR156" s="45" t="str">
        <f>IFERROR(VLOOKUP(CONCATENATE('Respuestas de formulario 1.1'!$B156,MID('Respuestas de formulario 1.1'!DR$1,2,1)),#REF!,12,0),"")</f>
        <v/>
      </c>
      <c r="DS156" s="45" t="str">
        <f>IFERROR(VLOOKUP(CONCATENATE('Respuestas de formulario 1.1'!$B156,MID('Respuestas de formulario 1.1'!DS$1,2,1)),#REF!,12,0),"")</f>
        <v/>
      </c>
      <c r="DT156" s="45" t="str">
        <f>IFERROR(VLOOKUP(CONCATENATE('Respuestas de formulario 1.1'!$B156,MID('Respuestas de formulario 1.1'!DT$1,2,1)),#REF!,12,0),"")</f>
        <v/>
      </c>
      <c r="DU156" s="45" t="str">
        <f>IFERROR(VLOOKUP(CONCATENATE('Respuestas de formulario 1.1'!$B156,MID('Respuestas de formulario 1.1'!DU$1,2,1)),#REF!,12,0),"")</f>
        <v/>
      </c>
      <c r="DV156" s="45" t="str">
        <f>IFERROR(VLOOKUP(CONCATENATE('Respuestas de formulario 1.1'!$B156,MID('Respuestas de formulario 1.1'!DV$1,2,1)),#REF!,12,0),"")</f>
        <v/>
      </c>
      <c r="DW156" s="45" t="str">
        <f>IFERROR(VLOOKUP(CONCATENATE('Respuestas de formulario 1.1'!$B156,MID('Respuestas de formulario 1.1'!DW$1,2,1)),#REF!,12,0),"")</f>
        <v/>
      </c>
      <c r="DX156" s="45" t="str">
        <f>IFERROR(VLOOKUP(CONCATENATE('Respuestas de formulario 1.1'!$B156,MID('Respuestas de formulario 1.1'!DX$1,2,1)),#REF!,12,0),"")</f>
        <v/>
      </c>
      <c r="DY156" s="45" t="str">
        <f>IFERROR(VLOOKUP(CONCATENATE('Respuestas de formulario 1.1'!$B156,MID('Respuestas de formulario 1.1'!DY$1,2,1)),#REF!,12,0),"")</f>
        <v/>
      </c>
      <c r="DZ156" s="45" t="str">
        <f>IFERROR(VLOOKUP(CONCATENATE('Respuestas de formulario 1.1'!$B156,MID('Respuestas de formulario 1.1'!DZ$1,2,1)),#REF!,12,0),"")</f>
        <v/>
      </c>
      <c r="EA156" s="45" t="str">
        <f>IFERROR(VLOOKUP(CONCATENATE('Respuestas de formulario 1.1'!$B156,MID('Respuestas de formulario 1.1'!EA$1,2,1)),#REF!,12,0),"")</f>
        <v/>
      </c>
      <c r="EB156" s="45" t="str">
        <f>IFERROR(VLOOKUP(CONCATENATE('Respuestas de formulario 1.1'!$B156,MID('Respuestas de formulario 1.1'!EB$1,2,1)),#REF!,12,0),"")</f>
        <v/>
      </c>
      <c r="EC156" s="45" t="str">
        <f>IFERROR(VLOOKUP(CONCATENATE('Respuestas de formulario 1.1'!$B156,MID('Respuestas de formulario 1.1'!EC$1,2,1)),#REF!,12,0),"")</f>
        <v/>
      </c>
      <c r="ED156" s="45" t="str">
        <f>IFERROR(VLOOKUP(CONCATENATE('Respuestas de formulario 1.1'!$B156,MID('Respuestas de formulario 1.1'!ED$1,2,1)),#REF!,12,0),"")</f>
        <v/>
      </c>
      <c r="EE156" s="45" t="str">
        <f>IFERROR(VLOOKUP(CONCATENATE('Respuestas de formulario 1.1'!$B156,MID('Respuestas de formulario 1.1'!EE$1,2,1)),#REF!,12,0),"")</f>
        <v/>
      </c>
      <c r="EF156" s="45" t="str">
        <f>IFERROR(VLOOKUP(CONCATENATE('Respuestas de formulario 1.1'!$B156,MID('Respuestas de formulario 1.1'!EF$1,2,1)),#REF!,12,0),"")</f>
        <v/>
      </c>
      <c r="EG156" s="45" t="str">
        <f>IFERROR(VLOOKUP(CONCATENATE('Respuestas de formulario 1.1'!$B156,MID('Respuestas de formulario 1.1'!EG$1,2,1)),#REF!,12,0),"")</f>
        <v/>
      </c>
      <c r="EH156" s="45" t="str">
        <f>IFERROR(VLOOKUP(CONCATENATE('Respuestas de formulario 1.1'!$B156,MID('Respuestas de formulario 1.1'!EH$1,2,1)),#REF!,12,0),"")</f>
        <v/>
      </c>
      <c r="EI156" s="45" t="str">
        <f>IFERROR(VLOOKUP(CONCATENATE('Respuestas de formulario 1.1'!$B156,MID('Respuestas de formulario 1.1'!EI$1,2,1)),#REF!,12,0),"")</f>
        <v/>
      </c>
      <c r="EJ156" s="45" t="str">
        <f t="array" ref="EJ156">IF(DO156="","", INDEX(#REF!,MATCH(CONCATENATE('Respuestas de formulario 1.1'!$B156,DO156),#REF!,0),MATCH('Respuestas de formulario 1.1'!EJ$1,#REF!,0)))</f>
        <v/>
      </c>
      <c r="EK156" s="56" t="str">
        <f t="array" ref="EK156">IF(DP156="","", INDEX(#REF!,MATCH(CONCATENATE('Respuestas de formulario 1.1'!$B156,DP156),#REF!,0),MATCH('Respuestas de formulario 1.1'!EK$1,#REF!,0)))</f>
        <v/>
      </c>
      <c r="EL156" s="56" t="str">
        <f t="array" ref="EL156">IF(DQ156="","", INDEX(#REF!,MATCH(CONCATENATE('Respuestas de formulario 1.1'!$B156,DQ156),#REF!,0),MATCH('Respuestas de formulario 1.1'!EL$1,#REF!,0)))</f>
        <v/>
      </c>
      <c r="EM156" s="56" t="str">
        <f t="array" ref="EM156">IF(DR156="","", INDEX(#REF!,MATCH(CONCATENATE('Respuestas de formulario 1.1'!$B156,DR156),#REF!,0),MATCH('Respuestas de formulario 1.1'!EM$1,#REF!,0)))</f>
        <v/>
      </c>
      <c r="EN156" s="56" t="str">
        <f t="array" ref="EN156">IF(DS156="","", INDEX(#REF!,MATCH(CONCATENATE('Respuestas de formulario 1.1'!$B156,DS156),#REF!,0),MATCH('Respuestas de formulario 1.1'!EN$1,#REF!,0)))</f>
        <v/>
      </c>
      <c r="EO156" s="56" t="str">
        <f t="array" ref="EO156">IF(DT156="","", INDEX(#REF!,MATCH(CONCATENATE('Respuestas de formulario 1.1'!$B156,DT156),#REF!,0),MATCH('Respuestas de formulario 1.1'!EO$1,#REF!,0)))</f>
        <v/>
      </c>
      <c r="EP156" s="45" t="str">
        <f t="array" ref="EP156">IF(DU156="","", INDEX(#REF!,MATCH(CONCATENATE('Respuestas de formulario 1.1'!$B156,DU156),#REF!,0),MATCH('Respuestas de formulario 1.1'!EP$1,#REF!,0)))</f>
        <v/>
      </c>
      <c r="EQ156" s="45" t="str">
        <f t="array" ref="EQ156">IF(DP156="","", INDEX(#REF!,MATCH(CONCATENATE('Respuestas de formulario 1.1'!$B156,DP156),#REF!,0),MATCH('Respuestas de formulario 1.1'!EQ$1,#REF!,0)))</f>
        <v/>
      </c>
      <c r="ER156" s="56" t="str">
        <f t="array" ref="ER156">IF(DQ156="","", INDEX(#REF!,MATCH(CONCATENATE('Respuestas de formulario 1.1'!$B156,DQ156),#REF!,0),MATCH('Respuestas de formulario 1.1'!ER$1,#REF!,0)))</f>
        <v/>
      </c>
      <c r="ES156" s="56" t="str">
        <f t="array" ref="ES156">IF(DR156="","", INDEX(#REF!,MATCH(CONCATENATE('Respuestas de formulario 1.1'!$B156,DR156),#REF!,0),MATCH('Respuestas de formulario 1.1'!ES$1,#REF!,0)))</f>
        <v/>
      </c>
      <c r="ET156" s="56" t="str">
        <f t="array" ref="ET156">IF(DS156="","", INDEX(#REF!,MATCH(CONCATENATE('Respuestas de formulario 1.1'!$B156,DS156),#REF!,0),MATCH('Respuestas de formulario 1.1'!ET$1,#REF!,0)))</f>
        <v/>
      </c>
      <c r="EU156" s="56" t="str">
        <f t="array" ref="EU156">IF(DT156="","", INDEX(#REF!,MATCH(CONCATENATE('Respuestas de formulario 1.1'!$B156,DT156),#REF!,0),MATCH('Respuestas de formulario 1.1'!EU$1,#REF!,0)))</f>
        <v/>
      </c>
      <c r="EV156" s="56" t="str">
        <f t="array" ref="EV156">IF(DU156="","", INDEX(#REF!,MATCH(CONCATENATE('Respuestas de formulario 1.1'!$B156,DU156),#REF!,0),MATCH('Respuestas de formulario 1.1'!EV$1,#REF!,0)))</f>
        <v/>
      </c>
      <c r="EW156" s="45" t="str">
        <f t="array" ref="EW156">IF(DV156="","", INDEX(#REF!,MATCH(CONCATENATE('Respuestas de formulario 1.1'!$B156,DV156),#REF!,0),MATCH('Respuestas de formulario 1.1'!EW$1,#REF!,0)))</f>
        <v/>
      </c>
      <c r="EX156" s="45" t="str">
        <f t="array" ref="EX156">IF($DQ156="","", INDEX(#REF!,MATCH(CONCATENATE('Respuestas de formulario 1.1'!$B156,$DQ156),#REF!,0),MATCH('Respuestas de formulario 1.1'!EX$1,#REF!,0)))</f>
        <v/>
      </c>
      <c r="EY156" s="56" t="str">
        <f t="array" ref="EY156">IF($DQ156="","", INDEX(#REF!,MATCH(CONCATENATE('Respuestas de formulario 1.1'!$B156,$DQ156),#REF!,0),MATCH('Respuestas de formulario 1.1'!EY$1,#REF!,0)))</f>
        <v/>
      </c>
      <c r="EZ156" s="56" t="str">
        <f t="array" ref="EZ156">IF($DQ156="","", INDEX(#REF!,MATCH(CONCATENATE('Respuestas de formulario 1.1'!$B156,$DQ156),#REF!,0),MATCH('Respuestas de formulario 1.1'!EZ$1,#REF!,0)))</f>
        <v/>
      </c>
      <c r="FA156" s="56" t="str">
        <f t="array" ref="FA156">IF($DQ156="","", INDEX(#REF!,MATCH(CONCATENATE('Respuestas de formulario 1.1'!$B156,$DQ156),#REF!,0),MATCH('Respuestas de formulario 1.1'!FA$1,#REF!,0)))</f>
        <v/>
      </c>
      <c r="FB156" s="56" t="str">
        <f t="array" ref="FB156">IF($DQ156="","", INDEX(#REF!,MATCH(CONCATENATE('Respuestas de formulario 1.1'!$B156,$DQ156),#REF!,0),MATCH('Respuestas de formulario 1.1'!FB$1,#REF!,0)))</f>
        <v/>
      </c>
      <c r="FC156" s="56" t="str">
        <f t="array" ref="FC156">IF($DQ156="","", INDEX(#REF!,MATCH(CONCATENATE('Respuestas de formulario 1.1'!$B156,$DQ156),#REF!,0),MATCH('Respuestas de formulario 1.1'!FC$1,#REF!,0)))</f>
        <v/>
      </c>
      <c r="FD156" s="45" t="str">
        <f t="array" ref="FD156">IF($DQ156="","", INDEX(#REF!,MATCH(CONCATENATE('Respuestas de formulario 1.1'!$B156,$DQ156),#REF!,0),MATCH('Respuestas de formulario 1.1'!FD$1,#REF!,0)))</f>
        <v/>
      </c>
      <c r="FE156" s="45" t="str">
        <f t="array" ref="FE156">IF($DR156="","", INDEX(#REF!,MATCH(CONCATENATE(#REF!,$DR156),#REF!,0),MATCH(#REF!,#REF!,0)))</f>
        <v/>
      </c>
      <c r="FF156" s="56" t="str">
        <f t="array" ref="FF156">IF($DR156="","", INDEX(#REF!,MATCH(CONCATENATE(#REF!,$DR156),#REF!,0),MATCH(#REF!,#REF!,0)))</f>
        <v/>
      </c>
      <c r="FG156" s="56" t="str">
        <f t="array" ref="FG156">IF($DR156="","", INDEX(#REF!,MATCH(CONCATENATE(#REF!,$DR156),#REF!,0),MATCH(#REF!,#REF!,0)))</f>
        <v/>
      </c>
      <c r="FH156" s="56" t="str">
        <f t="array" ref="FH156">IF($DR156="","", INDEX(#REF!,MATCH(CONCATENATE(#REF!,$DR156),#REF!,0),MATCH(#REF!,#REF!,0)))</f>
        <v/>
      </c>
      <c r="FI156" s="56" t="str">
        <f t="array" ref="FI156">IF($DR156="","", INDEX(#REF!,MATCH(CONCATENATE(#REF!,$DR156),#REF!,0),MATCH(#REF!,#REF!,0)))</f>
        <v/>
      </c>
      <c r="FJ156" s="56" t="str">
        <f t="array" ref="FJ156">IF($DR156="","", INDEX(#REF!,MATCH(CONCATENATE(#REF!,$DR156),#REF!,0),MATCH(#REF!,#REF!,0)))</f>
        <v/>
      </c>
      <c r="FK156" s="45" t="str">
        <f t="array" ref="FK156">IF($DR156="","", INDEX(#REF!,MATCH(CONCATENATE(#REF!,$DR156),#REF!,0),MATCH(#REF!,#REF!,0)))</f>
        <v/>
      </c>
      <c r="FL156" s="45" t="str">
        <f t="array" ref="FL156">IF($DT156="","", INDEX(#REF!,MATCH(CONCATENATE('Respuestas de formulario 1.1'!$B156,$DS156),#REF!,0),MATCH('Respuestas de formulario 1.1'!FL$1,#REF!,0)))</f>
        <v/>
      </c>
      <c r="FM156" s="56" t="str">
        <f t="array" ref="FM156">IF($DT156="","", INDEX(#REF!,MATCH(CONCATENATE('Respuestas de formulario 1.1'!$B156,$DS156),#REF!,0),MATCH('Respuestas de formulario 1.1'!FM$1,#REF!,0)))</f>
        <v/>
      </c>
      <c r="FN156" s="56" t="str">
        <f t="array" ref="FN156">IF($DT156="","", INDEX(#REF!,MATCH(CONCATENATE('Respuestas de formulario 1.1'!$B156,$DS156),#REF!,0),MATCH('Respuestas de formulario 1.1'!FN$1,#REF!,0)))</f>
        <v/>
      </c>
      <c r="FO156" s="56" t="str">
        <f t="array" ref="FO156">IF($DT156="","", INDEX(#REF!,MATCH(CONCATENATE('Respuestas de formulario 1.1'!$B156,$DS156),#REF!,0),MATCH('Respuestas de formulario 1.1'!FO$1,#REF!,0)))</f>
        <v/>
      </c>
      <c r="FP156" s="56" t="str">
        <f t="array" ref="FP156">IF($DT156="","", INDEX(#REF!,MATCH(CONCATENATE('Respuestas de formulario 1.1'!$B156,$DS156),#REF!,0),MATCH('Respuestas de formulario 1.1'!FP$1,#REF!,0)))</f>
        <v/>
      </c>
      <c r="FQ156" s="56" t="str">
        <f t="array" ref="FQ156">IF($DT156="","", INDEX(#REF!,MATCH(CONCATENATE('Respuestas de formulario 1.1'!$B156,$DS156),#REF!,0),MATCH('Respuestas de formulario 1.1'!FQ$1,#REF!,0)))</f>
        <v/>
      </c>
      <c r="FR156" s="45" t="str">
        <f t="array" ref="FR156">IF($DT156="","", INDEX(#REF!,MATCH(CONCATENATE('Respuestas de formulario 1.1'!$B156,$DS156),#REF!,0),MATCH('Respuestas de formulario 1.1'!FR$1,#REF!,0)))</f>
        <v/>
      </c>
      <c r="FS156" s="45" t="str">
        <f t="array" ref="FS156">IF($DU156="","", INDEX(#REF!,MATCH(CONCATENATE('Respuestas de formulario 1.1'!$B156,$DT156),#REF!,0),MATCH('Respuestas de formulario 1.1'!FS$1,#REF!,0)))</f>
        <v/>
      </c>
      <c r="FT156" s="56" t="str">
        <f t="array" ref="FT156">IF($DU156="","", INDEX(#REF!,MATCH(CONCATENATE('Respuestas de formulario 1.1'!$B156,$DT156),#REF!,0),MATCH('Respuestas de formulario 1.1'!FT$1,#REF!,0)))</f>
        <v/>
      </c>
      <c r="FU156" s="56" t="str">
        <f t="array" ref="FU156">IF($DU156="","", INDEX(#REF!,MATCH(CONCATENATE('Respuestas de formulario 1.1'!$B156,$DT156),#REF!,0),MATCH('Respuestas de formulario 1.1'!FU$1,#REF!,0)))</f>
        <v/>
      </c>
      <c r="FV156" s="56" t="str">
        <f t="array" ref="FV156">IF($DU156="","", INDEX(#REF!,MATCH(CONCATENATE('Respuestas de formulario 1.1'!$B156,$DT156),#REF!,0),MATCH('Respuestas de formulario 1.1'!FV$1,#REF!,0)))</f>
        <v/>
      </c>
      <c r="FW156" s="56" t="str">
        <f t="array" ref="FW156">IF($DU156="","", INDEX(#REF!,MATCH(CONCATENATE('Respuestas de formulario 1.1'!$B156,$DT156),#REF!,0),MATCH('Respuestas de formulario 1.1'!FW$1,#REF!,0)))</f>
        <v/>
      </c>
      <c r="FX156" s="56" t="str">
        <f t="array" ref="FX156">IF($DU156="","", INDEX(#REF!,MATCH(CONCATENATE('Respuestas de formulario 1.1'!$B156,$DT156),#REF!,0),MATCH('Respuestas de formulario 1.1'!FX$1,#REF!,0)))</f>
        <v/>
      </c>
      <c r="FY156" s="45" t="str">
        <f t="array" ref="FY156">IF($DU156="","", INDEX(#REF!,MATCH(CONCATENATE('Respuestas de formulario 1.1'!$B156,$DT156),#REF!,0),MATCH('Respuestas de formulario 1.1'!FY$1,#REF!,0)))</f>
        <v/>
      </c>
      <c r="FZ156" s="3" t="s">
        <v>2860</v>
      </c>
      <c r="GA156" s="1" t="s">
        <v>5510</v>
      </c>
      <c r="GB156" s="5" t="s">
        <v>5511</v>
      </c>
      <c r="GC156" s="4" t="str">
        <f>HYPERLINK("https://drive.google.com/file/d/14goHheFUt3QlcCg8ZkrQiCulmeN9aZwX/view?usp=drivesdk","SANTIAGO HERNANDEZ DAFNE CITLALLI Formato de reinscripción y pago 2022-2")</f>
        <v>SANTIAGO HERNANDEZ DAFNE CITLALLI Formato de reinscripción y pago 2022-2</v>
      </c>
      <c r="GD156" s="1" t="s">
        <v>5512</v>
      </c>
      <c r="GE156" s="1"/>
      <c r="GF156" s="1"/>
      <c r="GG156" s="1"/>
      <c r="GH156" s="1"/>
      <c r="GI156" s="1" t="s">
        <v>5513</v>
      </c>
      <c r="GJ156" s="5" t="s">
        <v>5514</v>
      </c>
      <c r="GK156" s="5" t="str">
        <f>HYPERLINK("https://drive.google.com/file/d/1RMZDmbiCwXQPVLZobsAZSlCx7NieefLw/view?usp=drivesdk","SANTIAGO HERNANDEZ DAFNE CITLALLI Formato de reinscripción y pago 2022-2")</f>
        <v>SANTIAGO HERNANDEZ DAFNE CITLALLI Formato de reinscripción y pago 2022-2</v>
      </c>
      <c r="GL156" s="1" t="s">
        <v>5515</v>
      </c>
    </row>
    <row r="157" spans="1:194" ht="38.25" x14ac:dyDescent="0.2">
      <c r="A157" s="2">
        <v>45139.468426469903</v>
      </c>
      <c r="B157" s="1" t="s">
        <v>1577</v>
      </c>
      <c r="C157" s="1" t="s">
        <v>1578</v>
      </c>
      <c r="D157" s="1" t="s">
        <v>268</v>
      </c>
      <c r="E157" s="1" t="s">
        <v>1579</v>
      </c>
      <c r="F157" s="1" t="s">
        <v>223</v>
      </c>
      <c r="G157" s="5" t="s">
        <v>5516</v>
      </c>
      <c r="H157" s="41">
        <v>39043</v>
      </c>
      <c r="I157" s="1">
        <v>16</v>
      </c>
      <c r="J157" s="1">
        <v>5574877590</v>
      </c>
      <c r="K157" s="1">
        <v>5510571743</v>
      </c>
      <c r="L157" s="1" t="s">
        <v>1580</v>
      </c>
      <c r="M157" s="1">
        <v>22309060570755</v>
      </c>
      <c r="N157" s="1" t="s">
        <v>562</v>
      </c>
      <c r="O157" s="1" t="s">
        <v>247</v>
      </c>
      <c r="P157" s="1" t="s">
        <v>226</v>
      </c>
      <c r="Q157" s="1" t="s">
        <v>248</v>
      </c>
      <c r="R157" s="1" t="s">
        <v>236</v>
      </c>
      <c r="S157" s="1" t="s">
        <v>228</v>
      </c>
      <c r="T157" s="1" t="s">
        <v>229</v>
      </c>
      <c r="U157" s="1" t="s">
        <v>327</v>
      </c>
      <c r="V157" s="1" t="s">
        <v>228</v>
      </c>
      <c r="W157" s="1" t="s">
        <v>5517</v>
      </c>
      <c r="X157" s="1" t="s">
        <v>327</v>
      </c>
      <c r="Y157" s="1" t="s">
        <v>1584</v>
      </c>
      <c r="Z157" s="1" t="s">
        <v>231</v>
      </c>
      <c r="AA157" s="1">
        <v>56337</v>
      </c>
      <c r="AB157" s="1">
        <v>1</v>
      </c>
      <c r="AC157" s="1">
        <v>11</v>
      </c>
      <c r="AD157" s="1" t="s">
        <v>1581</v>
      </c>
      <c r="AE157" s="1" t="s">
        <v>5518</v>
      </c>
      <c r="AF157" s="1" t="s">
        <v>461</v>
      </c>
      <c r="AG157" s="1">
        <v>48</v>
      </c>
      <c r="AH157" s="5" t="s">
        <v>5519</v>
      </c>
      <c r="AI157" s="1">
        <v>5519346798</v>
      </c>
      <c r="AJ157" s="1">
        <v>5510571743</v>
      </c>
      <c r="AK157" s="1" t="s">
        <v>5520</v>
      </c>
      <c r="AL157" s="1" t="s">
        <v>1578</v>
      </c>
      <c r="AM157" s="1" t="s">
        <v>1583</v>
      </c>
      <c r="AN157" s="1" t="s">
        <v>633</v>
      </c>
      <c r="AO157" s="1" t="s">
        <v>420</v>
      </c>
      <c r="AP157" s="1">
        <v>51</v>
      </c>
      <c r="AQ157" s="1" t="s">
        <v>546</v>
      </c>
      <c r="AR157" s="42">
        <v>0.29166666666424135</v>
      </c>
      <c r="AS157" s="42">
        <v>0.9375</v>
      </c>
      <c r="AT157" s="1">
        <v>5613558527</v>
      </c>
      <c r="AU157" s="1">
        <v>5510571743</v>
      </c>
      <c r="AV157" s="1" t="s">
        <v>5521</v>
      </c>
      <c r="AW157" s="5" t="s">
        <v>5522</v>
      </c>
      <c r="AX157" s="1" t="s">
        <v>1578</v>
      </c>
      <c r="AY157" s="1" t="s">
        <v>268</v>
      </c>
      <c r="AZ157" s="1" t="s">
        <v>790</v>
      </c>
      <c r="BA157" s="1" t="s">
        <v>586</v>
      </c>
      <c r="BB157" s="1">
        <v>29</v>
      </c>
      <c r="BC157" s="1" t="s">
        <v>1792</v>
      </c>
      <c r="BD157" s="43">
        <v>0.5</v>
      </c>
      <c r="BE157" s="43">
        <v>0.875</v>
      </c>
      <c r="BF157" s="1">
        <v>5529323132</v>
      </c>
      <c r="BG157" s="1">
        <v>5510571743</v>
      </c>
      <c r="BH157" s="1" t="s">
        <v>5523</v>
      </c>
      <c r="BI157" s="5" t="s">
        <v>5524</v>
      </c>
      <c r="BJ157" s="1" t="s">
        <v>236</v>
      </c>
      <c r="BL157" s="1">
        <v>153</v>
      </c>
      <c r="BM157" s="1">
        <v>65</v>
      </c>
      <c r="BN157" s="1" t="s">
        <v>228</v>
      </c>
      <c r="BO157" s="1" t="s">
        <v>228</v>
      </c>
      <c r="BQ157" s="1" t="s">
        <v>228</v>
      </c>
      <c r="BR157" s="1" t="s">
        <v>237</v>
      </c>
      <c r="BS157" s="1" t="s">
        <v>228</v>
      </c>
      <c r="BT157" s="1" t="s">
        <v>237</v>
      </c>
      <c r="BU157" s="1" t="s">
        <v>228</v>
      </c>
      <c r="BW157" s="1" t="s">
        <v>238</v>
      </c>
      <c r="BX157" s="1">
        <v>180</v>
      </c>
      <c r="BY157" s="1">
        <v>600</v>
      </c>
      <c r="BZ157" s="1" t="s">
        <v>1517</v>
      </c>
      <c r="CA157" s="1" t="s">
        <v>254</v>
      </c>
      <c r="CB157" s="1" t="s">
        <v>240</v>
      </c>
      <c r="CC157" s="1" t="s">
        <v>322</v>
      </c>
      <c r="CD157" s="1">
        <v>500</v>
      </c>
      <c r="CE157" s="1">
        <v>1500</v>
      </c>
      <c r="CF157" s="1" t="s">
        <v>236</v>
      </c>
      <c r="CG157" s="1" t="s">
        <v>242</v>
      </c>
      <c r="CH157" s="1" t="s">
        <v>243</v>
      </c>
      <c r="CI157" s="1" t="s">
        <v>243</v>
      </c>
      <c r="CJ157" s="1" t="s">
        <v>2848</v>
      </c>
      <c r="CL157" s="5" t="s">
        <v>5525</v>
      </c>
      <c r="CM157" s="1">
        <v>16210670549</v>
      </c>
      <c r="CN157" s="1" t="s">
        <v>228</v>
      </c>
      <c r="CQ157" s="42">
        <v>0.29166666666424135</v>
      </c>
      <c r="CR157" s="42">
        <v>0.9375</v>
      </c>
      <c r="CT157" s="45" t="str">
        <f t="array" ref="CT157">IFERROR(INDEX(#REF!,MATCH('Respuestas de formulario 1.1'!$B157,#REF!,0),MATCH('Respuestas de formulario 1.1'!CT$1,#REF!,0)),"")</f>
        <v/>
      </c>
      <c r="CU157" s="56" t="str">
        <f t="array" ref="CU157">IFERROR(INDEX(#REF!,MATCH('Respuestas de formulario 1.1'!$B157,#REF!,0),MATCH('Respuestas de formulario 1.1'!CU$1,#REF!,0)),"")</f>
        <v/>
      </c>
      <c r="CV157" s="56" t="str">
        <f t="array" ref="CV157">IFERROR(INDEX(#REF!,MATCH('Respuestas de formulario 1.1'!$B157,#REF!,0),MATCH('Respuestas de formulario 1.1'!CV$1,#REF!,0)),"")</f>
        <v/>
      </c>
      <c r="CW157" s="56" t="str">
        <f t="array" ref="CW157">IFERROR(INDEX(#REF!,MATCH('Respuestas de formulario 1.1'!$B157,#REF!,0),MATCH('Respuestas de formulario 1.1'!CW$1,#REF!,0)),"")</f>
        <v/>
      </c>
      <c r="CX157" s="56" t="str">
        <f t="array" ref="CX157">IFERROR(INDEX(#REF!,MATCH('Respuestas de formulario 1.1'!$B157,#REF!,0),MATCH('Respuestas de formulario 1.1'!CX$1,#REF!,0)),"")</f>
        <v/>
      </c>
      <c r="CY157" s="56" t="str">
        <f t="array" ref="CY157">IFERROR(INDEX(#REF!,MATCH('Respuestas de formulario 1.1'!$B157,#REF!,0),MATCH('Respuestas de formulario 1.1'!CY$1,#REF!,0)),"")</f>
        <v/>
      </c>
      <c r="CZ157" s="57" t="str">
        <f t="array" ref="CZ157">IFERROR(INDEX(#REF!,MATCH('Respuestas de formulario 1.1'!$B157,#REF!,0),MATCH('Respuestas de formulario 1.1'!CZ$1,#REF!,0)),"")</f>
        <v/>
      </c>
      <c r="DA157" s="45" t="e">
        <f t="array" ref="DA157">INDEX(#REF!,MATCH('Respuestas de formulario 1.1'!$B157,#REF!,0),MATCH('Respuestas de formulario 1.1'!DA$1,#REF!,0))</f>
        <v>#REF!</v>
      </c>
      <c r="DB157" s="45" t="e">
        <f t="array" ref="DB157">INDEX(#REF!,MATCH('Respuestas de formulario 1.1'!$B157,#REF!,0),MATCH('Respuestas de formulario 1.1'!DB$1,#REF!,0))</f>
        <v>#REF!</v>
      </c>
      <c r="DC157" s="45" t="e">
        <f t="array" ref="DC157">INDEX(#REF!,MATCH('Respuestas de formulario 1.1'!$B157,#REF!,0),MATCH('Respuestas de formulario 1.1'!DC$1,#REF!,0))</f>
        <v>#REF!</v>
      </c>
      <c r="DD157" s="45" t="e">
        <f t="array" ref="DD157">INDEX(#REF!,MATCH('Respuestas de formulario 1.1'!$B157,#REF!,0),MATCH('Respuestas de formulario 1.1'!DD$1,#REF!,0))</f>
        <v>#REF!</v>
      </c>
      <c r="DE157" s="45" t="e">
        <f t="array" ref="DE157">INDEX(#REF!,MATCH('Respuestas de formulario 1.1'!$B157,#REF!,0),MATCH('Respuestas de formulario 1.1'!DE$1,#REF!,0))</f>
        <v>#REF!</v>
      </c>
      <c r="DF157" s="45" t="e">
        <f t="array" ref="DF157">INDEX(#REF!,MATCH('Respuestas de formulario 1.1'!$B157,#REF!,0),MATCH('Respuestas de formulario 1.1'!DF$1,#REF!,0))</f>
        <v>#REF!</v>
      </c>
      <c r="DG157" s="45" t="e">
        <f t="array" ref="DG157">INDEX(#REF!,MATCH('Respuestas de formulario 1.1'!$B157,#REF!,0),MATCH('Respuestas de formulario 1.1'!DG$1,#REF!,0))</f>
        <v>#REF!</v>
      </c>
      <c r="DH157" s="45" t="e">
        <f t="array" ref="DH157">INDEX(#REF!,MATCH('Respuestas de formulario 1.1'!$B157,#REF!,0),MATCH('Respuestas de formulario 1.1'!DH$1,#REF!,0))</f>
        <v>#REF!</v>
      </c>
      <c r="DI157" s="48" t="e">
        <f>VLOOKUP(CONCATENATE($DF157," TUTO ",$DC157),#REF!,3,0)</f>
        <v>#REF!</v>
      </c>
      <c r="DJ157" s="48" t="e">
        <f t="array" ref="DJ157">IF('Respuestas de formulario 1.1'!A157="","",INDEX(#REF!,MATCH('Respuestas de formulario 1.1'!B157,#REF!,0),MATCH('Respuestas de formulario 1.1'!$DH$1,#REF!,0)))</f>
        <v>#REF!</v>
      </c>
      <c r="DK157" s="52" t="str">
        <f>CONCATENATE("http://doc.google.com/uc?id=",MID('Respuestas de formulario 1.1'!G157,34,33))</f>
        <v>http://doc.google.com/uc?id=1vueQmMb1A0eyIV4I2BsqJRzcHHg-IykY</v>
      </c>
      <c r="DL157" s="49" t="str">
        <f>CONCATENATE("http://doc.google.com/uc?id=",MID('Respuestas de formulario 1.1'!AH157,34,33))</f>
        <v>http://doc.google.com/uc?id=1n16V75mezri15IdhlqdQhaCmUbTL3LSO</v>
      </c>
      <c r="DM157" s="50" t="str">
        <f>CONCATENATE("http://doc.google.com/uc?id=",MID('Respuestas de formulario 1.1'!AW157,34,33))</f>
        <v>http://doc.google.com/uc?id=11YvtCdXyL4XP2BN_UcDc1eaPVO64w-_3</v>
      </c>
      <c r="DN157" s="53" t="str">
        <f>CONCATENATE("http://doc.google.com/uc?id=",MID('Respuestas de formulario 1.1'!$BI157,34,33))</f>
        <v>http://doc.google.com/uc?id=1wTf6T30e9s-zkL06SjahGOQ_5tCLpviO</v>
      </c>
      <c r="DO157" s="45" t="str">
        <f>IFERROR(VLOOKUP(CONCATENATE('Respuestas de formulario 1.1'!$B157,MID('Respuestas de formulario 1.1'!DO$1,2,1)),#REF!,12,0),"")</f>
        <v/>
      </c>
      <c r="DP157" s="45" t="str">
        <f>IFERROR(VLOOKUP(CONCATENATE('Respuestas de formulario 1.1'!$B157,MID('Respuestas de formulario 1.1'!DP$1,2,1)),#REF!,12,0),"")</f>
        <v/>
      </c>
      <c r="DQ157" s="45" t="str">
        <f>IFERROR(VLOOKUP(CONCATENATE('Respuestas de formulario 1.1'!$B157,MID('Respuestas de formulario 1.1'!DQ$1,2,1)),#REF!,12,0),"")</f>
        <v/>
      </c>
      <c r="DR157" s="45" t="str">
        <f>IFERROR(VLOOKUP(CONCATENATE('Respuestas de formulario 1.1'!$B157,MID('Respuestas de formulario 1.1'!DR$1,2,1)),#REF!,12,0),"")</f>
        <v/>
      </c>
      <c r="DS157" s="45" t="str">
        <f>IFERROR(VLOOKUP(CONCATENATE('Respuestas de formulario 1.1'!$B157,MID('Respuestas de formulario 1.1'!DS$1,2,1)),#REF!,12,0),"")</f>
        <v/>
      </c>
      <c r="DT157" s="45" t="str">
        <f>IFERROR(VLOOKUP(CONCATENATE('Respuestas de formulario 1.1'!$B157,MID('Respuestas de formulario 1.1'!DT$1,2,1)),#REF!,12,0),"")</f>
        <v/>
      </c>
      <c r="DU157" s="45" t="str">
        <f>IFERROR(VLOOKUP(CONCATENATE('Respuestas de formulario 1.1'!$B157,MID('Respuestas de formulario 1.1'!DU$1,2,1)),#REF!,12,0),"")</f>
        <v/>
      </c>
      <c r="DV157" s="45" t="str">
        <f>IFERROR(VLOOKUP(CONCATENATE('Respuestas de formulario 1.1'!$B157,MID('Respuestas de formulario 1.1'!DV$1,2,1)),#REF!,12,0),"")</f>
        <v/>
      </c>
      <c r="DW157" s="45" t="str">
        <f>IFERROR(VLOOKUP(CONCATENATE('Respuestas de formulario 1.1'!$B157,MID('Respuestas de formulario 1.1'!DW$1,2,1)),#REF!,12,0),"")</f>
        <v/>
      </c>
      <c r="DX157" s="45" t="str">
        <f>IFERROR(VLOOKUP(CONCATENATE('Respuestas de formulario 1.1'!$B157,MID('Respuestas de formulario 1.1'!DX$1,2,1)),#REF!,12,0),"")</f>
        <v/>
      </c>
      <c r="DY157" s="45" t="str">
        <f>IFERROR(VLOOKUP(CONCATENATE('Respuestas de formulario 1.1'!$B157,MID('Respuestas de formulario 1.1'!DY$1,2,1)),#REF!,12,0),"")</f>
        <v/>
      </c>
      <c r="DZ157" s="45" t="str">
        <f>IFERROR(VLOOKUP(CONCATENATE('Respuestas de formulario 1.1'!$B157,MID('Respuestas de formulario 1.1'!DZ$1,2,1)),#REF!,12,0),"")</f>
        <v/>
      </c>
      <c r="EA157" s="45" t="str">
        <f>IFERROR(VLOOKUP(CONCATENATE('Respuestas de formulario 1.1'!$B157,MID('Respuestas de formulario 1.1'!EA$1,2,1)),#REF!,12,0),"")</f>
        <v/>
      </c>
      <c r="EB157" s="45" t="str">
        <f>IFERROR(VLOOKUP(CONCATENATE('Respuestas de formulario 1.1'!$B157,MID('Respuestas de formulario 1.1'!EB$1,2,1)),#REF!,12,0),"")</f>
        <v/>
      </c>
      <c r="EC157" s="45" t="str">
        <f>IFERROR(VLOOKUP(CONCATENATE('Respuestas de formulario 1.1'!$B157,MID('Respuestas de formulario 1.1'!EC$1,2,1)),#REF!,12,0),"")</f>
        <v/>
      </c>
      <c r="ED157" s="45" t="str">
        <f>IFERROR(VLOOKUP(CONCATENATE('Respuestas de formulario 1.1'!$B157,MID('Respuestas de formulario 1.1'!ED$1,2,1)),#REF!,12,0),"")</f>
        <v/>
      </c>
      <c r="EE157" s="45" t="str">
        <f>IFERROR(VLOOKUP(CONCATENATE('Respuestas de formulario 1.1'!$B157,MID('Respuestas de formulario 1.1'!EE$1,2,1)),#REF!,12,0),"")</f>
        <v/>
      </c>
      <c r="EF157" s="45" t="str">
        <f>IFERROR(VLOOKUP(CONCATENATE('Respuestas de formulario 1.1'!$B157,MID('Respuestas de formulario 1.1'!EF$1,2,1)),#REF!,12,0),"")</f>
        <v/>
      </c>
      <c r="EG157" s="45" t="str">
        <f>IFERROR(VLOOKUP(CONCATENATE('Respuestas de formulario 1.1'!$B157,MID('Respuestas de formulario 1.1'!EG$1,2,1)),#REF!,12,0),"")</f>
        <v/>
      </c>
      <c r="EH157" s="45" t="str">
        <f>IFERROR(VLOOKUP(CONCATENATE('Respuestas de formulario 1.1'!$B157,MID('Respuestas de formulario 1.1'!EH$1,2,1)),#REF!,12,0),"")</f>
        <v/>
      </c>
      <c r="EI157" s="45" t="str">
        <f>IFERROR(VLOOKUP(CONCATENATE('Respuestas de formulario 1.1'!$B157,MID('Respuestas de formulario 1.1'!EI$1,2,1)),#REF!,12,0),"")</f>
        <v/>
      </c>
      <c r="EJ157" s="45" t="str">
        <f t="array" ref="EJ157">IF(DO157="","", INDEX(#REF!,MATCH(CONCATENATE('Respuestas de formulario 1.1'!$B157,DO157),#REF!,0),MATCH('Respuestas de formulario 1.1'!EJ$1,#REF!,0)))</f>
        <v/>
      </c>
      <c r="EK157" s="56" t="str">
        <f t="array" ref="EK157">IF(DP157="","", INDEX(#REF!,MATCH(CONCATENATE('Respuestas de formulario 1.1'!$B157,DP157),#REF!,0),MATCH('Respuestas de formulario 1.1'!EK$1,#REF!,0)))</f>
        <v/>
      </c>
      <c r="EL157" s="56" t="str">
        <f t="array" ref="EL157">IF(DQ157="","", INDEX(#REF!,MATCH(CONCATENATE('Respuestas de formulario 1.1'!$B157,DQ157),#REF!,0),MATCH('Respuestas de formulario 1.1'!EL$1,#REF!,0)))</f>
        <v/>
      </c>
      <c r="EM157" s="56" t="str">
        <f t="array" ref="EM157">IF(DR157="","", INDEX(#REF!,MATCH(CONCATENATE('Respuestas de formulario 1.1'!$B157,DR157),#REF!,0),MATCH('Respuestas de formulario 1.1'!EM$1,#REF!,0)))</f>
        <v/>
      </c>
      <c r="EN157" s="56" t="str">
        <f t="array" ref="EN157">IF(DS157="","", INDEX(#REF!,MATCH(CONCATENATE('Respuestas de formulario 1.1'!$B157,DS157),#REF!,0),MATCH('Respuestas de formulario 1.1'!EN$1,#REF!,0)))</f>
        <v/>
      </c>
      <c r="EO157" s="56" t="str">
        <f t="array" ref="EO157">IF(DT157="","", INDEX(#REF!,MATCH(CONCATENATE('Respuestas de formulario 1.1'!$B157,DT157),#REF!,0),MATCH('Respuestas de formulario 1.1'!EO$1,#REF!,0)))</f>
        <v/>
      </c>
      <c r="EP157" s="45" t="str">
        <f t="array" ref="EP157">IF(DU157="","", INDEX(#REF!,MATCH(CONCATENATE('Respuestas de formulario 1.1'!$B157,DU157),#REF!,0),MATCH('Respuestas de formulario 1.1'!EP$1,#REF!,0)))</f>
        <v/>
      </c>
      <c r="EQ157" s="45" t="str">
        <f t="array" ref="EQ157">IF(DP157="","", INDEX(#REF!,MATCH(CONCATENATE('Respuestas de formulario 1.1'!$B157,DP157),#REF!,0),MATCH('Respuestas de formulario 1.1'!EQ$1,#REF!,0)))</f>
        <v/>
      </c>
      <c r="ER157" s="56" t="str">
        <f t="array" ref="ER157">IF(DQ157="","", INDEX(#REF!,MATCH(CONCATENATE('Respuestas de formulario 1.1'!$B157,DQ157),#REF!,0),MATCH('Respuestas de formulario 1.1'!ER$1,#REF!,0)))</f>
        <v/>
      </c>
      <c r="ES157" s="56" t="str">
        <f t="array" ref="ES157">IF(DR157="","", INDEX(#REF!,MATCH(CONCATENATE('Respuestas de formulario 1.1'!$B157,DR157),#REF!,0),MATCH('Respuestas de formulario 1.1'!ES$1,#REF!,0)))</f>
        <v/>
      </c>
      <c r="ET157" s="56" t="str">
        <f t="array" ref="ET157">IF(DS157="","", INDEX(#REF!,MATCH(CONCATENATE('Respuestas de formulario 1.1'!$B157,DS157),#REF!,0),MATCH('Respuestas de formulario 1.1'!ET$1,#REF!,0)))</f>
        <v/>
      </c>
      <c r="EU157" s="56" t="str">
        <f t="array" ref="EU157">IF(DT157="","", INDEX(#REF!,MATCH(CONCATENATE('Respuestas de formulario 1.1'!$B157,DT157),#REF!,0),MATCH('Respuestas de formulario 1.1'!EU$1,#REF!,0)))</f>
        <v/>
      </c>
      <c r="EV157" s="56" t="str">
        <f t="array" ref="EV157">IF(DU157="","", INDEX(#REF!,MATCH(CONCATENATE('Respuestas de formulario 1.1'!$B157,DU157),#REF!,0),MATCH('Respuestas de formulario 1.1'!EV$1,#REF!,0)))</f>
        <v/>
      </c>
      <c r="EW157" s="45" t="str">
        <f t="array" ref="EW157">IF(DV157="","", INDEX(#REF!,MATCH(CONCATENATE('Respuestas de formulario 1.1'!$B157,DV157),#REF!,0),MATCH('Respuestas de formulario 1.1'!EW$1,#REF!,0)))</f>
        <v/>
      </c>
      <c r="EX157" s="45" t="str">
        <f t="array" ref="EX157">IF($DQ157="","", INDEX(#REF!,MATCH(CONCATENATE('Respuestas de formulario 1.1'!$B157,$DQ157),#REF!,0),MATCH('Respuestas de formulario 1.1'!EX$1,#REF!,0)))</f>
        <v/>
      </c>
      <c r="EY157" s="56" t="str">
        <f t="array" ref="EY157">IF($DQ157="","", INDEX(#REF!,MATCH(CONCATENATE('Respuestas de formulario 1.1'!$B157,$DQ157),#REF!,0),MATCH('Respuestas de formulario 1.1'!EY$1,#REF!,0)))</f>
        <v/>
      </c>
      <c r="EZ157" s="56" t="str">
        <f t="array" ref="EZ157">IF($DQ157="","", INDEX(#REF!,MATCH(CONCATENATE('Respuestas de formulario 1.1'!$B157,$DQ157),#REF!,0),MATCH('Respuestas de formulario 1.1'!EZ$1,#REF!,0)))</f>
        <v/>
      </c>
      <c r="FA157" s="56" t="str">
        <f t="array" ref="FA157">IF($DQ157="","", INDEX(#REF!,MATCH(CONCATENATE('Respuestas de formulario 1.1'!$B157,$DQ157),#REF!,0),MATCH('Respuestas de formulario 1.1'!FA$1,#REF!,0)))</f>
        <v/>
      </c>
      <c r="FB157" s="56" t="str">
        <f t="array" ref="FB157">IF($DQ157="","", INDEX(#REF!,MATCH(CONCATENATE('Respuestas de formulario 1.1'!$B157,$DQ157),#REF!,0),MATCH('Respuestas de formulario 1.1'!FB$1,#REF!,0)))</f>
        <v/>
      </c>
      <c r="FC157" s="56" t="str">
        <f t="array" ref="FC157">IF($DQ157="","", INDEX(#REF!,MATCH(CONCATENATE('Respuestas de formulario 1.1'!$B157,$DQ157),#REF!,0),MATCH('Respuestas de formulario 1.1'!FC$1,#REF!,0)))</f>
        <v/>
      </c>
      <c r="FD157" s="45" t="str">
        <f t="array" ref="FD157">IF($DQ157="","", INDEX(#REF!,MATCH(CONCATENATE('Respuestas de formulario 1.1'!$B157,$DQ157),#REF!,0),MATCH('Respuestas de formulario 1.1'!FD$1,#REF!,0)))</f>
        <v/>
      </c>
      <c r="FE157" s="45" t="str">
        <f t="array" ref="FE157">IF($DR157="","", INDEX(#REF!,MATCH(CONCATENATE(#REF!,$DR157),#REF!,0),MATCH(#REF!,#REF!,0)))</f>
        <v/>
      </c>
      <c r="FF157" s="56" t="str">
        <f t="array" ref="FF157">IF($DR157="","", INDEX(#REF!,MATCH(CONCATENATE(#REF!,$DR157),#REF!,0),MATCH(#REF!,#REF!,0)))</f>
        <v/>
      </c>
      <c r="FG157" s="56" t="str">
        <f t="array" ref="FG157">IF($DR157="","", INDEX(#REF!,MATCH(CONCATENATE(#REF!,$DR157),#REF!,0),MATCH(#REF!,#REF!,0)))</f>
        <v/>
      </c>
      <c r="FH157" s="56" t="str">
        <f t="array" ref="FH157">IF($DR157="","", INDEX(#REF!,MATCH(CONCATENATE(#REF!,$DR157),#REF!,0),MATCH(#REF!,#REF!,0)))</f>
        <v/>
      </c>
      <c r="FI157" s="56" t="str">
        <f t="array" ref="FI157">IF($DR157="","", INDEX(#REF!,MATCH(CONCATENATE(#REF!,$DR157),#REF!,0),MATCH(#REF!,#REF!,0)))</f>
        <v/>
      </c>
      <c r="FJ157" s="56" t="str">
        <f t="array" ref="FJ157">IF($DR157="","", INDEX(#REF!,MATCH(CONCATENATE(#REF!,$DR157),#REF!,0),MATCH(#REF!,#REF!,0)))</f>
        <v/>
      </c>
      <c r="FK157" s="45" t="str">
        <f t="array" ref="FK157">IF($DR157="","", INDEX(#REF!,MATCH(CONCATENATE(#REF!,$DR157),#REF!,0),MATCH(#REF!,#REF!,0)))</f>
        <v/>
      </c>
      <c r="FL157" s="45" t="str">
        <f t="array" ref="FL157">IF($DT157="","", INDEX(#REF!,MATCH(CONCATENATE('Respuestas de formulario 1.1'!$B157,$DS157),#REF!,0),MATCH('Respuestas de formulario 1.1'!FL$1,#REF!,0)))</f>
        <v/>
      </c>
      <c r="FM157" s="56" t="str">
        <f t="array" ref="FM157">IF($DT157="","", INDEX(#REF!,MATCH(CONCATENATE('Respuestas de formulario 1.1'!$B157,$DS157),#REF!,0),MATCH('Respuestas de formulario 1.1'!FM$1,#REF!,0)))</f>
        <v/>
      </c>
      <c r="FN157" s="56" t="str">
        <f t="array" ref="FN157">IF($DT157="","", INDEX(#REF!,MATCH(CONCATENATE('Respuestas de formulario 1.1'!$B157,$DS157),#REF!,0),MATCH('Respuestas de formulario 1.1'!FN$1,#REF!,0)))</f>
        <v/>
      </c>
      <c r="FO157" s="56" t="str">
        <f t="array" ref="FO157">IF($DT157="","", INDEX(#REF!,MATCH(CONCATENATE('Respuestas de formulario 1.1'!$B157,$DS157),#REF!,0),MATCH('Respuestas de formulario 1.1'!FO$1,#REF!,0)))</f>
        <v/>
      </c>
      <c r="FP157" s="56" t="str">
        <f t="array" ref="FP157">IF($DT157="","", INDEX(#REF!,MATCH(CONCATENATE('Respuestas de formulario 1.1'!$B157,$DS157),#REF!,0),MATCH('Respuestas de formulario 1.1'!FP$1,#REF!,0)))</f>
        <v/>
      </c>
      <c r="FQ157" s="56" t="str">
        <f t="array" ref="FQ157">IF($DT157="","", INDEX(#REF!,MATCH(CONCATENATE('Respuestas de formulario 1.1'!$B157,$DS157),#REF!,0),MATCH('Respuestas de formulario 1.1'!FQ$1,#REF!,0)))</f>
        <v/>
      </c>
      <c r="FR157" s="45" t="str">
        <f t="array" ref="FR157">IF($DT157="","", INDEX(#REF!,MATCH(CONCATENATE('Respuestas de formulario 1.1'!$B157,$DS157),#REF!,0),MATCH('Respuestas de formulario 1.1'!FR$1,#REF!,0)))</f>
        <v/>
      </c>
      <c r="FS157" s="45" t="str">
        <f t="array" ref="FS157">IF($DU157="","", INDEX(#REF!,MATCH(CONCATENATE('Respuestas de formulario 1.1'!$B157,$DT157),#REF!,0),MATCH('Respuestas de formulario 1.1'!FS$1,#REF!,0)))</f>
        <v/>
      </c>
      <c r="FT157" s="56" t="str">
        <f t="array" ref="FT157">IF($DU157="","", INDEX(#REF!,MATCH(CONCATENATE('Respuestas de formulario 1.1'!$B157,$DT157),#REF!,0),MATCH('Respuestas de formulario 1.1'!FT$1,#REF!,0)))</f>
        <v/>
      </c>
      <c r="FU157" s="56" t="str">
        <f t="array" ref="FU157">IF($DU157="","", INDEX(#REF!,MATCH(CONCATENATE('Respuestas de formulario 1.1'!$B157,$DT157),#REF!,0),MATCH('Respuestas de formulario 1.1'!FU$1,#REF!,0)))</f>
        <v/>
      </c>
      <c r="FV157" s="56" t="str">
        <f t="array" ref="FV157">IF($DU157="","", INDEX(#REF!,MATCH(CONCATENATE('Respuestas de formulario 1.1'!$B157,$DT157),#REF!,0),MATCH('Respuestas de formulario 1.1'!FV$1,#REF!,0)))</f>
        <v/>
      </c>
      <c r="FW157" s="56" t="str">
        <f t="array" ref="FW157">IF($DU157="","", INDEX(#REF!,MATCH(CONCATENATE('Respuestas de formulario 1.1'!$B157,$DT157),#REF!,0),MATCH('Respuestas de formulario 1.1'!FW$1,#REF!,0)))</f>
        <v/>
      </c>
      <c r="FX157" s="56" t="str">
        <f t="array" ref="FX157">IF($DU157="","", INDEX(#REF!,MATCH(CONCATENATE('Respuestas de formulario 1.1'!$B157,$DT157),#REF!,0),MATCH('Respuestas de formulario 1.1'!FX$1,#REF!,0)))</f>
        <v/>
      </c>
      <c r="FY157" s="45" t="str">
        <f t="array" ref="FY157">IF($DU157="","", INDEX(#REF!,MATCH(CONCATENATE('Respuestas de formulario 1.1'!$B157,$DT157),#REF!,0),MATCH('Respuestas de formulario 1.1'!FY$1,#REF!,0)))</f>
        <v/>
      </c>
      <c r="FZ157" s="3" t="s">
        <v>2860</v>
      </c>
      <c r="GA157" s="1" t="s">
        <v>5526</v>
      </c>
      <c r="GB157" s="5" t="s">
        <v>5527</v>
      </c>
      <c r="GC157" s="4" t="str">
        <f>HYPERLINK("https://drive.google.com/file/d/1BuNETcMwJv58Ff2YlqpZUq4__RK5a13d/view?usp=drivesdk","VARELA AGUILAR INGRID FERNANDA Formato de reinscripción y pago 2022-2")</f>
        <v>VARELA AGUILAR INGRID FERNANDA Formato de reinscripción y pago 2022-2</v>
      </c>
      <c r="GD157" s="1" t="s">
        <v>5528</v>
      </c>
      <c r="GE157" s="1"/>
      <c r="GF157" s="1"/>
      <c r="GG157" s="1"/>
      <c r="GH157" s="1"/>
      <c r="GI157" s="1" t="s">
        <v>5529</v>
      </c>
      <c r="GJ157" s="5" t="s">
        <v>5530</v>
      </c>
      <c r="GK157" s="5" t="str">
        <f>HYPERLINK("https://drive.google.com/file/d/1y6pm9wbbyljS97v7oHHgwXWmkIb_a1n8/view?usp=drivesdk","VARELA AGUILAR INGRID FERNANDA Formato de reinscripción y pago 2022-2")</f>
        <v>VARELA AGUILAR INGRID FERNANDA Formato de reinscripción y pago 2022-2</v>
      </c>
      <c r="GL157" s="1" t="s">
        <v>5531</v>
      </c>
    </row>
    <row r="158" spans="1:194" ht="38.25" x14ac:dyDescent="0.2">
      <c r="A158" s="2">
        <v>45139.469659328708</v>
      </c>
      <c r="B158" s="1" t="s">
        <v>1491</v>
      </c>
      <c r="C158" s="1" t="s">
        <v>1492</v>
      </c>
      <c r="D158" s="1" t="s">
        <v>390</v>
      </c>
      <c r="E158" s="1" t="s">
        <v>1493</v>
      </c>
      <c r="F158" s="1" t="s">
        <v>223</v>
      </c>
      <c r="G158" s="5" t="s">
        <v>5532</v>
      </c>
      <c r="H158" s="41">
        <v>38886</v>
      </c>
      <c r="I158" s="1">
        <v>17</v>
      </c>
      <c r="J158" s="1">
        <v>5522199597</v>
      </c>
      <c r="K158" s="1">
        <v>5536890614</v>
      </c>
      <c r="L158" s="1" t="s">
        <v>1494</v>
      </c>
      <c r="M158" s="1">
        <v>21309060570366</v>
      </c>
      <c r="N158" s="1" t="s">
        <v>277</v>
      </c>
      <c r="O158" s="1" t="s">
        <v>225</v>
      </c>
      <c r="P158" s="1" t="s">
        <v>278</v>
      </c>
      <c r="Q158" s="1" t="s">
        <v>227</v>
      </c>
      <c r="R158" s="1" t="s">
        <v>236</v>
      </c>
      <c r="S158" s="1" t="s">
        <v>228</v>
      </c>
      <c r="T158" s="1" t="s">
        <v>229</v>
      </c>
      <c r="U158" s="1" t="s">
        <v>249</v>
      </c>
      <c r="V158" s="1" t="s">
        <v>228</v>
      </c>
      <c r="W158" s="1" t="s">
        <v>5533</v>
      </c>
      <c r="X158" s="1" t="s">
        <v>264</v>
      </c>
      <c r="Y158" s="1" t="s">
        <v>5534</v>
      </c>
      <c r="Z158" s="1" t="s">
        <v>231</v>
      </c>
      <c r="AA158" s="1">
        <v>57620</v>
      </c>
      <c r="AB158" s="1">
        <v>220</v>
      </c>
      <c r="AC158" s="1">
        <v>3</v>
      </c>
      <c r="AD158" s="1" t="s">
        <v>5535</v>
      </c>
      <c r="AE158" s="1" t="s">
        <v>1495</v>
      </c>
      <c r="AF158" s="1" t="s">
        <v>488</v>
      </c>
      <c r="AG158" s="1">
        <v>20</v>
      </c>
      <c r="AH158" s="5" t="s">
        <v>5536</v>
      </c>
      <c r="AI158" s="1">
        <v>5522202477</v>
      </c>
      <c r="AJ158" s="1">
        <v>5536890614</v>
      </c>
      <c r="AK158" s="1" t="s">
        <v>1496</v>
      </c>
      <c r="AL158" s="1" t="s">
        <v>1492</v>
      </c>
      <c r="AM158" s="1" t="s">
        <v>5537</v>
      </c>
      <c r="AN158" s="1" t="s">
        <v>5538</v>
      </c>
      <c r="AO158" s="1" t="s">
        <v>650</v>
      </c>
      <c r="AP158" s="1">
        <v>76</v>
      </c>
      <c r="AQ158" s="1" t="s">
        <v>2731</v>
      </c>
      <c r="AR158" s="42">
        <v>0.375</v>
      </c>
      <c r="AS158" s="42">
        <v>0.125</v>
      </c>
      <c r="AT158" s="1">
        <v>5522199597</v>
      </c>
      <c r="AU158" s="1">
        <v>5536890614</v>
      </c>
      <c r="AV158" s="1" t="s">
        <v>1497</v>
      </c>
      <c r="AW158" s="5" t="s">
        <v>5539</v>
      </c>
      <c r="AX158" s="1" t="s">
        <v>390</v>
      </c>
      <c r="AY158" s="1" t="s">
        <v>469</v>
      </c>
      <c r="AZ158" s="1" t="s">
        <v>1866</v>
      </c>
      <c r="BA158" s="1" t="s">
        <v>445</v>
      </c>
      <c r="BB158" s="1">
        <v>57</v>
      </c>
      <c r="BC158" s="1" t="s">
        <v>233</v>
      </c>
      <c r="BD158" s="43">
        <v>0.33333333333575865</v>
      </c>
      <c r="BE158" s="43">
        <v>0.33333333333575865</v>
      </c>
      <c r="BF158" s="1">
        <v>5522202477</v>
      </c>
      <c r="BG158" s="1">
        <v>5536890614</v>
      </c>
      <c r="BH158" s="1" t="s">
        <v>1496</v>
      </c>
      <c r="BI158" s="5" t="s">
        <v>5540</v>
      </c>
      <c r="BJ158" s="1" t="s">
        <v>236</v>
      </c>
      <c r="BL158" s="1">
        <v>1.57</v>
      </c>
      <c r="BM158" s="1">
        <v>60</v>
      </c>
      <c r="BN158" s="1" t="s">
        <v>236</v>
      </c>
      <c r="BO158" s="1" t="s">
        <v>228</v>
      </c>
      <c r="BQ158" s="1" t="s">
        <v>228</v>
      </c>
      <c r="BR158" s="1" t="s">
        <v>237</v>
      </c>
      <c r="BS158" s="1" t="s">
        <v>228</v>
      </c>
      <c r="BT158" s="1" t="s">
        <v>237</v>
      </c>
      <c r="BU158" s="1" t="s">
        <v>228</v>
      </c>
      <c r="BW158" s="1" t="s">
        <v>238</v>
      </c>
      <c r="BX158" s="1">
        <v>60</v>
      </c>
      <c r="BY158" s="1">
        <v>200</v>
      </c>
      <c r="BZ158" s="1" t="s">
        <v>1539</v>
      </c>
      <c r="CA158" s="1" t="s">
        <v>5541</v>
      </c>
      <c r="CB158" s="1" t="s">
        <v>231</v>
      </c>
      <c r="CC158" s="1" t="s">
        <v>5542</v>
      </c>
      <c r="CD158" s="1">
        <v>500</v>
      </c>
      <c r="CE158" s="1">
        <v>1000</v>
      </c>
      <c r="CF158" s="1" t="s">
        <v>236</v>
      </c>
      <c r="CG158" s="1" t="s">
        <v>242</v>
      </c>
      <c r="CH158" s="1" t="s">
        <v>243</v>
      </c>
      <c r="CI158" s="1" t="s">
        <v>243</v>
      </c>
      <c r="CJ158" s="1" t="s">
        <v>2848</v>
      </c>
      <c r="CL158" s="5" t="s">
        <v>5543</v>
      </c>
      <c r="CM158" s="44" t="s">
        <v>1498</v>
      </c>
      <c r="CN158" s="1" t="s">
        <v>228</v>
      </c>
      <c r="CQ158" s="42">
        <v>8.3333333335758653E-2</v>
      </c>
      <c r="CR158" s="42">
        <v>0.25</v>
      </c>
      <c r="CT158" s="45" t="str">
        <f t="array" ref="CT158">IFERROR(INDEX(#REF!,MATCH('Respuestas de formulario 1.1'!$B158,#REF!,0),MATCH('Respuestas de formulario 1.1'!CT$1,#REF!,0)),"")</f>
        <v/>
      </c>
      <c r="CU158" s="56" t="str">
        <f t="array" ref="CU158">IFERROR(INDEX(#REF!,MATCH('Respuestas de formulario 1.1'!$B158,#REF!,0),MATCH('Respuestas de formulario 1.1'!CU$1,#REF!,0)),"")</f>
        <v/>
      </c>
      <c r="CV158" s="56" t="str">
        <f t="array" ref="CV158">IFERROR(INDEX(#REF!,MATCH('Respuestas de formulario 1.1'!$B158,#REF!,0),MATCH('Respuestas de formulario 1.1'!CV$1,#REF!,0)),"")</f>
        <v/>
      </c>
      <c r="CW158" s="56" t="str">
        <f t="array" ref="CW158">IFERROR(INDEX(#REF!,MATCH('Respuestas de formulario 1.1'!$B158,#REF!,0),MATCH('Respuestas de formulario 1.1'!CW$1,#REF!,0)),"")</f>
        <v/>
      </c>
      <c r="CX158" s="56" t="str">
        <f t="array" ref="CX158">IFERROR(INDEX(#REF!,MATCH('Respuestas de formulario 1.1'!$B158,#REF!,0),MATCH('Respuestas de formulario 1.1'!CX$1,#REF!,0)),"")</f>
        <v/>
      </c>
      <c r="CY158" s="56" t="str">
        <f t="array" ref="CY158">IFERROR(INDEX(#REF!,MATCH('Respuestas de formulario 1.1'!$B158,#REF!,0),MATCH('Respuestas de formulario 1.1'!CY$1,#REF!,0)),"")</f>
        <v/>
      </c>
      <c r="CZ158" s="57" t="str">
        <f t="array" ref="CZ158">IFERROR(INDEX(#REF!,MATCH('Respuestas de formulario 1.1'!$B158,#REF!,0),MATCH('Respuestas de formulario 1.1'!CZ$1,#REF!,0)),"")</f>
        <v/>
      </c>
      <c r="DA158" s="45" t="e">
        <f t="array" ref="DA158">INDEX(#REF!,MATCH('Respuestas de formulario 1.1'!$B158,#REF!,0),MATCH('Respuestas de formulario 1.1'!DA$1,#REF!,0))</f>
        <v>#REF!</v>
      </c>
      <c r="DB158" s="45" t="e">
        <f t="array" ref="DB158">INDEX(#REF!,MATCH('Respuestas de formulario 1.1'!$B158,#REF!,0),MATCH('Respuestas de formulario 1.1'!DB$1,#REF!,0))</f>
        <v>#REF!</v>
      </c>
      <c r="DC158" s="45" t="e">
        <f t="array" ref="DC158">INDEX(#REF!,MATCH('Respuestas de formulario 1.1'!$B158,#REF!,0),MATCH('Respuestas de formulario 1.1'!DC$1,#REF!,0))</f>
        <v>#REF!</v>
      </c>
      <c r="DD158" s="45" t="e">
        <f t="array" ref="DD158">INDEX(#REF!,MATCH('Respuestas de formulario 1.1'!$B158,#REF!,0),MATCH('Respuestas de formulario 1.1'!DD$1,#REF!,0))</f>
        <v>#REF!</v>
      </c>
      <c r="DE158" s="45" t="e">
        <f t="array" ref="DE158">INDEX(#REF!,MATCH('Respuestas de formulario 1.1'!$B158,#REF!,0),MATCH('Respuestas de formulario 1.1'!DE$1,#REF!,0))</f>
        <v>#REF!</v>
      </c>
      <c r="DF158" s="45" t="e">
        <f t="array" ref="DF158">INDEX(#REF!,MATCH('Respuestas de formulario 1.1'!$B158,#REF!,0),MATCH('Respuestas de formulario 1.1'!DF$1,#REF!,0))</f>
        <v>#REF!</v>
      </c>
      <c r="DG158" s="45" t="e">
        <f t="array" ref="DG158">INDEX(#REF!,MATCH('Respuestas de formulario 1.1'!$B158,#REF!,0),MATCH('Respuestas de formulario 1.1'!DG$1,#REF!,0))</f>
        <v>#REF!</v>
      </c>
      <c r="DH158" s="45" t="e">
        <f t="array" ref="DH158">INDEX(#REF!,MATCH('Respuestas de formulario 1.1'!$B158,#REF!,0),MATCH('Respuestas de formulario 1.1'!DH$1,#REF!,0))</f>
        <v>#REF!</v>
      </c>
      <c r="DI158" s="48" t="e">
        <f>VLOOKUP(CONCATENATE($DF158," TUTO ",$DC158),#REF!,3,0)</f>
        <v>#REF!</v>
      </c>
      <c r="DJ158" s="48" t="e">
        <f t="array" ref="DJ158">IF('Respuestas de formulario 1.1'!A158="","",INDEX(#REF!,MATCH('Respuestas de formulario 1.1'!B158,#REF!,0),MATCH('Respuestas de formulario 1.1'!$DH$1,#REF!,0)))</f>
        <v>#REF!</v>
      </c>
      <c r="DK158" s="52" t="str">
        <f>CONCATENATE("http://doc.google.com/uc?id=",MID('Respuestas de formulario 1.1'!G158,34,33))</f>
        <v>http://doc.google.com/uc?id=1UXZP8bPJRo2EityNJqbRQ7qGF4gQOc7e</v>
      </c>
      <c r="DL158" s="49" t="str">
        <f>CONCATENATE("http://doc.google.com/uc?id=",MID('Respuestas de formulario 1.1'!AH158,34,33))</f>
        <v>http://doc.google.com/uc?id=1_tVo-IHkcLq1vNYsvG0XGe7L4Hg1Uvm7</v>
      </c>
      <c r="DM158" s="50" t="str">
        <f>CONCATENATE("http://doc.google.com/uc?id=",MID('Respuestas de formulario 1.1'!AW158,34,33))</f>
        <v>http://doc.google.com/uc?id=17ozFKoEIbyikklacnhGpqjN18gO2nYOG</v>
      </c>
      <c r="DN158" s="53" t="str">
        <f>CONCATENATE("http://doc.google.com/uc?id=",MID('Respuestas de formulario 1.1'!$BI158,34,33))</f>
        <v>http://doc.google.com/uc?id=1t6-qqvvqE05fFUXUpNB7XrCwKp7q8w7m</v>
      </c>
      <c r="DO158" s="45" t="str">
        <f>IFERROR(VLOOKUP(CONCATENATE('Respuestas de formulario 1.1'!$B158,MID('Respuestas de formulario 1.1'!DO$1,2,1)),#REF!,12,0),"")</f>
        <v/>
      </c>
      <c r="DP158" s="45" t="str">
        <f>IFERROR(VLOOKUP(CONCATENATE('Respuestas de formulario 1.1'!$B158,MID('Respuestas de formulario 1.1'!DP$1,2,1)),#REF!,12,0),"")</f>
        <v/>
      </c>
      <c r="DQ158" s="45" t="str">
        <f>IFERROR(VLOOKUP(CONCATENATE('Respuestas de formulario 1.1'!$B158,MID('Respuestas de formulario 1.1'!DQ$1,2,1)),#REF!,12,0),"")</f>
        <v/>
      </c>
      <c r="DR158" s="45" t="str">
        <f>IFERROR(VLOOKUP(CONCATENATE('Respuestas de formulario 1.1'!$B158,MID('Respuestas de formulario 1.1'!DR$1,2,1)),#REF!,12,0),"")</f>
        <v/>
      </c>
      <c r="DS158" s="45" t="str">
        <f>IFERROR(VLOOKUP(CONCATENATE('Respuestas de formulario 1.1'!$B158,MID('Respuestas de formulario 1.1'!DS$1,2,1)),#REF!,12,0),"")</f>
        <v/>
      </c>
      <c r="DT158" s="45" t="str">
        <f>IFERROR(VLOOKUP(CONCATENATE('Respuestas de formulario 1.1'!$B158,MID('Respuestas de formulario 1.1'!DT$1,2,1)),#REF!,12,0),"")</f>
        <v/>
      </c>
      <c r="DU158" s="45" t="str">
        <f>IFERROR(VLOOKUP(CONCATENATE('Respuestas de formulario 1.1'!$B158,MID('Respuestas de formulario 1.1'!DU$1,2,1)),#REF!,12,0),"")</f>
        <v/>
      </c>
      <c r="DV158" s="45" t="str">
        <f>IFERROR(VLOOKUP(CONCATENATE('Respuestas de formulario 1.1'!$B158,MID('Respuestas de formulario 1.1'!DV$1,2,1)),#REF!,12,0),"")</f>
        <v/>
      </c>
      <c r="DW158" s="45" t="str">
        <f>IFERROR(VLOOKUP(CONCATENATE('Respuestas de formulario 1.1'!$B158,MID('Respuestas de formulario 1.1'!DW$1,2,1)),#REF!,12,0),"")</f>
        <v/>
      </c>
      <c r="DX158" s="45" t="str">
        <f>IFERROR(VLOOKUP(CONCATENATE('Respuestas de formulario 1.1'!$B158,MID('Respuestas de formulario 1.1'!DX$1,2,1)),#REF!,12,0),"")</f>
        <v/>
      </c>
      <c r="DY158" s="45" t="str">
        <f>IFERROR(VLOOKUP(CONCATENATE('Respuestas de formulario 1.1'!$B158,MID('Respuestas de formulario 1.1'!DY$1,2,1)),#REF!,12,0),"")</f>
        <v/>
      </c>
      <c r="DZ158" s="45" t="str">
        <f>IFERROR(VLOOKUP(CONCATENATE('Respuestas de formulario 1.1'!$B158,MID('Respuestas de formulario 1.1'!DZ$1,2,1)),#REF!,12,0),"")</f>
        <v/>
      </c>
      <c r="EA158" s="45" t="str">
        <f>IFERROR(VLOOKUP(CONCATENATE('Respuestas de formulario 1.1'!$B158,MID('Respuestas de formulario 1.1'!EA$1,2,1)),#REF!,12,0),"")</f>
        <v/>
      </c>
      <c r="EB158" s="45" t="str">
        <f>IFERROR(VLOOKUP(CONCATENATE('Respuestas de formulario 1.1'!$B158,MID('Respuestas de formulario 1.1'!EB$1,2,1)),#REF!,12,0),"")</f>
        <v/>
      </c>
      <c r="EC158" s="45" t="str">
        <f>IFERROR(VLOOKUP(CONCATENATE('Respuestas de formulario 1.1'!$B158,MID('Respuestas de formulario 1.1'!EC$1,2,1)),#REF!,12,0),"")</f>
        <v/>
      </c>
      <c r="ED158" s="45" t="str">
        <f>IFERROR(VLOOKUP(CONCATENATE('Respuestas de formulario 1.1'!$B158,MID('Respuestas de formulario 1.1'!ED$1,2,1)),#REF!,12,0),"")</f>
        <v/>
      </c>
      <c r="EE158" s="45" t="str">
        <f>IFERROR(VLOOKUP(CONCATENATE('Respuestas de formulario 1.1'!$B158,MID('Respuestas de formulario 1.1'!EE$1,2,1)),#REF!,12,0),"")</f>
        <v/>
      </c>
      <c r="EF158" s="45" t="str">
        <f>IFERROR(VLOOKUP(CONCATENATE('Respuestas de formulario 1.1'!$B158,MID('Respuestas de formulario 1.1'!EF$1,2,1)),#REF!,12,0),"")</f>
        <v/>
      </c>
      <c r="EG158" s="45" t="str">
        <f>IFERROR(VLOOKUP(CONCATENATE('Respuestas de formulario 1.1'!$B158,MID('Respuestas de formulario 1.1'!EG$1,2,1)),#REF!,12,0),"")</f>
        <v/>
      </c>
      <c r="EH158" s="45" t="str">
        <f>IFERROR(VLOOKUP(CONCATENATE('Respuestas de formulario 1.1'!$B158,MID('Respuestas de formulario 1.1'!EH$1,2,1)),#REF!,12,0),"")</f>
        <v/>
      </c>
      <c r="EI158" s="45" t="str">
        <f>IFERROR(VLOOKUP(CONCATENATE('Respuestas de formulario 1.1'!$B158,MID('Respuestas de formulario 1.1'!EI$1,2,1)),#REF!,12,0),"")</f>
        <v/>
      </c>
      <c r="EJ158" s="45" t="str">
        <f t="array" ref="EJ158">IF(DO158="","", INDEX(#REF!,MATCH(CONCATENATE('Respuestas de formulario 1.1'!$B158,DO158),#REF!,0),MATCH('Respuestas de formulario 1.1'!EJ$1,#REF!,0)))</f>
        <v/>
      </c>
      <c r="EK158" s="56" t="str">
        <f t="array" ref="EK158">IF(DP158="","", INDEX(#REF!,MATCH(CONCATENATE('Respuestas de formulario 1.1'!$B158,DP158),#REF!,0),MATCH('Respuestas de formulario 1.1'!EK$1,#REF!,0)))</f>
        <v/>
      </c>
      <c r="EL158" s="56" t="str">
        <f t="array" ref="EL158">IF(DQ158="","", INDEX(#REF!,MATCH(CONCATENATE('Respuestas de formulario 1.1'!$B158,DQ158),#REF!,0),MATCH('Respuestas de formulario 1.1'!EL$1,#REF!,0)))</f>
        <v/>
      </c>
      <c r="EM158" s="56" t="str">
        <f t="array" ref="EM158">IF(DR158="","", INDEX(#REF!,MATCH(CONCATENATE('Respuestas de formulario 1.1'!$B158,DR158),#REF!,0),MATCH('Respuestas de formulario 1.1'!EM$1,#REF!,0)))</f>
        <v/>
      </c>
      <c r="EN158" s="56" t="str">
        <f t="array" ref="EN158">IF(DS158="","", INDEX(#REF!,MATCH(CONCATENATE('Respuestas de formulario 1.1'!$B158,DS158),#REF!,0),MATCH('Respuestas de formulario 1.1'!EN$1,#REF!,0)))</f>
        <v/>
      </c>
      <c r="EO158" s="56" t="str">
        <f t="array" ref="EO158">IF(DT158="","", INDEX(#REF!,MATCH(CONCATENATE('Respuestas de formulario 1.1'!$B158,DT158),#REF!,0),MATCH('Respuestas de formulario 1.1'!EO$1,#REF!,0)))</f>
        <v/>
      </c>
      <c r="EP158" s="45" t="str">
        <f t="array" ref="EP158">IF(DU158="","", INDEX(#REF!,MATCH(CONCATENATE('Respuestas de formulario 1.1'!$B158,DU158),#REF!,0),MATCH('Respuestas de formulario 1.1'!EP$1,#REF!,0)))</f>
        <v/>
      </c>
      <c r="EQ158" s="45" t="str">
        <f t="array" ref="EQ158">IF(DP158="","", INDEX(#REF!,MATCH(CONCATENATE('Respuestas de formulario 1.1'!$B158,DP158),#REF!,0),MATCH('Respuestas de formulario 1.1'!EQ$1,#REF!,0)))</f>
        <v/>
      </c>
      <c r="ER158" s="56" t="str">
        <f t="array" ref="ER158">IF(DQ158="","", INDEX(#REF!,MATCH(CONCATENATE('Respuestas de formulario 1.1'!$B158,DQ158),#REF!,0),MATCH('Respuestas de formulario 1.1'!ER$1,#REF!,0)))</f>
        <v/>
      </c>
      <c r="ES158" s="56" t="str">
        <f t="array" ref="ES158">IF(DR158="","", INDEX(#REF!,MATCH(CONCATENATE('Respuestas de formulario 1.1'!$B158,DR158),#REF!,0),MATCH('Respuestas de formulario 1.1'!ES$1,#REF!,0)))</f>
        <v/>
      </c>
      <c r="ET158" s="56" t="str">
        <f t="array" ref="ET158">IF(DS158="","", INDEX(#REF!,MATCH(CONCATENATE('Respuestas de formulario 1.1'!$B158,DS158),#REF!,0),MATCH('Respuestas de formulario 1.1'!ET$1,#REF!,0)))</f>
        <v/>
      </c>
      <c r="EU158" s="56" t="str">
        <f t="array" ref="EU158">IF(DT158="","", INDEX(#REF!,MATCH(CONCATENATE('Respuestas de formulario 1.1'!$B158,DT158),#REF!,0),MATCH('Respuestas de formulario 1.1'!EU$1,#REF!,0)))</f>
        <v/>
      </c>
      <c r="EV158" s="56" t="str">
        <f t="array" ref="EV158">IF(DU158="","", INDEX(#REF!,MATCH(CONCATENATE('Respuestas de formulario 1.1'!$B158,DU158),#REF!,0),MATCH('Respuestas de formulario 1.1'!EV$1,#REF!,0)))</f>
        <v/>
      </c>
      <c r="EW158" s="45" t="str">
        <f t="array" ref="EW158">IF(DV158="","", INDEX(#REF!,MATCH(CONCATENATE('Respuestas de formulario 1.1'!$B158,DV158),#REF!,0),MATCH('Respuestas de formulario 1.1'!EW$1,#REF!,0)))</f>
        <v/>
      </c>
      <c r="EX158" s="45" t="str">
        <f t="array" ref="EX158">IF($DQ158="","", INDEX(#REF!,MATCH(CONCATENATE('Respuestas de formulario 1.1'!$B158,$DQ158),#REF!,0),MATCH('Respuestas de formulario 1.1'!EX$1,#REF!,0)))</f>
        <v/>
      </c>
      <c r="EY158" s="56" t="str">
        <f t="array" ref="EY158">IF($DQ158="","", INDEX(#REF!,MATCH(CONCATENATE('Respuestas de formulario 1.1'!$B158,$DQ158),#REF!,0),MATCH('Respuestas de formulario 1.1'!EY$1,#REF!,0)))</f>
        <v/>
      </c>
      <c r="EZ158" s="56" t="str">
        <f t="array" ref="EZ158">IF($DQ158="","", INDEX(#REF!,MATCH(CONCATENATE('Respuestas de formulario 1.1'!$B158,$DQ158),#REF!,0),MATCH('Respuestas de formulario 1.1'!EZ$1,#REF!,0)))</f>
        <v/>
      </c>
      <c r="FA158" s="56" t="str">
        <f t="array" ref="FA158">IF($DQ158="","", INDEX(#REF!,MATCH(CONCATENATE('Respuestas de formulario 1.1'!$B158,$DQ158),#REF!,0),MATCH('Respuestas de formulario 1.1'!FA$1,#REF!,0)))</f>
        <v/>
      </c>
      <c r="FB158" s="56" t="str">
        <f t="array" ref="FB158">IF($DQ158="","", INDEX(#REF!,MATCH(CONCATENATE('Respuestas de formulario 1.1'!$B158,$DQ158),#REF!,0),MATCH('Respuestas de formulario 1.1'!FB$1,#REF!,0)))</f>
        <v/>
      </c>
      <c r="FC158" s="56" t="str">
        <f t="array" ref="FC158">IF($DQ158="","", INDEX(#REF!,MATCH(CONCATENATE('Respuestas de formulario 1.1'!$B158,$DQ158),#REF!,0),MATCH('Respuestas de formulario 1.1'!FC$1,#REF!,0)))</f>
        <v/>
      </c>
      <c r="FD158" s="45" t="str">
        <f t="array" ref="FD158">IF($DQ158="","", INDEX(#REF!,MATCH(CONCATENATE('Respuestas de formulario 1.1'!$B158,$DQ158),#REF!,0),MATCH('Respuestas de formulario 1.1'!FD$1,#REF!,0)))</f>
        <v/>
      </c>
      <c r="FE158" s="45" t="str">
        <f t="array" ref="FE158">IF($DR158="","", INDEX(#REF!,MATCH(CONCATENATE(#REF!,$DR158),#REF!,0),MATCH(#REF!,#REF!,0)))</f>
        <v/>
      </c>
      <c r="FF158" s="56" t="str">
        <f t="array" ref="FF158">IF($DR158="","", INDEX(#REF!,MATCH(CONCATENATE(#REF!,$DR158),#REF!,0),MATCH(#REF!,#REF!,0)))</f>
        <v/>
      </c>
      <c r="FG158" s="56" t="str">
        <f t="array" ref="FG158">IF($DR158="","", INDEX(#REF!,MATCH(CONCATENATE(#REF!,$DR158),#REF!,0),MATCH(#REF!,#REF!,0)))</f>
        <v/>
      </c>
      <c r="FH158" s="56" t="str">
        <f t="array" ref="FH158">IF($DR158="","", INDEX(#REF!,MATCH(CONCATENATE(#REF!,$DR158),#REF!,0),MATCH(#REF!,#REF!,0)))</f>
        <v/>
      </c>
      <c r="FI158" s="56" t="str">
        <f t="array" ref="FI158">IF($DR158="","", INDEX(#REF!,MATCH(CONCATENATE(#REF!,$DR158),#REF!,0),MATCH(#REF!,#REF!,0)))</f>
        <v/>
      </c>
      <c r="FJ158" s="56" t="str">
        <f t="array" ref="FJ158">IF($DR158="","", INDEX(#REF!,MATCH(CONCATENATE(#REF!,$DR158),#REF!,0),MATCH(#REF!,#REF!,0)))</f>
        <v/>
      </c>
      <c r="FK158" s="45" t="str">
        <f t="array" ref="FK158">IF($DR158="","", INDEX(#REF!,MATCH(CONCATENATE(#REF!,$DR158),#REF!,0),MATCH(#REF!,#REF!,0)))</f>
        <v/>
      </c>
      <c r="FL158" s="45" t="str">
        <f t="array" ref="FL158">IF($DT158="","", INDEX(#REF!,MATCH(CONCATENATE('Respuestas de formulario 1.1'!$B158,$DS158),#REF!,0),MATCH('Respuestas de formulario 1.1'!FL$1,#REF!,0)))</f>
        <v/>
      </c>
      <c r="FM158" s="56" t="str">
        <f t="array" ref="FM158">IF($DT158="","", INDEX(#REF!,MATCH(CONCATENATE('Respuestas de formulario 1.1'!$B158,$DS158),#REF!,0),MATCH('Respuestas de formulario 1.1'!FM$1,#REF!,0)))</f>
        <v/>
      </c>
      <c r="FN158" s="56" t="str">
        <f t="array" ref="FN158">IF($DT158="","", INDEX(#REF!,MATCH(CONCATENATE('Respuestas de formulario 1.1'!$B158,$DS158),#REF!,0),MATCH('Respuestas de formulario 1.1'!FN$1,#REF!,0)))</f>
        <v/>
      </c>
      <c r="FO158" s="56" t="str">
        <f t="array" ref="FO158">IF($DT158="","", INDEX(#REF!,MATCH(CONCATENATE('Respuestas de formulario 1.1'!$B158,$DS158),#REF!,0),MATCH('Respuestas de formulario 1.1'!FO$1,#REF!,0)))</f>
        <v/>
      </c>
      <c r="FP158" s="56" t="str">
        <f t="array" ref="FP158">IF($DT158="","", INDEX(#REF!,MATCH(CONCATENATE('Respuestas de formulario 1.1'!$B158,$DS158),#REF!,0),MATCH('Respuestas de formulario 1.1'!FP$1,#REF!,0)))</f>
        <v/>
      </c>
      <c r="FQ158" s="56" t="str">
        <f t="array" ref="FQ158">IF($DT158="","", INDEX(#REF!,MATCH(CONCATENATE('Respuestas de formulario 1.1'!$B158,$DS158),#REF!,0),MATCH('Respuestas de formulario 1.1'!FQ$1,#REF!,0)))</f>
        <v/>
      </c>
      <c r="FR158" s="45" t="str">
        <f t="array" ref="FR158">IF($DT158="","", INDEX(#REF!,MATCH(CONCATENATE('Respuestas de formulario 1.1'!$B158,$DS158),#REF!,0),MATCH('Respuestas de formulario 1.1'!FR$1,#REF!,0)))</f>
        <v/>
      </c>
      <c r="FS158" s="45" t="str">
        <f t="array" ref="FS158">IF($DU158="","", INDEX(#REF!,MATCH(CONCATENATE('Respuestas de formulario 1.1'!$B158,$DT158),#REF!,0),MATCH('Respuestas de formulario 1.1'!FS$1,#REF!,0)))</f>
        <v/>
      </c>
      <c r="FT158" s="56" t="str">
        <f t="array" ref="FT158">IF($DU158="","", INDEX(#REF!,MATCH(CONCATENATE('Respuestas de formulario 1.1'!$B158,$DT158),#REF!,0),MATCH('Respuestas de formulario 1.1'!FT$1,#REF!,0)))</f>
        <v/>
      </c>
      <c r="FU158" s="56" t="str">
        <f t="array" ref="FU158">IF($DU158="","", INDEX(#REF!,MATCH(CONCATENATE('Respuestas de formulario 1.1'!$B158,$DT158),#REF!,0),MATCH('Respuestas de formulario 1.1'!FU$1,#REF!,0)))</f>
        <v/>
      </c>
      <c r="FV158" s="56" t="str">
        <f t="array" ref="FV158">IF($DU158="","", INDEX(#REF!,MATCH(CONCATENATE('Respuestas de formulario 1.1'!$B158,$DT158),#REF!,0),MATCH('Respuestas de formulario 1.1'!FV$1,#REF!,0)))</f>
        <v/>
      </c>
      <c r="FW158" s="56" t="str">
        <f t="array" ref="FW158">IF($DU158="","", INDEX(#REF!,MATCH(CONCATENATE('Respuestas de formulario 1.1'!$B158,$DT158),#REF!,0),MATCH('Respuestas de formulario 1.1'!FW$1,#REF!,0)))</f>
        <v/>
      </c>
      <c r="FX158" s="56" t="str">
        <f t="array" ref="FX158">IF($DU158="","", INDEX(#REF!,MATCH(CONCATENATE('Respuestas de formulario 1.1'!$B158,$DT158),#REF!,0),MATCH('Respuestas de formulario 1.1'!FX$1,#REF!,0)))</f>
        <v/>
      </c>
      <c r="FY158" s="45" t="str">
        <f t="array" ref="FY158">IF($DU158="","", INDEX(#REF!,MATCH(CONCATENATE('Respuestas de formulario 1.1'!$B158,$DT158),#REF!,0),MATCH('Respuestas de formulario 1.1'!FY$1,#REF!,0)))</f>
        <v/>
      </c>
      <c r="FZ158" s="3" t="s">
        <v>2860</v>
      </c>
      <c r="GA158" s="1" t="s">
        <v>5544</v>
      </c>
      <c r="GB158" s="5" t="s">
        <v>5545</v>
      </c>
      <c r="GC158" s="4" t="str">
        <f>HYPERLINK("https://drive.google.com/file/d/17kcsYz5s9u9fMjXnXjsZ1EvLywxAQUgR/view?usp=drivesdk","COSTEÑO  GARCIA  ELIZBETH  Formato de reinscripción y pago 2022-2")</f>
        <v>COSTEÑO  GARCIA  ELIZBETH  Formato de reinscripción y pago 2022-2</v>
      </c>
      <c r="GD158" s="1" t="s">
        <v>5546</v>
      </c>
      <c r="GE158" s="1"/>
      <c r="GF158" s="1"/>
      <c r="GG158" s="1"/>
      <c r="GH158" s="1"/>
      <c r="GI158" s="1" t="s">
        <v>5547</v>
      </c>
      <c r="GJ158" s="5" t="s">
        <v>5548</v>
      </c>
      <c r="GK158" s="5" t="str">
        <f>HYPERLINK("https://drive.google.com/file/d/17VN-1LkM4Rr__Q-wmsD9hjRVqsdOJ7ku/view?usp=drivesdk","COSTEÑO  GARCIA  ELIZBETH  Formato de reinscripción y pago 2022-2")</f>
        <v>COSTEÑO  GARCIA  ELIZBETH  Formato de reinscripción y pago 2022-2</v>
      </c>
      <c r="GL158" s="1" t="s">
        <v>5549</v>
      </c>
    </row>
    <row r="159" spans="1:194" ht="38.25" x14ac:dyDescent="0.2">
      <c r="A159" s="2">
        <v>45139.469986435186</v>
      </c>
      <c r="B159" s="1" t="s">
        <v>1483</v>
      </c>
      <c r="C159" s="1" t="s">
        <v>1477</v>
      </c>
      <c r="D159" s="1" t="s">
        <v>5550</v>
      </c>
      <c r="E159" s="1" t="s">
        <v>1485</v>
      </c>
      <c r="F159" s="1" t="s">
        <v>223</v>
      </c>
      <c r="G159" s="5" t="s">
        <v>5551</v>
      </c>
      <c r="H159" s="41">
        <v>38765</v>
      </c>
      <c r="I159" s="1">
        <v>17</v>
      </c>
      <c r="J159" s="1">
        <v>5610265028</v>
      </c>
      <c r="K159" s="1">
        <v>5610265028</v>
      </c>
      <c r="L159" s="1" t="s">
        <v>1486</v>
      </c>
      <c r="M159" s="1">
        <v>21309060570057</v>
      </c>
      <c r="N159" s="1" t="s">
        <v>1108</v>
      </c>
      <c r="O159" s="1" t="s">
        <v>247</v>
      </c>
      <c r="P159" s="1" t="s">
        <v>226</v>
      </c>
      <c r="Q159" s="1" t="s">
        <v>315</v>
      </c>
      <c r="R159" s="1" t="s">
        <v>236</v>
      </c>
      <c r="S159" s="1" t="s">
        <v>236</v>
      </c>
      <c r="T159" s="1" t="s">
        <v>229</v>
      </c>
      <c r="U159" s="1" t="s">
        <v>264</v>
      </c>
      <c r="V159" s="1" t="s">
        <v>228</v>
      </c>
      <c r="W159" s="1" t="s">
        <v>5552</v>
      </c>
      <c r="X159" s="1" t="s">
        <v>264</v>
      </c>
      <c r="Y159" s="1" t="s">
        <v>1490</v>
      </c>
      <c r="Z159" s="1" t="s">
        <v>240</v>
      </c>
      <c r="AA159" s="1">
        <v>56344</v>
      </c>
      <c r="AB159" s="1">
        <v>154</v>
      </c>
      <c r="AC159" s="1">
        <v>36</v>
      </c>
      <c r="AD159" s="1" t="s">
        <v>5553</v>
      </c>
      <c r="AE159" s="1" t="s">
        <v>5554</v>
      </c>
      <c r="AF159" s="1" t="s">
        <v>359</v>
      </c>
      <c r="AG159" s="1"/>
      <c r="AH159" s="5" t="s">
        <v>5555</v>
      </c>
      <c r="AI159" s="1">
        <v>5567066099</v>
      </c>
      <c r="AJ159" s="1">
        <v>5567066099</v>
      </c>
      <c r="AK159" s="1"/>
      <c r="AL159" s="1" t="s">
        <v>1484</v>
      </c>
      <c r="AM159" s="1" t="s">
        <v>1487</v>
      </c>
      <c r="AN159" s="1" t="s">
        <v>1488</v>
      </c>
      <c r="AO159" s="1" t="s">
        <v>265</v>
      </c>
      <c r="AP159" s="1"/>
      <c r="AQ159" s="1" t="s">
        <v>328</v>
      </c>
      <c r="AR159" s="42">
        <v>0.33333333333575865</v>
      </c>
      <c r="AS159" s="42">
        <v>0.5</v>
      </c>
      <c r="AT159" s="1">
        <v>5524924699</v>
      </c>
      <c r="AU159" s="1">
        <v>5524924699</v>
      </c>
      <c r="AV159" s="1"/>
      <c r="AW159" s="5" t="s">
        <v>5556</v>
      </c>
      <c r="AX159" s="1" t="s">
        <v>1477</v>
      </c>
      <c r="AY159" s="1" t="s">
        <v>1489</v>
      </c>
      <c r="AZ159" s="1" t="s">
        <v>527</v>
      </c>
      <c r="BA159" s="1" t="s">
        <v>435</v>
      </c>
      <c r="BB159" s="1">
        <v>39</v>
      </c>
      <c r="BC159" s="1" t="s">
        <v>5557</v>
      </c>
      <c r="BD159" s="43">
        <v>0.25</v>
      </c>
      <c r="BE159" s="43">
        <v>0.16666666666424135</v>
      </c>
      <c r="BF159" s="1">
        <v>5561137084</v>
      </c>
      <c r="BG159" s="1">
        <v>5561137084</v>
      </c>
      <c r="BH159" s="1"/>
      <c r="BI159" s="5" t="s">
        <v>5558</v>
      </c>
      <c r="BJ159" s="1" t="s">
        <v>228</v>
      </c>
      <c r="BK159" s="1" t="s">
        <v>279</v>
      </c>
      <c r="BL159" s="1">
        <v>1.62</v>
      </c>
      <c r="BM159" s="1">
        <v>70</v>
      </c>
      <c r="BN159" s="1" t="s">
        <v>236</v>
      </c>
      <c r="BO159" s="1" t="s">
        <v>228</v>
      </c>
      <c r="BQ159" s="1" t="s">
        <v>228</v>
      </c>
      <c r="BR159" s="1" t="s">
        <v>237</v>
      </c>
      <c r="BS159" s="1" t="s">
        <v>236</v>
      </c>
      <c r="BT159" s="1" t="s">
        <v>457</v>
      </c>
      <c r="BU159" s="1" t="s">
        <v>228</v>
      </c>
      <c r="BW159" s="1" t="s">
        <v>238</v>
      </c>
      <c r="BX159" s="1">
        <v>60</v>
      </c>
      <c r="BY159" s="1">
        <v>250</v>
      </c>
      <c r="BZ159" s="1" t="s">
        <v>406</v>
      </c>
      <c r="CA159" s="1" t="s">
        <v>550</v>
      </c>
      <c r="CB159" s="1" t="s">
        <v>240</v>
      </c>
      <c r="CC159" s="1" t="s">
        <v>322</v>
      </c>
      <c r="CD159" s="1">
        <v>2500</v>
      </c>
      <c r="CE159" s="1">
        <v>3000</v>
      </c>
      <c r="CF159" s="1" t="s">
        <v>236</v>
      </c>
      <c r="CG159" s="1" t="s">
        <v>242</v>
      </c>
      <c r="CH159" s="1" t="s">
        <v>243</v>
      </c>
      <c r="CI159" s="1" t="s">
        <v>243</v>
      </c>
      <c r="CJ159" s="1" t="s">
        <v>2848</v>
      </c>
      <c r="CL159" s="5" t="s">
        <v>5559</v>
      </c>
      <c r="CM159" s="1">
        <v>3701832553</v>
      </c>
      <c r="CN159" s="1" t="s">
        <v>228</v>
      </c>
      <c r="CQ159" s="42">
        <v>0.33333333333575865</v>
      </c>
      <c r="CR159" s="42">
        <v>0.41666666666424135</v>
      </c>
      <c r="CT159" s="45" t="str">
        <f t="array" ref="CT159">IFERROR(INDEX(#REF!,MATCH('Respuestas de formulario 1.1'!$B159,#REF!,0),MATCH('Respuestas de formulario 1.1'!CT$1,#REF!,0)),"")</f>
        <v/>
      </c>
      <c r="CU159" s="56" t="str">
        <f t="array" ref="CU159">IFERROR(INDEX(#REF!,MATCH('Respuestas de formulario 1.1'!$B159,#REF!,0),MATCH('Respuestas de formulario 1.1'!CU$1,#REF!,0)),"")</f>
        <v/>
      </c>
      <c r="CV159" s="56" t="str">
        <f t="array" ref="CV159">IFERROR(INDEX(#REF!,MATCH('Respuestas de formulario 1.1'!$B159,#REF!,0),MATCH('Respuestas de formulario 1.1'!CV$1,#REF!,0)),"")</f>
        <v/>
      </c>
      <c r="CW159" s="56" t="str">
        <f t="array" ref="CW159">IFERROR(INDEX(#REF!,MATCH('Respuestas de formulario 1.1'!$B159,#REF!,0),MATCH('Respuestas de formulario 1.1'!CW$1,#REF!,0)),"")</f>
        <v/>
      </c>
      <c r="CX159" s="56" t="str">
        <f t="array" ref="CX159">IFERROR(INDEX(#REF!,MATCH('Respuestas de formulario 1.1'!$B159,#REF!,0),MATCH('Respuestas de formulario 1.1'!CX$1,#REF!,0)),"")</f>
        <v/>
      </c>
      <c r="CY159" s="56" t="str">
        <f t="array" ref="CY159">IFERROR(INDEX(#REF!,MATCH('Respuestas de formulario 1.1'!$B159,#REF!,0),MATCH('Respuestas de formulario 1.1'!CY$1,#REF!,0)),"")</f>
        <v/>
      </c>
      <c r="CZ159" s="57" t="str">
        <f t="array" ref="CZ159">IFERROR(INDEX(#REF!,MATCH('Respuestas de formulario 1.1'!$B159,#REF!,0),MATCH('Respuestas de formulario 1.1'!CZ$1,#REF!,0)),"")</f>
        <v/>
      </c>
      <c r="DA159" s="45" t="e">
        <f t="array" ref="DA159">INDEX(#REF!,MATCH('Respuestas de formulario 1.1'!$B159,#REF!,0),MATCH('Respuestas de formulario 1.1'!DA$1,#REF!,0))</f>
        <v>#REF!</v>
      </c>
      <c r="DB159" s="45" t="e">
        <f t="array" ref="DB159">INDEX(#REF!,MATCH('Respuestas de formulario 1.1'!$B159,#REF!,0),MATCH('Respuestas de formulario 1.1'!DB$1,#REF!,0))</f>
        <v>#REF!</v>
      </c>
      <c r="DC159" s="45" t="e">
        <f t="array" ref="DC159">INDEX(#REF!,MATCH('Respuestas de formulario 1.1'!$B159,#REF!,0),MATCH('Respuestas de formulario 1.1'!DC$1,#REF!,0))</f>
        <v>#REF!</v>
      </c>
      <c r="DD159" s="45" t="e">
        <f t="array" ref="DD159">INDEX(#REF!,MATCH('Respuestas de formulario 1.1'!$B159,#REF!,0),MATCH('Respuestas de formulario 1.1'!DD$1,#REF!,0))</f>
        <v>#REF!</v>
      </c>
      <c r="DE159" s="45" t="e">
        <f t="array" ref="DE159">INDEX(#REF!,MATCH('Respuestas de formulario 1.1'!$B159,#REF!,0),MATCH('Respuestas de formulario 1.1'!DE$1,#REF!,0))</f>
        <v>#REF!</v>
      </c>
      <c r="DF159" s="45" t="e">
        <f t="array" ref="DF159">INDEX(#REF!,MATCH('Respuestas de formulario 1.1'!$B159,#REF!,0),MATCH('Respuestas de formulario 1.1'!DF$1,#REF!,0))</f>
        <v>#REF!</v>
      </c>
      <c r="DG159" s="45" t="e">
        <f t="array" ref="DG159">INDEX(#REF!,MATCH('Respuestas de formulario 1.1'!$B159,#REF!,0),MATCH('Respuestas de formulario 1.1'!DG$1,#REF!,0))</f>
        <v>#REF!</v>
      </c>
      <c r="DH159" s="45" t="e">
        <f t="array" ref="DH159">INDEX(#REF!,MATCH('Respuestas de formulario 1.1'!$B159,#REF!,0),MATCH('Respuestas de formulario 1.1'!DH$1,#REF!,0))</f>
        <v>#REF!</v>
      </c>
      <c r="DI159" s="48" t="e">
        <f>VLOOKUP(CONCATENATE($DF159," TUTO ",$DC159),#REF!,3,0)</f>
        <v>#REF!</v>
      </c>
      <c r="DJ159" s="48" t="e">
        <f t="array" ref="DJ159">IF('Respuestas de formulario 1.1'!A159="","",INDEX(#REF!,MATCH('Respuestas de formulario 1.1'!B159,#REF!,0),MATCH('Respuestas de formulario 1.1'!$DH$1,#REF!,0)))</f>
        <v>#REF!</v>
      </c>
      <c r="DK159" s="52" t="str">
        <f>CONCATENATE("http://doc.google.com/uc?id=",MID('Respuestas de formulario 1.1'!G159,34,33))</f>
        <v>http://doc.google.com/uc?id=1cwzuj6oznaO9SuQWSx4_ytWZNG8uRsO4</v>
      </c>
      <c r="DL159" s="49" t="str">
        <f>CONCATENATE("http://doc.google.com/uc?id=",MID('Respuestas de formulario 1.1'!AH159,34,33))</f>
        <v>http://doc.google.com/uc?id=1I89oPnTv3Get_68kqjzfSEpCZcGqfbN7</v>
      </c>
      <c r="DM159" s="50" t="str">
        <f>CONCATENATE("http://doc.google.com/uc?id=",MID('Respuestas de formulario 1.1'!AW159,34,33))</f>
        <v>http://doc.google.com/uc?id=1I091NeTuz7Xjeo3wr9-yF1aotg8eTdOw</v>
      </c>
      <c r="DN159" s="53" t="str">
        <f>CONCATENATE("http://doc.google.com/uc?id=",MID('Respuestas de formulario 1.1'!$BI159,34,33))</f>
        <v>http://doc.google.com/uc?id=1ZzgwjDcxznJ-I1WLCDgSECvM2lfXzfva</v>
      </c>
      <c r="DO159" s="45" t="str">
        <f>IFERROR(VLOOKUP(CONCATENATE('Respuestas de formulario 1.1'!$B159,MID('Respuestas de formulario 1.1'!DO$1,2,1)),#REF!,12,0),"")</f>
        <v/>
      </c>
      <c r="DP159" s="45" t="str">
        <f>IFERROR(VLOOKUP(CONCATENATE('Respuestas de formulario 1.1'!$B159,MID('Respuestas de formulario 1.1'!DP$1,2,1)),#REF!,12,0),"")</f>
        <v/>
      </c>
      <c r="DQ159" s="45" t="str">
        <f>IFERROR(VLOOKUP(CONCATENATE('Respuestas de formulario 1.1'!$B159,MID('Respuestas de formulario 1.1'!DQ$1,2,1)),#REF!,12,0),"")</f>
        <v/>
      </c>
      <c r="DR159" s="45" t="str">
        <f>IFERROR(VLOOKUP(CONCATENATE('Respuestas de formulario 1.1'!$B159,MID('Respuestas de formulario 1.1'!DR$1,2,1)),#REF!,12,0),"")</f>
        <v/>
      </c>
      <c r="DS159" s="45" t="str">
        <f>IFERROR(VLOOKUP(CONCATENATE('Respuestas de formulario 1.1'!$B159,MID('Respuestas de formulario 1.1'!DS$1,2,1)),#REF!,12,0),"")</f>
        <v/>
      </c>
      <c r="DT159" s="45" t="str">
        <f>IFERROR(VLOOKUP(CONCATENATE('Respuestas de formulario 1.1'!$B159,MID('Respuestas de formulario 1.1'!DT$1,2,1)),#REF!,12,0),"")</f>
        <v/>
      </c>
      <c r="DU159" s="45" t="str">
        <f>IFERROR(VLOOKUP(CONCATENATE('Respuestas de formulario 1.1'!$B159,MID('Respuestas de formulario 1.1'!DU$1,2,1)),#REF!,12,0),"")</f>
        <v/>
      </c>
      <c r="DV159" s="45" t="str">
        <f>IFERROR(VLOOKUP(CONCATENATE('Respuestas de formulario 1.1'!$B159,MID('Respuestas de formulario 1.1'!DV$1,2,1)),#REF!,12,0),"")</f>
        <v/>
      </c>
      <c r="DW159" s="45" t="str">
        <f>IFERROR(VLOOKUP(CONCATENATE('Respuestas de formulario 1.1'!$B159,MID('Respuestas de formulario 1.1'!DW$1,2,1)),#REF!,12,0),"")</f>
        <v/>
      </c>
      <c r="DX159" s="45" t="str">
        <f>IFERROR(VLOOKUP(CONCATENATE('Respuestas de formulario 1.1'!$B159,MID('Respuestas de formulario 1.1'!DX$1,2,1)),#REF!,12,0),"")</f>
        <v/>
      </c>
      <c r="DY159" s="45" t="str">
        <f>IFERROR(VLOOKUP(CONCATENATE('Respuestas de formulario 1.1'!$B159,MID('Respuestas de formulario 1.1'!DY$1,2,1)),#REF!,12,0),"")</f>
        <v/>
      </c>
      <c r="DZ159" s="45" t="str">
        <f>IFERROR(VLOOKUP(CONCATENATE('Respuestas de formulario 1.1'!$B159,MID('Respuestas de formulario 1.1'!DZ$1,2,1)),#REF!,12,0),"")</f>
        <v/>
      </c>
      <c r="EA159" s="45" t="str">
        <f>IFERROR(VLOOKUP(CONCATENATE('Respuestas de formulario 1.1'!$B159,MID('Respuestas de formulario 1.1'!EA$1,2,1)),#REF!,12,0),"")</f>
        <v/>
      </c>
      <c r="EB159" s="45" t="str">
        <f>IFERROR(VLOOKUP(CONCATENATE('Respuestas de formulario 1.1'!$B159,MID('Respuestas de formulario 1.1'!EB$1,2,1)),#REF!,12,0),"")</f>
        <v/>
      </c>
      <c r="EC159" s="45" t="str">
        <f>IFERROR(VLOOKUP(CONCATENATE('Respuestas de formulario 1.1'!$B159,MID('Respuestas de formulario 1.1'!EC$1,2,1)),#REF!,12,0),"")</f>
        <v/>
      </c>
      <c r="ED159" s="45" t="str">
        <f>IFERROR(VLOOKUP(CONCATENATE('Respuestas de formulario 1.1'!$B159,MID('Respuestas de formulario 1.1'!ED$1,2,1)),#REF!,12,0),"")</f>
        <v/>
      </c>
      <c r="EE159" s="45" t="str">
        <f>IFERROR(VLOOKUP(CONCATENATE('Respuestas de formulario 1.1'!$B159,MID('Respuestas de formulario 1.1'!EE$1,2,1)),#REF!,12,0),"")</f>
        <v/>
      </c>
      <c r="EF159" s="45" t="str">
        <f>IFERROR(VLOOKUP(CONCATENATE('Respuestas de formulario 1.1'!$B159,MID('Respuestas de formulario 1.1'!EF$1,2,1)),#REF!,12,0),"")</f>
        <v/>
      </c>
      <c r="EG159" s="45" t="str">
        <f>IFERROR(VLOOKUP(CONCATENATE('Respuestas de formulario 1.1'!$B159,MID('Respuestas de formulario 1.1'!EG$1,2,1)),#REF!,12,0),"")</f>
        <v/>
      </c>
      <c r="EH159" s="45" t="str">
        <f>IFERROR(VLOOKUP(CONCATENATE('Respuestas de formulario 1.1'!$B159,MID('Respuestas de formulario 1.1'!EH$1,2,1)),#REF!,12,0),"")</f>
        <v/>
      </c>
      <c r="EI159" s="45" t="str">
        <f>IFERROR(VLOOKUP(CONCATENATE('Respuestas de formulario 1.1'!$B159,MID('Respuestas de formulario 1.1'!EI$1,2,1)),#REF!,12,0),"")</f>
        <v/>
      </c>
      <c r="EJ159" s="45" t="str">
        <f t="array" ref="EJ159">IF(DO159="","", INDEX(#REF!,MATCH(CONCATENATE('Respuestas de formulario 1.1'!$B159,DO159),#REF!,0),MATCH('Respuestas de formulario 1.1'!EJ$1,#REF!,0)))</f>
        <v/>
      </c>
      <c r="EK159" s="56" t="str">
        <f t="array" ref="EK159">IF(DP159="","", INDEX(#REF!,MATCH(CONCATENATE('Respuestas de formulario 1.1'!$B159,DP159),#REF!,0),MATCH('Respuestas de formulario 1.1'!EK$1,#REF!,0)))</f>
        <v/>
      </c>
      <c r="EL159" s="56" t="str">
        <f t="array" ref="EL159">IF(DQ159="","", INDEX(#REF!,MATCH(CONCATENATE('Respuestas de formulario 1.1'!$B159,DQ159),#REF!,0),MATCH('Respuestas de formulario 1.1'!EL$1,#REF!,0)))</f>
        <v/>
      </c>
      <c r="EM159" s="56" t="str">
        <f t="array" ref="EM159">IF(DR159="","", INDEX(#REF!,MATCH(CONCATENATE('Respuestas de formulario 1.1'!$B159,DR159),#REF!,0),MATCH('Respuestas de formulario 1.1'!EM$1,#REF!,0)))</f>
        <v/>
      </c>
      <c r="EN159" s="56" t="str">
        <f t="array" ref="EN159">IF(DS159="","", INDEX(#REF!,MATCH(CONCATENATE('Respuestas de formulario 1.1'!$B159,DS159),#REF!,0),MATCH('Respuestas de formulario 1.1'!EN$1,#REF!,0)))</f>
        <v/>
      </c>
      <c r="EO159" s="56" t="str">
        <f t="array" ref="EO159">IF(DT159="","", INDEX(#REF!,MATCH(CONCATENATE('Respuestas de formulario 1.1'!$B159,DT159),#REF!,0),MATCH('Respuestas de formulario 1.1'!EO$1,#REF!,0)))</f>
        <v/>
      </c>
      <c r="EP159" s="45" t="str">
        <f t="array" ref="EP159">IF(DU159="","", INDEX(#REF!,MATCH(CONCATENATE('Respuestas de formulario 1.1'!$B159,DU159),#REF!,0),MATCH('Respuestas de formulario 1.1'!EP$1,#REF!,0)))</f>
        <v/>
      </c>
      <c r="EQ159" s="45" t="str">
        <f t="array" ref="EQ159">IF(DP159="","", INDEX(#REF!,MATCH(CONCATENATE('Respuestas de formulario 1.1'!$B159,DP159),#REF!,0),MATCH('Respuestas de formulario 1.1'!EQ$1,#REF!,0)))</f>
        <v/>
      </c>
      <c r="ER159" s="56" t="str">
        <f t="array" ref="ER159">IF(DQ159="","", INDEX(#REF!,MATCH(CONCATENATE('Respuestas de formulario 1.1'!$B159,DQ159),#REF!,0),MATCH('Respuestas de formulario 1.1'!ER$1,#REF!,0)))</f>
        <v/>
      </c>
      <c r="ES159" s="56" t="str">
        <f t="array" ref="ES159">IF(DR159="","", INDEX(#REF!,MATCH(CONCATENATE('Respuestas de formulario 1.1'!$B159,DR159),#REF!,0),MATCH('Respuestas de formulario 1.1'!ES$1,#REF!,0)))</f>
        <v/>
      </c>
      <c r="ET159" s="56" t="str">
        <f t="array" ref="ET159">IF(DS159="","", INDEX(#REF!,MATCH(CONCATENATE('Respuestas de formulario 1.1'!$B159,DS159),#REF!,0),MATCH('Respuestas de formulario 1.1'!ET$1,#REF!,0)))</f>
        <v/>
      </c>
      <c r="EU159" s="56" t="str">
        <f t="array" ref="EU159">IF(DT159="","", INDEX(#REF!,MATCH(CONCATENATE('Respuestas de formulario 1.1'!$B159,DT159),#REF!,0),MATCH('Respuestas de formulario 1.1'!EU$1,#REF!,0)))</f>
        <v/>
      </c>
      <c r="EV159" s="56" t="str">
        <f t="array" ref="EV159">IF(DU159="","", INDEX(#REF!,MATCH(CONCATENATE('Respuestas de formulario 1.1'!$B159,DU159),#REF!,0),MATCH('Respuestas de formulario 1.1'!EV$1,#REF!,0)))</f>
        <v/>
      </c>
      <c r="EW159" s="45" t="str">
        <f t="array" ref="EW159">IF(DV159="","", INDEX(#REF!,MATCH(CONCATENATE('Respuestas de formulario 1.1'!$B159,DV159),#REF!,0),MATCH('Respuestas de formulario 1.1'!EW$1,#REF!,0)))</f>
        <v/>
      </c>
      <c r="EX159" s="45" t="str">
        <f t="array" ref="EX159">IF($DQ159="","", INDEX(#REF!,MATCH(CONCATENATE('Respuestas de formulario 1.1'!$B159,$DQ159),#REF!,0),MATCH('Respuestas de formulario 1.1'!EX$1,#REF!,0)))</f>
        <v/>
      </c>
      <c r="EY159" s="56" t="str">
        <f t="array" ref="EY159">IF($DQ159="","", INDEX(#REF!,MATCH(CONCATENATE('Respuestas de formulario 1.1'!$B159,$DQ159),#REF!,0),MATCH('Respuestas de formulario 1.1'!EY$1,#REF!,0)))</f>
        <v/>
      </c>
      <c r="EZ159" s="56" t="str">
        <f t="array" ref="EZ159">IF($DQ159="","", INDEX(#REF!,MATCH(CONCATENATE('Respuestas de formulario 1.1'!$B159,$DQ159),#REF!,0),MATCH('Respuestas de formulario 1.1'!EZ$1,#REF!,0)))</f>
        <v/>
      </c>
      <c r="FA159" s="56" t="str">
        <f t="array" ref="FA159">IF($DQ159="","", INDEX(#REF!,MATCH(CONCATENATE('Respuestas de formulario 1.1'!$B159,$DQ159),#REF!,0),MATCH('Respuestas de formulario 1.1'!FA$1,#REF!,0)))</f>
        <v/>
      </c>
      <c r="FB159" s="56" t="str">
        <f t="array" ref="FB159">IF($DQ159="","", INDEX(#REF!,MATCH(CONCATENATE('Respuestas de formulario 1.1'!$B159,$DQ159),#REF!,0),MATCH('Respuestas de formulario 1.1'!FB$1,#REF!,0)))</f>
        <v/>
      </c>
      <c r="FC159" s="56" t="str">
        <f t="array" ref="FC159">IF($DQ159="","", INDEX(#REF!,MATCH(CONCATENATE('Respuestas de formulario 1.1'!$B159,$DQ159),#REF!,0),MATCH('Respuestas de formulario 1.1'!FC$1,#REF!,0)))</f>
        <v/>
      </c>
      <c r="FD159" s="45" t="str">
        <f t="array" ref="FD159">IF($DQ159="","", INDEX(#REF!,MATCH(CONCATENATE('Respuestas de formulario 1.1'!$B159,$DQ159),#REF!,0),MATCH('Respuestas de formulario 1.1'!FD$1,#REF!,0)))</f>
        <v/>
      </c>
      <c r="FE159" s="45" t="str">
        <f t="array" ref="FE159">IF($DR159="","", INDEX(#REF!,MATCH(CONCATENATE(#REF!,$DR159),#REF!,0),MATCH(#REF!,#REF!,0)))</f>
        <v/>
      </c>
      <c r="FF159" s="56" t="str">
        <f t="array" ref="FF159">IF($DR159="","", INDEX(#REF!,MATCH(CONCATENATE(#REF!,$DR159),#REF!,0),MATCH(#REF!,#REF!,0)))</f>
        <v/>
      </c>
      <c r="FG159" s="56" t="str">
        <f t="array" ref="FG159">IF($DR159="","", INDEX(#REF!,MATCH(CONCATENATE(#REF!,$DR159),#REF!,0),MATCH(#REF!,#REF!,0)))</f>
        <v/>
      </c>
      <c r="FH159" s="56" t="str">
        <f t="array" ref="FH159">IF($DR159="","", INDEX(#REF!,MATCH(CONCATENATE(#REF!,$DR159),#REF!,0),MATCH(#REF!,#REF!,0)))</f>
        <v/>
      </c>
      <c r="FI159" s="56" t="str">
        <f t="array" ref="FI159">IF($DR159="","", INDEX(#REF!,MATCH(CONCATENATE(#REF!,$DR159),#REF!,0),MATCH(#REF!,#REF!,0)))</f>
        <v/>
      </c>
      <c r="FJ159" s="56" t="str">
        <f t="array" ref="FJ159">IF($DR159="","", INDEX(#REF!,MATCH(CONCATENATE(#REF!,$DR159),#REF!,0),MATCH(#REF!,#REF!,0)))</f>
        <v/>
      </c>
      <c r="FK159" s="45" t="str">
        <f t="array" ref="FK159">IF($DR159="","", INDEX(#REF!,MATCH(CONCATENATE(#REF!,$DR159),#REF!,0),MATCH(#REF!,#REF!,0)))</f>
        <v/>
      </c>
      <c r="FL159" s="45" t="str">
        <f t="array" ref="FL159">IF($DT159="","", INDEX(#REF!,MATCH(CONCATENATE('Respuestas de formulario 1.1'!$B159,$DS159),#REF!,0),MATCH('Respuestas de formulario 1.1'!FL$1,#REF!,0)))</f>
        <v/>
      </c>
      <c r="FM159" s="56" t="str">
        <f t="array" ref="FM159">IF($DT159="","", INDEX(#REF!,MATCH(CONCATENATE('Respuestas de formulario 1.1'!$B159,$DS159),#REF!,0),MATCH('Respuestas de formulario 1.1'!FM$1,#REF!,0)))</f>
        <v/>
      </c>
      <c r="FN159" s="56" t="str">
        <f t="array" ref="FN159">IF($DT159="","", INDEX(#REF!,MATCH(CONCATENATE('Respuestas de formulario 1.1'!$B159,$DS159),#REF!,0),MATCH('Respuestas de formulario 1.1'!FN$1,#REF!,0)))</f>
        <v/>
      </c>
      <c r="FO159" s="56" t="str">
        <f t="array" ref="FO159">IF($DT159="","", INDEX(#REF!,MATCH(CONCATENATE('Respuestas de formulario 1.1'!$B159,$DS159),#REF!,0),MATCH('Respuestas de formulario 1.1'!FO$1,#REF!,0)))</f>
        <v/>
      </c>
      <c r="FP159" s="56" t="str">
        <f t="array" ref="FP159">IF($DT159="","", INDEX(#REF!,MATCH(CONCATENATE('Respuestas de formulario 1.1'!$B159,$DS159),#REF!,0),MATCH('Respuestas de formulario 1.1'!FP$1,#REF!,0)))</f>
        <v/>
      </c>
      <c r="FQ159" s="56" t="str">
        <f t="array" ref="FQ159">IF($DT159="","", INDEX(#REF!,MATCH(CONCATENATE('Respuestas de formulario 1.1'!$B159,$DS159),#REF!,0),MATCH('Respuestas de formulario 1.1'!FQ$1,#REF!,0)))</f>
        <v/>
      </c>
      <c r="FR159" s="45" t="str">
        <f t="array" ref="FR159">IF($DT159="","", INDEX(#REF!,MATCH(CONCATENATE('Respuestas de formulario 1.1'!$B159,$DS159),#REF!,0),MATCH('Respuestas de formulario 1.1'!FR$1,#REF!,0)))</f>
        <v/>
      </c>
      <c r="FS159" s="45" t="str">
        <f t="array" ref="FS159">IF($DU159="","", INDEX(#REF!,MATCH(CONCATENATE('Respuestas de formulario 1.1'!$B159,$DT159),#REF!,0),MATCH('Respuestas de formulario 1.1'!FS$1,#REF!,0)))</f>
        <v/>
      </c>
      <c r="FT159" s="56" t="str">
        <f t="array" ref="FT159">IF($DU159="","", INDEX(#REF!,MATCH(CONCATENATE('Respuestas de formulario 1.1'!$B159,$DT159),#REF!,0),MATCH('Respuestas de formulario 1.1'!FT$1,#REF!,0)))</f>
        <v/>
      </c>
      <c r="FU159" s="56" t="str">
        <f t="array" ref="FU159">IF($DU159="","", INDEX(#REF!,MATCH(CONCATENATE('Respuestas de formulario 1.1'!$B159,$DT159),#REF!,0),MATCH('Respuestas de formulario 1.1'!FU$1,#REF!,0)))</f>
        <v/>
      </c>
      <c r="FV159" s="56" t="str">
        <f t="array" ref="FV159">IF($DU159="","", INDEX(#REF!,MATCH(CONCATENATE('Respuestas de formulario 1.1'!$B159,$DT159),#REF!,0),MATCH('Respuestas de formulario 1.1'!FV$1,#REF!,0)))</f>
        <v/>
      </c>
      <c r="FW159" s="56" t="str">
        <f t="array" ref="FW159">IF($DU159="","", INDEX(#REF!,MATCH(CONCATENATE('Respuestas de formulario 1.1'!$B159,$DT159),#REF!,0),MATCH('Respuestas de formulario 1.1'!FW$1,#REF!,0)))</f>
        <v/>
      </c>
      <c r="FX159" s="56" t="str">
        <f t="array" ref="FX159">IF($DU159="","", INDEX(#REF!,MATCH(CONCATENATE('Respuestas de formulario 1.1'!$B159,$DT159),#REF!,0),MATCH('Respuestas de formulario 1.1'!FX$1,#REF!,0)))</f>
        <v/>
      </c>
      <c r="FY159" s="45" t="str">
        <f t="array" ref="FY159">IF($DU159="","", INDEX(#REF!,MATCH(CONCATENATE('Respuestas de formulario 1.1'!$B159,$DT159),#REF!,0),MATCH('Respuestas de formulario 1.1'!FY$1,#REF!,0)))</f>
        <v/>
      </c>
      <c r="FZ159" s="3" t="s">
        <v>2860</v>
      </c>
      <c r="GA159" s="1" t="s">
        <v>5560</v>
      </c>
      <c r="GB159" s="5" t="s">
        <v>5561</v>
      </c>
      <c r="GC159" s="4" t="str">
        <f>HYPERLINK("https://drive.google.com/file/d/1xD92T2bmKiMCEcJswq7cLfU5AeRKUS-k/view?usp=drivesdk","CARMONA TIERRABLANCA  ERIKA ALIN Formato de reinscripción y pago 2022-2")</f>
        <v>CARMONA TIERRABLANCA  ERIKA ALIN Formato de reinscripción y pago 2022-2</v>
      </c>
      <c r="GD159" s="1" t="s">
        <v>5562</v>
      </c>
      <c r="GE159" s="1"/>
      <c r="GF159" s="1"/>
      <c r="GG159" s="1"/>
      <c r="GH159" s="1"/>
      <c r="GI159" s="1" t="s">
        <v>5563</v>
      </c>
      <c r="GJ159" s="5" t="s">
        <v>5564</v>
      </c>
      <c r="GK159" s="5" t="str">
        <f>HYPERLINK("https://drive.google.com/file/d/1X8PKJzTPleIzCyLMNX-w8B08A1GcFG5u/view?usp=drivesdk","CARMONA TIERRABLANCA  ERIKA ALIN Formato de reinscripción y pago 2022-2")</f>
        <v>CARMONA TIERRABLANCA  ERIKA ALIN Formato de reinscripción y pago 2022-2</v>
      </c>
      <c r="GL159" s="1" t="s">
        <v>5565</v>
      </c>
    </row>
    <row r="160" spans="1:194" ht="38.25" x14ac:dyDescent="0.2">
      <c r="A160" s="2">
        <v>45139.880483553236</v>
      </c>
      <c r="B160" s="1" t="s">
        <v>7</v>
      </c>
      <c r="C160" s="1" t="s">
        <v>1316</v>
      </c>
      <c r="D160" s="1" t="s">
        <v>902</v>
      </c>
      <c r="E160" s="1" t="s">
        <v>1726</v>
      </c>
      <c r="F160" s="1" t="s">
        <v>223</v>
      </c>
      <c r="G160" s="5" t="s">
        <v>5566</v>
      </c>
      <c r="H160" s="41">
        <v>39191</v>
      </c>
      <c r="I160" s="1">
        <v>16</v>
      </c>
      <c r="J160" s="1">
        <v>5554642379</v>
      </c>
      <c r="K160" s="1">
        <v>5569749869</v>
      </c>
      <c r="L160" s="1" t="s">
        <v>1727</v>
      </c>
      <c r="M160" s="1">
        <v>22309060570638</v>
      </c>
      <c r="N160" s="1" t="s">
        <v>562</v>
      </c>
      <c r="O160" s="1" t="s">
        <v>247</v>
      </c>
      <c r="P160" s="1" t="s">
        <v>226</v>
      </c>
      <c r="Q160" s="1" t="s">
        <v>315</v>
      </c>
      <c r="R160" s="1" t="s">
        <v>236</v>
      </c>
      <c r="S160" s="1" t="s">
        <v>228</v>
      </c>
      <c r="T160" s="1" t="s">
        <v>229</v>
      </c>
      <c r="U160" s="1" t="s">
        <v>327</v>
      </c>
      <c r="V160" s="1" t="s">
        <v>228</v>
      </c>
      <c r="W160" s="1" t="s">
        <v>5567</v>
      </c>
      <c r="X160" s="1" t="s">
        <v>327</v>
      </c>
      <c r="Y160" s="1" t="s">
        <v>1731</v>
      </c>
      <c r="Z160" s="1" t="s">
        <v>231</v>
      </c>
      <c r="AA160" s="1">
        <v>56335</v>
      </c>
      <c r="AB160" s="1" t="s">
        <v>1465</v>
      </c>
      <c r="AC160" s="1" t="s">
        <v>5568</v>
      </c>
      <c r="AD160" s="1" t="s">
        <v>5569</v>
      </c>
      <c r="AE160" s="1" t="s">
        <v>5570</v>
      </c>
      <c r="AF160" s="1" t="s">
        <v>580</v>
      </c>
      <c r="AG160" s="1">
        <v>45</v>
      </c>
      <c r="AH160" s="5" t="s">
        <v>5571</v>
      </c>
      <c r="AI160" s="1">
        <v>5569749869</v>
      </c>
      <c r="AJ160" s="1">
        <v>5510454093</v>
      </c>
      <c r="AK160" s="1" t="s">
        <v>5572</v>
      </c>
      <c r="AL160" s="1" t="s">
        <v>1316</v>
      </c>
      <c r="AM160" s="1" t="s">
        <v>902</v>
      </c>
      <c r="AN160" s="1" t="s">
        <v>5573</v>
      </c>
      <c r="AO160" s="1" t="s">
        <v>5574</v>
      </c>
      <c r="AP160" s="1">
        <v>22</v>
      </c>
      <c r="AQ160" s="1" t="s">
        <v>1044</v>
      </c>
      <c r="AR160" s="42">
        <v>0.29166666666424135</v>
      </c>
      <c r="AS160" s="42">
        <v>8.3333333335758653E-2</v>
      </c>
      <c r="AT160" s="1">
        <v>5578098916</v>
      </c>
      <c r="AU160" s="1">
        <v>5578098916</v>
      </c>
      <c r="AV160" s="1" t="s">
        <v>1728</v>
      </c>
      <c r="AW160" s="5" t="s">
        <v>5575</v>
      </c>
      <c r="AX160" s="1" t="s">
        <v>1316</v>
      </c>
      <c r="AY160" s="1" t="s">
        <v>467</v>
      </c>
      <c r="AZ160" s="1" t="s">
        <v>1729</v>
      </c>
      <c r="BA160" s="1" t="s">
        <v>291</v>
      </c>
      <c r="BB160" s="1">
        <v>41</v>
      </c>
      <c r="BC160" s="1" t="s">
        <v>729</v>
      </c>
      <c r="BD160" s="43">
        <v>0.33333333333575865</v>
      </c>
      <c r="BE160" s="43">
        <v>0.25</v>
      </c>
      <c r="BF160" s="1">
        <v>5639322652</v>
      </c>
      <c r="BG160" s="1">
        <v>5639322652</v>
      </c>
      <c r="BH160" s="1" t="s">
        <v>5576</v>
      </c>
      <c r="BI160" s="5" t="s">
        <v>5577</v>
      </c>
      <c r="BJ160" s="1" t="s">
        <v>236</v>
      </c>
      <c r="BL160" s="1">
        <v>1.54</v>
      </c>
      <c r="BM160" s="1">
        <v>44</v>
      </c>
      <c r="BN160" s="1" t="s">
        <v>236</v>
      </c>
      <c r="BO160" s="1" t="s">
        <v>228</v>
      </c>
      <c r="BQ160" s="1" t="s">
        <v>228</v>
      </c>
      <c r="BR160" s="1" t="s">
        <v>237</v>
      </c>
      <c r="BS160" s="1" t="s">
        <v>236</v>
      </c>
      <c r="BT160" s="1" t="s">
        <v>457</v>
      </c>
      <c r="BU160" s="1" t="s">
        <v>228</v>
      </c>
      <c r="BW160" s="1" t="s">
        <v>272</v>
      </c>
      <c r="BX160" s="1">
        <v>4</v>
      </c>
      <c r="BY160" s="1">
        <v>300</v>
      </c>
      <c r="BZ160" s="1" t="s">
        <v>298</v>
      </c>
      <c r="CA160" s="1" t="s">
        <v>1730</v>
      </c>
      <c r="CB160" s="1" t="s">
        <v>231</v>
      </c>
      <c r="CC160" s="1" t="s">
        <v>274</v>
      </c>
      <c r="CD160" s="1">
        <v>3000</v>
      </c>
      <c r="CE160" s="1">
        <v>500</v>
      </c>
      <c r="CF160" s="1" t="s">
        <v>236</v>
      </c>
      <c r="CG160" s="1" t="s">
        <v>242</v>
      </c>
      <c r="CH160" s="1" t="s">
        <v>243</v>
      </c>
      <c r="CI160" s="1" t="s">
        <v>243</v>
      </c>
      <c r="CJ160" s="1" t="s">
        <v>2848</v>
      </c>
      <c r="CL160" s="5" t="s">
        <v>5578</v>
      </c>
      <c r="CM160" s="1">
        <v>1622076448</v>
      </c>
      <c r="CN160" s="1" t="s">
        <v>228</v>
      </c>
      <c r="CQ160" s="42">
        <v>0.41666666666424135</v>
      </c>
      <c r="CR160" s="42">
        <v>0.16666666666424135</v>
      </c>
      <c r="CT160" s="45" t="str">
        <f t="array" ref="CT160">IFERROR(INDEX(#REF!,MATCH('Respuestas de formulario 1.1'!$B160,#REF!,0),MATCH('Respuestas de formulario 1.1'!CT$1,#REF!,0)),"")</f>
        <v/>
      </c>
      <c r="CU160" s="56" t="str">
        <f t="array" ref="CU160">IFERROR(INDEX(#REF!,MATCH('Respuestas de formulario 1.1'!$B160,#REF!,0),MATCH('Respuestas de formulario 1.1'!CU$1,#REF!,0)),"")</f>
        <v/>
      </c>
      <c r="CV160" s="56" t="str">
        <f t="array" ref="CV160">IFERROR(INDEX(#REF!,MATCH('Respuestas de formulario 1.1'!$B160,#REF!,0),MATCH('Respuestas de formulario 1.1'!CV$1,#REF!,0)),"")</f>
        <v/>
      </c>
      <c r="CW160" s="56" t="str">
        <f t="array" ref="CW160">IFERROR(INDEX(#REF!,MATCH('Respuestas de formulario 1.1'!$B160,#REF!,0),MATCH('Respuestas de formulario 1.1'!CW$1,#REF!,0)),"")</f>
        <v/>
      </c>
      <c r="CX160" s="56" t="str">
        <f t="array" ref="CX160">IFERROR(INDEX(#REF!,MATCH('Respuestas de formulario 1.1'!$B160,#REF!,0),MATCH('Respuestas de formulario 1.1'!CX$1,#REF!,0)),"")</f>
        <v/>
      </c>
      <c r="CY160" s="56" t="str">
        <f t="array" ref="CY160">IFERROR(INDEX(#REF!,MATCH('Respuestas de formulario 1.1'!$B160,#REF!,0),MATCH('Respuestas de formulario 1.1'!CY$1,#REF!,0)),"")</f>
        <v/>
      </c>
      <c r="CZ160" s="57" t="str">
        <f t="array" ref="CZ160">IFERROR(INDEX(#REF!,MATCH('Respuestas de formulario 1.1'!$B160,#REF!,0),MATCH('Respuestas de formulario 1.1'!CZ$1,#REF!,0)),"")</f>
        <v/>
      </c>
      <c r="DA160" s="45" t="e">
        <f t="array" ref="DA160">INDEX(#REF!,MATCH('Respuestas de formulario 1.1'!$B160,#REF!,0),MATCH('Respuestas de formulario 1.1'!DA$1,#REF!,0))</f>
        <v>#REF!</v>
      </c>
      <c r="DB160" s="45" t="e">
        <f t="array" ref="DB160">INDEX(#REF!,MATCH('Respuestas de formulario 1.1'!$B160,#REF!,0),MATCH('Respuestas de formulario 1.1'!DB$1,#REF!,0))</f>
        <v>#REF!</v>
      </c>
      <c r="DC160" s="45" t="e">
        <f t="array" ref="DC160">INDEX(#REF!,MATCH('Respuestas de formulario 1.1'!$B160,#REF!,0),MATCH('Respuestas de formulario 1.1'!DC$1,#REF!,0))</f>
        <v>#REF!</v>
      </c>
      <c r="DD160" s="45" t="e">
        <f t="array" ref="DD160">INDEX(#REF!,MATCH('Respuestas de formulario 1.1'!$B160,#REF!,0),MATCH('Respuestas de formulario 1.1'!DD$1,#REF!,0))</f>
        <v>#REF!</v>
      </c>
      <c r="DE160" s="45" t="e">
        <f t="array" ref="DE160">INDEX(#REF!,MATCH('Respuestas de formulario 1.1'!$B160,#REF!,0),MATCH('Respuestas de formulario 1.1'!DE$1,#REF!,0))</f>
        <v>#REF!</v>
      </c>
      <c r="DF160" s="45" t="e">
        <f t="array" ref="DF160">INDEX(#REF!,MATCH('Respuestas de formulario 1.1'!$B160,#REF!,0),MATCH('Respuestas de formulario 1.1'!DF$1,#REF!,0))</f>
        <v>#REF!</v>
      </c>
      <c r="DG160" s="45" t="e">
        <f t="array" ref="DG160">INDEX(#REF!,MATCH('Respuestas de formulario 1.1'!$B160,#REF!,0),MATCH('Respuestas de formulario 1.1'!DG$1,#REF!,0))</f>
        <v>#REF!</v>
      </c>
      <c r="DH160" s="45" t="e">
        <f t="array" ref="DH160">INDEX(#REF!,MATCH('Respuestas de formulario 1.1'!$B160,#REF!,0),MATCH('Respuestas de formulario 1.1'!DH$1,#REF!,0))</f>
        <v>#REF!</v>
      </c>
      <c r="DI160" s="48" t="e">
        <f>VLOOKUP(CONCATENATE($DF160," TUTO ",$DC160),#REF!,3,0)</f>
        <v>#REF!</v>
      </c>
      <c r="DJ160" s="48" t="e">
        <f t="array" ref="DJ160">IF('Respuestas de formulario 1.1'!A160="","",INDEX(#REF!,MATCH('Respuestas de formulario 1.1'!B160,#REF!,0),MATCH('Respuestas de formulario 1.1'!$DH$1,#REF!,0)))</f>
        <v>#REF!</v>
      </c>
      <c r="DK160" s="52" t="str">
        <f>CONCATENATE("http://doc.google.com/uc?id=",MID('Respuestas de formulario 1.1'!G160,34,33))</f>
        <v>http://doc.google.com/uc?id=1QzFmlNbqmpeCbZfYbLWyDY3NELWqJs1d</v>
      </c>
      <c r="DL160" s="49" t="str">
        <f>CONCATENATE("http://doc.google.com/uc?id=",MID('Respuestas de formulario 1.1'!AH160,34,33))</f>
        <v>http://doc.google.com/uc?id=1inLu6keLTLyfbqVOS-FPcrsR98F_ys2y</v>
      </c>
      <c r="DM160" s="50" t="str">
        <f>CONCATENATE("http://doc.google.com/uc?id=",MID('Respuestas de formulario 1.1'!AW160,34,33))</f>
        <v>http://doc.google.com/uc?id=1cUeVoSWtQabSZEWc1XlhvcpZV0g-98uM</v>
      </c>
      <c r="DN160" s="53" t="str">
        <f>CONCATENATE("http://doc.google.com/uc?id=",MID('Respuestas de formulario 1.1'!$BI160,34,33))</f>
        <v>http://doc.google.com/uc?id=1fSUS-QQD86fw1gCWDJd_IdHaKsZa6Nf7</v>
      </c>
      <c r="DO160" s="45" t="str">
        <f>IFERROR(VLOOKUP(CONCATENATE('Respuestas de formulario 1.1'!$B160,MID('Respuestas de formulario 1.1'!DO$1,2,1)),#REF!,12,0),"")</f>
        <v/>
      </c>
      <c r="DP160" s="45" t="str">
        <f>IFERROR(VLOOKUP(CONCATENATE('Respuestas de formulario 1.1'!$B160,MID('Respuestas de formulario 1.1'!DP$1,2,1)),#REF!,12,0),"")</f>
        <v/>
      </c>
      <c r="DQ160" s="45" t="str">
        <f>IFERROR(VLOOKUP(CONCATENATE('Respuestas de formulario 1.1'!$B160,MID('Respuestas de formulario 1.1'!DQ$1,2,1)),#REF!,12,0),"")</f>
        <v/>
      </c>
      <c r="DR160" s="45" t="str">
        <f>IFERROR(VLOOKUP(CONCATENATE('Respuestas de formulario 1.1'!$B160,MID('Respuestas de formulario 1.1'!DR$1,2,1)),#REF!,12,0),"")</f>
        <v/>
      </c>
      <c r="DS160" s="45" t="str">
        <f>IFERROR(VLOOKUP(CONCATENATE('Respuestas de formulario 1.1'!$B160,MID('Respuestas de formulario 1.1'!DS$1,2,1)),#REF!,12,0),"")</f>
        <v/>
      </c>
      <c r="DT160" s="45" t="str">
        <f>IFERROR(VLOOKUP(CONCATENATE('Respuestas de formulario 1.1'!$B160,MID('Respuestas de formulario 1.1'!DT$1,2,1)),#REF!,12,0),"")</f>
        <v/>
      </c>
      <c r="DU160" s="45" t="str">
        <f>IFERROR(VLOOKUP(CONCATENATE('Respuestas de formulario 1.1'!$B160,MID('Respuestas de formulario 1.1'!DU$1,2,1)),#REF!,12,0),"")</f>
        <v/>
      </c>
      <c r="DV160" s="45" t="str">
        <f>IFERROR(VLOOKUP(CONCATENATE('Respuestas de formulario 1.1'!$B160,MID('Respuestas de formulario 1.1'!DV$1,2,1)),#REF!,12,0),"")</f>
        <v/>
      </c>
      <c r="DW160" s="45" t="str">
        <f>IFERROR(VLOOKUP(CONCATENATE('Respuestas de formulario 1.1'!$B160,MID('Respuestas de formulario 1.1'!DW$1,2,1)),#REF!,12,0),"")</f>
        <v/>
      </c>
      <c r="DX160" s="45" t="str">
        <f>IFERROR(VLOOKUP(CONCATENATE('Respuestas de formulario 1.1'!$B160,MID('Respuestas de formulario 1.1'!DX$1,2,1)),#REF!,12,0),"")</f>
        <v/>
      </c>
      <c r="DY160" s="45" t="str">
        <f>IFERROR(VLOOKUP(CONCATENATE('Respuestas de formulario 1.1'!$B160,MID('Respuestas de formulario 1.1'!DY$1,2,1)),#REF!,12,0),"")</f>
        <v/>
      </c>
      <c r="DZ160" s="45" t="str">
        <f>IFERROR(VLOOKUP(CONCATENATE('Respuestas de formulario 1.1'!$B160,MID('Respuestas de formulario 1.1'!DZ$1,2,1)),#REF!,12,0),"")</f>
        <v/>
      </c>
      <c r="EA160" s="45" t="str">
        <f>IFERROR(VLOOKUP(CONCATENATE('Respuestas de formulario 1.1'!$B160,MID('Respuestas de formulario 1.1'!EA$1,2,1)),#REF!,12,0),"")</f>
        <v/>
      </c>
      <c r="EB160" s="45" t="str">
        <f>IFERROR(VLOOKUP(CONCATENATE('Respuestas de formulario 1.1'!$B160,MID('Respuestas de formulario 1.1'!EB$1,2,1)),#REF!,12,0),"")</f>
        <v/>
      </c>
      <c r="EC160" s="45" t="str">
        <f>IFERROR(VLOOKUP(CONCATENATE('Respuestas de formulario 1.1'!$B160,MID('Respuestas de formulario 1.1'!EC$1,2,1)),#REF!,12,0),"")</f>
        <v/>
      </c>
      <c r="ED160" s="45" t="str">
        <f>IFERROR(VLOOKUP(CONCATENATE('Respuestas de formulario 1.1'!$B160,MID('Respuestas de formulario 1.1'!ED$1,2,1)),#REF!,12,0),"")</f>
        <v/>
      </c>
      <c r="EE160" s="45" t="str">
        <f>IFERROR(VLOOKUP(CONCATENATE('Respuestas de formulario 1.1'!$B160,MID('Respuestas de formulario 1.1'!EE$1,2,1)),#REF!,12,0),"")</f>
        <v/>
      </c>
      <c r="EF160" s="45" t="str">
        <f>IFERROR(VLOOKUP(CONCATENATE('Respuestas de formulario 1.1'!$B160,MID('Respuestas de formulario 1.1'!EF$1,2,1)),#REF!,12,0),"")</f>
        <v/>
      </c>
      <c r="EG160" s="45" t="str">
        <f>IFERROR(VLOOKUP(CONCATENATE('Respuestas de formulario 1.1'!$B160,MID('Respuestas de formulario 1.1'!EG$1,2,1)),#REF!,12,0),"")</f>
        <v/>
      </c>
      <c r="EH160" s="45" t="str">
        <f>IFERROR(VLOOKUP(CONCATENATE('Respuestas de formulario 1.1'!$B160,MID('Respuestas de formulario 1.1'!EH$1,2,1)),#REF!,12,0),"")</f>
        <v/>
      </c>
      <c r="EI160" s="45" t="str">
        <f>IFERROR(VLOOKUP(CONCATENATE('Respuestas de formulario 1.1'!$B160,MID('Respuestas de formulario 1.1'!EI$1,2,1)),#REF!,12,0),"")</f>
        <v/>
      </c>
      <c r="EJ160" s="45" t="str">
        <f t="array" ref="EJ160">IF(DO160="","", INDEX(#REF!,MATCH(CONCATENATE('Respuestas de formulario 1.1'!$B160,DO160),#REF!,0),MATCH('Respuestas de formulario 1.1'!EJ$1,#REF!,0)))</f>
        <v/>
      </c>
      <c r="EK160" s="56" t="str">
        <f t="array" ref="EK160">IF(DP160="","", INDEX(#REF!,MATCH(CONCATENATE('Respuestas de formulario 1.1'!$B160,DP160),#REF!,0),MATCH('Respuestas de formulario 1.1'!EK$1,#REF!,0)))</f>
        <v/>
      </c>
      <c r="EL160" s="56" t="str">
        <f t="array" ref="EL160">IF(DQ160="","", INDEX(#REF!,MATCH(CONCATENATE('Respuestas de formulario 1.1'!$B160,DQ160),#REF!,0),MATCH('Respuestas de formulario 1.1'!EL$1,#REF!,0)))</f>
        <v/>
      </c>
      <c r="EM160" s="56" t="str">
        <f t="array" ref="EM160">IF(DR160="","", INDEX(#REF!,MATCH(CONCATENATE('Respuestas de formulario 1.1'!$B160,DR160),#REF!,0),MATCH('Respuestas de formulario 1.1'!EM$1,#REF!,0)))</f>
        <v/>
      </c>
      <c r="EN160" s="56" t="str">
        <f t="array" ref="EN160">IF(DS160="","", INDEX(#REF!,MATCH(CONCATENATE('Respuestas de formulario 1.1'!$B160,DS160),#REF!,0),MATCH('Respuestas de formulario 1.1'!EN$1,#REF!,0)))</f>
        <v/>
      </c>
      <c r="EO160" s="56" t="str">
        <f t="array" ref="EO160">IF(DT160="","", INDEX(#REF!,MATCH(CONCATENATE('Respuestas de formulario 1.1'!$B160,DT160),#REF!,0),MATCH('Respuestas de formulario 1.1'!EO$1,#REF!,0)))</f>
        <v/>
      </c>
      <c r="EP160" s="45" t="str">
        <f t="array" ref="EP160">IF(DU160="","", INDEX(#REF!,MATCH(CONCATENATE('Respuestas de formulario 1.1'!$B160,DU160),#REF!,0),MATCH('Respuestas de formulario 1.1'!EP$1,#REF!,0)))</f>
        <v/>
      </c>
      <c r="EQ160" s="45" t="str">
        <f t="array" ref="EQ160">IF(DP160="","", INDEX(#REF!,MATCH(CONCATENATE('Respuestas de formulario 1.1'!$B160,DP160),#REF!,0),MATCH('Respuestas de formulario 1.1'!EQ$1,#REF!,0)))</f>
        <v/>
      </c>
      <c r="ER160" s="56" t="str">
        <f t="array" ref="ER160">IF(DQ160="","", INDEX(#REF!,MATCH(CONCATENATE('Respuestas de formulario 1.1'!$B160,DQ160),#REF!,0),MATCH('Respuestas de formulario 1.1'!ER$1,#REF!,0)))</f>
        <v/>
      </c>
      <c r="ES160" s="56" t="str">
        <f t="array" ref="ES160">IF(DR160="","", INDEX(#REF!,MATCH(CONCATENATE('Respuestas de formulario 1.1'!$B160,DR160),#REF!,0),MATCH('Respuestas de formulario 1.1'!ES$1,#REF!,0)))</f>
        <v/>
      </c>
      <c r="ET160" s="56" t="str">
        <f t="array" ref="ET160">IF(DS160="","", INDEX(#REF!,MATCH(CONCATENATE('Respuestas de formulario 1.1'!$B160,DS160),#REF!,0),MATCH('Respuestas de formulario 1.1'!ET$1,#REF!,0)))</f>
        <v/>
      </c>
      <c r="EU160" s="56" t="str">
        <f t="array" ref="EU160">IF(DT160="","", INDEX(#REF!,MATCH(CONCATENATE('Respuestas de formulario 1.1'!$B160,DT160),#REF!,0),MATCH('Respuestas de formulario 1.1'!EU$1,#REF!,0)))</f>
        <v/>
      </c>
      <c r="EV160" s="56" t="str">
        <f t="array" ref="EV160">IF(DU160="","", INDEX(#REF!,MATCH(CONCATENATE('Respuestas de formulario 1.1'!$B160,DU160),#REF!,0),MATCH('Respuestas de formulario 1.1'!EV$1,#REF!,0)))</f>
        <v/>
      </c>
      <c r="EW160" s="45" t="str">
        <f t="array" ref="EW160">IF(DV160="","", INDEX(#REF!,MATCH(CONCATENATE('Respuestas de formulario 1.1'!$B160,DV160),#REF!,0),MATCH('Respuestas de formulario 1.1'!EW$1,#REF!,0)))</f>
        <v/>
      </c>
      <c r="EX160" s="45" t="str">
        <f t="array" ref="EX160">IF($DQ160="","", INDEX(#REF!,MATCH(CONCATENATE('Respuestas de formulario 1.1'!$B160,$DQ160),#REF!,0),MATCH('Respuestas de formulario 1.1'!EX$1,#REF!,0)))</f>
        <v/>
      </c>
      <c r="EY160" s="56" t="str">
        <f t="array" ref="EY160">IF($DQ160="","", INDEX(#REF!,MATCH(CONCATENATE('Respuestas de formulario 1.1'!$B160,$DQ160),#REF!,0),MATCH('Respuestas de formulario 1.1'!EY$1,#REF!,0)))</f>
        <v/>
      </c>
      <c r="EZ160" s="56" t="str">
        <f t="array" ref="EZ160">IF($DQ160="","", INDEX(#REF!,MATCH(CONCATENATE('Respuestas de formulario 1.1'!$B160,$DQ160),#REF!,0),MATCH('Respuestas de formulario 1.1'!EZ$1,#REF!,0)))</f>
        <v/>
      </c>
      <c r="FA160" s="56" t="str">
        <f t="array" ref="FA160">IF($DQ160="","", INDEX(#REF!,MATCH(CONCATENATE('Respuestas de formulario 1.1'!$B160,$DQ160),#REF!,0),MATCH('Respuestas de formulario 1.1'!FA$1,#REF!,0)))</f>
        <v/>
      </c>
      <c r="FB160" s="56" t="str">
        <f t="array" ref="FB160">IF($DQ160="","", INDEX(#REF!,MATCH(CONCATENATE('Respuestas de formulario 1.1'!$B160,$DQ160),#REF!,0),MATCH('Respuestas de formulario 1.1'!FB$1,#REF!,0)))</f>
        <v/>
      </c>
      <c r="FC160" s="56" t="str">
        <f t="array" ref="FC160">IF($DQ160="","", INDEX(#REF!,MATCH(CONCATENATE('Respuestas de formulario 1.1'!$B160,$DQ160),#REF!,0),MATCH('Respuestas de formulario 1.1'!FC$1,#REF!,0)))</f>
        <v/>
      </c>
      <c r="FD160" s="45" t="str">
        <f t="array" ref="FD160">IF($DQ160="","", INDEX(#REF!,MATCH(CONCATENATE('Respuestas de formulario 1.1'!$B160,$DQ160),#REF!,0),MATCH('Respuestas de formulario 1.1'!FD$1,#REF!,0)))</f>
        <v/>
      </c>
      <c r="FE160" s="45" t="str">
        <f t="array" ref="FE160">IF($DR160="","", INDEX(#REF!,MATCH(CONCATENATE(#REF!,$DR160),#REF!,0),MATCH(#REF!,#REF!,0)))</f>
        <v/>
      </c>
      <c r="FF160" s="56" t="str">
        <f t="array" ref="FF160">IF($DR160="","", INDEX(#REF!,MATCH(CONCATENATE(#REF!,$DR160),#REF!,0),MATCH(#REF!,#REF!,0)))</f>
        <v/>
      </c>
      <c r="FG160" s="56" t="str">
        <f t="array" ref="FG160">IF($DR160="","", INDEX(#REF!,MATCH(CONCATENATE(#REF!,$DR160),#REF!,0),MATCH(#REF!,#REF!,0)))</f>
        <v/>
      </c>
      <c r="FH160" s="56" t="str">
        <f t="array" ref="FH160">IF($DR160="","", INDEX(#REF!,MATCH(CONCATENATE(#REF!,$DR160),#REF!,0),MATCH(#REF!,#REF!,0)))</f>
        <v/>
      </c>
      <c r="FI160" s="56" t="str">
        <f t="array" ref="FI160">IF($DR160="","", INDEX(#REF!,MATCH(CONCATENATE(#REF!,$DR160),#REF!,0),MATCH(#REF!,#REF!,0)))</f>
        <v/>
      </c>
      <c r="FJ160" s="56" t="str">
        <f t="array" ref="FJ160">IF($DR160="","", INDEX(#REF!,MATCH(CONCATENATE(#REF!,$DR160),#REF!,0),MATCH(#REF!,#REF!,0)))</f>
        <v/>
      </c>
      <c r="FK160" s="45" t="str">
        <f t="array" ref="FK160">IF($DR160="","", INDEX(#REF!,MATCH(CONCATENATE(#REF!,$DR160),#REF!,0),MATCH(#REF!,#REF!,0)))</f>
        <v/>
      </c>
      <c r="FL160" s="45" t="str">
        <f t="array" ref="FL160">IF($DT160="","", INDEX(#REF!,MATCH(CONCATENATE('Respuestas de formulario 1.1'!$B160,$DS160),#REF!,0),MATCH('Respuestas de formulario 1.1'!FL$1,#REF!,0)))</f>
        <v/>
      </c>
      <c r="FM160" s="56" t="str">
        <f t="array" ref="FM160">IF($DT160="","", INDEX(#REF!,MATCH(CONCATENATE('Respuestas de formulario 1.1'!$B160,$DS160),#REF!,0),MATCH('Respuestas de formulario 1.1'!FM$1,#REF!,0)))</f>
        <v/>
      </c>
      <c r="FN160" s="56" t="str">
        <f t="array" ref="FN160">IF($DT160="","", INDEX(#REF!,MATCH(CONCATENATE('Respuestas de formulario 1.1'!$B160,$DS160),#REF!,0),MATCH('Respuestas de formulario 1.1'!FN$1,#REF!,0)))</f>
        <v/>
      </c>
      <c r="FO160" s="56" t="str">
        <f t="array" ref="FO160">IF($DT160="","", INDEX(#REF!,MATCH(CONCATENATE('Respuestas de formulario 1.1'!$B160,$DS160),#REF!,0),MATCH('Respuestas de formulario 1.1'!FO$1,#REF!,0)))</f>
        <v/>
      </c>
      <c r="FP160" s="56" t="str">
        <f t="array" ref="FP160">IF($DT160="","", INDEX(#REF!,MATCH(CONCATENATE('Respuestas de formulario 1.1'!$B160,$DS160),#REF!,0),MATCH('Respuestas de formulario 1.1'!FP$1,#REF!,0)))</f>
        <v/>
      </c>
      <c r="FQ160" s="56" t="str">
        <f t="array" ref="FQ160">IF($DT160="","", INDEX(#REF!,MATCH(CONCATENATE('Respuestas de formulario 1.1'!$B160,$DS160),#REF!,0),MATCH('Respuestas de formulario 1.1'!FQ$1,#REF!,0)))</f>
        <v/>
      </c>
      <c r="FR160" s="45" t="str">
        <f t="array" ref="FR160">IF($DT160="","", INDEX(#REF!,MATCH(CONCATENATE('Respuestas de formulario 1.1'!$B160,$DS160),#REF!,0),MATCH('Respuestas de formulario 1.1'!FR$1,#REF!,0)))</f>
        <v/>
      </c>
      <c r="FS160" s="45" t="str">
        <f t="array" ref="FS160">IF($DU160="","", INDEX(#REF!,MATCH(CONCATENATE('Respuestas de formulario 1.1'!$B160,$DT160),#REF!,0),MATCH('Respuestas de formulario 1.1'!FS$1,#REF!,0)))</f>
        <v/>
      </c>
      <c r="FT160" s="56" t="str">
        <f t="array" ref="FT160">IF($DU160="","", INDEX(#REF!,MATCH(CONCATENATE('Respuestas de formulario 1.1'!$B160,$DT160),#REF!,0),MATCH('Respuestas de formulario 1.1'!FT$1,#REF!,0)))</f>
        <v/>
      </c>
      <c r="FU160" s="56" t="str">
        <f t="array" ref="FU160">IF($DU160="","", INDEX(#REF!,MATCH(CONCATENATE('Respuestas de formulario 1.1'!$B160,$DT160),#REF!,0),MATCH('Respuestas de formulario 1.1'!FU$1,#REF!,0)))</f>
        <v/>
      </c>
      <c r="FV160" s="56" t="str">
        <f t="array" ref="FV160">IF($DU160="","", INDEX(#REF!,MATCH(CONCATENATE('Respuestas de formulario 1.1'!$B160,$DT160),#REF!,0),MATCH('Respuestas de formulario 1.1'!FV$1,#REF!,0)))</f>
        <v/>
      </c>
      <c r="FW160" s="56" t="str">
        <f t="array" ref="FW160">IF($DU160="","", INDEX(#REF!,MATCH(CONCATENATE('Respuestas de formulario 1.1'!$B160,$DT160),#REF!,0),MATCH('Respuestas de formulario 1.1'!FW$1,#REF!,0)))</f>
        <v/>
      </c>
      <c r="FX160" s="56" t="str">
        <f t="array" ref="FX160">IF($DU160="","", INDEX(#REF!,MATCH(CONCATENATE('Respuestas de formulario 1.1'!$B160,$DT160),#REF!,0),MATCH('Respuestas de formulario 1.1'!FX$1,#REF!,0)))</f>
        <v/>
      </c>
      <c r="FY160" s="45" t="str">
        <f t="array" ref="FY160">IF($DU160="","", INDEX(#REF!,MATCH(CONCATENATE('Respuestas de formulario 1.1'!$B160,$DT160),#REF!,0),MATCH('Respuestas de formulario 1.1'!FY$1,#REF!,0)))</f>
        <v/>
      </c>
      <c r="FZ160" s="3" t="s">
        <v>2860</v>
      </c>
      <c r="GA160" s="1" t="s">
        <v>5579</v>
      </c>
      <c r="GB160" s="5" t="s">
        <v>5580</v>
      </c>
      <c r="GC160" s="4" t="str">
        <f>HYPERLINK("https://drive.google.com/file/d/1utgXajJQ6vSd89aI1_7OejLA0xoKOE3S/view?usp=drivesdk","SANTANA  NIETO  SAASIL ASERETH  Formato de reinscripción y pago 2022-2")</f>
        <v>SANTANA  NIETO  SAASIL ASERETH  Formato de reinscripción y pago 2022-2</v>
      </c>
      <c r="GD160" s="1" t="s">
        <v>5581</v>
      </c>
      <c r="GE160" s="1"/>
      <c r="GF160" s="1"/>
      <c r="GG160" s="1"/>
      <c r="GH160" s="1"/>
      <c r="GI160" s="1" t="s">
        <v>5582</v>
      </c>
      <c r="GJ160" s="5" t="s">
        <v>5583</v>
      </c>
      <c r="GK160" s="5" t="str">
        <f>HYPERLINK("https://drive.google.com/file/d/1yVMAvqGc0iF5SvWFocci7ZMuu0dNptTy/view?usp=drivesdk","SANTANA  NIETO  SAASIL ASERETH  Formato de reinscripción y pago 2022-2")</f>
        <v>SANTANA  NIETO  SAASIL ASERETH  Formato de reinscripción y pago 2022-2</v>
      </c>
      <c r="GL160" s="1" t="s">
        <v>5584</v>
      </c>
    </row>
    <row r="161" spans="1:194" ht="38.25" x14ac:dyDescent="0.2">
      <c r="A161" s="2">
        <v>45139.470662106483</v>
      </c>
      <c r="B161" s="1" t="s">
        <v>1739</v>
      </c>
      <c r="C161" s="1" t="s">
        <v>1740</v>
      </c>
      <c r="D161" s="1" t="s">
        <v>222</v>
      </c>
      <c r="E161" s="1" t="s">
        <v>1741</v>
      </c>
      <c r="F161" s="1" t="s">
        <v>223</v>
      </c>
      <c r="G161" s="5" t="s">
        <v>5585</v>
      </c>
      <c r="H161" s="41">
        <v>39362</v>
      </c>
      <c r="I161" s="1">
        <v>15</v>
      </c>
      <c r="J161" s="1">
        <v>5581999163</v>
      </c>
      <c r="K161" s="1" t="s">
        <v>5586</v>
      </c>
      <c r="L161" s="1" t="s">
        <v>5587</v>
      </c>
      <c r="M161" s="1">
        <v>22309060570741</v>
      </c>
      <c r="N161" s="1" t="s">
        <v>562</v>
      </c>
      <c r="O161" s="1" t="s">
        <v>247</v>
      </c>
      <c r="P161" s="1" t="s">
        <v>278</v>
      </c>
      <c r="Q161" s="1" t="s">
        <v>248</v>
      </c>
      <c r="R161" s="1" t="s">
        <v>236</v>
      </c>
      <c r="S161" s="1" t="s">
        <v>236</v>
      </c>
      <c r="T161" s="1" t="s">
        <v>411</v>
      </c>
      <c r="U161" s="1" t="s">
        <v>249</v>
      </c>
      <c r="V161" s="1" t="s">
        <v>228</v>
      </c>
      <c r="W161" s="1" t="s">
        <v>5588</v>
      </c>
      <c r="X161" s="1" t="s">
        <v>249</v>
      </c>
      <c r="Y161" s="1" t="s">
        <v>5589</v>
      </c>
      <c r="Z161" s="1" t="s">
        <v>240</v>
      </c>
      <c r="AA161" s="44" t="s">
        <v>967</v>
      </c>
      <c r="AB161" s="1">
        <v>24</v>
      </c>
      <c r="AC161" s="1" t="s">
        <v>566</v>
      </c>
      <c r="AD161" s="1" t="s">
        <v>5590</v>
      </c>
      <c r="AE161" s="1" t="s">
        <v>1742</v>
      </c>
      <c r="AF161" s="1" t="s">
        <v>359</v>
      </c>
      <c r="AG161" s="1">
        <v>57</v>
      </c>
      <c r="AH161" s="5" t="s">
        <v>5591</v>
      </c>
      <c r="AI161" s="1">
        <v>5563999891</v>
      </c>
      <c r="AJ161" s="1">
        <v>5527914502</v>
      </c>
      <c r="AK161" s="1" t="s">
        <v>1743</v>
      </c>
      <c r="AL161" s="1" t="s">
        <v>5592</v>
      </c>
      <c r="AM161" s="1" t="s">
        <v>390</v>
      </c>
      <c r="AN161" s="1" t="s">
        <v>5593</v>
      </c>
      <c r="AO161" s="1" t="s">
        <v>336</v>
      </c>
      <c r="AP161" s="1">
        <v>27</v>
      </c>
      <c r="AQ161" s="1" t="s">
        <v>663</v>
      </c>
      <c r="AR161" s="42">
        <v>0.33333333333575865</v>
      </c>
      <c r="AS161" s="42">
        <v>0.875</v>
      </c>
      <c r="AT161" s="1">
        <v>5636355594</v>
      </c>
      <c r="AU161" s="1">
        <v>5527914502</v>
      </c>
      <c r="AV161" s="1" t="s">
        <v>5594</v>
      </c>
      <c r="AW161" s="5" t="s">
        <v>5595</v>
      </c>
      <c r="AX161" s="1" t="s">
        <v>222</v>
      </c>
      <c r="AY161" s="1" t="s">
        <v>1744</v>
      </c>
      <c r="AZ161" s="1" t="s">
        <v>2741</v>
      </c>
      <c r="BA161" s="1" t="s">
        <v>453</v>
      </c>
      <c r="BB161" s="1">
        <v>28</v>
      </c>
      <c r="BC161" s="1" t="s">
        <v>5596</v>
      </c>
      <c r="BD161" s="43">
        <v>0.33333333333575865</v>
      </c>
      <c r="BE161" s="43">
        <v>0.875</v>
      </c>
      <c r="BF161" s="1">
        <v>5625824479</v>
      </c>
      <c r="BG161" s="1">
        <v>5527914502</v>
      </c>
      <c r="BH161" s="1" t="s">
        <v>5597</v>
      </c>
      <c r="BI161" s="5" t="s">
        <v>5598</v>
      </c>
      <c r="BJ161" s="1" t="s">
        <v>228</v>
      </c>
      <c r="BK161" s="1" t="s">
        <v>5599</v>
      </c>
      <c r="BL161" s="1">
        <v>1.56</v>
      </c>
      <c r="BM161" s="1">
        <v>58</v>
      </c>
      <c r="BN161" s="1" t="s">
        <v>236</v>
      </c>
      <c r="BO161" s="1" t="s">
        <v>228</v>
      </c>
      <c r="BP161" s="1" t="s">
        <v>566</v>
      </c>
      <c r="BQ161" s="1" t="s">
        <v>228</v>
      </c>
      <c r="BR161" s="1" t="s">
        <v>237</v>
      </c>
      <c r="BS161" s="1" t="s">
        <v>236</v>
      </c>
      <c r="BT161" s="1" t="s">
        <v>331</v>
      </c>
      <c r="BU161" s="1" t="s">
        <v>228</v>
      </c>
      <c r="BW161" s="1" t="s">
        <v>238</v>
      </c>
      <c r="BX161" s="1">
        <v>40</v>
      </c>
      <c r="BY161" s="1">
        <v>80</v>
      </c>
      <c r="BZ161" s="1" t="s">
        <v>5600</v>
      </c>
      <c r="CA161" s="1" t="s">
        <v>5601</v>
      </c>
      <c r="CB161" s="1" t="s">
        <v>240</v>
      </c>
      <c r="CC161" s="1" t="s">
        <v>274</v>
      </c>
      <c r="CD161" s="1">
        <v>1000</v>
      </c>
      <c r="CE161" s="1">
        <v>800</v>
      </c>
      <c r="CF161" s="1" t="s">
        <v>236</v>
      </c>
      <c r="CG161" s="1" t="s">
        <v>242</v>
      </c>
      <c r="CH161" s="1" t="s">
        <v>243</v>
      </c>
      <c r="CI161" s="1" t="s">
        <v>243</v>
      </c>
      <c r="CJ161" s="1" t="s">
        <v>2848</v>
      </c>
      <c r="CL161" s="5" t="s">
        <v>5602</v>
      </c>
      <c r="CM161" s="1">
        <v>25210735756</v>
      </c>
      <c r="CN161" s="1" t="s">
        <v>228</v>
      </c>
      <c r="CQ161" s="42">
        <v>0.29166666666424135</v>
      </c>
      <c r="CR161" s="42">
        <v>0.875</v>
      </c>
      <c r="CT161" s="45" t="str">
        <f t="array" ref="CT161">IFERROR(INDEX(#REF!,MATCH('Respuestas de formulario 1.1'!$B161,#REF!,0),MATCH('Respuestas de formulario 1.1'!CT$1,#REF!,0)),"")</f>
        <v/>
      </c>
      <c r="CU161" s="56" t="str">
        <f t="array" ref="CU161">IFERROR(INDEX(#REF!,MATCH('Respuestas de formulario 1.1'!$B161,#REF!,0),MATCH('Respuestas de formulario 1.1'!CU$1,#REF!,0)),"")</f>
        <v/>
      </c>
      <c r="CV161" s="56" t="str">
        <f t="array" ref="CV161">IFERROR(INDEX(#REF!,MATCH('Respuestas de formulario 1.1'!$B161,#REF!,0),MATCH('Respuestas de formulario 1.1'!CV$1,#REF!,0)),"")</f>
        <v/>
      </c>
      <c r="CW161" s="56" t="str">
        <f t="array" ref="CW161">IFERROR(INDEX(#REF!,MATCH('Respuestas de formulario 1.1'!$B161,#REF!,0),MATCH('Respuestas de formulario 1.1'!CW$1,#REF!,0)),"")</f>
        <v/>
      </c>
      <c r="CX161" s="56" t="str">
        <f t="array" ref="CX161">IFERROR(INDEX(#REF!,MATCH('Respuestas de formulario 1.1'!$B161,#REF!,0),MATCH('Respuestas de formulario 1.1'!CX$1,#REF!,0)),"")</f>
        <v/>
      </c>
      <c r="CY161" s="56" t="str">
        <f t="array" ref="CY161">IFERROR(INDEX(#REF!,MATCH('Respuestas de formulario 1.1'!$B161,#REF!,0),MATCH('Respuestas de formulario 1.1'!CY$1,#REF!,0)),"")</f>
        <v/>
      </c>
      <c r="CZ161" s="57" t="str">
        <f t="array" ref="CZ161">IFERROR(INDEX(#REF!,MATCH('Respuestas de formulario 1.1'!$B161,#REF!,0),MATCH('Respuestas de formulario 1.1'!CZ$1,#REF!,0)),"")</f>
        <v/>
      </c>
      <c r="DA161" s="45" t="e">
        <f t="array" ref="DA161">INDEX(#REF!,MATCH('Respuestas de formulario 1.1'!$B161,#REF!,0),MATCH('Respuestas de formulario 1.1'!DA$1,#REF!,0))</f>
        <v>#REF!</v>
      </c>
      <c r="DB161" s="45" t="e">
        <f t="array" ref="DB161">INDEX(#REF!,MATCH('Respuestas de formulario 1.1'!$B161,#REF!,0),MATCH('Respuestas de formulario 1.1'!DB$1,#REF!,0))</f>
        <v>#REF!</v>
      </c>
      <c r="DC161" s="45" t="e">
        <f t="array" ref="DC161">INDEX(#REF!,MATCH('Respuestas de formulario 1.1'!$B161,#REF!,0),MATCH('Respuestas de formulario 1.1'!DC$1,#REF!,0))</f>
        <v>#REF!</v>
      </c>
      <c r="DD161" s="45" t="e">
        <f t="array" ref="DD161">INDEX(#REF!,MATCH('Respuestas de formulario 1.1'!$B161,#REF!,0),MATCH('Respuestas de formulario 1.1'!DD$1,#REF!,0))</f>
        <v>#REF!</v>
      </c>
      <c r="DE161" s="45" t="e">
        <f t="array" ref="DE161">INDEX(#REF!,MATCH('Respuestas de formulario 1.1'!$B161,#REF!,0),MATCH('Respuestas de formulario 1.1'!DE$1,#REF!,0))</f>
        <v>#REF!</v>
      </c>
      <c r="DF161" s="45" t="e">
        <f t="array" ref="DF161">INDEX(#REF!,MATCH('Respuestas de formulario 1.1'!$B161,#REF!,0),MATCH('Respuestas de formulario 1.1'!DF$1,#REF!,0))</f>
        <v>#REF!</v>
      </c>
      <c r="DG161" s="45" t="e">
        <f t="array" ref="DG161">INDEX(#REF!,MATCH('Respuestas de formulario 1.1'!$B161,#REF!,0),MATCH('Respuestas de formulario 1.1'!DG$1,#REF!,0))</f>
        <v>#REF!</v>
      </c>
      <c r="DH161" s="45" t="e">
        <f t="array" ref="DH161">INDEX(#REF!,MATCH('Respuestas de formulario 1.1'!$B161,#REF!,0),MATCH('Respuestas de formulario 1.1'!DH$1,#REF!,0))</f>
        <v>#REF!</v>
      </c>
      <c r="DI161" s="48" t="e">
        <f>VLOOKUP(CONCATENATE($DF161," TUTO ",$DC161),#REF!,3,0)</f>
        <v>#REF!</v>
      </c>
      <c r="DJ161" s="48" t="e">
        <f t="array" ref="DJ161">IF('Respuestas de formulario 1.1'!A161="","",INDEX(#REF!,MATCH('Respuestas de formulario 1.1'!B161,#REF!,0),MATCH('Respuestas de formulario 1.1'!$DH$1,#REF!,0)))</f>
        <v>#REF!</v>
      </c>
      <c r="DK161" s="52" t="str">
        <f>CONCATENATE("http://doc.google.com/uc?id=",MID('Respuestas de formulario 1.1'!G161,34,33))</f>
        <v>http://doc.google.com/uc?id=10wxMyl9rnfmI6Ea4JRZ3A_xLkMgg6SN6</v>
      </c>
      <c r="DL161" s="49" t="str">
        <f>CONCATENATE("http://doc.google.com/uc?id=",MID('Respuestas de formulario 1.1'!AH161,34,33))</f>
        <v>http://doc.google.com/uc?id=1HncZGsr-0OhARAV-1MNNydaMHcGbz_6U</v>
      </c>
      <c r="DM161" s="50" t="str">
        <f>CONCATENATE("http://doc.google.com/uc?id=",MID('Respuestas de formulario 1.1'!AW161,34,33))</f>
        <v>http://doc.google.com/uc?id=1jBBj1GLn0q8V9gwetK83hk-gJ2fLBiqB</v>
      </c>
      <c r="DN161" s="53" t="str">
        <f>CONCATENATE("http://doc.google.com/uc?id=",MID('Respuestas de formulario 1.1'!$BI161,34,33))</f>
        <v>http://doc.google.com/uc?id=1a3p0PfUdD1fSt5GtcnBP8-djnVC_pMSp</v>
      </c>
      <c r="DO161" s="45" t="str">
        <f>IFERROR(VLOOKUP(CONCATENATE('Respuestas de formulario 1.1'!$B161,MID('Respuestas de formulario 1.1'!DO$1,2,1)),#REF!,12,0),"")</f>
        <v/>
      </c>
      <c r="DP161" s="45" t="str">
        <f>IFERROR(VLOOKUP(CONCATENATE('Respuestas de formulario 1.1'!$B161,MID('Respuestas de formulario 1.1'!DP$1,2,1)),#REF!,12,0),"")</f>
        <v/>
      </c>
      <c r="DQ161" s="45" t="str">
        <f>IFERROR(VLOOKUP(CONCATENATE('Respuestas de formulario 1.1'!$B161,MID('Respuestas de formulario 1.1'!DQ$1,2,1)),#REF!,12,0),"")</f>
        <v/>
      </c>
      <c r="DR161" s="45" t="str">
        <f>IFERROR(VLOOKUP(CONCATENATE('Respuestas de formulario 1.1'!$B161,MID('Respuestas de formulario 1.1'!DR$1,2,1)),#REF!,12,0),"")</f>
        <v/>
      </c>
      <c r="DS161" s="45" t="str">
        <f>IFERROR(VLOOKUP(CONCATENATE('Respuestas de formulario 1.1'!$B161,MID('Respuestas de formulario 1.1'!DS$1,2,1)),#REF!,12,0),"")</f>
        <v/>
      </c>
      <c r="DT161" s="45" t="str">
        <f>IFERROR(VLOOKUP(CONCATENATE('Respuestas de formulario 1.1'!$B161,MID('Respuestas de formulario 1.1'!DT$1,2,1)),#REF!,12,0),"")</f>
        <v/>
      </c>
      <c r="DU161" s="45" t="str">
        <f>IFERROR(VLOOKUP(CONCATENATE('Respuestas de formulario 1.1'!$B161,MID('Respuestas de formulario 1.1'!DU$1,2,1)),#REF!,12,0),"")</f>
        <v/>
      </c>
      <c r="DV161" s="45" t="str">
        <f>IFERROR(VLOOKUP(CONCATENATE('Respuestas de formulario 1.1'!$B161,MID('Respuestas de formulario 1.1'!DV$1,2,1)),#REF!,12,0),"")</f>
        <v/>
      </c>
      <c r="DW161" s="45" t="str">
        <f>IFERROR(VLOOKUP(CONCATENATE('Respuestas de formulario 1.1'!$B161,MID('Respuestas de formulario 1.1'!DW$1,2,1)),#REF!,12,0),"")</f>
        <v/>
      </c>
      <c r="DX161" s="45" t="str">
        <f>IFERROR(VLOOKUP(CONCATENATE('Respuestas de formulario 1.1'!$B161,MID('Respuestas de formulario 1.1'!DX$1,2,1)),#REF!,12,0),"")</f>
        <v/>
      </c>
      <c r="DY161" s="45" t="str">
        <f>IFERROR(VLOOKUP(CONCATENATE('Respuestas de formulario 1.1'!$B161,MID('Respuestas de formulario 1.1'!DY$1,2,1)),#REF!,12,0),"")</f>
        <v/>
      </c>
      <c r="DZ161" s="45" t="str">
        <f>IFERROR(VLOOKUP(CONCATENATE('Respuestas de formulario 1.1'!$B161,MID('Respuestas de formulario 1.1'!DZ$1,2,1)),#REF!,12,0),"")</f>
        <v/>
      </c>
      <c r="EA161" s="45" t="str">
        <f>IFERROR(VLOOKUP(CONCATENATE('Respuestas de formulario 1.1'!$B161,MID('Respuestas de formulario 1.1'!EA$1,2,1)),#REF!,12,0),"")</f>
        <v/>
      </c>
      <c r="EB161" s="45" t="str">
        <f>IFERROR(VLOOKUP(CONCATENATE('Respuestas de formulario 1.1'!$B161,MID('Respuestas de formulario 1.1'!EB$1,2,1)),#REF!,12,0),"")</f>
        <v/>
      </c>
      <c r="EC161" s="45" t="str">
        <f>IFERROR(VLOOKUP(CONCATENATE('Respuestas de formulario 1.1'!$B161,MID('Respuestas de formulario 1.1'!EC$1,2,1)),#REF!,12,0),"")</f>
        <v/>
      </c>
      <c r="ED161" s="45" t="str">
        <f>IFERROR(VLOOKUP(CONCATENATE('Respuestas de formulario 1.1'!$B161,MID('Respuestas de formulario 1.1'!ED$1,2,1)),#REF!,12,0),"")</f>
        <v/>
      </c>
      <c r="EE161" s="45" t="str">
        <f>IFERROR(VLOOKUP(CONCATENATE('Respuestas de formulario 1.1'!$B161,MID('Respuestas de formulario 1.1'!EE$1,2,1)),#REF!,12,0),"")</f>
        <v/>
      </c>
      <c r="EF161" s="45" t="str">
        <f>IFERROR(VLOOKUP(CONCATENATE('Respuestas de formulario 1.1'!$B161,MID('Respuestas de formulario 1.1'!EF$1,2,1)),#REF!,12,0),"")</f>
        <v/>
      </c>
      <c r="EG161" s="45" t="str">
        <f>IFERROR(VLOOKUP(CONCATENATE('Respuestas de formulario 1.1'!$B161,MID('Respuestas de formulario 1.1'!EG$1,2,1)),#REF!,12,0),"")</f>
        <v/>
      </c>
      <c r="EH161" s="45" t="str">
        <f>IFERROR(VLOOKUP(CONCATENATE('Respuestas de formulario 1.1'!$B161,MID('Respuestas de formulario 1.1'!EH$1,2,1)),#REF!,12,0),"")</f>
        <v/>
      </c>
      <c r="EI161" s="45" t="str">
        <f>IFERROR(VLOOKUP(CONCATENATE('Respuestas de formulario 1.1'!$B161,MID('Respuestas de formulario 1.1'!EI$1,2,1)),#REF!,12,0),"")</f>
        <v/>
      </c>
      <c r="EJ161" s="45" t="str">
        <f t="array" ref="EJ161">IF(DO161="","", INDEX(#REF!,MATCH(CONCATENATE('Respuestas de formulario 1.1'!$B161,DO161),#REF!,0),MATCH('Respuestas de formulario 1.1'!EJ$1,#REF!,0)))</f>
        <v/>
      </c>
      <c r="EK161" s="56" t="str">
        <f t="array" ref="EK161">IF(DP161="","", INDEX(#REF!,MATCH(CONCATENATE('Respuestas de formulario 1.1'!$B161,DP161),#REF!,0),MATCH('Respuestas de formulario 1.1'!EK$1,#REF!,0)))</f>
        <v/>
      </c>
      <c r="EL161" s="56" t="str">
        <f t="array" ref="EL161">IF(DQ161="","", INDEX(#REF!,MATCH(CONCATENATE('Respuestas de formulario 1.1'!$B161,DQ161),#REF!,0),MATCH('Respuestas de formulario 1.1'!EL$1,#REF!,0)))</f>
        <v/>
      </c>
      <c r="EM161" s="56" t="str">
        <f t="array" ref="EM161">IF(DR161="","", INDEX(#REF!,MATCH(CONCATENATE('Respuestas de formulario 1.1'!$B161,DR161),#REF!,0),MATCH('Respuestas de formulario 1.1'!EM$1,#REF!,0)))</f>
        <v/>
      </c>
      <c r="EN161" s="56" t="str">
        <f t="array" ref="EN161">IF(DS161="","", INDEX(#REF!,MATCH(CONCATENATE('Respuestas de formulario 1.1'!$B161,DS161),#REF!,0),MATCH('Respuestas de formulario 1.1'!EN$1,#REF!,0)))</f>
        <v/>
      </c>
      <c r="EO161" s="56" t="str">
        <f t="array" ref="EO161">IF(DT161="","", INDEX(#REF!,MATCH(CONCATENATE('Respuestas de formulario 1.1'!$B161,DT161),#REF!,0),MATCH('Respuestas de formulario 1.1'!EO$1,#REF!,0)))</f>
        <v/>
      </c>
      <c r="EP161" s="45" t="str">
        <f t="array" ref="EP161">IF(DU161="","", INDEX(#REF!,MATCH(CONCATENATE('Respuestas de formulario 1.1'!$B161,DU161),#REF!,0),MATCH('Respuestas de formulario 1.1'!EP$1,#REF!,0)))</f>
        <v/>
      </c>
      <c r="EQ161" s="45" t="str">
        <f t="array" ref="EQ161">IF(DP161="","", INDEX(#REF!,MATCH(CONCATENATE('Respuestas de formulario 1.1'!$B161,DP161),#REF!,0),MATCH('Respuestas de formulario 1.1'!EQ$1,#REF!,0)))</f>
        <v/>
      </c>
      <c r="ER161" s="56" t="str">
        <f t="array" ref="ER161">IF(DQ161="","", INDEX(#REF!,MATCH(CONCATENATE('Respuestas de formulario 1.1'!$B161,DQ161),#REF!,0),MATCH('Respuestas de formulario 1.1'!ER$1,#REF!,0)))</f>
        <v/>
      </c>
      <c r="ES161" s="56" t="str">
        <f t="array" ref="ES161">IF(DR161="","", INDEX(#REF!,MATCH(CONCATENATE('Respuestas de formulario 1.1'!$B161,DR161),#REF!,0),MATCH('Respuestas de formulario 1.1'!ES$1,#REF!,0)))</f>
        <v/>
      </c>
      <c r="ET161" s="56" t="str">
        <f t="array" ref="ET161">IF(DS161="","", INDEX(#REF!,MATCH(CONCATENATE('Respuestas de formulario 1.1'!$B161,DS161),#REF!,0),MATCH('Respuestas de formulario 1.1'!ET$1,#REF!,0)))</f>
        <v/>
      </c>
      <c r="EU161" s="56" t="str">
        <f t="array" ref="EU161">IF(DT161="","", INDEX(#REF!,MATCH(CONCATENATE('Respuestas de formulario 1.1'!$B161,DT161),#REF!,0),MATCH('Respuestas de formulario 1.1'!EU$1,#REF!,0)))</f>
        <v/>
      </c>
      <c r="EV161" s="56" t="str">
        <f t="array" ref="EV161">IF(DU161="","", INDEX(#REF!,MATCH(CONCATENATE('Respuestas de formulario 1.1'!$B161,DU161),#REF!,0),MATCH('Respuestas de formulario 1.1'!EV$1,#REF!,0)))</f>
        <v/>
      </c>
      <c r="EW161" s="45" t="str">
        <f t="array" ref="EW161">IF(DV161="","", INDEX(#REF!,MATCH(CONCATENATE('Respuestas de formulario 1.1'!$B161,DV161),#REF!,0),MATCH('Respuestas de formulario 1.1'!EW$1,#REF!,0)))</f>
        <v/>
      </c>
      <c r="EX161" s="45" t="str">
        <f t="array" ref="EX161">IF($DQ161="","", INDEX(#REF!,MATCH(CONCATENATE('Respuestas de formulario 1.1'!$B161,$DQ161),#REF!,0),MATCH('Respuestas de formulario 1.1'!EX$1,#REF!,0)))</f>
        <v/>
      </c>
      <c r="EY161" s="56" t="str">
        <f t="array" ref="EY161">IF($DQ161="","", INDEX(#REF!,MATCH(CONCATENATE('Respuestas de formulario 1.1'!$B161,$DQ161),#REF!,0),MATCH('Respuestas de formulario 1.1'!EY$1,#REF!,0)))</f>
        <v/>
      </c>
      <c r="EZ161" s="56" t="str">
        <f t="array" ref="EZ161">IF($DQ161="","", INDEX(#REF!,MATCH(CONCATENATE('Respuestas de formulario 1.1'!$B161,$DQ161),#REF!,0),MATCH('Respuestas de formulario 1.1'!EZ$1,#REF!,0)))</f>
        <v/>
      </c>
      <c r="FA161" s="56" t="str">
        <f t="array" ref="FA161">IF($DQ161="","", INDEX(#REF!,MATCH(CONCATENATE('Respuestas de formulario 1.1'!$B161,$DQ161),#REF!,0),MATCH('Respuestas de formulario 1.1'!FA$1,#REF!,0)))</f>
        <v/>
      </c>
      <c r="FB161" s="56" t="str">
        <f t="array" ref="FB161">IF($DQ161="","", INDEX(#REF!,MATCH(CONCATENATE('Respuestas de formulario 1.1'!$B161,$DQ161),#REF!,0),MATCH('Respuestas de formulario 1.1'!FB$1,#REF!,0)))</f>
        <v/>
      </c>
      <c r="FC161" s="56" t="str">
        <f t="array" ref="FC161">IF($DQ161="","", INDEX(#REF!,MATCH(CONCATENATE('Respuestas de formulario 1.1'!$B161,$DQ161),#REF!,0),MATCH('Respuestas de formulario 1.1'!FC$1,#REF!,0)))</f>
        <v/>
      </c>
      <c r="FD161" s="45" t="str">
        <f t="array" ref="FD161">IF($DQ161="","", INDEX(#REF!,MATCH(CONCATENATE('Respuestas de formulario 1.1'!$B161,$DQ161),#REF!,0),MATCH('Respuestas de formulario 1.1'!FD$1,#REF!,0)))</f>
        <v/>
      </c>
      <c r="FE161" s="45" t="str">
        <f t="array" ref="FE161">IF($DR161="","", INDEX(#REF!,MATCH(CONCATENATE(#REF!,$DR161),#REF!,0),MATCH(#REF!,#REF!,0)))</f>
        <v/>
      </c>
      <c r="FF161" s="56" t="str">
        <f t="array" ref="FF161">IF($DR161="","", INDEX(#REF!,MATCH(CONCATENATE(#REF!,$DR161),#REF!,0),MATCH(#REF!,#REF!,0)))</f>
        <v/>
      </c>
      <c r="FG161" s="56" t="str">
        <f t="array" ref="FG161">IF($DR161="","", INDEX(#REF!,MATCH(CONCATENATE(#REF!,$DR161),#REF!,0),MATCH(#REF!,#REF!,0)))</f>
        <v/>
      </c>
      <c r="FH161" s="56" t="str">
        <f t="array" ref="FH161">IF($DR161="","", INDEX(#REF!,MATCH(CONCATENATE(#REF!,$DR161),#REF!,0),MATCH(#REF!,#REF!,0)))</f>
        <v/>
      </c>
      <c r="FI161" s="56" t="str">
        <f t="array" ref="FI161">IF($DR161="","", INDEX(#REF!,MATCH(CONCATENATE(#REF!,$DR161),#REF!,0),MATCH(#REF!,#REF!,0)))</f>
        <v/>
      </c>
      <c r="FJ161" s="56" t="str">
        <f t="array" ref="FJ161">IF($DR161="","", INDEX(#REF!,MATCH(CONCATENATE(#REF!,$DR161),#REF!,0),MATCH(#REF!,#REF!,0)))</f>
        <v/>
      </c>
      <c r="FK161" s="45" t="str">
        <f t="array" ref="FK161">IF($DR161="","", INDEX(#REF!,MATCH(CONCATENATE(#REF!,$DR161),#REF!,0),MATCH(#REF!,#REF!,0)))</f>
        <v/>
      </c>
      <c r="FL161" s="45" t="str">
        <f t="array" ref="FL161">IF($DT161="","", INDEX(#REF!,MATCH(CONCATENATE('Respuestas de formulario 1.1'!$B161,$DS161),#REF!,0),MATCH('Respuestas de formulario 1.1'!FL$1,#REF!,0)))</f>
        <v/>
      </c>
      <c r="FM161" s="56" t="str">
        <f t="array" ref="FM161">IF($DT161="","", INDEX(#REF!,MATCH(CONCATENATE('Respuestas de formulario 1.1'!$B161,$DS161),#REF!,0),MATCH('Respuestas de formulario 1.1'!FM$1,#REF!,0)))</f>
        <v/>
      </c>
      <c r="FN161" s="56" t="str">
        <f t="array" ref="FN161">IF($DT161="","", INDEX(#REF!,MATCH(CONCATENATE('Respuestas de formulario 1.1'!$B161,$DS161),#REF!,0),MATCH('Respuestas de formulario 1.1'!FN$1,#REF!,0)))</f>
        <v/>
      </c>
      <c r="FO161" s="56" t="str">
        <f t="array" ref="FO161">IF($DT161="","", INDEX(#REF!,MATCH(CONCATENATE('Respuestas de formulario 1.1'!$B161,$DS161),#REF!,0),MATCH('Respuestas de formulario 1.1'!FO$1,#REF!,0)))</f>
        <v/>
      </c>
      <c r="FP161" s="56" t="str">
        <f t="array" ref="FP161">IF($DT161="","", INDEX(#REF!,MATCH(CONCATENATE('Respuestas de formulario 1.1'!$B161,$DS161),#REF!,0),MATCH('Respuestas de formulario 1.1'!FP$1,#REF!,0)))</f>
        <v/>
      </c>
      <c r="FQ161" s="56" t="str">
        <f t="array" ref="FQ161">IF($DT161="","", INDEX(#REF!,MATCH(CONCATENATE('Respuestas de formulario 1.1'!$B161,$DS161),#REF!,0),MATCH('Respuestas de formulario 1.1'!FQ$1,#REF!,0)))</f>
        <v/>
      </c>
      <c r="FR161" s="45" t="str">
        <f t="array" ref="FR161">IF($DT161="","", INDEX(#REF!,MATCH(CONCATENATE('Respuestas de formulario 1.1'!$B161,$DS161),#REF!,0),MATCH('Respuestas de formulario 1.1'!FR$1,#REF!,0)))</f>
        <v/>
      </c>
      <c r="FS161" s="45" t="str">
        <f t="array" ref="FS161">IF($DU161="","", INDEX(#REF!,MATCH(CONCATENATE('Respuestas de formulario 1.1'!$B161,$DT161),#REF!,0),MATCH('Respuestas de formulario 1.1'!FS$1,#REF!,0)))</f>
        <v/>
      </c>
      <c r="FT161" s="56" t="str">
        <f t="array" ref="FT161">IF($DU161="","", INDEX(#REF!,MATCH(CONCATENATE('Respuestas de formulario 1.1'!$B161,$DT161),#REF!,0),MATCH('Respuestas de formulario 1.1'!FT$1,#REF!,0)))</f>
        <v/>
      </c>
      <c r="FU161" s="56" t="str">
        <f t="array" ref="FU161">IF($DU161="","", INDEX(#REF!,MATCH(CONCATENATE('Respuestas de formulario 1.1'!$B161,$DT161),#REF!,0),MATCH('Respuestas de formulario 1.1'!FU$1,#REF!,0)))</f>
        <v/>
      </c>
      <c r="FV161" s="56" t="str">
        <f t="array" ref="FV161">IF($DU161="","", INDEX(#REF!,MATCH(CONCATENATE('Respuestas de formulario 1.1'!$B161,$DT161),#REF!,0),MATCH('Respuestas de formulario 1.1'!FV$1,#REF!,0)))</f>
        <v/>
      </c>
      <c r="FW161" s="56" t="str">
        <f t="array" ref="FW161">IF($DU161="","", INDEX(#REF!,MATCH(CONCATENATE('Respuestas de formulario 1.1'!$B161,$DT161),#REF!,0),MATCH('Respuestas de formulario 1.1'!FW$1,#REF!,0)))</f>
        <v/>
      </c>
      <c r="FX161" s="56" t="str">
        <f t="array" ref="FX161">IF($DU161="","", INDEX(#REF!,MATCH(CONCATENATE('Respuestas de formulario 1.1'!$B161,$DT161),#REF!,0),MATCH('Respuestas de formulario 1.1'!FX$1,#REF!,0)))</f>
        <v/>
      </c>
      <c r="FY161" s="45" t="str">
        <f t="array" ref="FY161">IF($DU161="","", INDEX(#REF!,MATCH(CONCATENATE('Respuestas de formulario 1.1'!$B161,$DT161),#REF!,0),MATCH('Respuestas de formulario 1.1'!FY$1,#REF!,0)))</f>
        <v/>
      </c>
      <c r="FZ161" s="3" t="s">
        <v>2860</v>
      </c>
      <c r="GA161" s="1" t="s">
        <v>5603</v>
      </c>
      <c r="GB161" s="5" t="s">
        <v>5604</v>
      </c>
      <c r="GC161" s="4" t="str">
        <f>HYPERLINK("https://drive.google.com/file/d/11Iah4el8ia8eJ0Go2YediAgtHSvF-k7z/view?usp=drivesdk","TLAPA  MUÑOZ  BARBARA IVONNE  Formato de reinscripción y pago 2022-2")</f>
        <v>TLAPA  MUÑOZ  BARBARA IVONNE  Formato de reinscripción y pago 2022-2</v>
      </c>
      <c r="GD161" s="1" t="s">
        <v>5605</v>
      </c>
      <c r="GE161" s="1"/>
      <c r="GF161" s="1"/>
      <c r="GG161" s="1"/>
      <c r="GH161" s="1"/>
      <c r="GI161" s="1" t="s">
        <v>5606</v>
      </c>
      <c r="GJ161" s="5" t="s">
        <v>5607</v>
      </c>
      <c r="GK161" s="5" t="str">
        <f>HYPERLINK("https://drive.google.com/file/d/19Dj-EmUqtg3ulm2co4RkAyhiokEyE3qx/view?usp=drivesdk","TLAPA  MUÑOZ  BARBARA IVONNE  Formato de reinscripción y pago 2022-2")</f>
        <v>TLAPA  MUÑOZ  BARBARA IVONNE  Formato de reinscripción y pago 2022-2</v>
      </c>
      <c r="GL161" s="1" t="s">
        <v>5608</v>
      </c>
    </row>
    <row r="162" spans="1:194" ht="38.25" x14ac:dyDescent="0.2">
      <c r="A162" s="2">
        <v>45139.470990023146</v>
      </c>
      <c r="B162" s="1" t="s">
        <v>2628</v>
      </c>
      <c r="C162" s="1" t="s">
        <v>1723</v>
      </c>
      <c r="D162" s="1" t="s">
        <v>382</v>
      </c>
      <c r="E162" s="1" t="s">
        <v>675</v>
      </c>
      <c r="F162" s="1" t="s">
        <v>223</v>
      </c>
      <c r="G162" s="5" t="s">
        <v>5609</v>
      </c>
      <c r="H162" s="41">
        <v>38744</v>
      </c>
      <c r="I162" s="1">
        <v>17</v>
      </c>
      <c r="J162" s="1">
        <v>5512292047</v>
      </c>
      <c r="K162" s="1">
        <v>5522310213</v>
      </c>
      <c r="L162" s="1" t="s">
        <v>2630</v>
      </c>
      <c r="M162" s="1">
        <v>21309060570179</v>
      </c>
      <c r="N162" s="1" t="s">
        <v>1108</v>
      </c>
      <c r="O162" s="1" t="s">
        <v>247</v>
      </c>
      <c r="P162" s="1" t="s">
        <v>226</v>
      </c>
      <c r="Q162" s="1" t="s">
        <v>248</v>
      </c>
      <c r="R162" s="1" t="s">
        <v>236</v>
      </c>
      <c r="S162" s="1" t="s">
        <v>228</v>
      </c>
      <c r="T162" s="1" t="s">
        <v>411</v>
      </c>
      <c r="U162" s="1" t="s">
        <v>249</v>
      </c>
      <c r="V162" s="1" t="s">
        <v>228</v>
      </c>
      <c r="W162" s="1" t="s">
        <v>2631</v>
      </c>
      <c r="X162" s="1" t="s">
        <v>249</v>
      </c>
      <c r="Y162" s="1" t="s">
        <v>2486</v>
      </c>
      <c r="Z162" s="1" t="s">
        <v>240</v>
      </c>
      <c r="AA162" s="44" t="s">
        <v>711</v>
      </c>
      <c r="AB162" s="1">
        <v>351</v>
      </c>
      <c r="AC162" s="1">
        <v>49</v>
      </c>
      <c r="AD162" s="1" t="s">
        <v>2632</v>
      </c>
      <c r="AE162" s="1" t="s">
        <v>5610</v>
      </c>
      <c r="AF162" s="1" t="s">
        <v>445</v>
      </c>
      <c r="AG162" s="1">
        <v>39</v>
      </c>
      <c r="AH162" s="5" t="s">
        <v>5611</v>
      </c>
      <c r="AI162" s="1">
        <v>5559458973</v>
      </c>
      <c r="AJ162" s="1">
        <v>5512292047</v>
      </c>
      <c r="AK162" s="1" t="s">
        <v>5612</v>
      </c>
      <c r="AL162" s="1" t="s">
        <v>1723</v>
      </c>
      <c r="AM162" s="1" t="s">
        <v>281</v>
      </c>
      <c r="AN162" s="1" t="s">
        <v>1149</v>
      </c>
      <c r="AO162" s="1" t="s">
        <v>420</v>
      </c>
      <c r="AP162" s="1">
        <v>42</v>
      </c>
      <c r="AQ162" s="1" t="s">
        <v>1107</v>
      </c>
      <c r="AR162" s="42">
        <v>0.33333333333575865</v>
      </c>
      <c r="AS162" s="42">
        <v>0.33333333333575865</v>
      </c>
      <c r="AT162" s="1">
        <v>5512292047</v>
      </c>
      <c r="AU162" s="1">
        <v>5522310213</v>
      </c>
      <c r="AV162" s="1" t="s">
        <v>5613</v>
      </c>
      <c r="AW162" s="5" t="s">
        <v>5614</v>
      </c>
      <c r="AX162" s="1" t="s">
        <v>1723</v>
      </c>
      <c r="AY162" s="1" t="s">
        <v>281</v>
      </c>
      <c r="AZ162" s="1" t="s">
        <v>2629</v>
      </c>
      <c r="BA162" s="1" t="s">
        <v>336</v>
      </c>
      <c r="BB162" s="1">
        <v>44</v>
      </c>
      <c r="BC162" s="1" t="s">
        <v>5615</v>
      </c>
      <c r="BD162" s="43">
        <v>0.29166666666424135</v>
      </c>
      <c r="BE162" s="43">
        <v>0.29166666666424135</v>
      </c>
      <c r="BF162" s="1">
        <v>5541271903</v>
      </c>
      <c r="BG162" s="1">
        <v>5522310213</v>
      </c>
      <c r="BH162" s="1" t="s">
        <v>5616</v>
      </c>
      <c r="BI162" s="5" t="s">
        <v>5617</v>
      </c>
      <c r="BJ162" s="1" t="s">
        <v>236</v>
      </c>
      <c r="BL162" s="1">
        <v>160</v>
      </c>
      <c r="BM162" s="1">
        <v>58</v>
      </c>
      <c r="BN162" s="1" t="s">
        <v>228</v>
      </c>
      <c r="BO162" s="1" t="s">
        <v>228</v>
      </c>
      <c r="BQ162" s="1" t="s">
        <v>228</v>
      </c>
      <c r="BR162" s="1" t="s">
        <v>237</v>
      </c>
      <c r="BS162" s="1" t="s">
        <v>228</v>
      </c>
      <c r="BT162" s="1" t="s">
        <v>237</v>
      </c>
      <c r="BU162" s="1" t="s">
        <v>228</v>
      </c>
      <c r="BW162" s="1" t="s">
        <v>272</v>
      </c>
      <c r="BX162" s="1">
        <v>3</v>
      </c>
      <c r="BY162" s="1">
        <v>180</v>
      </c>
      <c r="BZ162" s="1" t="s">
        <v>253</v>
      </c>
      <c r="CA162" s="1" t="s">
        <v>1904</v>
      </c>
      <c r="CB162" s="1" t="s">
        <v>231</v>
      </c>
      <c r="CC162" s="1" t="s">
        <v>255</v>
      </c>
      <c r="CD162" s="1">
        <v>1800</v>
      </c>
      <c r="CE162" s="1">
        <v>2900</v>
      </c>
      <c r="CF162" s="1" t="s">
        <v>236</v>
      </c>
      <c r="CG162" s="1" t="s">
        <v>242</v>
      </c>
      <c r="CH162" s="1" t="s">
        <v>243</v>
      </c>
      <c r="CI162" s="1" t="s">
        <v>243</v>
      </c>
      <c r="CJ162" s="1" t="s">
        <v>2848</v>
      </c>
      <c r="CL162" s="5" t="s">
        <v>5618</v>
      </c>
      <c r="CM162" s="1">
        <v>12210632084</v>
      </c>
      <c r="CN162" s="1" t="s">
        <v>228</v>
      </c>
      <c r="CQ162" s="42">
        <v>0</v>
      </c>
      <c r="CR162" s="42">
        <v>0</v>
      </c>
      <c r="CT162" s="45" t="str">
        <f t="array" ref="CT162">IFERROR(INDEX(#REF!,MATCH('Respuestas de formulario 1.1'!$B162,#REF!,0),MATCH('Respuestas de formulario 1.1'!CT$1,#REF!,0)),"")</f>
        <v/>
      </c>
      <c r="CU162" s="56" t="str">
        <f t="array" ref="CU162">IFERROR(INDEX(#REF!,MATCH('Respuestas de formulario 1.1'!$B162,#REF!,0),MATCH('Respuestas de formulario 1.1'!CU$1,#REF!,0)),"")</f>
        <v/>
      </c>
      <c r="CV162" s="56" t="str">
        <f t="array" ref="CV162">IFERROR(INDEX(#REF!,MATCH('Respuestas de formulario 1.1'!$B162,#REF!,0),MATCH('Respuestas de formulario 1.1'!CV$1,#REF!,0)),"")</f>
        <v/>
      </c>
      <c r="CW162" s="56" t="str">
        <f t="array" ref="CW162">IFERROR(INDEX(#REF!,MATCH('Respuestas de formulario 1.1'!$B162,#REF!,0),MATCH('Respuestas de formulario 1.1'!CW$1,#REF!,0)),"")</f>
        <v/>
      </c>
      <c r="CX162" s="56" t="str">
        <f t="array" ref="CX162">IFERROR(INDEX(#REF!,MATCH('Respuestas de formulario 1.1'!$B162,#REF!,0),MATCH('Respuestas de formulario 1.1'!CX$1,#REF!,0)),"")</f>
        <v/>
      </c>
      <c r="CY162" s="56" t="str">
        <f t="array" ref="CY162">IFERROR(INDEX(#REF!,MATCH('Respuestas de formulario 1.1'!$B162,#REF!,0),MATCH('Respuestas de formulario 1.1'!CY$1,#REF!,0)),"")</f>
        <v/>
      </c>
      <c r="CZ162" s="57" t="str">
        <f t="array" ref="CZ162">IFERROR(INDEX(#REF!,MATCH('Respuestas de formulario 1.1'!$B162,#REF!,0),MATCH('Respuestas de formulario 1.1'!CZ$1,#REF!,0)),"")</f>
        <v/>
      </c>
      <c r="DA162" s="45" t="e">
        <f t="array" ref="DA162">INDEX(#REF!,MATCH('Respuestas de formulario 1.1'!$B162,#REF!,0),MATCH('Respuestas de formulario 1.1'!DA$1,#REF!,0))</f>
        <v>#REF!</v>
      </c>
      <c r="DB162" s="45" t="e">
        <f t="array" ref="DB162">INDEX(#REF!,MATCH('Respuestas de formulario 1.1'!$B162,#REF!,0),MATCH('Respuestas de formulario 1.1'!DB$1,#REF!,0))</f>
        <v>#REF!</v>
      </c>
      <c r="DC162" s="45" t="e">
        <f t="array" ref="DC162">INDEX(#REF!,MATCH('Respuestas de formulario 1.1'!$B162,#REF!,0),MATCH('Respuestas de formulario 1.1'!DC$1,#REF!,0))</f>
        <v>#REF!</v>
      </c>
      <c r="DD162" s="45" t="e">
        <f t="array" ref="DD162">INDEX(#REF!,MATCH('Respuestas de formulario 1.1'!$B162,#REF!,0),MATCH('Respuestas de formulario 1.1'!DD$1,#REF!,0))</f>
        <v>#REF!</v>
      </c>
      <c r="DE162" s="45" t="e">
        <f t="array" ref="DE162">INDEX(#REF!,MATCH('Respuestas de formulario 1.1'!$B162,#REF!,0),MATCH('Respuestas de formulario 1.1'!DE$1,#REF!,0))</f>
        <v>#REF!</v>
      </c>
      <c r="DF162" s="45" t="e">
        <f t="array" ref="DF162">INDEX(#REF!,MATCH('Respuestas de formulario 1.1'!$B162,#REF!,0),MATCH('Respuestas de formulario 1.1'!DF$1,#REF!,0))</f>
        <v>#REF!</v>
      </c>
      <c r="DG162" s="45" t="e">
        <f t="array" ref="DG162">INDEX(#REF!,MATCH('Respuestas de formulario 1.1'!$B162,#REF!,0),MATCH('Respuestas de formulario 1.1'!DG$1,#REF!,0))</f>
        <v>#REF!</v>
      </c>
      <c r="DH162" s="45" t="e">
        <f t="array" ref="DH162">INDEX(#REF!,MATCH('Respuestas de formulario 1.1'!$B162,#REF!,0),MATCH('Respuestas de formulario 1.1'!DH$1,#REF!,0))</f>
        <v>#REF!</v>
      </c>
      <c r="DI162" s="48" t="e">
        <f>VLOOKUP(CONCATENATE($DF162," TUTO ",$DC162),#REF!,3,0)</f>
        <v>#REF!</v>
      </c>
      <c r="DJ162" s="48" t="e">
        <f t="array" ref="DJ162">IF('Respuestas de formulario 1.1'!A162="","",INDEX(#REF!,MATCH('Respuestas de formulario 1.1'!B162,#REF!,0),MATCH('Respuestas de formulario 1.1'!$DH$1,#REF!,0)))</f>
        <v>#REF!</v>
      </c>
      <c r="DK162" s="52" t="str">
        <f>CONCATENATE("http://doc.google.com/uc?id=",MID('Respuestas de formulario 1.1'!G162,34,33))</f>
        <v>http://doc.google.com/uc?id=1RVOnpCf8UFdbb-im4AKR1eo2cbi_KBmU</v>
      </c>
      <c r="DL162" s="49" t="str">
        <f>CONCATENATE("http://doc.google.com/uc?id=",MID('Respuestas de formulario 1.1'!AH162,34,33))</f>
        <v>http://doc.google.com/uc?id=1nYs8sio6i8HWRRS3TXh-ZpLzIMCI2eFI</v>
      </c>
      <c r="DM162" s="50" t="str">
        <f>CONCATENATE("http://doc.google.com/uc?id=",MID('Respuestas de formulario 1.1'!AW162,34,33))</f>
        <v>http://doc.google.com/uc?id=1gPZVea1y6QyRAp2jr_LjlaCJ4Z_Ksahc</v>
      </c>
      <c r="DN162" s="53" t="str">
        <f>CONCATENATE("http://doc.google.com/uc?id=",MID('Respuestas de formulario 1.1'!$BI162,34,33))</f>
        <v>http://doc.google.com/uc?id=1-31Wj1G1sQPf-XvN2Umauv4O0jZ7tn5b</v>
      </c>
      <c r="DO162" s="45" t="str">
        <f>IFERROR(VLOOKUP(CONCATENATE('Respuestas de formulario 1.1'!$B162,MID('Respuestas de formulario 1.1'!DO$1,2,1)),#REF!,12,0),"")</f>
        <v/>
      </c>
      <c r="DP162" s="45" t="str">
        <f>IFERROR(VLOOKUP(CONCATENATE('Respuestas de formulario 1.1'!$B162,MID('Respuestas de formulario 1.1'!DP$1,2,1)),#REF!,12,0),"")</f>
        <v/>
      </c>
      <c r="DQ162" s="45" t="str">
        <f>IFERROR(VLOOKUP(CONCATENATE('Respuestas de formulario 1.1'!$B162,MID('Respuestas de formulario 1.1'!DQ$1,2,1)),#REF!,12,0),"")</f>
        <v/>
      </c>
      <c r="DR162" s="45" t="str">
        <f>IFERROR(VLOOKUP(CONCATENATE('Respuestas de formulario 1.1'!$B162,MID('Respuestas de formulario 1.1'!DR$1,2,1)),#REF!,12,0),"")</f>
        <v/>
      </c>
      <c r="DS162" s="45" t="str">
        <f>IFERROR(VLOOKUP(CONCATENATE('Respuestas de formulario 1.1'!$B162,MID('Respuestas de formulario 1.1'!DS$1,2,1)),#REF!,12,0),"")</f>
        <v/>
      </c>
      <c r="DT162" s="45" t="str">
        <f>IFERROR(VLOOKUP(CONCATENATE('Respuestas de formulario 1.1'!$B162,MID('Respuestas de formulario 1.1'!DT$1,2,1)),#REF!,12,0),"")</f>
        <v/>
      </c>
      <c r="DU162" s="45" t="str">
        <f>IFERROR(VLOOKUP(CONCATENATE('Respuestas de formulario 1.1'!$B162,MID('Respuestas de formulario 1.1'!DU$1,2,1)),#REF!,12,0),"")</f>
        <v/>
      </c>
      <c r="DV162" s="45" t="str">
        <f>IFERROR(VLOOKUP(CONCATENATE('Respuestas de formulario 1.1'!$B162,MID('Respuestas de formulario 1.1'!DV$1,2,1)),#REF!,12,0),"")</f>
        <v/>
      </c>
      <c r="DW162" s="45" t="str">
        <f>IFERROR(VLOOKUP(CONCATENATE('Respuestas de formulario 1.1'!$B162,MID('Respuestas de formulario 1.1'!DW$1,2,1)),#REF!,12,0),"")</f>
        <v/>
      </c>
      <c r="DX162" s="45" t="str">
        <f>IFERROR(VLOOKUP(CONCATENATE('Respuestas de formulario 1.1'!$B162,MID('Respuestas de formulario 1.1'!DX$1,2,1)),#REF!,12,0),"")</f>
        <v/>
      </c>
      <c r="DY162" s="45" t="str">
        <f>IFERROR(VLOOKUP(CONCATENATE('Respuestas de formulario 1.1'!$B162,MID('Respuestas de formulario 1.1'!DY$1,2,1)),#REF!,12,0),"")</f>
        <v/>
      </c>
      <c r="DZ162" s="45" t="str">
        <f>IFERROR(VLOOKUP(CONCATENATE('Respuestas de formulario 1.1'!$B162,MID('Respuestas de formulario 1.1'!DZ$1,2,1)),#REF!,12,0),"")</f>
        <v/>
      </c>
      <c r="EA162" s="45" t="str">
        <f>IFERROR(VLOOKUP(CONCATENATE('Respuestas de formulario 1.1'!$B162,MID('Respuestas de formulario 1.1'!EA$1,2,1)),#REF!,12,0),"")</f>
        <v/>
      </c>
      <c r="EB162" s="45" t="str">
        <f>IFERROR(VLOOKUP(CONCATENATE('Respuestas de formulario 1.1'!$B162,MID('Respuestas de formulario 1.1'!EB$1,2,1)),#REF!,12,0),"")</f>
        <v/>
      </c>
      <c r="EC162" s="45" t="str">
        <f>IFERROR(VLOOKUP(CONCATENATE('Respuestas de formulario 1.1'!$B162,MID('Respuestas de formulario 1.1'!EC$1,2,1)),#REF!,12,0),"")</f>
        <v/>
      </c>
      <c r="ED162" s="45" t="str">
        <f>IFERROR(VLOOKUP(CONCATENATE('Respuestas de formulario 1.1'!$B162,MID('Respuestas de formulario 1.1'!ED$1,2,1)),#REF!,12,0),"")</f>
        <v/>
      </c>
      <c r="EE162" s="45" t="str">
        <f>IFERROR(VLOOKUP(CONCATENATE('Respuestas de formulario 1.1'!$B162,MID('Respuestas de formulario 1.1'!EE$1,2,1)),#REF!,12,0),"")</f>
        <v/>
      </c>
      <c r="EF162" s="45" t="str">
        <f>IFERROR(VLOOKUP(CONCATENATE('Respuestas de formulario 1.1'!$B162,MID('Respuestas de formulario 1.1'!EF$1,2,1)),#REF!,12,0),"")</f>
        <v/>
      </c>
      <c r="EG162" s="45" t="str">
        <f>IFERROR(VLOOKUP(CONCATENATE('Respuestas de formulario 1.1'!$B162,MID('Respuestas de formulario 1.1'!EG$1,2,1)),#REF!,12,0),"")</f>
        <v/>
      </c>
      <c r="EH162" s="45" t="str">
        <f>IFERROR(VLOOKUP(CONCATENATE('Respuestas de formulario 1.1'!$B162,MID('Respuestas de formulario 1.1'!EH$1,2,1)),#REF!,12,0),"")</f>
        <v/>
      </c>
      <c r="EI162" s="45" t="str">
        <f>IFERROR(VLOOKUP(CONCATENATE('Respuestas de formulario 1.1'!$B162,MID('Respuestas de formulario 1.1'!EI$1,2,1)),#REF!,12,0),"")</f>
        <v/>
      </c>
      <c r="EJ162" s="45" t="str">
        <f t="array" ref="EJ162">IF(DO162="","", INDEX(#REF!,MATCH(CONCATENATE('Respuestas de formulario 1.1'!$B162,DO162),#REF!,0),MATCH('Respuestas de formulario 1.1'!EJ$1,#REF!,0)))</f>
        <v/>
      </c>
      <c r="EK162" s="56" t="str">
        <f t="array" ref="EK162">IF(DP162="","", INDEX(#REF!,MATCH(CONCATENATE('Respuestas de formulario 1.1'!$B162,DP162),#REF!,0),MATCH('Respuestas de formulario 1.1'!EK$1,#REF!,0)))</f>
        <v/>
      </c>
      <c r="EL162" s="56" t="str">
        <f t="array" ref="EL162">IF(DQ162="","", INDEX(#REF!,MATCH(CONCATENATE('Respuestas de formulario 1.1'!$B162,DQ162),#REF!,0),MATCH('Respuestas de formulario 1.1'!EL$1,#REF!,0)))</f>
        <v/>
      </c>
      <c r="EM162" s="56" t="str">
        <f t="array" ref="EM162">IF(DR162="","", INDEX(#REF!,MATCH(CONCATENATE('Respuestas de formulario 1.1'!$B162,DR162),#REF!,0),MATCH('Respuestas de formulario 1.1'!EM$1,#REF!,0)))</f>
        <v/>
      </c>
      <c r="EN162" s="56" t="str">
        <f t="array" ref="EN162">IF(DS162="","", INDEX(#REF!,MATCH(CONCATENATE('Respuestas de formulario 1.1'!$B162,DS162),#REF!,0),MATCH('Respuestas de formulario 1.1'!EN$1,#REF!,0)))</f>
        <v/>
      </c>
      <c r="EO162" s="56" t="str">
        <f t="array" ref="EO162">IF(DT162="","", INDEX(#REF!,MATCH(CONCATENATE('Respuestas de formulario 1.1'!$B162,DT162),#REF!,0),MATCH('Respuestas de formulario 1.1'!EO$1,#REF!,0)))</f>
        <v/>
      </c>
      <c r="EP162" s="45" t="str">
        <f t="array" ref="EP162">IF(DU162="","", INDEX(#REF!,MATCH(CONCATENATE('Respuestas de formulario 1.1'!$B162,DU162),#REF!,0),MATCH('Respuestas de formulario 1.1'!EP$1,#REF!,0)))</f>
        <v/>
      </c>
      <c r="EQ162" s="45" t="str">
        <f t="array" ref="EQ162">IF(DP162="","", INDEX(#REF!,MATCH(CONCATENATE('Respuestas de formulario 1.1'!$B162,DP162),#REF!,0),MATCH('Respuestas de formulario 1.1'!EQ$1,#REF!,0)))</f>
        <v/>
      </c>
      <c r="ER162" s="56" t="str">
        <f t="array" ref="ER162">IF(DQ162="","", INDEX(#REF!,MATCH(CONCATENATE('Respuestas de formulario 1.1'!$B162,DQ162),#REF!,0),MATCH('Respuestas de formulario 1.1'!ER$1,#REF!,0)))</f>
        <v/>
      </c>
      <c r="ES162" s="56" t="str">
        <f t="array" ref="ES162">IF(DR162="","", INDEX(#REF!,MATCH(CONCATENATE('Respuestas de formulario 1.1'!$B162,DR162),#REF!,0),MATCH('Respuestas de formulario 1.1'!ES$1,#REF!,0)))</f>
        <v/>
      </c>
      <c r="ET162" s="56" t="str">
        <f t="array" ref="ET162">IF(DS162="","", INDEX(#REF!,MATCH(CONCATENATE('Respuestas de formulario 1.1'!$B162,DS162),#REF!,0),MATCH('Respuestas de formulario 1.1'!ET$1,#REF!,0)))</f>
        <v/>
      </c>
      <c r="EU162" s="56" t="str">
        <f t="array" ref="EU162">IF(DT162="","", INDEX(#REF!,MATCH(CONCATENATE('Respuestas de formulario 1.1'!$B162,DT162),#REF!,0),MATCH('Respuestas de formulario 1.1'!EU$1,#REF!,0)))</f>
        <v/>
      </c>
      <c r="EV162" s="56" t="str">
        <f t="array" ref="EV162">IF(DU162="","", INDEX(#REF!,MATCH(CONCATENATE('Respuestas de formulario 1.1'!$B162,DU162),#REF!,0),MATCH('Respuestas de formulario 1.1'!EV$1,#REF!,0)))</f>
        <v/>
      </c>
      <c r="EW162" s="45" t="str">
        <f t="array" ref="EW162">IF(DV162="","", INDEX(#REF!,MATCH(CONCATENATE('Respuestas de formulario 1.1'!$B162,DV162),#REF!,0),MATCH('Respuestas de formulario 1.1'!EW$1,#REF!,0)))</f>
        <v/>
      </c>
      <c r="EX162" s="45" t="str">
        <f t="array" ref="EX162">IF($DQ162="","", INDEX(#REF!,MATCH(CONCATENATE('Respuestas de formulario 1.1'!$B162,$DQ162),#REF!,0),MATCH('Respuestas de formulario 1.1'!EX$1,#REF!,0)))</f>
        <v/>
      </c>
      <c r="EY162" s="56" t="str">
        <f t="array" ref="EY162">IF($DQ162="","", INDEX(#REF!,MATCH(CONCATENATE('Respuestas de formulario 1.1'!$B162,$DQ162),#REF!,0),MATCH('Respuestas de formulario 1.1'!EY$1,#REF!,0)))</f>
        <v/>
      </c>
      <c r="EZ162" s="56" t="str">
        <f t="array" ref="EZ162">IF($DQ162="","", INDEX(#REF!,MATCH(CONCATENATE('Respuestas de formulario 1.1'!$B162,$DQ162),#REF!,0),MATCH('Respuestas de formulario 1.1'!EZ$1,#REF!,0)))</f>
        <v/>
      </c>
      <c r="FA162" s="56" t="str">
        <f t="array" ref="FA162">IF($DQ162="","", INDEX(#REF!,MATCH(CONCATENATE('Respuestas de formulario 1.1'!$B162,$DQ162),#REF!,0),MATCH('Respuestas de formulario 1.1'!FA$1,#REF!,0)))</f>
        <v/>
      </c>
      <c r="FB162" s="56" t="str">
        <f t="array" ref="FB162">IF($DQ162="","", INDEX(#REF!,MATCH(CONCATENATE('Respuestas de formulario 1.1'!$B162,$DQ162),#REF!,0),MATCH('Respuestas de formulario 1.1'!FB$1,#REF!,0)))</f>
        <v/>
      </c>
      <c r="FC162" s="56" t="str">
        <f t="array" ref="FC162">IF($DQ162="","", INDEX(#REF!,MATCH(CONCATENATE('Respuestas de formulario 1.1'!$B162,$DQ162),#REF!,0),MATCH('Respuestas de formulario 1.1'!FC$1,#REF!,0)))</f>
        <v/>
      </c>
      <c r="FD162" s="45" t="str">
        <f t="array" ref="FD162">IF($DQ162="","", INDEX(#REF!,MATCH(CONCATENATE('Respuestas de formulario 1.1'!$B162,$DQ162),#REF!,0),MATCH('Respuestas de formulario 1.1'!FD$1,#REF!,0)))</f>
        <v/>
      </c>
      <c r="FE162" s="45" t="str">
        <f t="array" ref="FE162">IF($DR162="","", INDEX(#REF!,MATCH(CONCATENATE(#REF!,$DR162),#REF!,0),MATCH(#REF!,#REF!,0)))</f>
        <v/>
      </c>
      <c r="FF162" s="56" t="str">
        <f t="array" ref="FF162">IF($DR162="","", INDEX(#REF!,MATCH(CONCATENATE(#REF!,$DR162),#REF!,0),MATCH(#REF!,#REF!,0)))</f>
        <v/>
      </c>
      <c r="FG162" s="56" t="str">
        <f t="array" ref="FG162">IF($DR162="","", INDEX(#REF!,MATCH(CONCATENATE(#REF!,$DR162),#REF!,0),MATCH(#REF!,#REF!,0)))</f>
        <v/>
      </c>
      <c r="FH162" s="56" t="str">
        <f t="array" ref="FH162">IF($DR162="","", INDEX(#REF!,MATCH(CONCATENATE(#REF!,$DR162),#REF!,0),MATCH(#REF!,#REF!,0)))</f>
        <v/>
      </c>
      <c r="FI162" s="56" t="str">
        <f t="array" ref="FI162">IF($DR162="","", INDEX(#REF!,MATCH(CONCATENATE(#REF!,$DR162),#REF!,0),MATCH(#REF!,#REF!,0)))</f>
        <v/>
      </c>
      <c r="FJ162" s="56" t="str">
        <f t="array" ref="FJ162">IF($DR162="","", INDEX(#REF!,MATCH(CONCATENATE(#REF!,$DR162),#REF!,0),MATCH(#REF!,#REF!,0)))</f>
        <v/>
      </c>
      <c r="FK162" s="45" t="str">
        <f t="array" ref="FK162">IF($DR162="","", INDEX(#REF!,MATCH(CONCATENATE(#REF!,$DR162),#REF!,0),MATCH(#REF!,#REF!,0)))</f>
        <v/>
      </c>
      <c r="FL162" s="45" t="str">
        <f t="array" ref="FL162">IF($DT162="","", INDEX(#REF!,MATCH(CONCATENATE('Respuestas de formulario 1.1'!$B162,$DS162),#REF!,0),MATCH('Respuestas de formulario 1.1'!FL$1,#REF!,0)))</f>
        <v/>
      </c>
      <c r="FM162" s="56" t="str">
        <f t="array" ref="FM162">IF($DT162="","", INDEX(#REF!,MATCH(CONCATENATE('Respuestas de formulario 1.1'!$B162,$DS162),#REF!,0),MATCH('Respuestas de formulario 1.1'!FM$1,#REF!,0)))</f>
        <v/>
      </c>
      <c r="FN162" s="56" t="str">
        <f t="array" ref="FN162">IF($DT162="","", INDEX(#REF!,MATCH(CONCATENATE('Respuestas de formulario 1.1'!$B162,$DS162),#REF!,0),MATCH('Respuestas de formulario 1.1'!FN$1,#REF!,0)))</f>
        <v/>
      </c>
      <c r="FO162" s="56" t="str">
        <f t="array" ref="FO162">IF($DT162="","", INDEX(#REF!,MATCH(CONCATENATE('Respuestas de formulario 1.1'!$B162,$DS162),#REF!,0),MATCH('Respuestas de formulario 1.1'!FO$1,#REF!,0)))</f>
        <v/>
      </c>
      <c r="FP162" s="56" t="str">
        <f t="array" ref="FP162">IF($DT162="","", INDEX(#REF!,MATCH(CONCATENATE('Respuestas de formulario 1.1'!$B162,$DS162),#REF!,0),MATCH('Respuestas de formulario 1.1'!FP$1,#REF!,0)))</f>
        <v/>
      </c>
      <c r="FQ162" s="56" t="str">
        <f t="array" ref="FQ162">IF($DT162="","", INDEX(#REF!,MATCH(CONCATENATE('Respuestas de formulario 1.1'!$B162,$DS162),#REF!,0),MATCH('Respuestas de formulario 1.1'!FQ$1,#REF!,0)))</f>
        <v/>
      </c>
      <c r="FR162" s="45" t="str">
        <f t="array" ref="FR162">IF($DT162="","", INDEX(#REF!,MATCH(CONCATENATE('Respuestas de formulario 1.1'!$B162,$DS162),#REF!,0),MATCH('Respuestas de formulario 1.1'!FR$1,#REF!,0)))</f>
        <v/>
      </c>
      <c r="FS162" s="45" t="str">
        <f t="array" ref="FS162">IF($DU162="","", INDEX(#REF!,MATCH(CONCATENATE('Respuestas de formulario 1.1'!$B162,$DT162),#REF!,0),MATCH('Respuestas de formulario 1.1'!FS$1,#REF!,0)))</f>
        <v/>
      </c>
      <c r="FT162" s="56" t="str">
        <f t="array" ref="FT162">IF($DU162="","", INDEX(#REF!,MATCH(CONCATENATE('Respuestas de formulario 1.1'!$B162,$DT162),#REF!,0),MATCH('Respuestas de formulario 1.1'!FT$1,#REF!,0)))</f>
        <v/>
      </c>
      <c r="FU162" s="56" t="str">
        <f t="array" ref="FU162">IF($DU162="","", INDEX(#REF!,MATCH(CONCATENATE('Respuestas de formulario 1.1'!$B162,$DT162),#REF!,0),MATCH('Respuestas de formulario 1.1'!FU$1,#REF!,0)))</f>
        <v/>
      </c>
      <c r="FV162" s="56" t="str">
        <f t="array" ref="FV162">IF($DU162="","", INDEX(#REF!,MATCH(CONCATENATE('Respuestas de formulario 1.1'!$B162,$DT162),#REF!,0),MATCH('Respuestas de formulario 1.1'!FV$1,#REF!,0)))</f>
        <v/>
      </c>
      <c r="FW162" s="56" t="str">
        <f t="array" ref="FW162">IF($DU162="","", INDEX(#REF!,MATCH(CONCATENATE('Respuestas de formulario 1.1'!$B162,$DT162),#REF!,0),MATCH('Respuestas de formulario 1.1'!FW$1,#REF!,0)))</f>
        <v/>
      </c>
      <c r="FX162" s="56" t="str">
        <f t="array" ref="FX162">IF($DU162="","", INDEX(#REF!,MATCH(CONCATENATE('Respuestas de formulario 1.1'!$B162,$DT162),#REF!,0),MATCH('Respuestas de formulario 1.1'!FX$1,#REF!,0)))</f>
        <v/>
      </c>
      <c r="FY162" s="45" t="str">
        <f t="array" ref="FY162">IF($DU162="","", INDEX(#REF!,MATCH(CONCATENATE('Respuestas de formulario 1.1'!$B162,$DT162),#REF!,0),MATCH('Respuestas de formulario 1.1'!FY$1,#REF!,0)))</f>
        <v/>
      </c>
      <c r="FZ162" s="3" t="s">
        <v>2860</v>
      </c>
      <c r="GA162" s="1" t="s">
        <v>5619</v>
      </c>
      <c r="GB162" s="5" t="s">
        <v>5620</v>
      </c>
      <c r="GC162" s="4" t="str">
        <f>HYPERLINK("https://drive.google.com/file/d/1pZIw1pYj4CzyYLsRG7sZKVMxzKtqx_o0/view?usp=drivesdk","MARCIAL  REYES ITZEL Formato de reinscripción y pago 2022-2")</f>
        <v>MARCIAL  REYES ITZEL Formato de reinscripción y pago 2022-2</v>
      </c>
      <c r="GD162" s="1" t="s">
        <v>5621</v>
      </c>
      <c r="GE162" s="1"/>
      <c r="GF162" s="1"/>
      <c r="GG162" s="1"/>
      <c r="GH162" s="1"/>
      <c r="GI162" s="1" t="s">
        <v>5622</v>
      </c>
      <c r="GJ162" s="5" t="s">
        <v>5623</v>
      </c>
      <c r="GK162" s="5" t="str">
        <f>HYPERLINK("https://drive.google.com/file/d/1nZ-ZdfNljhQDvE8A270vlLZuI2Fl7UlF/view?usp=drivesdk","MARCIAL  REYES ITZEL Formato de reinscripción y pago 2022-2")</f>
        <v>MARCIAL  REYES ITZEL Formato de reinscripción y pago 2022-2</v>
      </c>
      <c r="GL162" s="1" t="s">
        <v>5624</v>
      </c>
    </row>
    <row r="163" spans="1:194" ht="38.25" x14ac:dyDescent="0.2">
      <c r="A163" s="2">
        <v>45139.473024780091</v>
      </c>
      <c r="B163" s="1" t="s">
        <v>973</v>
      </c>
      <c r="C163" s="1" t="s">
        <v>691</v>
      </c>
      <c r="D163" s="1" t="s">
        <v>308</v>
      </c>
      <c r="E163" s="1" t="s">
        <v>974</v>
      </c>
      <c r="F163" s="1" t="s">
        <v>223</v>
      </c>
      <c r="G163" s="5" t="s">
        <v>5625</v>
      </c>
      <c r="H163" s="41">
        <v>39174</v>
      </c>
      <c r="I163" s="1">
        <v>16</v>
      </c>
      <c r="J163" s="1">
        <v>5610842841</v>
      </c>
      <c r="K163" s="1">
        <v>5562348255</v>
      </c>
      <c r="L163" s="1" t="s">
        <v>975</v>
      </c>
      <c r="M163" s="1">
        <v>22309060570097</v>
      </c>
      <c r="N163" s="1" t="s">
        <v>562</v>
      </c>
      <c r="O163" s="1" t="s">
        <v>247</v>
      </c>
      <c r="P163" s="1" t="s">
        <v>278</v>
      </c>
      <c r="Q163" s="1" t="s">
        <v>315</v>
      </c>
      <c r="R163" s="1" t="s">
        <v>236</v>
      </c>
      <c r="S163" s="1" t="s">
        <v>228</v>
      </c>
      <c r="T163" s="1" t="s">
        <v>229</v>
      </c>
      <c r="U163" s="1" t="s">
        <v>249</v>
      </c>
      <c r="V163" s="1" t="s">
        <v>228</v>
      </c>
      <c r="W163" s="1" t="s">
        <v>5626</v>
      </c>
      <c r="X163" s="1" t="s">
        <v>249</v>
      </c>
      <c r="Y163" s="1" t="s">
        <v>715</v>
      </c>
      <c r="Z163" s="1" t="s">
        <v>240</v>
      </c>
      <c r="AA163" s="44" t="s">
        <v>555</v>
      </c>
      <c r="AB163" s="1">
        <v>59</v>
      </c>
      <c r="AC163" s="1">
        <v>5</v>
      </c>
      <c r="AD163" s="1" t="s">
        <v>5627</v>
      </c>
      <c r="AE163" s="1" t="s">
        <v>5628</v>
      </c>
      <c r="AF163" s="1" t="s">
        <v>2409</v>
      </c>
      <c r="AG163" s="1"/>
      <c r="AH163" s="5" t="s">
        <v>5629</v>
      </c>
      <c r="AI163" s="1">
        <v>5614777855</v>
      </c>
      <c r="AJ163" s="1">
        <v>5583734730</v>
      </c>
      <c r="AK163" s="1"/>
      <c r="AL163" s="1" t="s">
        <v>245</v>
      </c>
      <c r="AM163" s="1" t="s">
        <v>977</v>
      </c>
      <c r="AN163" s="1" t="s">
        <v>5630</v>
      </c>
      <c r="AO163" s="1" t="s">
        <v>265</v>
      </c>
      <c r="AP163" s="1">
        <v>50</v>
      </c>
      <c r="AQ163" s="1" t="s">
        <v>233</v>
      </c>
      <c r="AR163" s="42">
        <v>0</v>
      </c>
      <c r="AS163" s="42">
        <v>0</v>
      </c>
      <c r="AT163" s="1">
        <v>5567612022</v>
      </c>
      <c r="AU163" s="1">
        <v>5562348255</v>
      </c>
      <c r="AV163" s="1" t="s">
        <v>976</v>
      </c>
      <c r="AW163" s="5" t="s">
        <v>5631</v>
      </c>
      <c r="AX163" s="1" t="s">
        <v>691</v>
      </c>
      <c r="AY163" s="1" t="s">
        <v>978</v>
      </c>
      <c r="AZ163" s="1" t="s">
        <v>979</v>
      </c>
      <c r="BA163" s="1" t="s">
        <v>435</v>
      </c>
      <c r="BB163" s="1">
        <v>50</v>
      </c>
      <c r="BC163" s="1" t="s">
        <v>980</v>
      </c>
      <c r="BD163" s="43">
        <v>0.33333333333575865</v>
      </c>
      <c r="BE163" s="43">
        <v>0.25</v>
      </c>
      <c r="BF163" s="1">
        <v>5511933253</v>
      </c>
      <c r="BG163" s="1">
        <v>5562348255</v>
      </c>
      <c r="BH163" s="1"/>
      <c r="BI163" s="5" t="s">
        <v>5632</v>
      </c>
      <c r="BJ163" s="1" t="s">
        <v>236</v>
      </c>
      <c r="BL163" s="1">
        <v>1.6</v>
      </c>
      <c r="BM163" s="1">
        <v>53</v>
      </c>
      <c r="BN163" s="1" t="s">
        <v>236</v>
      </c>
      <c r="BO163" s="1" t="s">
        <v>228</v>
      </c>
      <c r="BQ163" s="1" t="s">
        <v>228</v>
      </c>
      <c r="BR163" s="1" t="s">
        <v>237</v>
      </c>
      <c r="BS163" s="1" t="s">
        <v>228</v>
      </c>
      <c r="BT163" s="1" t="s">
        <v>237</v>
      </c>
      <c r="BU163" s="1" t="s">
        <v>228</v>
      </c>
      <c r="BW163" s="1" t="s">
        <v>238</v>
      </c>
      <c r="BX163" s="1">
        <v>1.2</v>
      </c>
      <c r="BY163" s="1">
        <v>220</v>
      </c>
      <c r="BZ163" s="1" t="s">
        <v>5633</v>
      </c>
      <c r="CA163" s="1" t="s">
        <v>237</v>
      </c>
      <c r="CB163" s="1" t="s">
        <v>240</v>
      </c>
      <c r="CC163" s="1" t="s">
        <v>274</v>
      </c>
      <c r="CD163" s="1">
        <v>5000</v>
      </c>
      <c r="CE163" s="1">
        <v>2000</v>
      </c>
      <c r="CF163" s="1" t="s">
        <v>236</v>
      </c>
      <c r="CG163" s="1" t="s">
        <v>242</v>
      </c>
      <c r="CH163" s="1" t="s">
        <v>243</v>
      </c>
      <c r="CI163" s="1" t="s">
        <v>243</v>
      </c>
      <c r="CJ163" s="1" t="s">
        <v>2848</v>
      </c>
      <c r="CL163" s="5" t="s">
        <v>5634</v>
      </c>
      <c r="CM163" s="44" t="s">
        <v>981</v>
      </c>
      <c r="CN163" s="1" t="s">
        <v>228</v>
      </c>
      <c r="CQ163" s="42">
        <v>0.33333333333575865</v>
      </c>
      <c r="CR163" s="42">
        <v>0.25</v>
      </c>
      <c r="CT163" s="45" t="str">
        <f t="array" ref="CT163">IFERROR(INDEX(#REF!,MATCH('Respuestas de formulario 1.1'!$B163,#REF!,0),MATCH('Respuestas de formulario 1.1'!CT$1,#REF!,0)),"")</f>
        <v/>
      </c>
      <c r="CU163" s="56" t="str">
        <f t="array" ref="CU163">IFERROR(INDEX(#REF!,MATCH('Respuestas de formulario 1.1'!$B163,#REF!,0),MATCH('Respuestas de formulario 1.1'!CU$1,#REF!,0)),"")</f>
        <v/>
      </c>
      <c r="CV163" s="56" t="str">
        <f t="array" ref="CV163">IFERROR(INDEX(#REF!,MATCH('Respuestas de formulario 1.1'!$B163,#REF!,0),MATCH('Respuestas de formulario 1.1'!CV$1,#REF!,0)),"")</f>
        <v/>
      </c>
      <c r="CW163" s="56" t="str">
        <f t="array" ref="CW163">IFERROR(INDEX(#REF!,MATCH('Respuestas de formulario 1.1'!$B163,#REF!,0),MATCH('Respuestas de formulario 1.1'!CW$1,#REF!,0)),"")</f>
        <v/>
      </c>
      <c r="CX163" s="56" t="str">
        <f t="array" ref="CX163">IFERROR(INDEX(#REF!,MATCH('Respuestas de formulario 1.1'!$B163,#REF!,0),MATCH('Respuestas de formulario 1.1'!CX$1,#REF!,0)),"")</f>
        <v/>
      </c>
      <c r="CY163" s="56" t="str">
        <f t="array" ref="CY163">IFERROR(INDEX(#REF!,MATCH('Respuestas de formulario 1.1'!$B163,#REF!,0),MATCH('Respuestas de formulario 1.1'!CY$1,#REF!,0)),"")</f>
        <v/>
      </c>
      <c r="CZ163" s="57" t="str">
        <f t="array" ref="CZ163">IFERROR(INDEX(#REF!,MATCH('Respuestas de formulario 1.1'!$B163,#REF!,0),MATCH('Respuestas de formulario 1.1'!CZ$1,#REF!,0)),"")</f>
        <v/>
      </c>
      <c r="DA163" s="45" t="e">
        <f t="array" ref="DA163">INDEX(#REF!,MATCH('Respuestas de formulario 1.1'!$B163,#REF!,0),MATCH('Respuestas de formulario 1.1'!DA$1,#REF!,0))</f>
        <v>#REF!</v>
      </c>
      <c r="DB163" s="45" t="e">
        <f t="array" ref="DB163">INDEX(#REF!,MATCH('Respuestas de formulario 1.1'!$B163,#REF!,0),MATCH('Respuestas de formulario 1.1'!DB$1,#REF!,0))</f>
        <v>#REF!</v>
      </c>
      <c r="DC163" s="45" t="e">
        <f t="array" ref="DC163">INDEX(#REF!,MATCH('Respuestas de formulario 1.1'!$B163,#REF!,0),MATCH('Respuestas de formulario 1.1'!DC$1,#REF!,0))</f>
        <v>#REF!</v>
      </c>
      <c r="DD163" s="45" t="e">
        <f t="array" ref="DD163">INDEX(#REF!,MATCH('Respuestas de formulario 1.1'!$B163,#REF!,0),MATCH('Respuestas de formulario 1.1'!DD$1,#REF!,0))</f>
        <v>#REF!</v>
      </c>
      <c r="DE163" s="45" t="e">
        <f t="array" ref="DE163">INDEX(#REF!,MATCH('Respuestas de formulario 1.1'!$B163,#REF!,0),MATCH('Respuestas de formulario 1.1'!DE$1,#REF!,0))</f>
        <v>#REF!</v>
      </c>
      <c r="DF163" s="45" t="e">
        <f t="array" ref="DF163">INDEX(#REF!,MATCH('Respuestas de formulario 1.1'!$B163,#REF!,0),MATCH('Respuestas de formulario 1.1'!DF$1,#REF!,0))</f>
        <v>#REF!</v>
      </c>
      <c r="DG163" s="45" t="e">
        <f t="array" ref="DG163">INDEX(#REF!,MATCH('Respuestas de formulario 1.1'!$B163,#REF!,0),MATCH('Respuestas de formulario 1.1'!DG$1,#REF!,0))</f>
        <v>#REF!</v>
      </c>
      <c r="DH163" s="45" t="e">
        <f t="array" ref="DH163">INDEX(#REF!,MATCH('Respuestas de formulario 1.1'!$B163,#REF!,0),MATCH('Respuestas de formulario 1.1'!DH$1,#REF!,0))</f>
        <v>#REF!</v>
      </c>
      <c r="DI163" s="48" t="e">
        <f>VLOOKUP(CONCATENATE($DF163," TUTO ",$DC163),#REF!,3,0)</f>
        <v>#REF!</v>
      </c>
      <c r="DJ163" s="48" t="e">
        <f t="array" ref="DJ163">IF('Respuestas de formulario 1.1'!A163="","",INDEX(#REF!,MATCH('Respuestas de formulario 1.1'!B163,#REF!,0),MATCH('Respuestas de formulario 1.1'!$DH$1,#REF!,0)))</f>
        <v>#REF!</v>
      </c>
      <c r="DK163" s="52" t="str">
        <f>CONCATENATE("http://doc.google.com/uc?id=",MID('Respuestas de formulario 1.1'!G163,34,33))</f>
        <v>http://doc.google.com/uc?id=1oMQ-evY_KFp3XOJtY6MftpCPINAs8Id4</v>
      </c>
      <c r="DL163" s="49" t="str">
        <f>CONCATENATE("http://doc.google.com/uc?id=",MID('Respuestas de formulario 1.1'!AH163,34,33))</f>
        <v>http://doc.google.com/uc?id=1QDeg0RF3rJOfP1YO_Z7qCr1FyqGjEY1z</v>
      </c>
      <c r="DM163" s="50" t="str">
        <f>CONCATENATE("http://doc.google.com/uc?id=",MID('Respuestas de formulario 1.1'!AW163,34,33))</f>
        <v>http://doc.google.com/uc?id=1zjQi12jiQxa3pPygUHn70uFnGxX7qxGE</v>
      </c>
      <c r="DN163" s="53" t="str">
        <f>CONCATENATE("http://doc.google.com/uc?id=",MID('Respuestas de formulario 1.1'!$BI163,34,33))</f>
        <v>http://doc.google.com/uc?id=1fg2Qp4jy6Gz5_-6fSe2OiHElehKuVqxh</v>
      </c>
      <c r="DO163" s="45" t="str">
        <f>IFERROR(VLOOKUP(CONCATENATE('Respuestas de formulario 1.1'!$B163,MID('Respuestas de formulario 1.1'!DO$1,2,1)),#REF!,12,0),"")</f>
        <v/>
      </c>
      <c r="DP163" s="45" t="str">
        <f>IFERROR(VLOOKUP(CONCATENATE('Respuestas de formulario 1.1'!$B163,MID('Respuestas de formulario 1.1'!DP$1,2,1)),#REF!,12,0),"")</f>
        <v/>
      </c>
      <c r="DQ163" s="45" t="str">
        <f>IFERROR(VLOOKUP(CONCATENATE('Respuestas de formulario 1.1'!$B163,MID('Respuestas de formulario 1.1'!DQ$1,2,1)),#REF!,12,0),"")</f>
        <v/>
      </c>
      <c r="DR163" s="45" t="str">
        <f>IFERROR(VLOOKUP(CONCATENATE('Respuestas de formulario 1.1'!$B163,MID('Respuestas de formulario 1.1'!DR$1,2,1)),#REF!,12,0),"")</f>
        <v/>
      </c>
      <c r="DS163" s="45" t="str">
        <f>IFERROR(VLOOKUP(CONCATENATE('Respuestas de formulario 1.1'!$B163,MID('Respuestas de formulario 1.1'!DS$1,2,1)),#REF!,12,0),"")</f>
        <v/>
      </c>
      <c r="DT163" s="45" t="str">
        <f>IFERROR(VLOOKUP(CONCATENATE('Respuestas de formulario 1.1'!$B163,MID('Respuestas de formulario 1.1'!DT$1,2,1)),#REF!,12,0),"")</f>
        <v/>
      </c>
      <c r="DU163" s="45" t="str">
        <f>IFERROR(VLOOKUP(CONCATENATE('Respuestas de formulario 1.1'!$B163,MID('Respuestas de formulario 1.1'!DU$1,2,1)),#REF!,12,0),"")</f>
        <v/>
      </c>
      <c r="DV163" s="45" t="str">
        <f>IFERROR(VLOOKUP(CONCATENATE('Respuestas de formulario 1.1'!$B163,MID('Respuestas de formulario 1.1'!DV$1,2,1)),#REF!,12,0),"")</f>
        <v/>
      </c>
      <c r="DW163" s="45" t="str">
        <f>IFERROR(VLOOKUP(CONCATENATE('Respuestas de formulario 1.1'!$B163,MID('Respuestas de formulario 1.1'!DW$1,2,1)),#REF!,12,0),"")</f>
        <v/>
      </c>
      <c r="DX163" s="45" t="str">
        <f>IFERROR(VLOOKUP(CONCATENATE('Respuestas de formulario 1.1'!$B163,MID('Respuestas de formulario 1.1'!DX$1,2,1)),#REF!,12,0),"")</f>
        <v/>
      </c>
      <c r="DY163" s="45" t="str">
        <f>IFERROR(VLOOKUP(CONCATENATE('Respuestas de formulario 1.1'!$B163,MID('Respuestas de formulario 1.1'!DY$1,2,1)),#REF!,12,0),"")</f>
        <v/>
      </c>
      <c r="DZ163" s="45" t="str">
        <f>IFERROR(VLOOKUP(CONCATENATE('Respuestas de formulario 1.1'!$B163,MID('Respuestas de formulario 1.1'!DZ$1,2,1)),#REF!,12,0),"")</f>
        <v/>
      </c>
      <c r="EA163" s="45" t="str">
        <f>IFERROR(VLOOKUP(CONCATENATE('Respuestas de formulario 1.1'!$B163,MID('Respuestas de formulario 1.1'!EA$1,2,1)),#REF!,12,0),"")</f>
        <v/>
      </c>
      <c r="EB163" s="45" t="str">
        <f>IFERROR(VLOOKUP(CONCATENATE('Respuestas de formulario 1.1'!$B163,MID('Respuestas de formulario 1.1'!EB$1,2,1)),#REF!,12,0),"")</f>
        <v/>
      </c>
      <c r="EC163" s="45" t="str">
        <f>IFERROR(VLOOKUP(CONCATENATE('Respuestas de formulario 1.1'!$B163,MID('Respuestas de formulario 1.1'!EC$1,2,1)),#REF!,12,0),"")</f>
        <v/>
      </c>
      <c r="ED163" s="45" t="str">
        <f>IFERROR(VLOOKUP(CONCATENATE('Respuestas de formulario 1.1'!$B163,MID('Respuestas de formulario 1.1'!ED$1,2,1)),#REF!,12,0),"")</f>
        <v/>
      </c>
      <c r="EE163" s="45" t="str">
        <f>IFERROR(VLOOKUP(CONCATENATE('Respuestas de formulario 1.1'!$B163,MID('Respuestas de formulario 1.1'!EE$1,2,1)),#REF!,12,0),"")</f>
        <v/>
      </c>
      <c r="EF163" s="45" t="str">
        <f>IFERROR(VLOOKUP(CONCATENATE('Respuestas de formulario 1.1'!$B163,MID('Respuestas de formulario 1.1'!EF$1,2,1)),#REF!,12,0),"")</f>
        <v/>
      </c>
      <c r="EG163" s="45" t="str">
        <f>IFERROR(VLOOKUP(CONCATENATE('Respuestas de formulario 1.1'!$B163,MID('Respuestas de formulario 1.1'!EG$1,2,1)),#REF!,12,0),"")</f>
        <v/>
      </c>
      <c r="EH163" s="45" t="str">
        <f>IFERROR(VLOOKUP(CONCATENATE('Respuestas de formulario 1.1'!$B163,MID('Respuestas de formulario 1.1'!EH$1,2,1)),#REF!,12,0),"")</f>
        <v/>
      </c>
      <c r="EI163" s="45" t="str">
        <f>IFERROR(VLOOKUP(CONCATENATE('Respuestas de formulario 1.1'!$B163,MID('Respuestas de formulario 1.1'!EI$1,2,1)),#REF!,12,0),"")</f>
        <v/>
      </c>
      <c r="EJ163" s="45" t="str">
        <f t="array" ref="EJ163">IF(DO163="","", INDEX(#REF!,MATCH(CONCATENATE('Respuestas de formulario 1.1'!$B163,DO163),#REF!,0),MATCH('Respuestas de formulario 1.1'!EJ$1,#REF!,0)))</f>
        <v/>
      </c>
      <c r="EK163" s="56" t="str">
        <f t="array" ref="EK163">IF(DP163="","", INDEX(#REF!,MATCH(CONCATENATE('Respuestas de formulario 1.1'!$B163,DP163),#REF!,0),MATCH('Respuestas de formulario 1.1'!EK$1,#REF!,0)))</f>
        <v/>
      </c>
      <c r="EL163" s="56" t="str">
        <f t="array" ref="EL163">IF(DQ163="","", INDEX(#REF!,MATCH(CONCATENATE('Respuestas de formulario 1.1'!$B163,DQ163),#REF!,0),MATCH('Respuestas de formulario 1.1'!EL$1,#REF!,0)))</f>
        <v/>
      </c>
      <c r="EM163" s="56" t="str">
        <f t="array" ref="EM163">IF(DR163="","", INDEX(#REF!,MATCH(CONCATENATE('Respuestas de formulario 1.1'!$B163,DR163),#REF!,0),MATCH('Respuestas de formulario 1.1'!EM$1,#REF!,0)))</f>
        <v/>
      </c>
      <c r="EN163" s="56" t="str">
        <f t="array" ref="EN163">IF(DS163="","", INDEX(#REF!,MATCH(CONCATENATE('Respuestas de formulario 1.1'!$B163,DS163),#REF!,0),MATCH('Respuestas de formulario 1.1'!EN$1,#REF!,0)))</f>
        <v/>
      </c>
      <c r="EO163" s="56" t="str">
        <f t="array" ref="EO163">IF(DT163="","", INDEX(#REF!,MATCH(CONCATENATE('Respuestas de formulario 1.1'!$B163,DT163),#REF!,0),MATCH('Respuestas de formulario 1.1'!EO$1,#REF!,0)))</f>
        <v/>
      </c>
      <c r="EP163" s="45" t="str">
        <f t="array" ref="EP163">IF(DU163="","", INDEX(#REF!,MATCH(CONCATENATE('Respuestas de formulario 1.1'!$B163,DU163),#REF!,0),MATCH('Respuestas de formulario 1.1'!EP$1,#REF!,0)))</f>
        <v/>
      </c>
      <c r="EQ163" s="45" t="str">
        <f t="array" ref="EQ163">IF(DP163="","", INDEX(#REF!,MATCH(CONCATENATE('Respuestas de formulario 1.1'!$B163,DP163),#REF!,0),MATCH('Respuestas de formulario 1.1'!EQ$1,#REF!,0)))</f>
        <v/>
      </c>
      <c r="ER163" s="56" t="str">
        <f t="array" ref="ER163">IF(DQ163="","", INDEX(#REF!,MATCH(CONCATENATE('Respuestas de formulario 1.1'!$B163,DQ163),#REF!,0),MATCH('Respuestas de formulario 1.1'!ER$1,#REF!,0)))</f>
        <v/>
      </c>
      <c r="ES163" s="56" t="str">
        <f t="array" ref="ES163">IF(DR163="","", INDEX(#REF!,MATCH(CONCATENATE('Respuestas de formulario 1.1'!$B163,DR163),#REF!,0),MATCH('Respuestas de formulario 1.1'!ES$1,#REF!,0)))</f>
        <v/>
      </c>
      <c r="ET163" s="56" t="str">
        <f t="array" ref="ET163">IF(DS163="","", INDEX(#REF!,MATCH(CONCATENATE('Respuestas de formulario 1.1'!$B163,DS163),#REF!,0),MATCH('Respuestas de formulario 1.1'!ET$1,#REF!,0)))</f>
        <v/>
      </c>
      <c r="EU163" s="56" t="str">
        <f t="array" ref="EU163">IF(DT163="","", INDEX(#REF!,MATCH(CONCATENATE('Respuestas de formulario 1.1'!$B163,DT163),#REF!,0),MATCH('Respuestas de formulario 1.1'!EU$1,#REF!,0)))</f>
        <v/>
      </c>
      <c r="EV163" s="56" t="str">
        <f t="array" ref="EV163">IF(DU163="","", INDEX(#REF!,MATCH(CONCATENATE('Respuestas de formulario 1.1'!$B163,DU163),#REF!,0),MATCH('Respuestas de formulario 1.1'!EV$1,#REF!,0)))</f>
        <v/>
      </c>
      <c r="EW163" s="45" t="str">
        <f t="array" ref="EW163">IF(DV163="","", INDEX(#REF!,MATCH(CONCATENATE('Respuestas de formulario 1.1'!$B163,DV163),#REF!,0),MATCH('Respuestas de formulario 1.1'!EW$1,#REF!,0)))</f>
        <v/>
      </c>
      <c r="EX163" s="45" t="str">
        <f t="array" ref="EX163">IF($DQ163="","", INDEX(#REF!,MATCH(CONCATENATE('Respuestas de formulario 1.1'!$B163,$DQ163),#REF!,0),MATCH('Respuestas de formulario 1.1'!EX$1,#REF!,0)))</f>
        <v/>
      </c>
      <c r="EY163" s="56" t="str">
        <f t="array" ref="EY163">IF($DQ163="","", INDEX(#REF!,MATCH(CONCATENATE('Respuestas de formulario 1.1'!$B163,$DQ163),#REF!,0),MATCH('Respuestas de formulario 1.1'!EY$1,#REF!,0)))</f>
        <v/>
      </c>
      <c r="EZ163" s="56" t="str">
        <f t="array" ref="EZ163">IF($DQ163="","", INDEX(#REF!,MATCH(CONCATENATE('Respuestas de formulario 1.1'!$B163,$DQ163),#REF!,0),MATCH('Respuestas de formulario 1.1'!EZ$1,#REF!,0)))</f>
        <v/>
      </c>
      <c r="FA163" s="56" t="str">
        <f t="array" ref="FA163">IF($DQ163="","", INDEX(#REF!,MATCH(CONCATENATE('Respuestas de formulario 1.1'!$B163,$DQ163),#REF!,0),MATCH('Respuestas de formulario 1.1'!FA$1,#REF!,0)))</f>
        <v/>
      </c>
      <c r="FB163" s="56" t="str">
        <f t="array" ref="FB163">IF($DQ163="","", INDEX(#REF!,MATCH(CONCATENATE('Respuestas de formulario 1.1'!$B163,$DQ163),#REF!,0),MATCH('Respuestas de formulario 1.1'!FB$1,#REF!,0)))</f>
        <v/>
      </c>
      <c r="FC163" s="56" t="str">
        <f t="array" ref="FC163">IF($DQ163="","", INDEX(#REF!,MATCH(CONCATENATE('Respuestas de formulario 1.1'!$B163,$DQ163),#REF!,0),MATCH('Respuestas de formulario 1.1'!FC$1,#REF!,0)))</f>
        <v/>
      </c>
      <c r="FD163" s="45" t="str">
        <f t="array" ref="FD163">IF($DQ163="","", INDEX(#REF!,MATCH(CONCATENATE('Respuestas de formulario 1.1'!$B163,$DQ163),#REF!,0),MATCH('Respuestas de formulario 1.1'!FD$1,#REF!,0)))</f>
        <v/>
      </c>
      <c r="FE163" s="45" t="str">
        <f t="array" ref="FE163">IF($DR163="","", INDEX(#REF!,MATCH(CONCATENATE(#REF!,$DR163),#REF!,0),MATCH(#REF!,#REF!,0)))</f>
        <v/>
      </c>
      <c r="FF163" s="56" t="str">
        <f t="array" ref="FF163">IF($DR163="","", INDEX(#REF!,MATCH(CONCATENATE(#REF!,$DR163),#REF!,0),MATCH(#REF!,#REF!,0)))</f>
        <v/>
      </c>
      <c r="FG163" s="56" t="str">
        <f t="array" ref="FG163">IF($DR163="","", INDEX(#REF!,MATCH(CONCATENATE(#REF!,$DR163),#REF!,0),MATCH(#REF!,#REF!,0)))</f>
        <v/>
      </c>
      <c r="FH163" s="56" t="str">
        <f t="array" ref="FH163">IF($DR163="","", INDEX(#REF!,MATCH(CONCATENATE(#REF!,$DR163),#REF!,0),MATCH(#REF!,#REF!,0)))</f>
        <v/>
      </c>
      <c r="FI163" s="56" t="str">
        <f t="array" ref="FI163">IF($DR163="","", INDEX(#REF!,MATCH(CONCATENATE(#REF!,$DR163),#REF!,0),MATCH(#REF!,#REF!,0)))</f>
        <v/>
      </c>
      <c r="FJ163" s="56" t="str">
        <f t="array" ref="FJ163">IF($DR163="","", INDEX(#REF!,MATCH(CONCATENATE(#REF!,$DR163),#REF!,0),MATCH(#REF!,#REF!,0)))</f>
        <v/>
      </c>
      <c r="FK163" s="45" t="str">
        <f t="array" ref="FK163">IF($DR163="","", INDEX(#REF!,MATCH(CONCATENATE(#REF!,$DR163),#REF!,0),MATCH(#REF!,#REF!,0)))</f>
        <v/>
      </c>
      <c r="FL163" s="45" t="str">
        <f t="array" ref="FL163">IF($DT163="","", INDEX(#REF!,MATCH(CONCATENATE('Respuestas de formulario 1.1'!$B163,$DS163),#REF!,0),MATCH('Respuestas de formulario 1.1'!FL$1,#REF!,0)))</f>
        <v/>
      </c>
      <c r="FM163" s="56" t="str">
        <f t="array" ref="FM163">IF($DT163="","", INDEX(#REF!,MATCH(CONCATENATE('Respuestas de formulario 1.1'!$B163,$DS163),#REF!,0),MATCH('Respuestas de formulario 1.1'!FM$1,#REF!,0)))</f>
        <v/>
      </c>
      <c r="FN163" s="56" t="str">
        <f t="array" ref="FN163">IF($DT163="","", INDEX(#REF!,MATCH(CONCATENATE('Respuestas de formulario 1.1'!$B163,$DS163),#REF!,0),MATCH('Respuestas de formulario 1.1'!FN$1,#REF!,0)))</f>
        <v/>
      </c>
      <c r="FO163" s="56" t="str">
        <f t="array" ref="FO163">IF($DT163="","", INDEX(#REF!,MATCH(CONCATENATE('Respuestas de formulario 1.1'!$B163,$DS163),#REF!,0),MATCH('Respuestas de formulario 1.1'!FO$1,#REF!,0)))</f>
        <v/>
      </c>
      <c r="FP163" s="56" t="str">
        <f t="array" ref="FP163">IF($DT163="","", INDEX(#REF!,MATCH(CONCATENATE('Respuestas de formulario 1.1'!$B163,$DS163),#REF!,0),MATCH('Respuestas de formulario 1.1'!FP$1,#REF!,0)))</f>
        <v/>
      </c>
      <c r="FQ163" s="56" t="str">
        <f t="array" ref="FQ163">IF($DT163="","", INDEX(#REF!,MATCH(CONCATENATE('Respuestas de formulario 1.1'!$B163,$DS163),#REF!,0),MATCH('Respuestas de formulario 1.1'!FQ$1,#REF!,0)))</f>
        <v/>
      </c>
      <c r="FR163" s="45" t="str">
        <f t="array" ref="FR163">IF($DT163="","", INDEX(#REF!,MATCH(CONCATENATE('Respuestas de formulario 1.1'!$B163,$DS163),#REF!,0),MATCH('Respuestas de formulario 1.1'!FR$1,#REF!,0)))</f>
        <v/>
      </c>
      <c r="FS163" s="45" t="str">
        <f t="array" ref="FS163">IF($DU163="","", INDEX(#REF!,MATCH(CONCATENATE('Respuestas de formulario 1.1'!$B163,$DT163),#REF!,0),MATCH('Respuestas de formulario 1.1'!FS$1,#REF!,0)))</f>
        <v/>
      </c>
      <c r="FT163" s="56" t="str">
        <f t="array" ref="FT163">IF($DU163="","", INDEX(#REF!,MATCH(CONCATENATE('Respuestas de formulario 1.1'!$B163,$DT163),#REF!,0),MATCH('Respuestas de formulario 1.1'!FT$1,#REF!,0)))</f>
        <v/>
      </c>
      <c r="FU163" s="56" t="str">
        <f t="array" ref="FU163">IF($DU163="","", INDEX(#REF!,MATCH(CONCATENATE('Respuestas de formulario 1.1'!$B163,$DT163),#REF!,0),MATCH('Respuestas de formulario 1.1'!FU$1,#REF!,0)))</f>
        <v/>
      </c>
      <c r="FV163" s="56" t="str">
        <f t="array" ref="FV163">IF($DU163="","", INDEX(#REF!,MATCH(CONCATENATE('Respuestas de formulario 1.1'!$B163,$DT163),#REF!,0),MATCH('Respuestas de formulario 1.1'!FV$1,#REF!,0)))</f>
        <v/>
      </c>
      <c r="FW163" s="56" t="str">
        <f t="array" ref="FW163">IF($DU163="","", INDEX(#REF!,MATCH(CONCATENATE('Respuestas de formulario 1.1'!$B163,$DT163),#REF!,0),MATCH('Respuestas de formulario 1.1'!FW$1,#REF!,0)))</f>
        <v/>
      </c>
      <c r="FX163" s="56" t="str">
        <f t="array" ref="FX163">IF($DU163="","", INDEX(#REF!,MATCH(CONCATENATE('Respuestas de formulario 1.1'!$B163,$DT163),#REF!,0),MATCH('Respuestas de formulario 1.1'!FX$1,#REF!,0)))</f>
        <v/>
      </c>
      <c r="FY163" s="45" t="str">
        <f t="array" ref="FY163">IF($DU163="","", INDEX(#REF!,MATCH(CONCATENATE('Respuestas de formulario 1.1'!$B163,$DT163),#REF!,0),MATCH('Respuestas de formulario 1.1'!FY$1,#REF!,0)))</f>
        <v/>
      </c>
      <c r="FZ163" s="3" t="s">
        <v>2860</v>
      </c>
      <c r="GA163" s="1" t="s">
        <v>5635</v>
      </c>
      <c r="GB163" s="5" t="s">
        <v>5636</v>
      </c>
      <c r="GC163" s="4" t="str">
        <f>HYPERLINK("https://drive.google.com/file/d/1tTpcp8xtQIfdEZ_45qj4SMY-uFTtlpH2/view?usp=drivesdk","CAMACHO  LOPEZ  MARIA DEL ROSARIO  Formato de reinscripción y pago 2022-2")</f>
        <v>CAMACHO  LOPEZ  MARIA DEL ROSARIO  Formato de reinscripción y pago 2022-2</v>
      </c>
      <c r="GD163" s="1" t="s">
        <v>5637</v>
      </c>
      <c r="GE163" s="1"/>
      <c r="GF163" s="1"/>
      <c r="GG163" s="1"/>
      <c r="GH163" s="1"/>
      <c r="GI163" s="1" t="s">
        <v>5638</v>
      </c>
      <c r="GJ163" s="5" t="s">
        <v>5639</v>
      </c>
      <c r="GK163" s="5" t="str">
        <f>HYPERLINK("https://drive.google.com/file/d/1fAxzlce1n9Q6ioig6LB9UmgLOb0-fkNh/view?usp=drivesdk","CAMACHO  LOPEZ  MARIA DEL ROSARIO  Formato de reinscripción y pago 2022-2")</f>
        <v>CAMACHO  LOPEZ  MARIA DEL ROSARIO  Formato de reinscripción y pago 2022-2</v>
      </c>
      <c r="GL163" s="1" t="s">
        <v>5640</v>
      </c>
    </row>
    <row r="164" spans="1:194" ht="38.25" x14ac:dyDescent="0.2">
      <c r="A164" s="2">
        <v>45139.473229641204</v>
      </c>
      <c r="B164" s="1" t="s">
        <v>27</v>
      </c>
      <c r="C164" s="1" t="s">
        <v>2189</v>
      </c>
      <c r="D164" s="1" t="s">
        <v>244</v>
      </c>
      <c r="E164" s="1" t="s">
        <v>2190</v>
      </c>
      <c r="F164" s="1" t="s">
        <v>262</v>
      </c>
      <c r="G164" s="5" t="s">
        <v>5641</v>
      </c>
      <c r="H164" s="41">
        <v>39260</v>
      </c>
      <c r="I164" s="1">
        <v>16</v>
      </c>
      <c r="J164" s="1">
        <v>5522542754</v>
      </c>
      <c r="K164" s="1">
        <v>5559881176</v>
      </c>
      <c r="L164" s="1" t="s">
        <v>2191</v>
      </c>
      <c r="M164" s="1">
        <v>22309060570061</v>
      </c>
      <c r="N164" s="1" t="s">
        <v>562</v>
      </c>
      <c r="O164" s="1" t="s">
        <v>247</v>
      </c>
      <c r="P164" s="1" t="s">
        <v>278</v>
      </c>
      <c r="Q164" s="1" t="s">
        <v>263</v>
      </c>
      <c r="R164" s="1" t="s">
        <v>236</v>
      </c>
      <c r="S164" s="1" t="s">
        <v>228</v>
      </c>
      <c r="T164" s="1" t="s">
        <v>345</v>
      </c>
      <c r="U164" s="1" t="s">
        <v>230</v>
      </c>
      <c r="V164" s="1" t="s">
        <v>228</v>
      </c>
      <c r="W164" s="1" t="s">
        <v>5642</v>
      </c>
      <c r="X164" s="1" t="s">
        <v>230</v>
      </c>
      <c r="Y164" s="1" t="s">
        <v>2195</v>
      </c>
      <c r="Z164" s="1" t="s">
        <v>231</v>
      </c>
      <c r="AA164" s="1">
        <v>56617</v>
      </c>
      <c r="AB164" s="1">
        <v>15</v>
      </c>
      <c r="AC164" s="1" t="s">
        <v>437</v>
      </c>
      <c r="AD164" s="1" t="s">
        <v>5643</v>
      </c>
      <c r="AE164" s="1" t="s">
        <v>5644</v>
      </c>
      <c r="AF164" s="1" t="s">
        <v>5645</v>
      </c>
      <c r="AG164" s="1">
        <v>48</v>
      </c>
      <c r="AH164" s="5" t="s">
        <v>5646</v>
      </c>
      <c r="AI164" s="1">
        <v>5574034034</v>
      </c>
      <c r="AJ164" s="1">
        <v>5559881176</v>
      </c>
      <c r="AK164" s="1" t="s">
        <v>2192</v>
      </c>
      <c r="AL164" s="1" t="s">
        <v>2189</v>
      </c>
      <c r="AM164" s="1" t="s">
        <v>2162</v>
      </c>
      <c r="AN164" s="1" t="s">
        <v>2017</v>
      </c>
      <c r="AO164" s="1" t="s">
        <v>5647</v>
      </c>
      <c r="AP164" s="1">
        <v>52</v>
      </c>
      <c r="AQ164" s="1" t="s">
        <v>5648</v>
      </c>
      <c r="AR164" s="42">
        <v>0.25</v>
      </c>
      <c r="AS164" s="42">
        <v>0.29166666666424135</v>
      </c>
      <c r="AT164" s="1">
        <v>5574034034</v>
      </c>
      <c r="AU164" s="1">
        <v>5559881176</v>
      </c>
      <c r="AV164" s="1" t="s">
        <v>5649</v>
      </c>
      <c r="AW164" s="5" t="s">
        <v>5650</v>
      </c>
      <c r="AX164" s="1" t="s">
        <v>2189</v>
      </c>
      <c r="AY164" s="1" t="s">
        <v>244</v>
      </c>
      <c r="AZ164" s="1" t="s">
        <v>1410</v>
      </c>
      <c r="BA164" s="1" t="s">
        <v>1019</v>
      </c>
      <c r="BB164" s="1">
        <v>22</v>
      </c>
      <c r="BC164" s="1" t="s">
        <v>1044</v>
      </c>
      <c r="BD164" s="43">
        <v>0.25</v>
      </c>
      <c r="BE164" s="43">
        <v>0.20833333333575865</v>
      </c>
      <c r="BF164" s="1">
        <v>5576596980</v>
      </c>
      <c r="BG164" s="1">
        <v>5559881176</v>
      </c>
      <c r="BH164" s="1" t="s">
        <v>5651</v>
      </c>
      <c r="BI164" s="5" t="s">
        <v>5652</v>
      </c>
      <c r="BJ164" s="1" t="s">
        <v>236</v>
      </c>
      <c r="BL164" s="1">
        <v>165</v>
      </c>
      <c r="BM164" s="1">
        <v>58</v>
      </c>
      <c r="BN164" s="1" t="s">
        <v>236</v>
      </c>
      <c r="BO164" s="1" t="s">
        <v>228</v>
      </c>
      <c r="BQ164" s="1" t="s">
        <v>228</v>
      </c>
      <c r="BR164" s="1" t="s">
        <v>237</v>
      </c>
      <c r="BS164" s="1" t="s">
        <v>236</v>
      </c>
      <c r="BT164" s="1" t="s">
        <v>462</v>
      </c>
      <c r="BU164" s="1" t="s">
        <v>228</v>
      </c>
      <c r="BW164" s="1" t="s">
        <v>238</v>
      </c>
      <c r="BX164" s="1">
        <v>2.2999999999999998</v>
      </c>
      <c r="BY164" s="1">
        <v>350</v>
      </c>
      <c r="BZ164" s="1" t="s">
        <v>5653</v>
      </c>
      <c r="CA164" s="1" t="s">
        <v>5654</v>
      </c>
      <c r="CB164" s="1" t="s">
        <v>5655</v>
      </c>
      <c r="CC164" s="1" t="s">
        <v>5656</v>
      </c>
      <c r="CD164" s="1">
        <v>300</v>
      </c>
      <c r="CE164" s="1">
        <v>800</v>
      </c>
      <c r="CF164" s="1" t="s">
        <v>236</v>
      </c>
      <c r="CG164" s="1" t="s">
        <v>242</v>
      </c>
      <c r="CH164" s="1" t="s">
        <v>243</v>
      </c>
      <c r="CI164" s="1" t="s">
        <v>243</v>
      </c>
      <c r="CJ164" s="1" t="s">
        <v>2848</v>
      </c>
      <c r="CL164" s="5" t="s">
        <v>5657</v>
      </c>
      <c r="CM164" s="44" t="s">
        <v>2194</v>
      </c>
      <c r="CN164" s="1" t="s">
        <v>228</v>
      </c>
      <c r="CQ164" s="42">
        <v>0</v>
      </c>
      <c r="CR164" s="42">
        <v>0</v>
      </c>
      <c r="CT164" s="45" t="str">
        <f t="array" ref="CT164">IFERROR(INDEX(#REF!,MATCH('Respuestas de formulario 1.1'!$B164,#REF!,0),MATCH('Respuestas de formulario 1.1'!CT$1,#REF!,0)),"")</f>
        <v/>
      </c>
      <c r="CU164" s="56" t="str">
        <f t="array" ref="CU164">IFERROR(INDEX(#REF!,MATCH('Respuestas de formulario 1.1'!$B164,#REF!,0),MATCH('Respuestas de formulario 1.1'!CU$1,#REF!,0)),"")</f>
        <v/>
      </c>
      <c r="CV164" s="56" t="str">
        <f t="array" ref="CV164">IFERROR(INDEX(#REF!,MATCH('Respuestas de formulario 1.1'!$B164,#REF!,0),MATCH('Respuestas de formulario 1.1'!CV$1,#REF!,0)),"")</f>
        <v/>
      </c>
      <c r="CW164" s="56" t="str">
        <f t="array" ref="CW164">IFERROR(INDEX(#REF!,MATCH('Respuestas de formulario 1.1'!$B164,#REF!,0),MATCH('Respuestas de formulario 1.1'!CW$1,#REF!,0)),"")</f>
        <v/>
      </c>
      <c r="CX164" s="56" t="str">
        <f t="array" ref="CX164">IFERROR(INDEX(#REF!,MATCH('Respuestas de formulario 1.1'!$B164,#REF!,0),MATCH('Respuestas de formulario 1.1'!CX$1,#REF!,0)),"")</f>
        <v/>
      </c>
      <c r="CY164" s="56" t="str">
        <f t="array" ref="CY164">IFERROR(INDEX(#REF!,MATCH('Respuestas de formulario 1.1'!$B164,#REF!,0),MATCH('Respuestas de formulario 1.1'!CY$1,#REF!,0)),"")</f>
        <v/>
      </c>
      <c r="CZ164" s="57" t="str">
        <f t="array" ref="CZ164">IFERROR(INDEX(#REF!,MATCH('Respuestas de formulario 1.1'!$B164,#REF!,0),MATCH('Respuestas de formulario 1.1'!CZ$1,#REF!,0)),"")</f>
        <v/>
      </c>
      <c r="DA164" s="45" t="e">
        <f t="array" ref="DA164">INDEX(#REF!,MATCH('Respuestas de formulario 1.1'!$B164,#REF!,0),MATCH('Respuestas de formulario 1.1'!DA$1,#REF!,0))</f>
        <v>#REF!</v>
      </c>
      <c r="DB164" s="45" t="e">
        <f t="array" ref="DB164">INDEX(#REF!,MATCH('Respuestas de formulario 1.1'!$B164,#REF!,0),MATCH('Respuestas de formulario 1.1'!DB$1,#REF!,0))</f>
        <v>#REF!</v>
      </c>
      <c r="DC164" s="45" t="e">
        <f t="array" ref="DC164">INDEX(#REF!,MATCH('Respuestas de formulario 1.1'!$B164,#REF!,0),MATCH('Respuestas de formulario 1.1'!DC$1,#REF!,0))</f>
        <v>#REF!</v>
      </c>
      <c r="DD164" s="45" t="e">
        <f t="array" ref="DD164">INDEX(#REF!,MATCH('Respuestas de formulario 1.1'!$B164,#REF!,0),MATCH('Respuestas de formulario 1.1'!DD$1,#REF!,0))</f>
        <v>#REF!</v>
      </c>
      <c r="DE164" s="45" t="e">
        <f t="array" ref="DE164">INDEX(#REF!,MATCH('Respuestas de formulario 1.1'!$B164,#REF!,0),MATCH('Respuestas de formulario 1.1'!DE$1,#REF!,0))</f>
        <v>#REF!</v>
      </c>
      <c r="DF164" s="45" t="e">
        <f t="array" ref="DF164">INDEX(#REF!,MATCH('Respuestas de formulario 1.1'!$B164,#REF!,0),MATCH('Respuestas de formulario 1.1'!DF$1,#REF!,0))</f>
        <v>#REF!</v>
      </c>
      <c r="DG164" s="45" t="e">
        <f t="array" ref="DG164">INDEX(#REF!,MATCH('Respuestas de formulario 1.1'!$B164,#REF!,0),MATCH('Respuestas de formulario 1.1'!DG$1,#REF!,0))</f>
        <v>#REF!</v>
      </c>
      <c r="DH164" s="45" t="e">
        <f t="array" ref="DH164">INDEX(#REF!,MATCH('Respuestas de formulario 1.1'!$B164,#REF!,0),MATCH('Respuestas de formulario 1.1'!DH$1,#REF!,0))</f>
        <v>#REF!</v>
      </c>
      <c r="DI164" s="48" t="e">
        <f>VLOOKUP(CONCATENATE($DF164," TUTO ",$DC164),#REF!,3,0)</f>
        <v>#REF!</v>
      </c>
      <c r="DJ164" s="48" t="e">
        <f t="array" ref="DJ164">IF('Respuestas de formulario 1.1'!A164="","",INDEX(#REF!,MATCH('Respuestas de formulario 1.1'!B164,#REF!,0),MATCH('Respuestas de formulario 1.1'!$DH$1,#REF!,0)))</f>
        <v>#REF!</v>
      </c>
      <c r="DK164" s="52" t="str">
        <f>CONCATENATE("http://doc.google.com/uc?id=",MID('Respuestas de formulario 1.1'!G164,34,33))</f>
        <v>http://doc.google.com/uc?id=1DZqpSTFmspUKU3k35Q651RulL9Wfd-rt</v>
      </c>
      <c r="DL164" s="49" t="str">
        <f>CONCATENATE("http://doc.google.com/uc?id=",MID('Respuestas de formulario 1.1'!AH164,34,33))</f>
        <v>http://doc.google.com/uc?id=1MDQRP5zTgIxWBd7NOBAqn3ib0nihm_pr</v>
      </c>
      <c r="DM164" s="50" t="str">
        <f>CONCATENATE("http://doc.google.com/uc?id=",MID('Respuestas de formulario 1.1'!AW164,34,33))</f>
        <v>http://doc.google.com/uc?id=1kptxNJ_DmR1jRtoCnacjf6RfinK1fYSq</v>
      </c>
      <c r="DN164" s="53" t="str">
        <f>CONCATENATE("http://doc.google.com/uc?id=",MID('Respuestas de formulario 1.1'!$BI164,34,33))</f>
        <v>http://doc.google.com/uc?id=1RppWtn2YxaWY4-3bhad-AFwF4_Vl0pEo</v>
      </c>
      <c r="DO164" s="45" t="str">
        <f>IFERROR(VLOOKUP(CONCATENATE('Respuestas de formulario 1.1'!$B164,MID('Respuestas de formulario 1.1'!DO$1,2,1)),#REF!,12,0),"")</f>
        <v/>
      </c>
      <c r="DP164" s="45" t="str">
        <f>IFERROR(VLOOKUP(CONCATENATE('Respuestas de formulario 1.1'!$B164,MID('Respuestas de formulario 1.1'!DP$1,2,1)),#REF!,12,0),"")</f>
        <v/>
      </c>
      <c r="DQ164" s="45" t="str">
        <f>IFERROR(VLOOKUP(CONCATENATE('Respuestas de formulario 1.1'!$B164,MID('Respuestas de formulario 1.1'!DQ$1,2,1)),#REF!,12,0),"")</f>
        <v/>
      </c>
      <c r="DR164" s="45" t="str">
        <f>IFERROR(VLOOKUP(CONCATENATE('Respuestas de formulario 1.1'!$B164,MID('Respuestas de formulario 1.1'!DR$1,2,1)),#REF!,12,0),"")</f>
        <v/>
      </c>
      <c r="DS164" s="45" t="str">
        <f>IFERROR(VLOOKUP(CONCATENATE('Respuestas de formulario 1.1'!$B164,MID('Respuestas de formulario 1.1'!DS$1,2,1)),#REF!,12,0),"")</f>
        <v/>
      </c>
      <c r="DT164" s="45" t="str">
        <f>IFERROR(VLOOKUP(CONCATENATE('Respuestas de formulario 1.1'!$B164,MID('Respuestas de formulario 1.1'!DT$1,2,1)),#REF!,12,0),"")</f>
        <v/>
      </c>
      <c r="DU164" s="45" t="str">
        <f>IFERROR(VLOOKUP(CONCATENATE('Respuestas de formulario 1.1'!$B164,MID('Respuestas de formulario 1.1'!DU$1,2,1)),#REF!,12,0),"")</f>
        <v/>
      </c>
      <c r="DV164" s="45" t="str">
        <f>IFERROR(VLOOKUP(CONCATENATE('Respuestas de formulario 1.1'!$B164,MID('Respuestas de formulario 1.1'!DV$1,2,1)),#REF!,12,0),"")</f>
        <v/>
      </c>
      <c r="DW164" s="45" t="str">
        <f>IFERROR(VLOOKUP(CONCATENATE('Respuestas de formulario 1.1'!$B164,MID('Respuestas de formulario 1.1'!DW$1,2,1)),#REF!,12,0),"")</f>
        <v/>
      </c>
      <c r="DX164" s="45" t="str">
        <f>IFERROR(VLOOKUP(CONCATENATE('Respuestas de formulario 1.1'!$B164,MID('Respuestas de formulario 1.1'!DX$1,2,1)),#REF!,12,0),"")</f>
        <v/>
      </c>
      <c r="DY164" s="45" t="str">
        <f>IFERROR(VLOOKUP(CONCATENATE('Respuestas de formulario 1.1'!$B164,MID('Respuestas de formulario 1.1'!DY$1,2,1)),#REF!,12,0),"")</f>
        <v/>
      </c>
      <c r="DZ164" s="45" t="str">
        <f>IFERROR(VLOOKUP(CONCATENATE('Respuestas de formulario 1.1'!$B164,MID('Respuestas de formulario 1.1'!DZ$1,2,1)),#REF!,12,0),"")</f>
        <v/>
      </c>
      <c r="EA164" s="45" t="str">
        <f>IFERROR(VLOOKUP(CONCATENATE('Respuestas de formulario 1.1'!$B164,MID('Respuestas de formulario 1.1'!EA$1,2,1)),#REF!,12,0),"")</f>
        <v/>
      </c>
      <c r="EB164" s="45" t="str">
        <f>IFERROR(VLOOKUP(CONCATENATE('Respuestas de formulario 1.1'!$B164,MID('Respuestas de formulario 1.1'!EB$1,2,1)),#REF!,12,0),"")</f>
        <v/>
      </c>
      <c r="EC164" s="45" t="str">
        <f>IFERROR(VLOOKUP(CONCATENATE('Respuestas de formulario 1.1'!$B164,MID('Respuestas de formulario 1.1'!EC$1,2,1)),#REF!,12,0),"")</f>
        <v/>
      </c>
      <c r="ED164" s="45" t="str">
        <f>IFERROR(VLOOKUP(CONCATENATE('Respuestas de formulario 1.1'!$B164,MID('Respuestas de formulario 1.1'!ED$1,2,1)),#REF!,12,0),"")</f>
        <v/>
      </c>
      <c r="EE164" s="45" t="str">
        <f>IFERROR(VLOOKUP(CONCATENATE('Respuestas de formulario 1.1'!$B164,MID('Respuestas de formulario 1.1'!EE$1,2,1)),#REF!,12,0),"")</f>
        <v/>
      </c>
      <c r="EF164" s="45" t="str">
        <f>IFERROR(VLOOKUP(CONCATENATE('Respuestas de formulario 1.1'!$B164,MID('Respuestas de formulario 1.1'!EF$1,2,1)),#REF!,12,0),"")</f>
        <v/>
      </c>
      <c r="EG164" s="45" t="str">
        <f>IFERROR(VLOOKUP(CONCATENATE('Respuestas de formulario 1.1'!$B164,MID('Respuestas de formulario 1.1'!EG$1,2,1)),#REF!,12,0),"")</f>
        <v/>
      </c>
      <c r="EH164" s="45" t="str">
        <f>IFERROR(VLOOKUP(CONCATENATE('Respuestas de formulario 1.1'!$B164,MID('Respuestas de formulario 1.1'!EH$1,2,1)),#REF!,12,0),"")</f>
        <v/>
      </c>
      <c r="EI164" s="45" t="str">
        <f>IFERROR(VLOOKUP(CONCATENATE('Respuestas de formulario 1.1'!$B164,MID('Respuestas de formulario 1.1'!EI$1,2,1)),#REF!,12,0),"")</f>
        <v/>
      </c>
      <c r="EJ164" s="45" t="str">
        <f t="array" ref="EJ164">IF(DO164="","", INDEX(#REF!,MATCH(CONCATENATE('Respuestas de formulario 1.1'!$B164,DO164),#REF!,0),MATCH('Respuestas de formulario 1.1'!EJ$1,#REF!,0)))</f>
        <v/>
      </c>
      <c r="EK164" s="56" t="str">
        <f t="array" ref="EK164">IF(DP164="","", INDEX(#REF!,MATCH(CONCATENATE('Respuestas de formulario 1.1'!$B164,DP164),#REF!,0),MATCH('Respuestas de formulario 1.1'!EK$1,#REF!,0)))</f>
        <v/>
      </c>
      <c r="EL164" s="56" t="str">
        <f t="array" ref="EL164">IF(DQ164="","", INDEX(#REF!,MATCH(CONCATENATE('Respuestas de formulario 1.1'!$B164,DQ164),#REF!,0),MATCH('Respuestas de formulario 1.1'!EL$1,#REF!,0)))</f>
        <v/>
      </c>
      <c r="EM164" s="56" t="str">
        <f t="array" ref="EM164">IF(DR164="","", INDEX(#REF!,MATCH(CONCATENATE('Respuestas de formulario 1.1'!$B164,DR164),#REF!,0),MATCH('Respuestas de formulario 1.1'!EM$1,#REF!,0)))</f>
        <v/>
      </c>
      <c r="EN164" s="56" t="str">
        <f t="array" ref="EN164">IF(DS164="","", INDEX(#REF!,MATCH(CONCATENATE('Respuestas de formulario 1.1'!$B164,DS164),#REF!,0),MATCH('Respuestas de formulario 1.1'!EN$1,#REF!,0)))</f>
        <v/>
      </c>
      <c r="EO164" s="56" t="str">
        <f t="array" ref="EO164">IF(DT164="","", INDEX(#REF!,MATCH(CONCATENATE('Respuestas de formulario 1.1'!$B164,DT164),#REF!,0),MATCH('Respuestas de formulario 1.1'!EO$1,#REF!,0)))</f>
        <v/>
      </c>
      <c r="EP164" s="45" t="str">
        <f t="array" ref="EP164">IF(DU164="","", INDEX(#REF!,MATCH(CONCATENATE('Respuestas de formulario 1.1'!$B164,DU164),#REF!,0),MATCH('Respuestas de formulario 1.1'!EP$1,#REF!,0)))</f>
        <v/>
      </c>
      <c r="EQ164" s="45" t="str">
        <f t="array" ref="EQ164">IF(DP164="","", INDEX(#REF!,MATCH(CONCATENATE('Respuestas de formulario 1.1'!$B164,DP164),#REF!,0),MATCH('Respuestas de formulario 1.1'!EQ$1,#REF!,0)))</f>
        <v/>
      </c>
      <c r="ER164" s="56" t="str">
        <f t="array" ref="ER164">IF(DQ164="","", INDEX(#REF!,MATCH(CONCATENATE('Respuestas de formulario 1.1'!$B164,DQ164),#REF!,0),MATCH('Respuestas de formulario 1.1'!ER$1,#REF!,0)))</f>
        <v/>
      </c>
      <c r="ES164" s="56" t="str">
        <f t="array" ref="ES164">IF(DR164="","", INDEX(#REF!,MATCH(CONCATENATE('Respuestas de formulario 1.1'!$B164,DR164),#REF!,0),MATCH('Respuestas de formulario 1.1'!ES$1,#REF!,0)))</f>
        <v/>
      </c>
      <c r="ET164" s="56" t="str">
        <f t="array" ref="ET164">IF(DS164="","", INDEX(#REF!,MATCH(CONCATENATE('Respuestas de formulario 1.1'!$B164,DS164),#REF!,0),MATCH('Respuestas de formulario 1.1'!ET$1,#REF!,0)))</f>
        <v/>
      </c>
      <c r="EU164" s="56" t="str">
        <f t="array" ref="EU164">IF(DT164="","", INDEX(#REF!,MATCH(CONCATENATE('Respuestas de formulario 1.1'!$B164,DT164),#REF!,0),MATCH('Respuestas de formulario 1.1'!EU$1,#REF!,0)))</f>
        <v/>
      </c>
      <c r="EV164" s="56" t="str">
        <f t="array" ref="EV164">IF(DU164="","", INDEX(#REF!,MATCH(CONCATENATE('Respuestas de formulario 1.1'!$B164,DU164),#REF!,0),MATCH('Respuestas de formulario 1.1'!EV$1,#REF!,0)))</f>
        <v/>
      </c>
      <c r="EW164" s="45" t="str">
        <f t="array" ref="EW164">IF(DV164="","", INDEX(#REF!,MATCH(CONCATENATE('Respuestas de formulario 1.1'!$B164,DV164),#REF!,0),MATCH('Respuestas de formulario 1.1'!EW$1,#REF!,0)))</f>
        <v/>
      </c>
      <c r="EX164" s="45" t="str">
        <f t="array" ref="EX164">IF($DQ164="","", INDEX(#REF!,MATCH(CONCATENATE('Respuestas de formulario 1.1'!$B164,$DQ164),#REF!,0),MATCH('Respuestas de formulario 1.1'!EX$1,#REF!,0)))</f>
        <v/>
      </c>
      <c r="EY164" s="56" t="str">
        <f t="array" ref="EY164">IF($DQ164="","", INDEX(#REF!,MATCH(CONCATENATE('Respuestas de formulario 1.1'!$B164,$DQ164),#REF!,0),MATCH('Respuestas de formulario 1.1'!EY$1,#REF!,0)))</f>
        <v/>
      </c>
      <c r="EZ164" s="56" t="str">
        <f t="array" ref="EZ164">IF($DQ164="","", INDEX(#REF!,MATCH(CONCATENATE('Respuestas de formulario 1.1'!$B164,$DQ164),#REF!,0),MATCH('Respuestas de formulario 1.1'!EZ$1,#REF!,0)))</f>
        <v/>
      </c>
      <c r="FA164" s="56" t="str">
        <f t="array" ref="FA164">IF($DQ164="","", INDEX(#REF!,MATCH(CONCATENATE('Respuestas de formulario 1.1'!$B164,$DQ164),#REF!,0),MATCH('Respuestas de formulario 1.1'!FA$1,#REF!,0)))</f>
        <v/>
      </c>
      <c r="FB164" s="56" t="str">
        <f t="array" ref="FB164">IF($DQ164="","", INDEX(#REF!,MATCH(CONCATENATE('Respuestas de formulario 1.1'!$B164,$DQ164),#REF!,0),MATCH('Respuestas de formulario 1.1'!FB$1,#REF!,0)))</f>
        <v/>
      </c>
      <c r="FC164" s="56" t="str">
        <f t="array" ref="FC164">IF($DQ164="","", INDEX(#REF!,MATCH(CONCATENATE('Respuestas de formulario 1.1'!$B164,$DQ164),#REF!,0),MATCH('Respuestas de formulario 1.1'!FC$1,#REF!,0)))</f>
        <v/>
      </c>
      <c r="FD164" s="45" t="str">
        <f t="array" ref="FD164">IF($DQ164="","", INDEX(#REF!,MATCH(CONCATENATE('Respuestas de formulario 1.1'!$B164,$DQ164),#REF!,0),MATCH('Respuestas de formulario 1.1'!FD$1,#REF!,0)))</f>
        <v/>
      </c>
      <c r="FE164" s="45" t="str">
        <f t="array" ref="FE164">IF($DR164="","", INDEX(#REF!,MATCH(CONCATENATE(#REF!,$DR164),#REF!,0),MATCH(#REF!,#REF!,0)))</f>
        <v/>
      </c>
      <c r="FF164" s="56" t="str">
        <f t="array" ref="FF164">IF($DR164="","", INDEX(#REF!,MATCH(CONCATENATE(#REF!,$DR164),#REF!,0),MATCH(#REF!,#REF!,0)))</f>
        <v/>
      </c>
      <c r="FG164" s="56" t="str">
        <f t="array" ref="FG164">IF($DR164="","", INDEX(#REF!,MATCH(CONCATENATE(#REF!,$DR164),#REF!,0),MATCH(#REF!,#REF!,0)))</f>
        <v/>
      </c>
      <c r="FH164" s="56" t="str">
        <f t="array" ref="FH164">IF($DR164="","", INDEX(#REF!,MATCH(CONCATENATE(#REF!,$DR164),#REF!,0),MATCH(#REF!,#REF!,0)))</f>
        <v/>
      </c>
      <c r="FI164" s="56" t="str">
        <f t="array" ref="FI164">IF($DR164="","", INDEX(#REF!,MATCH(CONCATENATE(#REF!,$DR164),#REF!,0),MATCH(#REF!,#REF!,0)))</f>
        <v/>
      </c>
      <c r="FJ164" s="56" t="str">
        <f t="array" ref="FJ164">IF($DR164="","", INDEX(#REF!,MATCH(CONCATENATE(#REF!,$DR164),#REF!,0),MATCH(#REF!,#REF!,0)))</f>
        <v/>
      </c>
      <c r="FK164" s="45" t="str">
        <f t="array" ref="FK164">IF($DR164="","", INDEX(#REF!,MATCH(CONCATENATE(#REF!,$DR164),#REF!,0),MATCH(#REF!,#REF!,0)))</f>
        <v/>
      </c>
      <c r="FL164" s="45" t="str">
        <f t="array" ref="FL164">IF($DT164="","", INDEX(#REF!,MATCH(CONCATENATE('Respuestas de formulario 1.1'!$B164,$DS164),#REF!,0),MATCH('Respuestas de formulario 1.1'!FL$1,#REF!,0)))</f>
        <v/>
      </c>
      <c r="FM164" s="56" t="str">
        <f t="array" ref="FM164">IF($DT164="","", INDEX(#REF!,MATCH(CONCATENATE('Respuestas de formulario 1.1'!$B164,$DS164),#REF!,0),MATCH('Respuestas de formulario 1.1'!FM$1,#REF!,0)))</f>
        <v/>
      </c>
      <c r="FN164" s="56" t="str">
        <f t="array" ref="FN164">IF($DT164="","", INDEX(#REF!,MATCH(CONCATENATE('Respuestas de formulario 1.1'!$B164,$DS164),#REF!,0),MATCH('Respuestas de formulario 1.1'!FN$1,#REF!,0)))</f>
        <v/>
      </c>
      <c r="FO164" s="56" t="str">
        <f t="array" ref="FO164">IF($DT164="","", INDEX(#REF!,MATCH(CONCATENATE('Respuestas de formulario 1.1'!$B164,$DS164),#REF!,0),MATCH('Respuestas de formulario 1.1'!FO$1,#REF!,0)))</f>
        <v/>
      </c>
      <c r="FP164" s="56" t="str">
        <f t="array" ref="FP164">IF($DT164="","", INDEX(#REF!,MATCH(CONCATENATE('Respuestas de formulario 1.1'!$B164,$DS164),#REF!,0),MATCH('Respuestas de formulario 1.1'!FP$1,#REF!,0)))</f>
        <v/>
      </c>
      <c r="FQ164" s="56" t="str">
        <f t="array" ref="FQ164">IF($DT164="","", INDEX(#REF!,MATCH(CONCATENATE('Respuestas de formulario 1.1'!$B164,$DS164),#REF!,0),MATCH('Respuestas de formulario 1.1'!FQ$1,#REF!,0)))</f>
        <v/>
      </c>
      <c r="FR164" s="45" t="str">
        <f t="array" ref="FR164">IF($DT164="","", INDEX(#REF!,MATCH(CONCATENATE('Respuestas de formulario 1.1'!$B164,$DS164),#REF!,0),MATCH('Respuestas de formulario 1.1'!FR$1,#REF!,0)))</f>
        <v/>
      </c>
      <c r="FS164" s="45" t="str">
        <f t="array" ref="FS164">IF($DU164="","", INDEX(#REF!,MATCH(CONCATENATE('Respuestas de formulario 1.1'!$B164,$DT164),#REF!,0),MATCH('Respuestas de formulario 1.1'!FS$1,#REF!,0)))</f>
        <v/>
      </c>
      <c r="FT164" s="56" t="str">
        <f t="array" ref="FT164">IF($DU164="","", INDEX(#REF!,MATCH(CONCATENATE('Respuestas de formulario 1.1'!$B164,$DT164),#REF!,0),MATCH('Respuestas de formulario 1.1'!FT$1,#REF!,0)))</f>
        <v/>
      </c>
      <c r="FU164" s="56" t="str">
        <f t="array" ref="FU164">IF($DU164="","", INDEX(#REF!,MATCH(CONCATENATE('Respuestas de formulario 1.1'!$B164,$DT164),#REF!,0),MATCH('Respuestas de formulario 1.1'!FU$1,#REF!,0)))</f>
        <v/>
      </c>
      <c r="FV164" s="56" t="str">
        <f t="array" ref="FV164">IF($DU164="","", INDEX(#REF!,MATCH(CONCATENATE('Respuestas de formulario 1.1'!$B164,$DT164),#REF!,0),MATCH('Respuestas de formulario 1.1'!FV$1,#REF!,0)))</f>
        <v/>
      </c>
      <c r="FW164" s="56" t="str">
        <f t="array" ref="FW164">IF($DU164="","", INDEX(#REF!,MATCH(CONCATENATE('Respuestas de formulario 1.1'!$B164,$DT164),#REF!,0),MATCH('Respuestas de formulario 1.1'!FW$1,#REF!,0)))</f>
        <v/>
      </c>
      <c r="FX164" s="56" t="str">
        <f t="array" ref="FX164">IF($DU164="","", INDEX(#REF!,MATCH(CONCATENATE('Respuestas de formulario 1.1'!$B164,$DT164),#REF!,0),MATCH('Respuestas de formulario 1.1'!FX$1,#REF!,0)))</f>
        <v/>
      </c>
      <c r="FY164" s="45" t="str">
        <f t="array" ref="FY164">IF($DU164="","", INDEX(#REF!,MATCH(CONCATENATE('Respuestas de formulario 1.1'!$B164,$DT164),#REF!,0),MATCH('Respuestas de formulario 1.1'!FY$1,#REF!,0)))</f>
        <v/>
      </c>
      <c r="FZ164" s="3" t="s">
        <v>2860</v>
      </c>
      <c r="GA164" s="1" t="s">
        <v>5658</v>
      </c>
      <c r="GB164" s="5" t="s">
        <v>5659</v>
      </c>
      <c r="GC164" s="4" t="str">
        <f>HYPERLINK("https://drive.google.com/file/d/1-1xo_wlxqf-QKxhT5yvmpzAw1PCdDUZe/view?usp=drivesdk","CALVO HERNANDEZ EMANUEL Formato de reinscripción y pago 2022-2")</f>
        <v>CALVO HERNANDEZ EMANUEL Formato de reinscripción y pago 2022-2</v>
      </c>
      <c r="GD164" s="1" t="s">
        <v>5660</v>
      </c>
      <c r="GE164" s="1"/>
      <c r="GF164" s="1"/>
      <c r="GG164" s="1"/>
      <c r="GH164" s="1"/>
      <c r="GI164" s="1" t="s">
        <v>5661</v>
      </c>
      <c r="GJ164" s="5" t="s">
        <v>5662</v>
      </c>
      <c r="GK164" s="5" t="str">
        <f>HYPERLINK("https://drive.google.com/file/d/1Z5NfdIvq-mLilIlMskwn_6DvnBLjTDvq/view?usp=drivesdk","CALVO HERNANDEZ EMANUEL Formato de reinscripción y pago 2022-2")</f>
        <v>CALVO HERNANDEZ EMANUEL Formato de reinscripción y pago 2022-2</v>
      </c>
      <c r="GL164" s="1" t="s">
        <v>5663</v>
      </c>
    </row>
    <row r="165" spans="1:194" ht="14.25" x14ac:dyDescent="0.2">
      <c r="A165" s="2">
        <v>45139.473652569446</v>
      </c>
      <c r="B165" s="1" t="s">
        <v>1810</v>
      </c>
      <c r="C165" s="1" t="s">
        <v>433</v>
      </c>
      <c r="D165" s="1" t="s">
        <v>252</v>
      </c>
      <c r="E165" s="1" t="s">
        <v>5664</v>
      </c>
      <c r="F165" s="1" t="s">
        <v>223</v>
      </c>
      <c r="G165" s="5" t="s">
        <v>5665</v>
      </c>
      <c r="H165" s="41">
        <v>39319</v>
      </c>
      <c r="I165" s="1">
        <v>15</v>
      </c>
      <c r="J165" s="1">
        <v>5624001822</v>
      </c>
      <c r="K165" s="1">
        <v>5552738820</v>
      </c>
      <c r="L165" s="1" t="s">
        <v>1811</v>
      </c>
      <c r="M165" s="1">
        <v>22309060570673</v>
      </c>
      <c r="N165" s="1" t="s">
        <v>562</v>
      </c>
      <c r="O165" s="1" t="s">
        <v>247</v>
      </c>
      <c r="P165" s="1" t="s">
        <v>226</v>
      </c>
      <c r="Q165" s="1" t="s">
        <v>227</v>
      </c>
      <c r="R165" s="1" t="s">
        <v>236</v>
      </c>
      <c r="S165" s="1" t="s">
        <v>228</v>
      </c>
      <c r="T165" s="1" t="s">
        <v>229</v>
      </c>
      <c r="U165" s="1" t="s">
        <v>1812</v>
      </c>
      <c r="V165" s="1" t="s">
        <v>228</v>
      </c>
      <c r="W165" s="1" t="s">
        <v>1813</v>
      </c>
      <c r="X165" s="1" t="s">
        <v>1812</v>
      </c>
      <c r="Y165" s="1" t="s">
        <v>5666</v>
      </c>
      <c r="Z165" s="1" t="s">
        <v>240</v>
      </c>
      <c r="AA165" s="1">
        <v>11830</v>
      </c>
      <c r="AB165" s="1">
        <v>63</v>
      </c>
      <c r="AC165" s="1">
        <v>3</v>
      </c>
      <c r="AD165" s="1" t="s">
        <v>5667</v>
      </c>
      <c r="AE165" s="1" t="s">
        <v>5668</v>
      </c>
      <c r="AF165" s="1" t="s">
        <v>265</v>
      </c>
      <c r="AG165" s="1">
        <v>35</v>
      </c>
      <c r="AH165" s="5" t="s">
        <v>5669</v>
      </c>
      <c r="AI165" s="1">
        <v>5522540880</v>
      </c>
      <c r="AJ165" s="1">
        <v>5526019661</v>
      </c>
      <c r="AK165" s="1" t="s">
        <v>1814</v>
      </c>
      <c r="AL165" s="1" t="s">
        <v>1639</v>
      </c>
      <c r="AM165" s="1" t="s">
        <v>252</v>
      </c>
      <c r="AN165" s="1" t="s">
        <v>1815</v>
      </c>
      <c r="AO165" s="1" t="s">
        <v>650</v>
      </c>
      <c r="AP165" s="1">
        <v>42</v>
      </c>
      <c r="AQ165" s="1" t="s">
        <v>546</v>
      </c>
      <c r="AR165" s="42">
        <v>0.20833333333575865</v>
      </c>
      <c r="AS165" s="42">
        <v>0.70833333333575865</v>
      </c>
      <c r="AT165" s="1">
        <v>5574163716</v>
      </c>
      <c r="AU165" s="1">
        <v>5526019661</v>
      </c>
      <c r="AV165" s="1" t="s">
        <v>1816</v>
      </c>
      <c r="AW165" s="5" t="s">
        <v>5670</v>
      </c>
      <c r="AX165" s="1" t="s">
        <v>1632</v>
      </c>
      <c r="AY165" s="1" t="s">
        <v>1785</v>
      </c>
      <c r="AZ165" s="1" t="s">
        <v>5671</v>
      </c>
      <c r="BA165" s="1" t="s">
        <v>359</v>
      </c>
      <c r="BB165" s="1">
        <v>52</v>
      </c>
      <c r="BC165" s="1" t="s">
        <v>267</v>
      </c>
      <c r="BD165" s="43">
        <v>0.33333333333575865</v>
      </c>
      <c r="BE165" s="43">
        <v>0.70833333333575865</v>
      </c>
      <c r="BF165" s="1">
        <v>5520074029</v>
      </c>
      <c r="BG165" s="1">
        <v>5552738820</v>
      </c>
      <c r="BH165" s="1" t="s">
        <v>5672</v>
      </c>
      <c r="BI165" s="5" t="s">
        <v>5673</v>
      </c>
      <c r="BJ165" s="1" t="s">
        <v>228</v>
      </c>
      <c r="BK165" s="1" t="s">
        <v>359</v>
      </c>
      <c r="BL165" s="1">
        <v>148</v>
      </c>
      <c r="BM165" s="1">
        <v>44</v>
      </c>
      <c r="BN165" s="1" t="s">
        <v>236</v>
      </c>
      <c r="BO165" s="1" t="s">
        <v>228</v>
      </c>
      <c r="BQ165" s="1" t="s">
        <v>228</v>
      </c>
      <c r="BR165" s="1" t="s">
        <v>237</v>
      </c>
      <c r="BS165" s="1" t="s">
        <v>228</v>
      </c>
      <c r="BT165" s="1" t="s">
        <v>237</v>
      </c>
      <c r="BU165" s="1" t="s">
        <v>228</v>
      </c>
      <c r="BW165" s="1" t="s">
        <v>349</v>
      </c>
      <c r="BX165" s="1">
        <v>80</v>
      </c>
      <c r="BY165" s="1">
        <v>100</v>
      </c>
      <c r="BZ165" s="1" t="s">
        <v>2037</v>
      </c>
      <c r="CA165" s="1" t="s">
        <v>343</v>
      </c>
      <c r="CB165" s="1" t="s">
        <v>240</v>
      </c>
      <c r="CC165" s="1" t="s">
        <v>241</v>
      </c>
      <c r="CD165" s="1">
        <v>1500</v>
      </c>
      <c r="CE165" s="1">
        <v>2000</v>
      </c>
      <c r="CF165" s="1" t="s">
        <v>236</v>
      </c>
      <c r="CG165" s="1" t="s">
        <v>242</v>
      </c>
      <c r="CH165" s="1" t="s">
        <v>243</v>
      </c>
      <c r="CI165" s="1" t="s">
        <v>243</v>
      </c>
      <c r="CJ165" s="1" t="s">
        <v>2848</v>
      </c>
      <c r="CL165" s="5" t="s">
        <v>5674</v>
      </c>
      <c r="CM165" s="44" t="s">
        <v>1817</v>
      </c>
      <c r="CN165" s="1" t="s">
        <v>228</v>
      </c>
      <c r="CQ165" s="42">
        <v>0.29166666666424135</v>
      </c>
      <c r="CR165" s="42">
        <v>0.625</v>
      </c>
      <c r="CT165" s="45" t="str">
        <f t="array" ref="CT165">IFERROR(INDEX(#REF!,MATCH('Respuestas de formulario 1.1'!$B165,#REF!,0),MATCH('Respuestas de formulario 1.1'!CT$1,#REF!,0)),"")</f>
        <v/>
      </c>
      <c r="CU165" s="56" t="str">
        <f t="array" ref="CU165">IFERROR(INDEX(#REF!,MATCH('Respuestas de formulario 1.1'!$B165,#REF!,0),MATCH('Respuestas de formulario 1.1'!CU$1,#REF!,0)),"")</f>
        <v/>
      </c>
      <c r="CV165" s="56" t="str">
        <f t="array" ref="CV165">IFERROR(INDEX(#REF!,MATCH('Respuestas de formulario 1.1'!$B165,#REF!,0),MATCH('Respuestas de formulario 1.1'!CV$1,#REF!,0)),"")</f>
        <v/>
      </c>
      <c r="CW165" s="56" t="str">
        <f t="array" ref="CW165">IFERROR(INDEX(#REF!,MATCH('Respuestas de formulario 1.1'!$B165,#REF!,0),MATCH('Respuestas de formulario 1.1'!CW$1,#REF!,0)),"")</f>
        <v/>
      </c>
      <c r="CX165" s="56" t="str">
        <f t="array" ref="CX165">IFERROR(INDEX(#REF!,MATCH('Respuestas de formulario 1.1'!$B165,#REF!,0),MATCH('Respuestas de formulario 1.1'!CX$1,#REF!,0)),"")</f>
        <v/>
      </c>
      <c r="CY165" s="56" t="str">
        <f t="array" ref="CY165">IFERROR(INDEX(#REF!,MATCH('Respuestas de formulario 1.1'!$B165,#REF!,0),MATCH('Respuestas de formulario 1.1'!CY$1,#REF!,0)),"")</f>
        <v/>
      </c>
      <c r="CZ165" s="57" t="str">
        <f t="array" ref="CZ165">IFERROR(INDEX(#REF!,MATCH('Respuestas de formulario 1.1'!$B165,#REF!,0),MATCH('Respuestas de formulario 1.1'!CZ$1,#REF!,0)),"")</f>
        <v/>
      </c>
      <c r="DA165" s="45" t="e">
        <f t="array" ref="DA165">INDEX(#REF!,MATCH('Respuestas de formulario 1.1'!$B165,#REF!,0),MATCH('Respuestas de formulario 1.1'!DA$1,#REF!,0))</f>
        <v>#REF!</v>
      </c>
      <c r="DB165" s="45" t="e">
        <f t="array" ref="DB165">INDEX(#REF!,MATCH('Respuestas de formulario 1.1'!$B165,#REF!,0),MATCH('Respuestas de formulario 1.1'!DB$1,#REF!,0))</f>
        <v>#REF!</v>
      </c>
      <c r="DC165" s="45" t="e">
        <f t="array" ref="DC165">INDEX(#REF!,MATCH('Respuestas de formulario 1.1'!$B165,#REF!,0),MATCH('Respuestas de formulario 1.1'!DC$1,#REF!,0))</f>
        <v>#REF!</v>
      </c>
      <c r="DD165" s="45" t="e">
        <f t="array" ref="DD165">INDEX(#REF!,MATCH('Respuestas de formulario 1.1'!$B165,#REF!,0),MATCH('Respuestas de formulario 1.1'!DD$1,#REF!,0))</f>
        <v>#REF!</v>
      </c>
      <c r="DE165" s="45" t="e">
        <f t="array" ref="DE165">INDEX(#REF!,MATCH('Respuestas de formulario 1.1'!$B165,#REF!,0),MATCH('Respuestas de formulario 1.1'!DE$1,#REF!,0))</f>
        <v>#REF!</v>
      </c>
      <c r="DF165" s="45" t="e">
        <f t="array" ref="DF165">INDEX(#REF!,MATCH('Respuestas de formulario 1.1'!$B165,#REF!,0),MATCH('Respuestas de formulario 1.1'!DF$1,#REF!,0))</f>
        <v>#REF!</v>
      </c>
      <c r="DG165" s="45" t="e">
        <f t="array" ref="DG165">INDEX(#REF!,MATCH('Respuestas de formulario 1.1'!$B165,#REF!,0),MATCH('Respuestas de formulario 1.1'!DG$1,#REF!,0))</f>
        <v>#REF!</v>
      </c>
      <c r="DH165" s="45" t="e">
        <f t="array" ref="DH165">INDEX(#REF!,MATCH('Respuestas de formulario 1.1'!$B165,#REF!,0),MATCH('Respuestas de formulario 1.1'!DH$1,#REF!,0))</f>
        <v>#REF!</v>
      </c>
      <c r="DI165" s="48" t="e">
        <f>VLOOKUP(CONCATENATE($DF165," TUTO ",$DC165),#REF!,3,0)</f>
        <v>#REF!</v>
      </c>
      <c r="DJ165" s="48" t="e">
        <f t="array" ref="DJ165">IF('Respuestas de formulario 1.1'!A165="","",INDEX(#REF!,MATCH('Respuestas de formulario 1.1'!B165,#REF!,0),MATCH('Respuestas de formulario 1.1'!$DH$1,#REF!,0)))</f>
        <v>#REF!</v>
      </c>
      <c r="DK165" s="52" t="str">
        <f>CONCATENATE("http://doc.google.com/uc?id=",MID('Respuestas de formulario 1.1'!G165,34,33))</f>
        <v>http://doc.google.com/uc?id=10fOaNdGmgjLFzOsznRngvMMvmuNLbNJY</v>
      </c>
      <c r="DL165" s="49" t="str">
        <f>CONCATENATE("http://doc.google.com/uc?id=",MID('Respuestas de formulario 1.1'!AH165,34,33))</f>
        <v>http://doc.google.com/uc?id=1BGNx9zcHnom1_dSLCQDB9K2iornRmcEC</v>
      </c>
      <c r="DM165" s="50" t="str">
        <f>CONCATENATE("http://doc.google.com/uc?id=",MID('Respuestas de formulario 1.1'!AW165,34,33))</f>
        <v>http://doc.google.com/uc?id=1yFjZCLgPDYoDBb_XHr7P5su0Dk4ycL9I</v>
      </c>
      <c r="DN165" s="53" t="str">
        <f>CONCATENATE("http://doc.google.com/uc?id=",MID('Respuestas de formulario 1.1'!$BI165,34,33))</f>
        <v>http://doc.google.com/uc?id=16abHlqomsf0P5_8YECjXHaem4ctmHXUH</v>
      </c>
      <c r="DO165" s="45" t="str">
        <f>IFERROR(VLOOKUP(CONCATENATE('Respuestas de formulario 1.1'!$B165,MID('Respuestas de formulario 1.1'!DO$1,2,1)),#REF!,12,0),"")</f>
        <v/>
      </c>
      <c r="DP165" s="45" t="str">
        <f>IFERROR(VLOOKUP(CONCATENATE('Respuestas de formulario 1.1'!$B165,MID('Respuestas de formulario 1.1'!DP$1,2,1)),#REF!,12,0),"")</f>
        <v/>
      </c>
      <c r="DQ165" s="45" t="str">
        <f>IFERROR(VLOOKUP(CONCATENATE('Respuestas de formulario 1.1'!$B165,MID('Respuestas de formulario 1.1'!DQ$1,2,1)),#REF!,12,0),"")</f>
        <v/>
      </c>
      <c r="DR165" s="45" t="str">
        <f>IFERROR(VLOOKUP(CONCATENATE('Respuestas de formulario 1.1'!$B165,MID('Respuestas de formulario 1.1'!DR$1,2,1)),#REF!,12,0),"")</f>
        <v/>
      </c>
      <c r="DS165" s="45" t="str">
        <f>IFERROR(VLOOKUP(CONCATENATE('Respuestas de formulario 1.1'!$B165,MID('Respuestas de formulario 1.1'!DS$1,2,1)),#REF!,12,0),"")</f>
        <v/>
      </c>
      <c r="DT165" s="45" t="str">
        <f>IFERROR(VLOOKUP(CONCATENATE('Respuestas de formulario 1.1'!$B165,MID('Respuestas de formulario 1.1'!DT$1,2,1)),#REF!,12,0),"")</f>
        <v/>
      </c>
      <c r="DU165" s="45" t="str">
        <f>IFERROR(VLOOKUP(CONCATENATE('Respuestas de formulario 1.1'!$B165,MID('Respuestas de formulario 1.1'!DU$1,2,1)),#REF!,12,0),"")</f>
        <v/>
      </c>
      <c r="DV165" s="45" t="str">
        <f>IFERROR(VLOOKUP(CONCATENATE('Respuestas de formulario 1.1'!$B165,MID('Respuestas de formulario 1.1'!DV$1,2,1)),#REF!,12,0),"")</f>
        <v/>
      </c>
      <c r="DW165" s="45" t="str">
        <f>IFERROR(VLOOKUP(CONCATENATE('Respuestas de formulario 1.1'!$B165,MID('Respuestas de formulario 1.1'!DW$1,2,1)),#REF!,12,0),"")</f>
        <v/>
      </c>
      <c r="DX165" s="45" t="str">
        <f>IFERROR(VLOOKUP(CONCATENATE('Respuestas de formulario 1.1'!$B165,MID('Respuestas de formulario 1.1'!DX$1,2,1)),#REF!,12,0),"")</f>
        <v/>
      </c>
      <c r="DY165" s="45" t="str">
        <f>IFERROR(VLOOKUP(CONCATENATE('Respuestas de formulario 1.1'!$B165,MID('Respuestas de formulario 1.1'!DY$1,2,1)),#REF!,12,0),"")</f>
        <v/>
      </c>
      <c r="DZ165" s="45" t="str">
        <f>IFERROR(VLOOKUP(CONCATENATE('Respuestas de formulario 1.1'!$B165,MID('Respuestas de formulario 1.1'!DZ$1,2,1)),#REF!,12,0),"")</f>
        <v/>
      </c>
      <c r="EA165" s="45" t="str">
        <f>IFERROR(VLOOKUP(CONCATENATE('Respuestas de formulario 1.1'!$B165,MID('Respuestas de formulario 1.1'!EA$1,2,1)),#REF!,12,0),"")</f>
        <v/>
      </c>
      <c r="EB165" s="45" t="str">
        <f>IFERROR(VLOOKUP(CONCATENATE('Respuestas de formulario 1.1'!$B165,MID('Respuestas de formulario 1.1'!EB$1,2,1)),#REF!,12,0),"")</f>
        <v/>
      </c>
      <c r="EC165" s="45" t="str">
        <f>IFERROR(VLOOKUP(CONCATENATE('Respuestas de formulario 1.1'!$B165,MID('Respuestas de formulario 1.1'!EC$1,2,1)),#REF!,12,0),"")</f>
        <v/>
      </c>
      <c r="ED165" s="45" t="str">
        <f>IFERROR(VLOOKUP(CONCATENATE('Respuestas de formulario 1.1'!$B165,MID('Respuestas de formulario 1.1'!ED$1,2,1)),#REF!,12,0),"")</f>
        <v/>
      </c>
      <c r="EE165" s="45" t="str">
        <f>IFERROR(VLOOKUP(CONCATENATE('Respuestas de formulario 1.1'!$B165,MID('Respuestas de formulario 1.1'!EE$1,2,1)),#REF!,12,0),"")</f>
        <v/>
      </c>
      <c r="EF165" s="45" t="str">
        <f>IFERROR(VLOOKUP(CONCATENATE('Respuestas de formulario 1.1'!$B165,MID('Respuestas de formulario 1.1'!EF$1,2,1)),#REF!,12,0),"")</f>
        <v/>
      </c>
      <c r="EG165" s="45" t="str">
        <f>IFERROR(VLOOKUP(CONCATENATE('Respuestas de formulario 1.1'!$B165,MID('Respuestas de formulario 1.1'!EG$1,2,1)),#REF!,12,0),"")</f>
        <v/>
      </c>
      <c r="EH165" s="45" t="str">
        <f>IFERROR(VLOOKUP(CONCATENATE('Respuestas de formulario 1.1'!$B165,MID('Respuestas de formulario 1.1'!EH$1,2,1)),#REF!,12,0),"")</f>
        <v/>
      </c>
      <c r="EI165" s="45" t="str">
        <f>IFERROR(VLOOKUP(CONCATENATE('Respuestas de formulario 1.1'!$B165,MID('Respuestas de formulario 1.1'!EI$1,2,1)),#REF!,12,0),"")</f>
        <v/>
      </c>
      <c r="EJ165" s="45" t="str">
        <f t="array" ref="EJ165">IF(DO165="","", INDEX(#REF!,MATCH(CONCATENATE('Respuestas de formulario 1.1'!$B165,DO165),#REF!,0),MATCH('Respuestas de formulario 1.1'!EJ$1,#REF!,0)))</f>
        <v/>
      </c>
      <c r="EK165" s="56" t="str">
        <f t="array" ref="EK165">IF(DP165="","", INDEX(#REF!,MATCH(CONCATENATE('Respuestas de formulario 1.1'!$B165,DP165),#REF!,0),MATCH('Respuestas de formulario 1.1'!EK$1,#REF!,0)))</f>
        <v/>
      </c>
      <c r="EL165" s="56" t="str">
        <f t="array" ref="EL165">IF(DQ165="","", INDEX(#REF!,MATCH(CONCATENATE('Respuestas de formulario 1.1'!$B165,DQ165),#REF!,0),MATCH('Respuestas de formulario 1.1'!EL$1,#REF!,0)))</f>
        <v/>
      </c>
      <c r="EM165" s="56" t="str">
        <f t="array" ref="EM165">IF(DR165="","", INDEX(#REF!,MATCH(CONCATENATE('Respuestas de formulario 1.1'!$B165,DR165),#REF!,0),MATCH('Respuestas de formulario 1.1'!EM$1,#REF!,0)))</f>
        <v/>
      </c>
      <c r="EN165" s="56" t="str">
        <f t="array" ref="EN165">IF(DS165="","", INDEX(#REF!,MATCH(CONCATENATE('Respuestas de formulario 1.1'!$B165,DS165),#REF!,0),MATCH('Respuestas de formulario 1.1'!EN$1,#REF!,0)))</f>
        <v/>
      </c>
      <c r="EO165" s="56" t="str">
        <f t="array" ref="EO165">IF(DT165="","", INDEX(#REF!,MATCH(CONCATENATE('Respuestas de formulario 1.1'!$B165,DT165),#REF!,0),MATCH('Respuestas de formulario 1.1'!EO$1,#REF!,0)))</f>
        <v/>
      </c>
      <c r="EP165" s="45" t="str">
        <f t="array" ref="EP165">IF(DU165="","", INDEX(#REF!,MATCH(CONCATENATE('Respuestas de formulario 1.1'!$B165,DU165),#REF!,0),MATCH('Respuestas de formulario 1.1'!EP$1,#REF!,0)))</f>
        <v/>
      </c>
      <c r="EQ165" s="45" t="str">
        <f t="array" ref="EQ165">IF(DP165="","", INDEX(#REF!,MATCH(CONCATENATE('Respuestas de formulario 1.1'!$B165,DP165),#REF!,0),MATCH('Respuestas de formulario 1.1'!EQ$1,#REF!,0)))</f>
        <v/>
      </c>
      <c r="ER165" s="56" t="str">
        <f t="array" ref="ER165">IF(DQ165="","", INDEX(#REF!,MATCH(CONCATENATE('Respuestas de formulario 1.1'!$B165,DQ165),#REF!,0),MATCH('Respuestas de formulario 1.1'!ER$1,#REF!,0)))</f>
        <v/>
      </c>
      <c r="ES165" s="56" t="str">
        <f t="array" ref="ES165">IF(DR165="","", INDEX(#REF!,MATCH(CONCATENATE('Respuestas de formulario 1.1'!$B165,DR165),#REF!,0),MATCH('Respuestas de formulario 1.1'!ES$1,#REF!,0)))</f>
        <v/>
      </c>
      <c r="ET165" s="56" t="str">
        <f t="array" ref="ET165">IF(DS165="","", INDEX(#REF!,MATCH(CONCATENATE('Respuestas de formulario 1.1'!$B165,DS165),#REF!,0),MATCH('Respuestas de formulario 1.1'!ET$1,#REF!,0)))</f>
        <v/>
      </c>
      <c r="EU165" s="56" t="str">
        <f t="array" ref="EU165">IF(DT165="","", INDEX(#REF!,MATCH(CONCATENATE('Respuestas de formulario 1.1'!$B165,DT165),#REF!,0),MATCH('Respuestas de formulario 1.1'!EU$1,#REF!,0)))</f>
        <v/>
      </c>
      <c r="EV165" s="56" t="str">
        <f t="array" ref="EV165">IF(DU165="","", INDEX(#REF!,MATCH(CONCATENATE('Respuestas de formulario 1.1'!$B165,DU165),#REF!,0),MATCH('Respuestas de formulario 1.1'!EV$1,#REF!,0)))</f>
        <v/>
      </c>
      <c r="EW165" s="45" t="str">
        <f t="array" ref="EW165">IF(DV165="","", INDEX(#REF!,MATCH(CONCATENATE('Respuestas de formulario 1.1'!$B165,DV165),#REF!,0),MATCH('Respuestas de formulario 1.1'!EW$1,#REF!,0)))</f>
        <v/>
      </c>
      <c r="EX165" s="45" t="str">
        <f t="array" ref="EX165">IF($DQ165="","", INDEX(#REF!,MATCH(CONCATENATE('Respuestas de formulario 1.1'!$B165,$DQ165),#REF!,0),MATCH('Respuestas de formulario 1.1'!EX$1,#REF!,0)))</f>
        <v/>
      </c>
      <c r="EY165" s="56" t="str">
        <f t="array" ref="EY165">IF($DQ165="","", INDEX(#REF!,MATCH(CONCATENATE('Respuestas de formulario 1.1'!$B165,$DQ165),#REF!,0),MATCH('Respuestas de formulario 1.1'!EY$1,#REF!,0)))</f>
        <v/>
      </c>
      <c r="EZ165" s="56" t="str">
        <f t="array" ref="EZ165">IF($DQ165="","", INDEX(#REF!,MATCH(CONCATENATE('Respuestas de formulario 1.1'!$B165,$DQ165),#REF!,0),MATCH('Respuestas de formulario 1.1'!EZ$1,#REF!,0)))</f>
        <v/>
      </c>
      <c r="FA165" s="56" t="str">
        <f t="array" ref="FA165">IF($DQ165="","", INDEX(#REF!,MATCH(CONCATENATE('Respuestas de formulario 1.1'!$B165,$DQ165),#REF!,0),MATCH('Respuestas de formulario 1.1'!FA$1,#REF!,0)))</f>
        <v/>
      </c>
      <c r="FB165" s="56" t="str">
        <f t="array" ref="FB165">IF($DQ165="","", INDEX(#REF!,MATCH(CONCATENATE('Respuestas de formulario 1.1'!$B165,$DQ165),#REF!,0),MATCH('Respuestas de formulario 1.1'!FB$1,#REF!,0)))</f>
        <v/>
      </c>
      <c r="FC165" s="56" t="str">
        <f t="array" ref="FC165">IF($DQ165="","", INDEX(#REF!,MATCH(CONCATENATE('Respuestas de formulario 1.1'!$B165,$DQ165),#REF!,0),MATCH('Respuestas de formulario 1.1'!FC$1,#REF!,0)))</f>
        <v/>
      </c>
      <c r="FD165" s="45" t="str">
        <f t="array" ref="FD165">IF($DQ165="","", INDEX(#REF!,MATCH(CONCATENATE('Respuestas de formulario 1.1'!$B165,$DQ165),#REF!,0),MATCH('Respuestas de formulario 1.1'!FD$1,#REF!,0)))</f>
        <v/>
      </c>
      <c r="FE165" s="45" t="str">
        <f t="array" ref="FE165">IF($DR165="","", INDEX(#REF!,MATCH(CONCATENATE(#REF!,$DR165),#REF!,0),MATCH(#REF!,#REF!,0)))</f>
        <v/>
      </c>
      <c r="FF165" s="56" t="str">
        <f t="array" ref="FF165">IF($DR165="","", INDEX(#REF!,MATCH(CONCATENATE(#REF!,$DR165),#REF!,0),MATCH(#REF!,#REF!,0)))</f>
        <v/>
      </c>
      <c r="FG165" s="56" t="str">
        <f t="array" ref="FG165">IF($DR165="","", INDEX(#REF!,MATCH(CONCATENATE(#REF!,$DR165),#REF!,0),MATCH(#REF!,#REF!,0)))</f>
        <v/>
      </c>
      <c r="FH165" s="56" t="str">
        <f t="array" ref="FH165">IF($DR165="","", INDEX(#REF!,MATCH(CONCATENATE(#REF!,$DR165),#REF!,0),MATCH(#REF!,#REF!,0)))</f>
        <v/>
      </c>
      <c r="FI165" s="56" t="str">
        <f t="array" ref="FI165">IF($DR165="","", INDEX(#REF!,MATCH(CONCATENATE(#REF!,$DR165),#REF!,0),MATCH(#REF!,#REF!,0)))</f>
        <v/>
      </c>
      <c r="FJ165" s="56" t="str">
        <f t="array" ref="FJ165">IF($DR165="","", INDEX(#REF!,MATCH(CONCATENATE(#REF!,$DR165),#REF!,0),MATCH(#REF!,#REF!,0)))</f>
        <v/>
      </c>
      <c r="FK165" s="45" t="str">
        <f t="array" ref="FK165">IF($DR165="","", INDEX(#REF!,MATCH(CONCATENATE(#REF!,$DR165),#REF!,0),MATCH(#REF!,#REF!,0)))</f>
        <v/>
      </c>
      <c r="FL165" s="45" t="str">
        <f t="array" ref="FL165">IF($DT165="","", INDEX(#REF!,MATCH(CONCATENATE('Respuestas de formulario 1.1'!$B165,$DS165),#REF!,0),MATCH('Respuestas de formulario 1.1'!FL$1,#REF!,0)))</f>
        <v/>
      </c>
      <c r="FM165" s="56" t="str">
        <f t="array" ref="FM165">IF($DT165="","", INDEX(#REF!,MATCH(CONCATENATE('Respuestas de formulario 1.1'!$B165,$DS165),#REF!,0),MATCH('Respuestas de formulario 1.1'!FM$1,#REF!,0)))</f>
        <v/>
      </c>
      <c r="FN165" s="56" t="str">
        <f t="array" ref="FN165">IF($DT165="","", INDEX(#REF!,MATCH(CONCATENATE('Respuestas de formulario 1.1'!$B165,$DS165),#REF!,0),MATCH('Respuestas de formulario 1.1'!FN$1,#REF!,0)))</f>
        <v/>
      </c>
      <c r="FO165" s="56" t="str">
        <f t="array" ref="FO165">IF($DT165="","", INDEX(#REF!,MATCH(CONCATENATE('Respuestas de formulario 1.1'!$B165,$DS165),#REF!,0),MATCH('Respuestas de formulario 1.1'!FO$1,#REF!,0)))</f>
        <v/>
      </c>
      <c r="FP165" s="56" t="str">
        <f t="array" ref="FP165">IF($DT165="","", INDEX(#REF!,MATCH(CONCATENATE('Respuestas de formulario 1.1'!$B165,$DS165),#REF!,0),MATCH('Respuestas de formulario 1.1'!FP$1,#REF!,0)))</f>
        <v/>
      </c>
      <c r="FQ165" s="56" t="str">
        <f t="array" ref="FQ165">IF($DT165="","", INDEX(#REF!,MATCH(CONCATENATE('Respuestas de formulario 1.1'!$B165,$DS165),#REF!,0),MATCH('Respuestas de formulario 1.1'!FQ$1,#REF!,0)))</f>
        <v/>
      </c>
      <c r="FR165" s="45" t="str">
        <f t="array" ref="FR165">IF($DT165="","", INDEX(#REF!,MATCH(CONCATENATE('Respuestas de formulario 1.1'!$B165,$DS165),#REF!,0),MATCH('Respuestas de formulario 1.1'!FR$1,#REF!,0)))</f>
        <v/>
      </c>
      <c r="FS165" s="45" t="str">
        <f t="array" ref="FS165">IF($DU165="","", INDEX(#REF!,MATCH(CONCATENATE('Respuestas de formulario 1.1'!$B165,$DT165),#REF!,0),MATCH('Respuestas de formulario 1.1'!FS$1,#REF!,0)))</f>
        <v/>
      </c>
      <c r="FT165" s="56" t="str">
        <f t="array" ref="FT165">IF($DU165="","", INDEX(#REF!,MATCH(CONCATENATE('Respuestas de formulario 1.1'!$B165,$DT165),#REF!,0),MATCH('Respuestas de formulario 1.1'!FT$1,#REF!,0)))</f>
        <v/>
      </c>
      <c r="FU165" s="56" t="str">
        <f t="array" ref="FU165">IF($DU165="","", INDEX(#REF!,MATCH(CONCATENATE('Respuestas de formulario 1.1'!$B165,$DT165),#REF!,0),MATCH('Respuestas de formulario 1.1'!FU$1,#REF!,0)))</f>
        <v/>
      </c>
      <c r="FV165" s="56" t="str">
        <f t="array" ref="FV165">IF($DU165="","", INDEX(#REF!,MATCH(CONCATENATE('Respuestas de formulario 1.1'!$B165,$DT165),#REF!,0),MATCH('Respuestas de formulario 1.1'!FV$1,#REF!,0)))</f>
        <v/>
      </c>
      <c r="FW165" s="56" t="str">
        <f t="array" ref="FW165">IF($DU165="","", INDEX(#REF!,MATCH(CONCATENATE('Respuestas de formulario 1.1'!$B165,$DT165),#REF!,0),MATCH('Respuestas de formulario 1.1'!FW$1,#REF!,0)))</f>
        <v/>
      </c>
      <c r="FX165" s="56" t="str">
        <f t="array" ref="FX165">IF($DU165="","", INDEX(#REF!,MATCH(CONCATENATE('Respuestas de formulario 1.1'!$B165,$DT165),#REF!,0),MATCH('Respuestas de formulario 1.1'!FX$1,#REF!,0)))</f>
        <v/>
      </c>
      <c r="FY165" s="45" t="str">
        <f t="array" ref="FY165">IF($DU165="","", INDEX(#REF!,MATCH(CONCATENATE('Respuestas de formulario 1.1'!$B165,$DT165),#REF!,0),MATCH('Respuestas de formulario 1.1'!FY$1,#REF!,0)))</f>
        <v/>
      </c>
      <c r="GA165" s="1" t="s">
        <v>5675</v>
      </c>
      <c r="GB165" s="5" t="s">
        <v>5676</v>
      </c>
      <c r="GC165" s="4" t="str">
        <f>HYPERLINK("https://drive.google.com/file/d/1oLhsHZLlqa1HwVcCPcl3WsLoCQ-apWo7/view?usp=drivesdk","MARTINEZ PEREZ TAIS DANAE Formato de reinscripción y pago 2022-2")</f>
        <v>MARTINEZ PEREZ TAIS DANAE Formato de reinscripción y pago 2022-2</v>
      </c>
      <c r="GD165" s="1" t="s">
        <v>5677</v>
      </c>
      <c r="GE165" s="1"/>
      <c r="GF165" s="1"/>
      <c r="GG165" s="1"/>
      <c r="GH165" s="1"/>
      <c r="GI165" s="1" t="s">
        <v>5678</v>
      </c>
      <c r="GJ165" s="5" t="s">
        <v>5679</v>
      </c>
      <c r="GK165" s="5" t="str">
        <f>HYPERLINK("https://drive.google.com/file/d/1UwB491TG3UciFvyT4_-SZeslzgnUVRNg/view?usp=drivesdk","MARTINEZ PEREZ TAIS DANAE Formato de reinscripción y pago 2022-2")</f>
        <v>MARTINEZ PEREZ TAIS DANAE Formato de reinscripción y pago 2022-2</v>
      </c>
      <c r="GL165" s="1" t="s">
        <v>5680</v>
      </c>
    </row>
    <row r="166" spans="1:194" ht="38.25" x14ac:dyDescent="0.2">
      <c r="A166" s="2">
        <v>45139.474143969906</v>
      </c>
      <c r="B166" s="1" t="s">
        <v>1969</v>
      </c>
      <c r="C166" s="1" t="s">
        <v>1970</v>
      </c>
      <c r="D166" s="1" t="s">
        <v>244</v>
      </c>
      <c r="E166" s="1" t="s">
        <v>1410</v>
      </c>
      <c r="F166" s="1" t="s">
        <v>223</v>
      </c>
      <c r="G166" s="5" t="s">
        <v>5681</v>
      </c>
      <c r="H166" s="41">
        <v>39362</v>
      </c>
      <c r="I166" s="1">
        <v>15</v>
      </c>
      <c r="J166" s="1">
        <v>5540229988</v>
      </c>
      <c r="K166" s="1">
        <v>5530913886</v>
      </c>
      <c r="L166" s="1" t="s">
        <v>1971</v>
      </c>
      <c r="M166" s="1">
        <v>22309060570175</v>
      </c>
      <c r="N166" s="1" t="s">
        <v>562</v>
      </c>
      <c r="O166" s="1" t="s">
        <v>247</v>
      </c>
      <c r="P166" s="1" t="s">
        <v>226</v>
      </c>
      <c r="Q166" s="1" t="s">
        <v>248</v>
      </c>
      <c r="R166" s="1" t="s">
        <v>236</v>
      </c>
      <c r="S166" s="1" t="s">
        <v>228</v>
      </c>
      <c r="T166" s="1" t="s">
        <v>411</v>
      </c>
      <c r="U166" s="1" t="s">
        <v>434</v>
      </c>
      <c r="V166" s="1" t="s">
        <v>228</v>
      </c>
      <c r="W166" s="1" t="s">
        <v>5682</v>
      </c>
      <c r="X166" s="1" t="s">
        <v>434</v>
      </c>
      <c r="Y166" s="1" t="s">
        <v>5683</v>
      </c>
      <c r="Z166" s="1" t="s">
        <v>231</v>
      </c>
      <c r="AA166" s="1">
        <v>56615</v>
      </c>
      <c r="AB166" s="1" t="s">
        <v>2605</v>
      </c>
      <c r="AC166" s="1" t="s">
        <v>5684</v>
      </c>
      <c r="AD166" s="1" t="s">
        <v>5685</v>
      </c>
      <c r="AE166" s="1" t="s">
        <v>5686</v>
      </c>
      <c r="AF166" s="1" t="s">
        <v>488</v>
      </c>
      <c r="AG166" s="1">
        <v>25</v>
      </c>
      <c r="AH166" s="5" t="s">
        <v>5687</v>
      </c>
      <c r="AI166" s="1">
        <v>5525485769</v>
      </c>
      <c r="AJ166" s="1">
        <v>5530913886</v>
      </c>
      <c r="AK166" s="1" t="s">
        <v>5688</v>
      </c>
      <c r="AL166" s="1" t="s">
        <v>1970</v>
      </c>
      <c r="AM166" s="1" t="s">
        <v>1091</v>
      </c>
      <c r="AN166" s="1" t="s">
        <v>702</v>
      </c>
      <c r="AO166" s="1" t="s">
        <v>435</v>
      </c>
      <c r="AP166" s="1">
        <v>47</v>
      </c>
      <c r="AQ166" s="1" t="s">
        <v>1051</v>
      </c>
      <c r="AR166" s="42">
        <v>0.25</v>
      </c>
      <c r="AS166" s="42">
        <v>0.33333333333575865</v>
      </c>
      <c r="AT166" s="1">
        <v>5533060155</v>
      </c>
      <c r="AU166" s="1">
        <v>5530913886</v>
      </c>
      <c r="AV166" s="1" t="s">
        <v>5689</v>
      </c>
      <c r="AW166" s="5" t="s">
        <v>5690</v>
      </c>
      <c r="AX166" s="1" t="s">
        <v>1970</v>
      </c>
      <c r="AY166" s="1" t="s">
        <v>244</v>
      </c>
      <c r="AZ166" s="1" t="s">
        <v>1446</v>
      </c>
      <c r="BA166" s="1" t="s">
        <v>586</v>
      </c>
      <c r="BB166" s="1">
        <v>23</v>
      </c>
      <c r="BC166" s="1" t="s">
        <v>303</v>
      </c>
      <c r="BD166" s="43">
        <v>0.33333333333575865</v>
      </c>
      <c r="BE166" s="43">
        <v>0.20833333333575865</v>
      </c>
      <c r="BF166" s="1">
        <v>5533123239</v>
      </c>
      <c r="BG166" s="1">
        <v>5530913886</v>
      </c>
      <c r="BH166" s="1" t="s">
        <v>5691</v>
      </c>
      <c r="BI166" s="5" t="s">
        <v>5692</v>
      </c>
      <c r="BJ166" s="1" t="s">
        <v>236</v>
      </c>
      <c r="BL166" s="1">
        <v>160</v>
      </c>
      <c r="BM166" s="1">
        <v>49</v>
      </c>
      <c r="BN166" s="1" t="s">
        <v>228</v>
      </c>
      <c r="BO166" s="1" t="s">
        <v>228</v>
      </c>
      <c r="BQ166" s="1" t="s">
        <v>236</v>
      </c>
      <c r="BR166" s="1" t="s">
        <v>348</v>
      </c>
      <c r="BS166" s="1" t="s">
        <v>228</v>
      </c>
      <c r="BT166" s="1" t="s">
        <v>237</v>
      </c>
      <c r="BU166" s="1" t="s">
        <v>228</v>
      </c>
      <c r="BW166" s="1" t="s">
        <v>238</v>
      </c>
      <c r="BX166" s="1">
        <v>200</v>
      </c>
      <c r="BY166" s="1">
        <v>275</v>
      </c>
      <c r="BZ166" s="1" t="s">
        <v>253</v>
      </c>
      <c r="CA166" s="1" t="s">
        <v>299</v>
      </c>
      <c r="CB166" s="1" t="s">
        <v>240</v>
      </c>
      <c r="CC166" s="1" t="s">
        <v>459</v>
      </c>
      <c r="CD166" s="1">
        <v>2000</v>
      </c>
      <c r="CE166" s="1">
        <v>200</v>
      </c>
      <c r="CF166" s="1" t="s">
        <v>236</v>
      </c>
      <c r="CG166" s="1" t="s">
        <v>242</v>
      </c>
      <c r="CH166" s="1" t="s">
        <v>243</v>
      </c>
      <c r="CI166" s="1" t="s">
        <v>243</v>
      </c>
      <c r="CJ166" s="1" t="s">
        <v>2848</v>
      </c>
      <c r="CL166" s="5" t="s">
        <v>5693</v>
      </c>
      <c r="CM166" s="44" t="s">
        <v>1972</v>
      </c>
      <c r="CN166" s="1" t="s">
        <v>228</v>
      </c>
      <c r="CQ166" s="42">
        <v>0.375</v>
      </c>
      <c r="CR166" s="42">
        <v>0.79166666666424135</v>
      </c>
      <c r="CT166" s="45" t="str">
        <f t="array" ref="CT166">IFERROR(INDEX(#REF!,MATCH('Respuestas de formulario 1.1'!$B166,#REF!,0),MATCH('Respuestas de formulario 1.1'!CT$1,#REF!,0)),"")</f>
        <v/>
      </c>
      <c r="CU166" s="56" t="str">
        <f t="array" ref="CU166">IFERROR(INDEX(#REF!,MATCH('Respuestas de formulario 1.1'!$B166,#REF!,0),MATCH('Respuestas de formulario 1.1'!CU$1,#REF!,0)),"")</f>
        <v/>
      </c>
      <c r="CV166" s="56" t="str">
        <f t="array" ref="CV166">IFERROR(INDEX(#REF!,MATCH('Respuestas de formulario 1.1'!$B166,#REF!,0),MATCH('Respuestas de formulario 1.1'!CV$1,#REF!,0)),"")</f>
        <v/>
      </c>
      <c r="CW166" s="56" t="str">
        <f t="array" ref="CW166">IFERROR(INDEX(#REF!,MATCH('Respuestas de formulario 1.1'!$B166,#REF!,0),MATCH('Respuestas de formulario 1.1'!CW$1,#REF!,0)),"")</f>
        <v/>
      </c>
      <c r="CX166" s="56" t="str">
        <f t="array" ref="CX166">IFERROR(INDEX(#REF!,MATCH('Respuestas de formulario 1.1'!$B166,#REF!,0),MATCH('Respuestas de formulario 1.1'!CX$1,#REF!,0)),"")</f>
        <v/>
      </c>
      <c r="CY166" s="56" t="str">
        <f t="array" ref="CY166">IFERROR(INDEX(#REF!,MATCH('Respuestas de formulario 1.1'!$B166,#REF!,0),MATCH('Respuestas de formulario 1.1'!CY$1,#REF!,0)),"")</f>
        <v/>
      </c>
      <c r="CZ166" s="57" t="str">
        <f t="array" ref="CZ166">IFERROR(INDEX(#REF!,MATCH('Respuestas de formulario 1.1'!$B166,#REF!,0),MATCH('Respuestas de formulario 1.1'!CZ$1,#REF!,0)),"")</f>
        <v/>
      </c>
      <c r="DA166" s="45" t="e">
        <f t="array" ref="DA166">INDEX(#REF!,MATCH('Respuestas de formulario 1.1'!$B166,#REF!,0),MATCH('Respuestas de formulario 1.1'!DA$1,#REF!,0))</f>
        <v>#REF!</v>
      </c>
      <c r="DB166" s="45" t="e">
        <f t="array" ref="DB166">INDEX(#REF!,MATCH('Respuestas de formulario 1.1'!$B166,#REF!,0),MATCH('Respuestas de formulario 1.1'!DB$1,#REF!,0))</f>
        <v>#REF!</v>
      </c>
      <c r="DC166" s="45" t="e">
        <f t="array" ref="DC166">INDEX(#REF!,MATCH('Respuestas de formulario 1.1'!$B166,#REF!,0),MATCH('Respuestas de formulario 1.1'!DC$1,#REF!,0))</f>
        <v>#REF!</v>
      </c>
      <c r="DD166" s="45" t="e">
        <f t="array" ref="DD166">INDEX(#REF!,MATCH('Respuestas de formulario 1.1'!$B166,#REF!,0),MATCH('Respuestas de formulario 1.1'!DD$1,#REF!,0))</f>
        <v>#REF!</v>
      </c>
      <c r="DE166" s="45" t="e">
        <f t="array" ref="DE166">INDEX(#REF!,MATCH('Respuestas de formulario 1.1'!$B166,#REF!,0),MATCH('Respuestas de formulario 1.1'!DE$1,#REF!,0))</f>
        <v>#REF!</v>
      </c>
      <c r="DF166" s="45" t="e">
        <f t="array" ref="DF166">INDEX(#REF!,MATCH('Respuestas de formulario 1.1'!$B166,#REF!,0),MATCH('Respuestas de formulario 1.1'!DF$1,#REF!,0))</f>
        <v>#REF!</v>
      </c>
      <c r="DG166" s="45" t="e">
        <f t="array" ref="DG166">INDEX(#REF!,MATCH('Respuestas de formulario 1.1'!$B166,#REF!,0),MATCH('Respuestas de formulario 1.1'!DG$1,#REF!,0))</f>
        <v>#REF!</v>
      </c>
      <c r="DH166" s="45" t="e">
        <f t="array" ref="DH166">INDEX(#REF!,MATCH('Respuestas de formulario 1.1'!$B166,#REF!,0),MATCH('Respuestas de formulario 1.1'!DH$1,#REF!,0))</f>
        <v>#REF!</v>
      </c>
      <c r="DI166" s="48" t="e">
        <f>VLOOKUP(CONCATENATE($DF166," TUTO ",$DC166),#REF!,3,0)</f>
        <v>#REF!</v>
      </c>
      <c r="DJ166" s="48" t="e">
        <f t="array" ref="DJ166">IF('Respuestas de formulario 1.1'!A166="","",INDEX(#REF!,MATCH('Respuestas de formulario 1.1'!B166,#REF!,0),MATCH('Respuestas de formulario 1.1'!$DH$1,#REF!,0)))</f>
        <v>#REF!</v>
      </c>
      <c r="DK166" s="52" t="str">
        <f>CONCATENATE("http://doc.google.com/uc?id=",MID('Respuestas de formulario 1.1'!G166,34,33))</f>
        <v>http://doc.google.com/uc?id=1wxN2C1wW5aLKoQGEyuPfoEj3vTPVnG-i</v>
      </c>
      <c r="DL166" s="49" t="str">
        <f>CONCATENATE("http://doc.google.com/uc?id=",MID('Respuestas de formulario 1.1'!AH166,34,33))</f>
        <v>http://doc.google.com/uc?id=1vkU7-5Fyb2IWHWaOtYGlraV3AF1P2-1i</v>
      </c>
      <c r="DM166" s="50" t="str">
        <f>CONCATENATE("http://doc.google.com/uc?id=",MID('Respuestas de formulario 1.1'!AW166,34,33))</f>
        <v>http://doc.google.com/uc?id=1vbLxlgkrp8W2Aq86gZSJpTc5IifDmxR1</v>
      </c>
      <c r="DN166" s="53" t="str">
        <f>CONCATENATE("http://doc.google.com/uc?id=",MID('Respuestas de formulario 1.1'!$BI166,34,33))</f>
        <v>http://doc.google.com/uc?id=1xwypSOctS8IEAeXWVwqykmwf0DiNQxWr</v>
      </c>
      <c r="DO166" s="45" t="str">
        <f>IFERROR(VLOOKUP(CONCATENATE('Respuestas de formulario 1.1'!$B166,MID('Respuestas de formulario 1.1'!DO$1,2,1)),#REF!,12,0),"")</f>
        <v/>
      </c>
      <c r="DP166" s="45" t="str">
        <f>IFERROR(VLOOKUP(CONCATENATE('Respuestas de formulario 1.1'!$B166,MID('Respuestas de formulario 1.1'!DP$1,2,1)),#REF!,12,0),"")</f>
        <v/>
      </c>
      <c r="DQ166" s="45" t="str">
        <f>IFERROR(VLOOKUP(CONCATENATE('Respuestas de formulario 1.1'!$B166,MID('Respuestas de formulario 1.1'!DQ$1,2,1)),#REF!,12,0),"")</f>
        <v/>
      </c>
      <c r="DR166" s="45" t="str">
        <f>IFERROR(VLOOKUP(CONCATENATE('Respuestas de formulario 1.1'!$B166,MID('Respuestas de formulario 1.1'!DR$1,2,1)),#REF!,12,0),"")</f>
        <v/>
      </c>
      <c r="DS166" s="45" t="str">
        <f>IFERROR(VLOOKUP(CONCATENATE('Respuestas de formulario 1.1'!$B166,MID('Respuestas de formulario 1.1'!DS$1,2,1)),#REF!,12,0),"")</f>
        <v/>
      </c>
      <c r="DT166" s="45" t="str">
        <f>IFERROR(VLOOKUP(CONCATENATE('Respuestas de formulario 1.1'!$B166,MID('Respuestas de formulario 1.1'!DT$1,2,1)),#REF!,12,0),"")</f>
        <v/>
      </c>
      <c r="DU166" s="45" t="str">
        <f>IFERROR(VLOOKUP(CONCATENATE('Respuestas de formulario 1.1'!$B166,MID('Respuestas de formulario 1.1'!DU$1,2,1)),#REF!,12,0),"")</f>
        <v/>
      </c>
      <c r="DV166" s="45" t="str">
        <f>IFERROR(VLOOKUP(CONCATENATE('Respuestas de formulario 1.1'!$B166,MID('Respuestas de formulario 1.1'!DV$1,2,1)),#REF!,12,0),"")</f>
        <v/>
      </c>
      <c r="DW166" s="45" t="str">
        <f>IFERROR(VLOOKUP(CONCATENATE('Respuestas de formulario 1.1'!$B166,MID('Respuestas de formulario 1.1'!DW$1,2,1)),#REF!,12,0),"")</f>
        <v/>
      </c>
      <c r="DX166" s="45" t="str">
        <f>IFERROR(VLOOKUP(CONCATENATE('Respuestas de formulario 1.1'!$B166,MID('Respuestas de formulario 1.1'!DX$1,2,1)),#REF!,12,0),"")</f>
        <v/>
      </c>
      <c r="DY166" s="45" t="str">
        <f>IFERROR(VLOOKUP(CONCATENATE('Respuestas de formulario 1.1'!$B166,MID('Respuestas de formulario 1.1'!DY$1,2,1)),#REF!,12,0),"")</f>
        <v/>
      </c>
      <c r="DZ166" s="45" t="str">
        <f>IFERROR(VLOOKUP(CONCATENATE('Respuestas de formulario 1.1'!$B166,MID('Respuestas de formulario 1.1'!DZ$1,2,1)),#REF!,12,0),"")</f>
        <v/>
      </c>
      <c r="EA166" s="45" t="str">
        <f>IFERROR(VLOOKUP(CONCATENATE('Respuestas de formulario 1.1'!$B166,MID('Respuestas de formulario 1.1'!EA$1,2,1)),#REF!,12,0),"")</f>
        <v/>
      </c>
      <c r="EB166" s="45" t="str">
        <f>IFERROR(VLOOKUP(CONCATENATE('Respuestas de formulario 1.1'!$B166,MID('Respuestas de formulario 1.1'!EB$1,2,1)),#REF!,12,0),"")</f>
        <v/>
      </c>
      <c r="EC166" s="45" t="str">
        <f>IFERROR(VLOOKUP(CONCATENATE('Respuestas de formulario 1.1'!$B166,MID('Respuestas de formulario 1.1'!EC$1,2,1)),#REF!,12,0),"")</f>
        <v/>
      </c>
      <c r="ED166" s="45" t="str">
        <f>IFERROR(VLOOKUP(CONCATENATE('Respuestas de formulario 1.1'!$B166,MID('Respuestas de formulario 1.1'!ED$1,2,1)),#REF!,12,0),"")</f>
        <v/>
      </c>
      <c r="EE166" s="45" t="str">
        <f>IFERROR(VLOOKUP(CONCATENATE('Respuestas de formulario 1.1'!$B166,MID('Respuestas de formulario 1.1'!EE$1,2,1)),#REF!,12,0),"")</f>
        <v/>
      </c>
      <c r="EF166" s="45" t="str">
        <f>IFERROR(VLOOKUP(CONCATENATE('Respuestas de formulario 1.1'!$B166,MID('Respuestas de formulario 1.1'!EF$1,2,1)),#REF!,12,0),"")</f>
        <v/>
      </c>
      <c r="EG166" s="45" t="str">
        <f>IFERROR(VLOOKUP(CONCATENATE('Respuestas de formulario 1.1'!$B166,MID('Respuestas de formulario 1.1'!EG$1,2,1)),#REF!,12,0),"")</f>
        <v/>
      </c>
      <c r="EH166" s="45" t="str">
        <f>IFERROR(VLOOKUP(CONCATENATE('Respuestas de formulario 1.1'!$B166,MID('Respuestas de formulario 1.1'!EH$1,2,1)),#REF!,12,0),"")</f>
        <v/>
      </c>
      <c r="EI166" s="45" t="str">
        <f>IFERROR(VLOOKUP(CONCATENATE('Respuestas de formulario 1.1'!$B166,MID('Respuestas de formulario 1.1'!EI$1,2,1)),#REF!,12,0),"")</f>
        <v/>
      </c>
      <c r="EJ166" s="45" t="str">
        <f t="array" ref="EJ166">IF(DO166="","", INDEX(#REF!,MATCH(CONCATENATE('Respuestas de formulario 1.1'!$B166,DO166),#REF!,0),MATCH('Respuestas de formulario 1.1'!EJ$1,#REF!,0)))</f>
        <v/>
      </c>
      <c r="EK166" s="56" t="str">
        <f t="array" ref="EK166">IF(DP166="","", INDEX(#REF!,MATCH(CONCATENATE('Respuestas de formulario 1.1'!$B166,DP166),#REF!,0),MATCH('Respuestas de formulario 1.1'!EK$1,#REF!,0)))</f>
        <v/>
      </c>
      <c r="EL166" s="56" t="str">
        <f t="array" ref="EL166">IF(DQ166="","", INDEX(#REF!,MATCH(CONCATENATE('Respuestas de formulario 1.1'!$B166,DQ166),#REF!,0),MATCH('Respuestas de formulario 1.1'!EL$1,#REF!,0)))</f>
        <v/>
      </c>
      <c r="EM166" s="56" t="str">
        <f t="array" ref="EM166">IF(DR166="","", INDEX(#REF!,MATCH(CONCATENATE('Respuestas de formulario 1.1'!$B166,DR166),#REF!,0),MATCH('Respuestas de formulario 1.1'!EM$1,#REF!,0)))</f>
        <v/>
      </c>
      <c r="EN166" s="56" t="str">
        <f t="array" ref="EN166">IF(DS166="","", INDEX(#REF!,MATCH(CONCATENATE('Respuestas de formulario 1.1'!$B166,DS166),#REF!,0),MATCH('Respuestas de formulario 1.1'!EN$1,#REF!,0)))</f>
        <v/>
      </c>
      <c r="EO166" s="56" t="str">
        <f t="array" ref="EO166">IF(DT166="","", INDEX(#REF!,MATCH(CONCATENATE('Respuestas de formulario 1.1'!$B166,DT166),#REF!,0),MATCH('Respuestas de formulario 1.1'!EO$1,#REF!,0)))</f>
        <v/>
      </c>
      <c r="EP166" s="45" t="str">
        <f t="array" ref="EP166">IF(DU166="","", INDEX(#REF!,MATCH(CONCATENATE('Respuestas de formulario 1.1'!$B166,DU166),#REF!,0),MATCH('Respuestas de formulario 1.1'!EP$1,#REF!,0)))</f>
        <v/>
      </c>
      <c r="EQ166" s="45" t="str">
        <f t="array" ref="EQ166">IF(DP166="","", INDEX(#REF!,MATCH(CONCATENATE('Respuestas de formulario 1.1'!$B166,DP166),#REF!,0),MATCH('Respuestas de formulario 1.1'!EQ$1,#REF!,0)))</f>
        <v/>
      </c>
      <c r="ER166" s="56" t="str">
        <f t="array" ref="ER166">IF(DQ166="","", INDEX(#REF!,MATCH(CONCATENATE('Respuestas de formulario 1.1'!$B166,DQ166),#REF!,0),MATCH('Respuestas de formulario 1.1'!ER$1,#REF!,0)))</f>
        <v/>
      </c>
      <c r="ES166" s="56" t="str">
        <f t="array" ref="ES166">IF(DR166="","", INDEX(#REF!,MATCH(CONCATENATE('Respuestas de formulario 1.1'!$B166,DR166),#REF!,0),MATCH('Respuestas de formulario 1.1'!ES$1,#REF!,0)))</f>
        <v/>
      </c>
      <c r="ET166" s="56" t="str">
        <f t="array" ref="ET166">IF(DS166="","", INDEX(#REF!,MATCH(CONCATENATE('Respuestas de formulario 1.1'!$B166,DS166),#REF!,0),MATCH('Respuestas de formulario 1.1'!ET$1,#REF!,0)))</f>
        <v/>
      </c>
      <c r="EU166" s="56" t="str">
        <f t="array" ref="EU166">IF(DT166="","", INDEX(#REF!,MATCH(CONCATENATE('Respuestas de formulario 1.1'!$B166,DT166),#REF!,0),MATCH('Respuestas de formulario 1.1'!EU$1,#REF!,0)))</f>
        <v/>
      </c>
      <c r="EV166" s="56" t="str">
        <f t="array" ref="EV166">IF(DU166="","", INDEX(#REF!,MATCH(CONCATENATE('Respuestas de formulario 1.1'!$B166,DU166),#REF!,0),MATCH('Respuestas de formulario 1.1'!EV$1,#REF!,0)))</f>
        <v/>
      </c>
      <c r="EW166" s="45" t="str">
        <f t="array" ref="EW166">IF(DV166="","", INDEX(#REF!,MATCH(CONCATENATE('Respuestas de formulario 1.1'!$B166,DV166),#REF!,0),MATCH('Respuestas de formulario 1.1'!EW$1,#REF!,0)))</f>
        <v/>
      </c>
      <c r="EX166" s="45" t="str">
        <f t="array" ref="EX166">IF($DQ166="","", INDEX(#REF!,MATCH(CONCATENATE('Respuestas de formulario 1.1'!$B166,$DQ166),#REF!,0),MATCH('Respuestas de formulario 1.1'!EX$1,#REF!,0)))</f>
        <v/>
      </c>
      <c r="EY166" s="56" t="str">
        <f t="array" ref="EY166">IF($DQ166="","", INDEX(#REF!,MATCH(CONCATENATE('Respuestas de formulario 1.1'!$B166,$DQ166),#REF!,0),MATCH('Respuestas de formulario 1.1'!EY$1,#REF!,0)))</f>
        <v/>
      </c>
      <c r="EZ166" s="56" t="str">
        <f t="array" ref="EZ166">IF($DQ166="","", INDEX(#REF!,MATCH(CONCATENATE('Respuestas de formulario 1.1'!$B166,$DQ166),#REF!,0),MATCH('Respuestas de formulario 1.1'!EZ$1,#REF!,0)))</f>
        <v/>
      </c>
      <c r="FA166" s="56" t="str">
        <f t="array" ref="FA166">IF($DQ166="","", INDEX(#REF!,MATCH(CONCATENATE('Respuestas de formulario 1.1'!$B166,$DQ166),#REF!,0),MATCH('Respuestas de formulario 1.1'!FA$1,#REF!,0)))</f>
        <v/>
      </c>
      <c r="FB166" s="56" t="str">
        <f t="array" ref="FB166">IF($DQ166="","", INDEX(#REF!,MATCH(CONCATENATE('Respuestas de formulario 1.1'!$B166,$DQ166),#REF!,0),MATCH('Respuestas de formulario 1.1'!FB$1,#REF!,0)))</f>
        <v/>
      </c>
      <c r="FC166" s="56" t="str">
        <f t="array" ref="FC166">IF($DQ166="","", INDEX(#REF!,MATCH(CONCATENATE('Respuestas de formulario 1.1'!$B166,$DQ166),#REF!,0),MATCH('Respuestas de formulario 1.1'!FC$1,#REF!,0)))</f>
        <v/>
      </c>
      <c r="FD166" s="45" t="str">
        <f t="array" ref="FD166">IF($DQ166="","", INDEX(#REF!,MATCH(CONCATENATE('Respuestas de formulario 1.1'!$B166,$DQ166),#REF!,0),MATCH('Respuestas de formulario 1.1'!FD$1,#REF!,0)))</f>
        <v/>
      </c>
      <c r="FE166" s="45" t="str">
        <f t="array" ref="FE166">IF($DR166="","", INDEX(#REF!,MATCH(CONCATENATE(#REF!,$DR166),#REF!,0),MATCH(#REF!,#REF!,0)))</f>
        <v/>
      </c>
      <c r="FF166" s="56" t="str">
        <f t="array" ref="FF166">IF($DR166="","", INDEX(#REF!,MATCH(CONCATENATE(#REF!,$DR166),#REF!,0),MATCH(#REF!,#REF!,0)))</f>
        <v/>
      </c>
      <c r="FG166" s="56" t="str">
        <f t="array" ref="FG166">IF($DR166="","", INDEX(#REF!,MATCH(CONCATENATE(#REF!,$DR166),#REF!,0),MATCH(#REF!,#REF!,0)))</f>
        <v/>
      </c>
      <c r="FH166" s="56" t="str">
        <f t="array" ref="FH166">IF($DR166="","", INDEX(#REF!,MATCH(CONCATENATE(#REF!,$DR166),#REF!,0),MATCH(#REF!,#REF!,0)))</f>
        <v/>
      </c>
      <c r="FI166" s="56" t="str">
        <f t="array" ref="FI166">IF($DR166="","", INDEX(#REF!,MATCH(CONCATENATE(#REF!,$DR166),#REF!,0),MATCH(#REF!,#REF!,0)))</f>
        <v/>
      </c>
      <c r="FJ166" s="56" t="str">
        <f t="array" ref="FJ166">IF($DR166="","", INDEX(#REF!,MATCH(CONCATENATE(#REF!,$DR166),#REF!,0),MATCH(#REF!,#REF!,0)))</f>
        <v/>
      </c>
      <c r="FK166" s="45" t="str">
        <f t="array" ref="FK166">IF($DR166="","", INDEX(#REF!,MATCH(CONCATENATE(#REF!,$DR166),#REF!,0),MATCH(#REF!,#REF!,0)))</f>
        <v/>
      </c>
      <c r="FL166" s="45" t="str">
        <f t="array" ref="FL166">IF($DT166="","", INDEX(#REF!,MATCH(CONCATENATE('Respuestas de formulario 1.1'!$B166,$DS166),#REF!,0),MATCH('Respuestas de formulario 1.1'!FL$1,#REF!,0)))</f>
        <v/>
      </c>
      <c r="FM166" s="56" t="str">
        <f t="array" ref="FM166">IF($DT166="","", INDEX(#REF!,MATCH(CONCATENATE('Respuestas de formulario 1.1'!$B166,$DS166),#REF!,0),MATCH('Respuestas de formulario 1.1'!FM$1,#REF!,0)))</f>
        <v/>
      </c>
      <c r="FN166" s="56" t="str">
        <f t="array" ref="FN166">IF($DT166="","", INDEX(#REF!,MATCH(CONCATENATE('Respuestas de formulario 1.1'!$B166,$DS166),#REF!,0),MATCH('Respuestas de formulario 1.1'!FN$1,#REF!,0)))</f>
        <v/>
      </c>
      <c r="FO166" s="56" t="str">
        <f t="array" ref="FO166">IF($DT166="","", INDEX(#REF!,MATCH(CONCATENATE('Respuestas de formulario 1.1'!$B166,$DS166),#REF!,0),MATCH('Respuestas de formulario 1.1'!FO$1,#REF!,0)))</f>
        <v/>
      </c>
      <c r="FP166" s="56" t="str">
        <f t="array" ref="FP166">IF($DT166="","", INDEX(#REF!,MATCH(CONCATENATE('Respuestas de formulario 1.1'!$B166,$DS166),#REF!,0),MATCH('Respuestas de formulario 1.1'!FP$1,#REF!,0)))</f>
        <v/>
      </c>
      <c r="FQ166" s="56" t="str">
        <f t="array" ref="FQ166">IF($DT166="","", INDEX(#REF!,MATCH(CONCATENATE('Respuestas de formulario 1.1'!$B166,$DS166),#REF!,0),MATCH('Respuestas de formulario 1.1'!FQ$1,#REF!,0)))</f>
        <v/>
      </c>
      <c r="FR166" s="45" t="str">
        <f t="array" ref="FR166">IF($DT166="","", INDEX(#REF!,MATCH(CONCATENATE('Respuestas de formulario 1.1'!$B166,$DS166),#REF!,0),MATCH('Respuestas de formulario 1.1'!FR$1,#REF!,0)))</f>
        <v/>
      </c>
      <c r="FS166" s="45" t="str">
        <f t="array" ref="FS166">IF($DU166="","", INDEX(#REF!,MATCH(CONCATENATE('Respuestas de formulario 1.1'!$B166,$DT166),#REF!,0),MATCH('Respuestas de formulario 1.1'!FS$1,#REF!,0)))</f>
        <v/>
      </c>
      <c r="FT166" s="56" t="str">
        <f t="array" ref="FT166">IF($DU166="","", INDEX(#REF!,MATCH(CONCATENATE('Respuestas de formulario 1.1'!$B166,$DT166),#REF!,0),MATCH('Respuestas de formulario 1.1'!FT$1,#REF!,0)))</f>
        <v/>
      </c>
      <c r="FU166" s="56" t="str">
        <f t="array" ref="FU166">IF($DU166="","", INDEX(#REF!,MATCH(CONCATENATE('Respuestas de formulario 1.1'!$B166,$DT166),#REF!,0),MATCH('Respuestas de formulario 1.1'!FU$1,#REF!,0)))</f>
        <v/>
      </c>
      <c r="FV166" s="56" t="str">
        <f t="array" ref="FV166">IF($DU166="","", INDEX(#REF!,MATCH(CONCATENATE('Respuestas de formulario 1.1'!$B166,$DT166),#REF!,0),MATCH('Respuestas de formulario 1.1'!FV$1,#REF!,0)))</f>
        <v/>
      </c>
      <c r="FW166" s="56" t="str">
        <f t="array" ref="FW166">IF($DU166="","", INDEX(#REF!,MATCH(CONCATENATE('Respuestas de formulario 1.1'!$B166,$DT166),#REF!,0),MATCH('Respuestas de formulario 1.1'!FW$1,#REF!,0)))</f>
        <v/>
      </c>
      <c r="FX166" s="56" t="str">
        <f t="array" ref="FX166">IF($DU166="","", INDEX(#REF!,MATCH(CONCATENATE('Respuestas de formulario 1.1'!$B166,$DT166),#REF!,0),MATCH('Respuestas de formulario 1.1'!FX$1,#REF!,0)))</f>
        <v/>
      </c>
      <c r="FY166" s="45" t="str">
        <f t="array" ref="FY166">IF($DU166="","", INDEX(#REF!,MATCH(CONCATENATE('Respuestas de formulario 1.1'!$B166,$DT166),#REF!,0),MATCH('Respuestas de formulario 1.1'!FY$1,#REF!,0)))</f>
        <v/>
      </c>
      <c r="FZ166" s="3" t="s">
        <v>2860</v>
      </c>
      <c r="GA166" s="1" t="s">
        <v>5694</v>
      </c>
      <c r="GB166" s="5" t="s">
        <v>5695</v>
      </c>
      <c r="GC166" s="4" t="str">
        <f>HYPERLINK("https://drive.google.com/file/d/1sWONRpT1vEbocs9wdv32cs3ujWnpg2DN/view?usp=drivesdk","COCOLETZI HERNANDEZ YAZMIN Formato de reinscripción y pago 2022-2")</f>
        <v>COCOLETZI HERNANDEZ YAZMIN Formato de reinscripción y pago 2022-2</v>
      </c>
      <c r="GD166" s="1" t="s">
        <v>5696</v>
      </c>
      <c r="GE166" s="1"/>
      <c r="GF166" s="1"/>
      <c r="GG166" s="1"/>
      <c r="GH166" s="1"/>
      <c r="GI166" s="1" t="s">
        <v>5697</v>
      </c>
      <c r="GJ166" s="5" t="s">
        <v>5698</v>
      </c>
      <c r="GK166" s="5" t="str">
        <f>HYPERLINK("https://drive.google.com/file/d/1Ri7cp5CJy4_lDE9ve0r_K3DN6mpe51WZ/view?usp=drivesdk","COCOLETZI HERNANDEZ YAZMIN Formato de reinscripción y pago 2022-2")</f>
        <v>COCOLETZI HERNANDEZ YAZMIN Formato de reinscripción y pago 2022-2</v>
      </c>
      <c r="GL166" s="1" t="s">
        <v>5699</v>
      </c>
    </row>
    <row r="167" spans="1:194" ht="38.25" x14ac:dyDescent="0.2">
      <c r="A167" s="2">
        <v>45139.474848912039</v>
      </c>
      <c r="B167" s="1" t="s">
        <v>49</v>
      </c>
      <c r="C167" s="1" t="s">
        <v>560</v>
      </c>
      <c r="D167" s="1" t="s">
        <v>1143</v>
      </c>
      <c r="E167" s="1" t="s">
        <v>1369</v>
      </c>
      <c r="F167" s="1" t="s">
        <v>223</v>
      </c>
      <c r="G167" s="5" t="s">
        <v>5700</v>
      </c>
      <c r="H167" s="41">
        <v>39162</v>
      </c>
      <c r="I167" s="1">
        <v>16</v>
      </c>
      <c r="J167" s="1">
        <v>5644425902</v>
      </c>
      <c r="K167" s="1">
        <v>5563675925</v>
      </c>
      <c r="L167" s="1" t="s">
        <v>1370</v>
      </c>
      <c r="M167" s="1">
        <v>22309060570795</v>
      </c>
      <c r="N167" s="1" t="s">
        <v>562</v>
      </c>
      <c r="O167" s="1" t="s">
        <v>247</v>
      </c>
      <c r="P167" s="1" t="s">
        <v>226</v>
      </c>
      <c r="Q167" s="1" t="s">
        <v>227</v>
      </c>
      <c r="R167" s="1" t="s">
        <v>236</v>
      </c>
      <c r="S167" s="1" t="s">
        <v>228</v>
      </c>
      <c r="T167" s="1" t="s">
        <v>229</v>
      </c>
      <c r="U167" s="1" t="s">
        <v>394</v>
      </c>
      <c r="V167" s="1" t="s">
        <v>228</v>
      </c>
      <c r="W167" s="1" t="s">
        <v>5701</v>
      </c>
      <c r="X167" s="1" t="s">
        <v>394</v>
      </c>
      <c r="Y167" s="1" t="s">
        <v>1045</v>
      </c>
      <c r="Z167" s="1" t="s">
        <v>231</v>
      </c>
      <c r="AA167" s="1">
        <v>56512</v>
      </c>
      <c r="AB167" s="1">
        <v>5</v>
      </c>
      <c r="AC167" s="1">
        <v>18</v>
      </c>
      <c r="AD167" s="1" t="s">
        <v>5702</v>
      </c>
      <c r="AE167" s="1" t="s">
        <v>5703</v>
      </c>
      <c r="AF167" s="1" t="s">
        <v>265</v>
      </c>
      <c r="AG167" s="1">
        <v>33</v>
      </c>
      <c r="AH167" s="5" t="s">
        <v>5704</v>
      </c>
      <c r="AI167" s="1">
        <v>5563675925</v>
      </c>
      <c r="AJ167" s="1">
        <v>5563675925</v>
      </c>
      <c r="AK167" s="1" t="s">
        <v>1372</v>
      </c>
      <c r="AL167" s="1" t="s">
        <v>560</v>
      </c>
      <c r="AM167" s="1" t="s">
        <v>1365</v>
      </c>
      <c r="AN167" s="1" t="s">
        <v>5705</v>
      </c>
      <c r="AO167" s="1" t="s">
        <v>435</v>
      </c>
      <c r="AP167" s="1">
        <v>53</v>
      </c>
      <c r="AQ167" s="1" t="s">
        <v>1536</v>
      </c>
      <c r="AR167" s="42">
        <v>0.29166666666424135</v>
      </c>
      <c r="AS167" s="42">
        <v>0.875</v>
      </c>
      <c r="AT167" s="1">
        <v>5591467879</v>
      </c>
      <c r="AU167" s="1">
        <v>5591467879</v>
      </c>
      <c r="AV167" s="1" t="s">
        <v>1371</v>
      </c>
      <c r="AW167" s="5" t="s">
        <v>5706</v>
      </c>
      <c r="AX167" s="1" t="s">
        <v>1143</v>
      </c>
      <c r="AY167" s="1" t="s">
        <v>5707</v>
      </c>
      <c r="AZ167" s="1" t="s">
        <v>5708</v>
      </c>
      <c r="BA167" s="1" t="s">
        <v>758</v>
      </c>
      <c r="BB167" s="1">
        <v>19</v>
      </c>
      <c r="BC167" s="1" t="s">
        <v>1536</v>
      </c>
      <c r="BD167" s="43">
        <v>0.33333333333575865</v>
      </c>
      <c r="BE167" s="43">
        <v>0.79166666666424135</v>
      </c>
      <c r="BF167" s="1">
        <v>5649913522</v>
      </c>
      <c r="BG167" s="1">
        <v>5649913522</v>
      </c>
      <c r="BH167" s="1" t="s">
        <v>5709</v>
      </c>
      <c r="BI167" s="5" t="s">
        <v>5710</v>
      </c>
      <c r="BJ167" s="1" t="s">
        <v>236</v>
      </c>
      <c r="BL167" s="1">
        <v>153</v>
      </c>
      <c r="BM167" s="1">
        <v>53.5</v>
      </c>
      <c r="BN167" s="1" t="s">
        <v>236</v>
      </c>
      <c r="BO167" s="1" t="s">
        <v>228</v>
      </c>
      <c r="BQ167" s="1" t="s">
        <v>236</v>
      </c>
      <c r="BR167" s="1" t="s">
        <v>348</v>
      </c>
      <c r="BS167" s="1" t="s">
        <v>236</v>
      </c>
      <c r="BT167" s="1" t="s">
        <v>271</v>
      </c>
      <c r="BU167" s="1" t="s">
        <v>228</v>
      </c>
      <c r="BW167" s="1" t="s">
        <v>238</v>
      </c>
      <c r="BX167" s="1">
        <v>120</v>
      </c>
      <c r="BY167" s="1">
        <v>500</v>
      </c>
      <c r="BZ167" s="1" t="s">
        <v>765</v>
      </c>
      <c r="CA167" s="1" t="s">
        <v>343</v>
      </c>
      <c r="CB167" s="1" t="s">
        <v>240</v>
      </c>
      <c r="CC167" s="1" t="s">
        <v>274</v>
      </c>
      <c r="CD167" s="1">
        <v>3000</v>
      </c>
      <c r="CE167" s="1">
        <v>1500</v>
      </c>
      <c r="CF167" s="1" t="s">
        <v>228</v>
      </c>
      <c r="CG167" s="1" t="s">
        <v>242</v>
      </c>
      <c r="CH167" s="1" t="s">
        <v>243</v>
      </c>
      <c r="CI167" s="1" t="s">
        <v>243</v>
      </c>
      <c r="CJ167" s="1" t="s">
        <v>2848</v>
      </c>
      <c r="CL167" s="5" t="s">
        <v>5711</v>
      </c>
      <c r="CM167" s="1">
        <v>10210745500</v>
      </c>
      <c r="CN167" s="1" t="s">
        <v>228</v>
      </c>
      <c r="CQ167" s="42">
        <v>0.29166666666424135</v>
      </c>
      <c r="CR167" s="42">
        <v>0.875</v>
      </c>
      <c r="CT167" s="45" t="str">
        <f t="array" ref="CT167">IFERROR(INDEX(#REF!,MATCH('Respuestas de formulario 1.1'!$B167,#REF!,0),MATCH('Respuestas de formulario 1.1'!CT$1,#REF!,0)),"")</f>
        <v/>
      </c>
      <c r="CU167" s="56" t="str">
        <f t="array" ref="CU167">IFERROR(INDEX(#REF!,MATCH('Respuestas de formulario 1.1'!$B167,#REF!,0),MATCH('Respuestas de formulario 1.1'!CU$1,#REF!,0)),"")</f>
        <v/>
      </c>
      <c r="CV167" s="56" t="str">
        <f t="array" ref="CV167">IFERROR(INDEX(#REF!,MATCH('Respuestas de formulario 1.1'!$B167,#REF!,0),MATCH('Respuestas de formulario 1.1'!CV$1,#REF!,0)),"")</f>
        <v/>
      </c>
      <c r="CW167" s="56" t="str">
        <f t="array" ref="CW167">IFERROR(INDEX(#REF!,MATCH('Respuestas de formulario 1.1'!$B167,#REF!,0),MATCH('Respuestas de formulario 1.1'!CW$1,#REF!,0)),"")</f>
        <v/>
      </c>
      <c r="CX167" s="56" t="str">
        <f t="array" ref="CX167">IFERROR(INDEX(#REF!,MATCH('Respuestas de formulario 1.1'!$B167,#REF!,0),MATCH('Respuestas de formulario 1.1'!CX$1,#REF!,0)),"")</f>
        <v/>
      </c>
      <c r="CY167" s="56" t="str">
        <f t="array" ref="CY167">IFERROR(INDEX(#REF!,MATCH('Respuestas de formulario 1.1'!$B167,#REF!,0),MATCH('Respuestas de formulario 1.1'!CY$1,#REF!,0)),"")</f>
        <v/>
      </c>
      <c r="CZ167" s="57" t="str">
        <f t="array" ref="CZ167">IFERROR(INDEX(#REF!,MATCH('Respuestas de formulario 1.1'!$B167,#REF!,0),MATCH('Respuestas de formulario 1.1'!CZ$1,#REF!,0)),"")</f>
        <v/>
      </c>
      <c r="DA167" s="45" t="e">
        <f t="array" ref="DA167">INDEX(#REF!,MATCH('Respuestas de formulario 1.1'!$B167,#REF!,0),MATCH('Respuestas de formulario 1.1'!DA$1,#REF!,0))</f>
        <v>#REF!</v>
      </c>
      <c r="DB167" s="45" t="e">
        <f t="array" ref="DB167">INDEX(#REF!,MATCH('Respuestas de formulario 1.1'!$B167,#REF!,0),MATCH('Respuestas de formulario 1.1'!DB$1,#REF!,0))</f>
        <v>#REF!</v>
      </c>
      <c r="DC167" s="45" t="e">
        <f t="array" ref="DC167">INDEX(#REF!,MATCH('Respuestas de formulario 1.1'!$B167,#REF!,0),MATCH('Respuestas de formulario 1.1'!DC$1,#REF!,0))</f>
        <v>#REF!</v>
      </c>
      <c r="DD167" s="45" t="e">
        <f t="array" ref="DD167">INDEX(#REF!,MATCH('Respuestas de formulario 1.1'!$B167,#REF!,0),MATCH('Respuestas de formulario 1.1'!DD$1,#REF!,0))</f>
        <v>#REF!</v>
      </c>
      <c r="DE167" s="45" t="e">
        <f t="array" ref="DE167">INDEX(#REF!,MATCH('Respuestas de formulario 1.1'!$B167,#REF!,0),MATCH('Respuestas de formulario 1.1'!DE$1,#REF!,0))</f>
        <v>#REF!</v>
      </c>
      <c r="DF167" s="45" t="e">
        <f t="array" ref="DF167">INDEX(#REF!,MATCH('Respuestas de formulario 1.1'!$B167,#REF!,0),MATCH('Respuestas de formulario 1.1'!DF$1,#REF!,0))</f>
        <v>#REF!</v>
      </c>
      <c r="DG167" s="45" t="e">
        <f t="array" ref="DG167">INDEX(#REF!,MATCH('Respuestas de formulario 1.1'!$B167,#REF!,0),MATCH('Respuestas de formulario 1.1'!DG$1,#REF!,0))</f>
        <v>#REF!</v>
      </c>
      <c r="DH167" s="45" t="e">
        <f t="array" ref="DH167">INDEX(#REF!,MATCH('Respuestas de formulario 1.1'!$B167,#REF!,0),MATCH('Respuestas de formulario 1.1'!DH$1,#REF!,0))</f>
        <v>#REF!</v>
      </c>
      <c r="DI167" s="48" t="e">
        <f>VLOOKUP(CONCATENATE($DF167," TUTO ",$DC167),#REF!,3,0)</f>
        <v>#REF!</v>
      </c>
      <c r="DJ167" s="48" t="e">
        <f t="array" ref="DJ167">IF('Respuestas de formulario 1.1'!A167="","",INDEX(#REF!,MATCH('Respuestas de formulario 1.1'!B167,#REF!,0),MATCH('Respuestas de formulario 1.1'!$DH$1,#REF!,0)))</f>
        <v>#REF!</v>
      </c>
      <c r="DK167" s="52" t="str">
        <f>CONCATENATE("http://doc.google.com/uc?id=",MID('Respuestas de formulario 1.1'!G167,34,33))</f>
        <v>http://doc.google.com/uc?id=1qqwJA4ldPC-RghElOYT5RKf4krx0vR8F</v>
      </c>
      <c r="DL167" s="49" t="str">
        <f>CONCATENATE("http://doc.google.com/uc?id=",MID('Respuestas de formulario 1.1'!AH167,34,33))</f>
        <v>http://doc.google.com/uc?id=1qGZ7sDtZC8oPWkhDyc74VSPuiUqsHiK_</v>
      </c>
      <c r="DM167" s="50" t="str">
        <f>CONCATENATE("http://doc.google.com/uc?id=",MID('Respuestas de formulario 1.1'!AW167,34,33))</f>
        <v>http://doc.google.com/uc?id=1UJDcH6Fm1o0-t-UJUWd7UtxSIMddlC47</v>
      </c>
      <c r="DN167" s="53" t="str">
        <f>CONCATENATE("http://doc.google.com/uc?id=",MID('Respuestas de formulario 1.1'!$BI167,34,33))</f>
        <v>http://doc.google.com/uc?id=1Y4Ic3bgNrL3OVrkZiDenEn6Kjl3X7LyK</v>
      </c>
      <c r="DO167" s="45" t="str">
        <f>IFERROR(VLOOKUP(CONCATENATE('Respuestas de formulario 1.1'!$B167,MID('Respuestas de formulario 1.1'!DO$1,2,1)),#REF!,12,0),"")</f>
        <v/>
      </c>
      <c r="DP167" s="45" t="str">
        <f>IFERROR(VLOOKUP(CONCATENATE('Respuestas de formulario 1.1'!$B167,MID('Respuestas de formulario 1.1'!DP$1,2,1)),#REF!,12,0),"")</f>
        <v/>
      </c>
      <c r="DQ167" s="45" t="str">
        <f>IFERROR(VLOOKUP(CONCATENATE('Respuestas de formulario 1.1'!$B167,MID('Respuestas de formulario 1.1'!DQ$1,2,1)),#REF!,12,0),"")</f>
        <v/>
      </c>
      <c r="DR167" s="45" t="str">
        <f>IFERROR(VLOOKUP(CONCATENATE('Respuestas de formulario 1.1'!$B167,MID('Respuestas de formulario 1.1'!DR$1,2,1)),#REF!,12,0),"")</f>
        <v/>
      </c>
      <c r="DS167" s="45" t="str">
        <f>IFERROR(VLOOKUP(CONCATENATE('Respuestas de formulario 1.1'!$B167,MID('Respuestas de formulario 1.1'!DS$1,2,1)),#REF!,12,0),"")</f>
        <v/>
      </c>
      <c r="DT167" s="45" t="str">
        <f>IFERROR(VLOOKUP(CONCATENATE('Respuestas de formulario 1.1'!$B167,MID('Respuestas de formulario 1.1'!DT$1,2,1)),#REF!,12,0),"")</f>
        <v/>
      </c>
      <c r="DU167" s="45" t="str">
        <f>IFERROR(VLOOKUP(CONCATENATE('Respuestas de formulario 1.1'!$B167,MID('Respuestas de formulario 1.1'!DU$1,2,1)),#REF!,12,0),"")</f>
        <v/>
      </c>
      <c r="DV167" s="45" t="str">
        <f>IFERROR(VLOOKUP(CONCATENATE('Respuestas de formulario 1.1'!$B167,MID('Respuestas de formulario 1.1'!DV$1,2,1)),#REF!,12,0),"")</f>
        <v/>
      </c>
      <c r="DW167" s="45" t="str">
        <f>IFERROR(VLOOKUP(CONCATENATE('Respuestas de formulario 1.1'!$B167,MID('Respuestas de formulario 1.1'!DW$1,2,1)),#REF!,12,0),"")</f>
        <v/>
      </c>
      <c r="DX167" s="45" t="str">
        <f>IFERROR(VLOOKUP(CONCATENATE('Respuestas de formulario 1.1'!$B167,MID('Respuestas de formulario 1.1'!DX$1,2,1)),#REF!,12,0),"")</f>
        <v/>
      </c>
      <c r="DY167" s="45" t="str">
        <f>IFERROR(VLOOKUP(CONCATENATE('Respuestas de formulario 1.1'!$B167,MID('Respuestas de formulario 1.1'!DY$1,2,1)),#REF!,12,0),"")</f>
        <v/>
      </c>
      <c r="DZ167" s="45" t="str">
        <f>IFERROR(VLOOKUP(CONCATENATE('Respuestas de formulario 1.1'!$B167,MID('Respuestas de formulario 1.1'!DZ$1,2,1)),#REF!,12,0),"")</f>
        <v/>
      </c>
      <c r="EA167" s="45" t="str">
        <f>IFERROR(VLOOKUP(CONCATENATE('Respuestas de formulario 1.1'!$B167,MID('Respuestas de formulario 1.1'!EA$1,2,1)),#REF!,12,0),"")</f>
        <v/>
      </c>
      <c r="EB167" s="45" t="str">
        <f>IFERROR(VLOOKUP(CONCATENATE('Respuestas de formulario 1.1'!$B167,MID('Respuestas de formulario 1.1'!EB$1,2,1)),#REF!,12,0),"")</f>
        <v/>
      </c>
      <c r="EC167" s="45" t="str">
        <f>IFERROR(VLOOKUP(CONCATENATE('Respuestas de formulario 1.1'!$B167,MID('Respuestas de formulario 1.1'!EC$1,2,1)),#REF!,12,0),"")</f>
        <v/>
      </c>
      <c r="ED167" s="45" t="str">
        <f>IFERROR(VLOOKUP(CONCATENATE('Respuestas de formulario 1.1'!$B167,MID('Respuestas de formulario 1.1'!ED$1,2,1)),#REF!,12,0),"")</f>
        <v/>
      </c>
      <c r="EE167" s="45" t="str">
        <f>IFERROR(VLOOKUP(CONCATENATE('Respuestas de formulario 1.1'!$B167,MID('Respuestas de formulario 1.1'!EE$1,2,1)),#REF!,12,0),"")</f>
        <v/>
      </c>
      <c r="EF167" s="45" t="str">
        <f>IFERROR(VLOOKUP(CONCATENATE('Respuestas de formulario 1.1'!$B167,MID('Respuestas de formulario 1.1'!EF$1,2,1)),#REF!,12,0),"")</f>
        <v/>
      </c>
      <c r="EG167" s="45" t="str">
        <f>IFERROR(VLOOKUP(CONCATENATE('Respuestas de formulario 1.1'!$B167,MID('Respuestas de formulario 1.1'!EG$1,2,1)),#REF!,12,0),"")</f>
        <v/>
      </c>
      <c r="EH167" s="45" t="str">
        <f>IFERROR(VLOOKUP(CONCATENATE('Respuestas de formulario 1.1'!$B167,MID('Respuestas de formulario 1.1'!EH$1,2,1)),#REF!,12,0),"")</f>
        <v/>
      </c>
      <c r="EI167" s="45" t="str">
        <f>IFERROR(VLOOKUP(CONCATENATE('Respuestas de formulario 1.1'!$B167,MID('Respuestas de formulario 1.1'!EI$1,2,1)),#REF!,12,0),"")</f>
        <v/>
      </c>
      <c r="EJ167" s="45" t="str">
        <f t="array" ref="EJ167">IF(DO167="","", INDEX(#REF!,MATCH(CONCATENATE('Respuestas de formulario 1.1'!$B167,DO167),#REF!,0),MATCH('Respuestas de formulario 1.1'!EJ$1,#REF!,0)))</f>
        <v/>
      </c>
      <c r="EK167" s="56" t="str">
        <f t="array" ref="EK167">IF(DP167="","", INDEX(#REF!,MATCH(CONCATENATE('Respuestas de formulario 1.1'!$B167,DP167),#REF!,0),MATCH('Respuestas de formulario 1.1'!EK$1,#REF!,0)))</f>
        <v/>
      </c>
      <c r="EL167" s="56" t="str">
        <f t="array" ref="EL167">IF(DQ167="","", INDEX(#REF!,MATCH(CONCATENATE('Respuestas de formulario 1.1'!$B167,DQ167),#REF!,0),MATCH('Respuestas de formulario 1.1'!EL$1,#REF!,0)))</f>
        <v/>
      </c>
      <c r="EM167" s="56" t="str">
        <f t="array" ref="EM167">IF(DR167="","", INDEX(#REF!,MATCH(CONCATENATE('Respuestas de formulario 1.1'!$B167,DR167),#REF!,0),MATCH('Respuestas de formulario 1.1'!EM$1,#REF!,0)))</f>
        <v/>
      </c>
      <c r="EN167" s="56" t="str">
        <f t="array" ref="EN167">IF(DS167="","", INDEX(#REF!,MATCH(CONCATENATE('Respuestas de formulario 1.1'!$B167,DS167),#REF!,0),MATCH('Respuestas de formulario 1.1'!EN$1,#REF!,0)))</f>
        <v/>
      </c>
      <c r="EO167" s="56" t="str">
        <f t="array" ref="EO167">IF(DT167="","", INDEX(#REF!,MATCH(CONCATENATE('Respuestas de formulario 1.1'!$B167,DT167),#REF!,0),MATCH('Respuestas de formulario 1.1'!EO$1,#REF!,0)))</f>
        <v/>
      </c>
      <c r="EP167" s="45" t="str">
        <f t="array" ref="EP167">IF(DU167="","", INDEX(#REF!,MATCH(CONCATENATE('Respuestas de formulario 1.1'!$B167,DU167),#REF!,0),MATCH('Respuestas de formulario 1.1'!EP$1,#REF!,0)))</f>
        <v/>
      </c>
      <c r="EQ167" s="45" t="str">
        <f t="array" ref="EQ167">IF(DP167="","", INDEX(#REF!,MATCH(CONCATENATE('Respuestas de formulario 1.1'!$B167,DP167),#REF!,0),MATCH('Respuestas de formulario 1.1'!EQ$1,#REF!,0)))</f>
        <v/>
      </c>
      <c r="ER167" s="56" t="str">
        <f t="array" ref="ER167">IF(DQ167="","", INDEX(#REF!,MATCH(CONCATENATE('Respuestas de formulario 1.1'!$B167,DQ167),#REF!,0),MATCH('Respuestas de formulario 1.1'!ER$1,#REF!,0)))</f>
        <v/>
      </c>
      <c r="ES167" s="56" t="str">
        <f t="array" ref="ES167">IF(DR167="","", INDEX(#REF!,MATCH(CONCATENATE('Respuestas de formulario 1.1'!$B167,DR167),#REF!,0),MATCH('Respuestas de formulario 1.1'!ES$1,#REF!,0)))</f>
        <v/>
      </c>
      <c r="ET167" s="56" t="str">
        <f t="array" ref="ET167">IF(DS167="","", INDEX(#REF!,MATCH(CONCATENATE('Respuestas de formulario 1.1'!$B167,DS167),#REF!,0),MATCH('Respuestas de formulario 1.1'!ET$1,#REF!,0)))</f>
        <v/>
      </c>
      <c r="EU167" s="56" t="str">
        <f t="array" ref="EU167">IF(DT167="","", INDEX(#REF!,MATCH(CONCATENATE('Respuestas de formulario 1.1'!$B167,DT167),#REF!,0),MATCH('Respuestas de formulario 1.1'!EU$1,#REF!,0)))</f>
        <v/>
      </c>
      <c r="EV167" s="56" t="str">
        <f t="array" ref="EV167">IF(DU167="","", INDEX(#REF!,MATCH(CONCATENATE('Respuestas de formulario 1.1'!$B167,DU167),#REF!,0),MATCH('Respuestas de formulario 1.1'!EV$1,#REF!,0)))</f>
        <v/>
      </c>
      <c r="EW167" s="45" t="str">
        <f t="array" ref="EW167">IF(DV167="","", INDEX(#REF!,MATCH(CONCATENATE('Respuestas de formulario 1.1'!$B167,DV167),#REF!,0),MATCH('Respuestas de formulario 1.1'!EW$1,#REF!,0)))</f>
        <v/>
      </c>
      <c r="EX167" s="45" t="str">
        <f t="array" ref="EX167">IF($DQ167="","", INDEX(#REF!,MATCH(CONCATENATE('Respuestas de formulario 1.1'!$B167,$DQ167),#REF!,0),MATCH('Respuestas de formulario 1.1'!EX$1,#REF!,0)))</f>
        <v/>
      </c>
      <c r="EY167" s="56" t="str">
        <f t="array" ref="EY167">IF($DQ167="","", INDEX(#REF!,MATCH(CONCATENATE('Respuestas de formulario 1.1'!$B167,$DQ167),#REF!,0),MATCH('Respuestas de formulario 1.1'!EY$1,#REF!,0)))</f>
        <v/>
      </c>
      <c r="EZ167" s="56" t="str">
        <f t="array" ref="EZ167">IF($DQ167="","", INDEX(#REF!,MATCH(CONCATENATE('Respuestas de formulario 1.1'!$B167,$DQ167),#REF!,0),MATCH('Respuestas de formulario 1.1'!EZ$1,#REF!,0)))</f>
        <v/>
      </c>
      <c r="FA167" s="56" t="str">
        <f t="array" ref="FA167">IF($DQ167="","", INDEX(#REF!,MATCH(CONCATENATE('Respuestas de formulario 1.1'!$B167,$DQ167),#REF!,0),MATCH('Respuestas de formulario 1.1'!FA$1,#REF!,0)))</f>
        <v/>
      </c>
      <c r="FB167" s="56" t="str">
        <f t="array" ref="FB167">IF($DQ167="","", INDEX(#REF!,MATCH(CONCATENATE('Respuestas de formulario 1.1'!$B167,$DQ167),#REF!,0),MATCH('Respuestas de formulario 1.1'!FB$1,#REF!,0)))</f>
        <v/>
      </c>
      <c r="FC167" s="56" t="str">
        <f t="array" ref="FC167">IF($DQ167="","", INDEX(#REF!,MATCH(CONCATENATE('Respuestas de formulario 1.1'!$B167,$DQ167),#REF!,0),MATCH('Respuestas de formulario 1.1'!FC$1,#REF!,0)))</f>
        <v/>
      </c>
      <c r="FD167" s="45" t="str">
        <f t="array" ref="FD167">IF($DQ167="","", INDEX(#REF!,MATCH(CONCATENATE('Respuestas de formulario 1.1'!$B167,$DQ167),#REF!,0),MATCH('Respuestas de formulario 1.1'!FD$1,#REF!,0)))</f>
        <v/>
      </c>
      <c r="FE167" s="45" t="str">
        <f t="array" ref="FE167">IF($DR167="","", INDEX(#REF!,MATCH(CONCATENATE(#REF!,$DR167),#REF!,0),MATCH(#REF!,#REF!,0)))</f>
        <v/>
      </c>
      <c r="FF167" s="56" t="str">
        <f t="array" ref="FF167">IF($DR167="","", INDEX(#REF!,MATCH(CONCATENATE(#REF!,$DR167),#REF!,0),MATCH(#REF!,#REF!,0)))</f>
        <v/>
      </c>
      <c r="FG167" s="56" t="str">
        <f t="array" ref="FG167">IF($DR167="","", INDEX(#REF!,MATCH(CONCATENATE(#REF!,$DR167),#REF!,0),MATCH(#REF!,#REF!,0)))</f>
        <v/>
      </c>
      <c r="FH167" s="56" t="str">
        <f t="array" ref="FH167">IF($DR167="","", INDEX(#REF!,MATCH(CONCATENATE(#REF!,$DR167),#REF!,0),MATCH(#REF!,#REF!,0)))</f>
        <v/>
      </c>
      <c r="FI167" s="56" t="str">
        <f t="array" ref="FI167">IF($DR167="","", INDEX(#REF!,MATCH(CONCATENATE(#REF!,$DR167),#REF!,0),MATCH(#REF!,#REF!,0)))</f>
        <v/>
      </c>
      <c r="FJ167" s="56" t="str">
        <f t="array" ref="FJ167">IF($DR167="","", INDEX(#REF!,MATCH(CONCATENATE(#REF!,$DR167),#REF!,0),MATCH(#REF!,#REF!,0)))</f>
        <v/>
      </c>
      <c r="FK167" s="45" t="str">
        <f t="array" ref="FK167">IF($DR167="","", INDEX(#REF!,MATCH(CONCATENATE(#REF!,$DR167),#REF!,0),MATCH(#REF!,#REF!,0)))</f>
        <v/>
      </c>
      <c r="FL167" s="45" t="str">
        <f t="array" ref="FL167">IF($DT167="","", INDEX(#REF!,MATCH(CONCATENATE('Respuestas de formulario 1.1'!$B167,$DS167),#REF!,0),MATCH('Respuestas de formulario 1.1'!FL$1,#REF!,0)))</f>
        <v/>
      </c>
      <c r="FM167" s="56" t="str">
        <f t="array" ref="FM167">IF($DT167="","", INDEX(#REF!,MATCH(CONCATENATE('Respuestas de formulario 1.1'!$B167,$DS167),#REF!,0),MATCH('Respuestas de formulario 1.1'!FM$1,#REF!,0)))</f>
        <v/>
      </c>
      <c r="FN167" s="56" t="str">
        <f t="array" ref="FN167">IF($DT167="","", INDEX(#REF!,MATCH(CONCATENATE('Respuestas de formulario 1.1'!$B167,$DS167),#REF!,0),MATCH('Respuestas de formulario 1.1'!FN$1,#REF!,0)))</f>
        <v/>
      </c>
      <c r="FO167" s="56" t="str">
        <f t="array" ref="FO167">IF($DT167="","", INDEX(#REF!,MATCH(CONCATENATE('Respuestas de formulario 1.1'!$B167,$DS167),#REF!,0),MATCH('Respuestas de formulario 1.1'!FO$1,#REF!,0)))</f>
        <v/>
      </c>
      <c r="FP167" s="56" t="str">
        <f t="array" ref="FP167">IF($DT167="","", INDEX(#REF!,MATCH(CONCATENATE('Respuestas de formulario 1.1'!$B167,$DS167),#REF!,0),MATCH('Respuestas de formulario 1.1'!FP$1,#REF!,0)))</f>
        <v/>
      </c>
      <c r="FQ167" s="56" t="str">
        <f t="array" ref="FQ167">IF($DT167="","", INDEX(#REF!,MATCH(CONCATENATE('Respuestas de formulario 1.1'!$B167,$DS167),#REF!,0),MATCH('Respuestas de formulario 1.1'!FQ$1,#REF!,0)))</f>
        <v/>
      </c>
      <c r="FR167" s="45" t="str">
        <f t="array" ref="FR167">IF($DT167="","", INDEX(#REF!,MATCH(CONCATENATE('Respuestas de formulario 1.1'!$B167,$DS167),#REF!,0),MATCH('Respuestas de formulario 1.1'!FR$1,#REF!,0)))</f>
        <v/>
      </c>
      <c r="FS167" s="45" t="str">
        <f t="array" ref="FS167">IF($DU167="","", INDEX(#REF!,MATCH(CONCATENATE('Respuestas de formulario 1.1'!$B167,$DT167),#REF!,0),MATCH('Respuestas de formulario 1.1'!FS$1,#REF!,0)))</f>
        <v/>
      </c>
      <c r="FT167" s="56" t="str">
        <f t="array" ref="FT167">IF($DU167="","", INDEX(#REF!,MATCH(CONCATENATE('Respuestas de formulario 1.1'!$B167,$DT167),#REF!,0),MATCH('Respuestas de formulario 1.1'!FT$1,#REF!,0)))</f>
        <v/>
      </c>
      <c r="FU167" s="56" t="str">
        <f t="array" ref="FU167">IF($DU167="","", INDEX(#REF!,MATCH(CONCATENATE('Respuestas de formulario 1.1'!$B167,$DT167),#REF!,0),MATCH('Respuestas de formulario 1.1'!FU$1,#REF!,0)))</f>
        <v/>
      </c>
      <c r="FV167" s="56" t="str">
        <f t="array" ref="FV167">IF($DU167="","", INDEX(#REF!,MATCH(CONCATENATE('Respuestas de formulario 1.1'!$B167,$DT167),#REF!,0),MATCH('Respuestas de formulario 1.1'!FV$1,#REF!,0)))</f>
        <v/>
      </c>
      <c r="FW167" s="56" t="str">
        <f t="array" ref="FW167">IF($DU167="","", INDEX(#REF!,MATCH(CONCATENATE('Respuestas de formulario 1.1'!$B167,$DT167),#REF!,0),MATCH('Respuestas de formulario 1.1'!FW$1,#REF!,0)))</f>
        <v/>
      </c>
      <c r="FX167" s="56" t="str">
        <f t="array" ref="FX167">IF($DU167="","", INDEX(#REF!,MATCH(CONCATENATE('Respuestas de formulario 1.1'!$B167,$DT167),#REF!,0),MATCH('Respuestas de formulario 1.1'!FX$1,#REF!,0)))</f>
        <v/>
      </c>
      <c r="FY167" s="45" t="str">
        <f t="array" ref="FY167">IF($DU167="","", INDEX(#REF!,MATCH(CONCATENATE('Respuestas de formulario 1.1'!$B167,$DT167),#REF!,0),MATCH('Respuestas de formulario 1.1'!FY$1,#REF!,0)))</f>
        <v/>
      </c>
      <c r="FZ167" s="3" t="s">
        <v>2860</v>
      </c>
      <c r="GA167" s="1" t="s">
        <v>5712</v>
      </c>
      <c r="GB167" s="5" t="s">
        <v>5713</v>
      </c>
      <c r="GC167" s="4" t="str">
        <f>HYPERLINK("https://drive.google.com/file/d/1hMEQCN-dP1hhmlEDE5HIUob0nCvhCH8s/view?usp=drivesdk","GONZALEZ  SANTOS  SARA FABIOLA  Formato de reinscripción y pago 2022-2")</f>
        <v>GONZALEZ  SANTOS  SARA FABIOLA  Formato de reinscripción y pago 2022-2</v>
      </c>
      <c r="GD167" s="1" t="s">
        <v>5714</v>
      </c>
      <c r="GE167" s="1"/>
      <c r="GF167" s="1"/>
      <c r="GG167" s="1"/>
      <c r="GH167" s="1"/>
      <c r="GI167" s="1" t="s">
        <v>5715</v>
      </c>
      <c r="GJ167" s="5" t="s">
        <v>5716</v>
      </c>
      <c r="GK167" s="5" t="str">
        <f>HYPERLINK("https://drive.google.com/file/d/1b6-kUUxDNhYb0HghtGYCVyxnHjR0xakZ/view?usp=drivesdk","GONZALEZ  SANTOS  SARA FABIOLA  Formato de reinscripción y pago 2022-2")</f>
        <v>GONZALEZ  SANTOS  SARA FABIOLA  Formato de reinscripción y pago 2022-2</v>
      </c>
      <c r="GL167" s="1" t="s">
        <v>5717</v>
      </c>
    </row>
    <row r="168" spans="1:194" ht="38.25" x14ac:dyDescent="0.2">
      <c r="A168" s="2">
        <v>45139.476491967594</v>
      </c>
      <c r="B168" s="1" t="s">
        <v>48</v>
      </c>
      <c r="C168" s="1" t="s">
        <v>1135</v>
      </c>
      <c r="D168" s="1" t="s">
        <v>245</v>
      </c>
      <c r="E168" s="1" t="s">
        <v>1136</v>
      </c>
      <c r="F168" s="1" t="s">
        <v>223</v>
      </c>
      <c r="G168" s="5" t="s">
        <v>5718</v>
      </c>
      <c r="H168" s="41">
        <v>38911</v>
      </c>
      <c r="I168" s="1">
        <v>17</v>
      </c>
      <c r="J168" s="1">
        <v>5514495588</v>
      </c>
      <c r="K168" s="1">
        <v>8</v>
      </c>
      <c r="L168" s="1" t="s">
        <v>1137</v>
      </c>
      <c r="M168" s="1">
        <v>21309060570317</v>
      </c>
      <c r="N168" s="1" t="s">
        <v>1108</v>
      </c>
      <c r="O168" s="1" t="s">
        <v>247</v>
      </c>
      <c r="P168" s="1" t="s">
        <v>226</v>
      </c>
      <c r="Q168" s="1" t="s">
        <v>315</v>
      </c>
      <c r="R168" s="1" t="s">
        <v>236</v>
      </c>
      <c r="S168" s="1" t="s">
        <v>228</v>
      </c>
      <c r="T168" s="1" t="s">
        <v>686</v>
      </c>
      <c r="U168" s="1" t="s">
        <v>327</v>
      </c>
      <c r="V168" s="1" t="s">
        <v>228</v>
      </c>
      <c r="W168" s="1" t="s">
        <v>5719</v>
      </c>
      <c r="X168" s="1" t="s">
        <v>327</v>
      </c>
      <c r="Y168" s="1" t="s">
        <v>1140</v>
      </c>
      <c r="Z168" s="1" t="s">
        <v>231</v>
      </c>
      <c r="AA168" s="1">
        <v>56338</v>
      </c>
      <c r="AB168" s="1">
        <v>1</v>
      </c>
      <c r="AC168" s="1">
        <v>8</v>
      </c>
      <c r="AD168" s="1" t="s">
        <v>5720</v>
      </c>
      <c r="AE168" s="1" t="s">
        <v>5721</v>
      </c>
      <c r="AF168" s="1" t="s">
        <v>279</v>
      </c>
      <c r="AG168" s="1">
        <v>34</v>
      </c>
      <c r="AH168" s="5" t="s">
        <v>5722</v>
      </c>
      <c r="AI168" s="1">
        <v>5615125500</v>
      </c>
      <c r="AJ168" s="1">
        <v>5615125500</v>
      </c>
      <c r="AK168" s="1"/>
      <c r="AL168" s="1" t="s">
        <v>245</v>
      </c>
      <c r="AM168" s="1" t="s">
        <v>574</v>
      </c>
      <c r="AN168" s="1" t="s">
        <v>1138</v>
      </c>
      <c r="AO168" s="1" t="s">
        <v>265</v>
      </c>
      <c r="AP168" s="1">
        <v>34</v>
      </c>
      <c r="AQ168" s="1" t="s">
        <v>454</v>
      </c>
      <c r="AR168" s="42">
        <v>0.29166666666424135</v>
      </c>
      <c r="AS168" s="42">
        <v>0.91666666666424135</v>
      </c>
      <c r="AT168" s="1">
        <v>5570713832</v>
      </c>
      <c r="AU168" s="1">
        <v>5570713832</v>
      </c>
      <c r="AV168" s="1" t="s">
        <v>1139</v>
      </c>
      <c r="AW168" s="5" t="s">
        <v>5723</v>
      </c>
      <c r="AX168" s="1" t="s">
        <v>5724</v>
      </c>
      <c r="AY168" s="1" t="s">
        <v>1166</v>
      </c>
      <c r="AZ168" s="1" t="s">
        <v>1762</v>
      </c>
      <c r="BA168" s="1" t="s">
        <v>435</v>
      </c>
      <c r="BB168" s="1">
        <v>33</v>
      </c>
      <c r="BC168" s="1" t="s">
        <v>739</v>
      </c>
      <c r="BD168" s="43">
        <v>0.29166666666424135</v>
      </c>
      <c r="BE168" s="43">
        <v>0.6875</v>
      </c>
      <c r="BF168" s="1">
        <v>5627861341</v>
      </c>
      <c r="BG168" s="1">
        <v>5627861341</v>
      </c>
      <c r="BH168" s="1" t="s">
        <v>5725</v>
      </c>
      <c r="BI168" s="5" t="s">
        <v>5726</v>
      </c>
      <c r="BJ168" s="1" t="s">
        <v>236</v>
      </c>
      <c r="BL168" s="1">
        <v>1.53</v>
      </c>
      <c r="BM168" s="1">
        <v>45.6</v>
      </c>
      <c r="BN168" s="1" t="s">
        <v>236</v>
      </c>
      <c r="BO168" s="1" t="s">
        <v>228</v>
      </c>
      <c r="BQ168" s="1" t="s">
        <v>228</v>
      </c>
      <c r="BR168" s="1" t="s">
        <v>237</v>
      </c>
      <c r="BS168" s="1" t="s">
        <v>236</v>
      </c>
      <c r="BT168" s="1" t="s">
        <v>457</v>
      </c>
      <c r="BU168" s="1" t="s">
        <v>228</v>
      </c>
      <c r="BW168" s="1" t="s">
        <v>238</v>
      </c>
      <c r="BX168" s="1">
        <v>180</v>
      </c>
      <c r="BY168" s="1">
        <v>250</v>
      </c>
      <c r="BZ168" s="1" t="s">
        <v>5727</v>
      </c>
      <c r="CA168" s="1" t="s">
        <v>5728</v>
      </c>
      <c r="CB168" s="1" t="s">
        <v>240</v>
      </c>
      <c r="CC168" s="1" t="s">
        <v>5729</v>
      </c>
      <c r="CD168" s="1">
        <v>0</v>
      </c>
      <c r="CE168" s="1">
        <v>250</v>
      </c>
      <c r="CF168" s="1" t="s">
        <v>236</v>
      </c>
      <c r="CG168" s="1" t="s">
        <v>242</v>
      </c>
      <c r="CH168" s="1" t="s">
        <v>243</v>
      </c>
      <c r="CI168" s="1" t="s">
        <v>243</v>
      </c>
      <c r="CJ168" s="1" t="s">
        <v>2848</v>
      </c>
      <c r="CL168" s="5" t="s">
        <v>5730</v>
      </c>
      <c r="CM168" s="1">
        <v>27220681897</v>
      </c>
      <c r="CN168" s="1" t="s">
        <v>228</v>
      </c>
      <c r="CQ168" s="42">
        <v>0.29166666666424135</v>
      </c>
      <c r="CR168" s="42">
        <v>0.875</v>
      </c>
      <c r="CT168" s="45" t="str">
        <f t="array" ref="CT168">IFERROR(INDEX(#REF!,MATCH('Respuestas de formulario 1.1'!$B168,#REF!,0),MATCH('Respuestas de formulario 1.1'!CT$1,#REF!,0)),"")</f>
        <v/>
      </c>
      <c r="CU168" s="56" t="str">
        <f t="array" ref="CU168">IFERROR(INDEX(#REF!,MATCH('Respuestas de formulario 1.1'!$B168,#REF!,0),MATCH('Respuestas de formulario 1.1'!CU$1,#REF!,0)),"")</f>
        <v/>
      </c>
      <c r="CV168" s="56" t="str">
        <f t="array" ref="CV168">IFERROR(INDEX(#REF!,MATCH('Respuestas de formulario 1.1'!$B168,#REF!,0),MATCH('Respuestas de formulario 1.1'!CV$1,#REF!,0)),"")</f>
        <v/>
      </c>
      <c r="CW168" s="56" t="str">
        <f t="array" ref="CW168">IFERROR(INDEX(#REF!,MATCH('Respuestas de formulario 1.1'!$B168,#REF!,0),MATCH('Respuestas de formulario 1.1'!CW$1,#REF!,0)),"")</f>
        <v/>
      </c>
      <c r="CX168" s="56" t="str">
        <f t="array" ref="CX168">IFERROR(INDEX(#REF!,MATCH('Respuestas de formulario 1.1'!$B168,#REF!,0),MATCH('Respuestas de formulario 1.1'!CX$1,#REF!,0)),"")</f>
        <v/>
      </c>
      <c r="CY168" s="56" t="str">
        <f t="array" ref="CY168">IFERROR(INDEX(#REF!,MATCH('Respuestas de formulario 1.1'!$B168,#REF!,0),MATCH('Respuestas de formulario 1.1'!CY$1,#REF!,0)),"")</f>
        <v/>
      </c>
      <c r="CZ168" s="57" t="str">
        <f t="array" ref="CZ168">IFERROR(INDEX(#REF!,MATCH('Respuestas de formulario 1.1'!$B168,#REF!,0),MATCH('Respuestas de formulario 1.1'!CZ$1,#REF!,0)),"")</f>
        <v/>
      </c>
      <c r="DA168" s="45" t="e">
        <f t="array" ref="DA168">INDEX(#REF!,MATCH('Respuestas de formulario 1.1'!$B168,#REF!,0),MATCH('Respuestas de formulario 1.1'!DA$1,#REF!,0))</f>
        <v>#REF!</v>
      </c>
      <c r="DB168" s="45" t="e">
        <f t="array" ref="DB168">INDEX(#REF!,MATCH('Respuestas de formulario 1.1'!$B168,#REF!,0),MATCH('Respuestas de formulario 1.1'!DB$1,#REF!,0))</f>
        <v>#REF!</v>
      </c>
      <c r="DC168" s="45" t="e">
        <f t="array" ref="DC168">INDEX(#REF!,MATCH('Respuestas de formulario 1.1'!$B168,#REF!,0),MATCH('Respuestas de formulario 1.1'!DC$1,#REF!,0))</f>
        <v>#REF!</v>
      </c>
      <c r="DD168" s="45" t="e">
        <f t="array" ref="DD168">INDEX(#REF!,MATCH('Respuestas de formulario 1.1'!$B168,#REF!,0),MATCH('Respuestas de formulario 1.1'!DD$1,#REF!,0))</f>
        <v>#REF!</v>
      </c>
      <c r="DE168" s="45" t="e">
        <f t="array" ref="DE168">INDEX(#REF!,MATCH('Respuestas de formulario 1.1'!$B168,#REF!,0),MATCH('Respuestas de formulario 1.1'!DE$1,#REF!,0))</f>
        <v>#REF!</v>
      </c>
      <c r="DF168" s="45" t="e">
        <f t="array" ref="DF168">INDEX(#REF!,MATCH('Respuestas de formulario 1.1'!$B168,#REF!,0),MATCH('Respuestas de formulario 1.1'!DF$1,#REF!,0))</f>
        <v>#REF!</v>
      </c>
      <c r="DG168" s="45" t="e">
        <f t="array" ref="DG168">INDEX(#REF!,MATCH('Respuestas de formulario 1.1'!$B168,#REF!,0),MATCH('Respuestas de formulario 1.1'!DG$1,#REF!,0))</f>
        <v>#REF!</v>
      </c>
      <c r="DH168" s="45" t="e">
        <f t="array" ref="DH168">INDEX(#REF!,MATCH('Respuestas de formulario 1.1'!$B168,#REF!,0),MATCH('Respuestas de formulario 1.1'!DH$1,#REF!,0))</f>
        <v>#REF!</v>
      </c>
      <c r="DI168" s="48" t="e">
        <f>VLOOKUP(CONCATENATE($DF168," TUTO ",$DC168),#REF!,3,0)</f>
        <v>#REF!</v>
      </c>
      <c r="DJ168" s="48" t="e">
        <f t="array" ref="DJ168">IF('Respuestas de formulario 1.1'!A168="","",INDEX(#REF!,MATCH('Respuestas de formulario 1.1'!B168,#REF!,0),MATCH('Respuestas de formulario 1.1'!$DH$1,#REF!,0)))</f>
        <v>#REF!</v>
      </c>
      <c r="DK168" s="52" t="str">
        <f>CONCATENATE("http://doc.google.com/uc?id=",MID('Respuestas de formulario 1.1'!G168,34,33))</f>
        <v>http://doc.google.com/uc?id=1QPnEzw4E2iszRcaDkNW4sRpjvNTiemGa</v>
      </c>
      <c r="DL168" s="49" t="str">
        <f>CONCATENATE("http://doc.google.com/uc?id=",MID('Respuestas de formulario 1.1'!AH168,34,33))</f>
        <v>http://doc.google.com/uc?id=1XYT9h9IQyNI8PpqrfwmC5yrdHUcWzhkp</v>
      </c>
      <c r="DM168" s="50" t="str">
        <f>CONCATENATE("http://doc.google.com/uc?id=",MID('Respuestas de formulario 1.1'!AW168,34,33))</f>
        <v>http://doc.google.com/uc?id=1tommmsuclpAK8-PshWl-gGhK_Kb0yhX9</v>
      </c>
      <c r="DN168" s="53" t="str">
        <f>CONCATENATE("http://doc.google.com/uc?id=",MID('Respuestas de formulario 1.1'!$BI168,34,33))</f>
        <v>http://doc.google.com/uc?id=1XZZ0EPfbNKKdRtYnkjFgeinfF8rmAvfB</v>
      </c>
      <c r="DO168" s="45" t="str">
        <f>IFERROR(VLOOKUP(CONCATENATE('Respuestas de formulario 1.1'!$B168,MID('Respuestas de formulario 1.1'!DO$1,2,1)),#REF!,12,0),"")</f>
        <v/>
      </c>
      <c r="DP168" s="45" t="str">
        <f>IFERROR(VLOOKUP(CONCATENATE('Respuestas de formulario 1.1'!$B168,MID('Respuestas de formulario 1.1'!DP$1,2,1)),#REF!,12,0),"")</f>
        <v/>
      </c>
      <c r="DQ168" s="45" t="str">
        <f>IFERROR(VLOOKUP(CONCATENATE('Respuestas de formulario 1.1'!$B168,MID('Respuestas de formulario 1.1'!DQ$1,2,1)),#REF!,12,0),"")</f>
        <v/>
      </c>
      <c r="DR168" s="45" t="str">
        <f>IFERROR(VLOOKUP(CONCATENATE('Respuestas de formulario 1.1'!$B168,MID('Respuestas de formulario 1.1'!DR$1,2,1)),#REF!,12,0),"")</f>
        <v/>
      </c>
      <c r="DS168" s="45" t="str">
        <f>IFERROR(VLOOKUP(CONCATENATE('Respuestas de formulario 1.1'!$B168,MID('Respuestas de formulario 1.1'!DS$1,2,1)),#REF!,12,0),"")</f>
        <v/>
      </c>
      <c r="DT168" s="45" t="str">
        <f>IFERROR(VLOOKUP(CONCATENATE('Respuestas de formulario 1.1'!$B168,MID('Respuestas de formulario 1.1'!DT$1,2,1)),#REF!,12,0),"")</f>
        <v/>
      </c>
      <c r="DU168" s="45" t="str">
        <f>IFERROR(VLOOKUP(CONCATENATE('Respuestas de formulario 1.1'!$B168,MID('Respuestas de formulario 1.1'!DU$1,2,1)),#REF!,12,0),"")</f>
        <v/>
      </c>
      <c r="DV168" s="45" t="str">
        <f>IFERROR(VLOOKUP(CONCATENATE('Respuestas de formulario 1.1'!$B168,MID('Respuestas de formulario 1.1'!DV$1,2,1)),#REF!,12,0),"")</f>
        <v/>
      </c>
      <c r="DW168" s="45" t="str">
        <f>IFERROR(VLOOKUP(CONCATENATE('Respuestas de formulario 1.1'!$B168,MID('Respuestas de formulario 1.1'!DW$1,2,1)),#REF!,12,0),"")</f>
        <v/>
      </c>
      <c r="DX168" s="45" t="str">
        <f>IFERROR(VLOOKUP(CONCATENATE('Respuestas de formulario 1.1'!$B168,MID('Respuestas de formulario 1.1'!DX$1,2,1)),#REF!,12,0),"")</f>
        <v/>
      </c>
      <c r="DY168" s="45" t="str">
        <f>IFERROR(VLOOKUP(CONCATENATE('Respuestas de formulario 1.1'!$B168,MID('Respuestas de formulario 1.1'!DY$1,2,1)),#REF!,12,0),"")</f>
        <v/>
      </c>
      <c r="DZ168" s="45" t="str">
        <f>IFERROR(VLOOKUP(CONCATENATE('Respuestas de formulario 1.1'!$B168,MID('Respuestas de formulario 1.1'!DZ$1,2,1)),#REF!,12,0),"")</f>
        <v/>
      </c>
      <c r="EA168" s="45" t="str">
        <f>IFERROR(VLOOKUP(CONCATENATE('Respuestas de formulario 1.1'!$B168,MID('Respuestas de formulario 1.1'!EA$1,2,1)),#REF!,12,0),"")</f>
        <v/>
      </c>
      <c r="EB168" s="45" t="str">
        <f>IFERROR(VLOOKUP(CONCATENATE('Respuestas de formulario 1.1'!$B168,MID('Respuestas de formulario 1.1'!EB$1,2,1)),#REF!,12,0),"")</f>
        <v/>
      </c>
      <c r="EC168" s="45" t="str">
        <f>IFERROR(VLOOKUP(CONCATENATE('Respuestas de formulario 1.1'!$B168,MID('Respuestas de formulario 1.1'!EC$1,2,1)),#REF!,12,0),"")</f>
        <v/>
      </c>
      <c r="ED168" s="45" t="str">
        <f>IFERROR(VLOOKUP(CONCATENATE('Respuestas de formulario 1.1'!$B168,MID('Respuestas de formulario 1.1'!ED$1,2,1)),#REF!,12,0),"")</f>
        <v/>
      </c>
      <c r="EE168" s="45" t="str">
        <f>IFERROR(VLOOKUP(CONCATENATE('Respuestas de formulario 1.1'!$B168,MID('Respuestas de formulario 1.1'!EE$1,2,1)),#REF!,12,0),"")</f>
        <v/>
      </c>
      <c r="EF168" s="45" t="str">
        <f>IFERROR(VLOOKUP(CONCATENATE('Respuestas de formulario 1.1'!$B168,MID('Respuestas de formulario 1.1'!EF$1,2,1)),#REF!,12,0),"")</f>
        <v/>
      </c>
      <c r="EG168" s="45" t="str">
        <f>IFERROR(VLOOKUP(CONCATENATE('Respuestas de formulario 1.1'!$B168,MID('Respuestas de formulario 1.1'!EG$1,2,1)),#REF!,12,0),"")</f>
        <v/>
      </c>
      <c r="EH168" s="45" t="str">
        <f>IFERROR(VLOOKUP(CONCATENATE('Respuestas de formulario 1.1'!$B168,MID('Respuestas de formulario 1.1'!EH$1,2,1)),#REF!,12,0),"")</f>
        <v/>
      </c>
      <c r="EI168" s="45" t="str">
        <f>IFERROR(VLOOKUP(CONCATENATE('Respuestas de formulario 1.1'!$B168,MID('Respuestas de formulario 1.1'!EI$1,2,1)),#REF!,12,0),"")</f>
        <v/>
      </c>
      <c r="EJ168" s="45" t="str">
        <f t="array" ref="EJ168">IF(DO168="","", INDEX(#REF!,MATCH(CONCATENATE('Respuestas de formulario 1.1'!$B168,DO168),#REF!,0),MATCH('Respuestas de formulario 1.1'!EJ$1,#REF!,0)))</f>
        <v/>
      </c>
      <c r="EK168" s="56" t="str">
        <f t="array" ref="EK168">IF(DP168="","", INDEX(#REF!,MATCH(CONCATENATE('Respuestas de formulario 1.1'!$B168,DP168),#REF!,0),MATCH('Respuestas de formulario 1.1'!EK$1,#REF!,0)))</f>
        <v/>
      </c>
      <c r="EL168" s="56" t="str">
        <f t="array" ref="EL168">IF(DQ168="","", INDEX(#REF!,MATCH(CONCATENATE('Respuestas de formulario 1.1'!$B168,DQ168),#REF!,0),MATCH('Respuestas de formulario 1.1'!EL$1,#REF!,0)))</f>
        <v/>
      </c>
      <c r="EM168" s="56" t="str">
        <f t="array" ref="EM168">IF(DR168="","", INDEX(#REF!,MATCH(CONCATENATE('Respuestas de formulario 1.1'!$B168,DR168),#REF!,0),MATCH('Respuestas de formulario 1.1'!EM$1,#REF!,0)))</f>
        <v/>
      </c>
      <c r="EN168" s="56" t="str">
        <f t="array" ref="EN168">IF(DS168="","", INDEX(#REF!,MATCH(CONCATENATE('Respuestas de formulario 1.1'!$B168,DS168),#REF!,0),MATCH('Respuestas de formulario 1.1'!EN$1,#REF!,0)))</f>
        <v/>
      </c>
      <c r="EO168" s="56" t="str">
        <f t="array" ref="EO168">IF(DT168="","", INDEX(#REF!,MATCH(CONCATENATE('Respuestas de formulario 1.1'!$B168,DT168),#REF!,0),MATCH('Respuestas de formulario 1.1'!EO$1,#REF!,0)))</f>
        <v/>
      </c>
      <c r="EP168" s="45" t="str">
        <f t="array" ref="EP168">IF(DU168="","", INDEX(#REF!,MATCH(CONCATENATE('Respuestas de formulario 1.1'!$B168,DU168),#REF!,0),MATCH('Respuestas de formulario 1.1'!EP$1,#REF!,0)))</f>
        <v/>
      </c>
      <c r="EQ168" s="45" t="str">
        <f t="array" ref="EQ168">IF(DP168="","", INDEX(#REF!,MATCH(CONCATENATE('Respuestas de formulario 1.1'!$B168,DP168),#REF!,0),MATCH('Respuestas de formulario 1.1'!EQ$1,#REF!,0)))</f>
        <v/>
      </c>
      <c r="ER168" s="56" t="str">
        <f t="array" ref="ER168">IF(DQ168="","", INDEX(#REF!,MATCH(CONCATENATE('Respuestas de formulario 1.1'!$B168,DQ168),#REF!,0),MATCH('Respuestas de formulario 1.1'!ER$1,#REF!,0)))</f>
        <v/>
      </c>
      <c r="ES168" s="56" t="str">
        <f t="array" ref="ES168">IF(DR168="","", INDEX(#REF!,MATCH(CONCATENATE('Respuestas de formulario 1.1'!$B168,DR168),#REF!,0),MATCH('Respuestas de formulario 1.1'!ES$1,#REF!,0)))</f>
        <v/>
      </c>
      <c r="ET168" s="56" t="str">
        <f t="array" ref="ET168">IF(DS168="","", INDEX(#REF!,MATCH(CONCATENATE('Respuestas de formulario 1.1'!$B168,DS168),#REF!,0),MATCH('Respuestas de formulario 1.1'!ET$1,#REF!,0)))</f>
        <v/>
      </c>
      <c r="EU168" s="56" t="str">
        <f t="array" ref="EU168">IF(DT168="","", INDEX(#REF!,MATCH(CONCATENATE('Respuestas de formulario 1.1'!$B168,DT168),#REF!,0),MATCH('Respuestas de formulario 1.1'!EU$1,#REF!,0)))</f>
        <v/>
      </c>
      <c r="EV168" s="56" t="str">
        <f t="array" ref="EV168">IF(DU168="","", INDEX(#REF!,MATCH(CONCATENATE('Respuestas de formulario 1.1'!$B168,DU168),#REF!,0),MATCH('Respuestas de formulario 1.1'!EV$1,#REF!,0)))</f>
        <v/>
      </c>
      <c r="EW168" s="45" t="str">
        <f t="array" ref="EW168">IF(DV168="","", INDEX(#REF!,MATCH(CONCATENATE('Respuestas de formulario 1.1'!$B168,DV168),#REF!,0),MATCH('Respuestas de formulario 1.1'!EW$1,#REF!,0)))</f>
        <v/>
      </c>
      <c r="EX168" s="45" t="str">
        <f t="array" ref="EX168">IF($DQ168="","", INDEX(#REF!,MATCH(CONCATENATE('Respuestas de formulario 1.1'!$B168,$DQ168),#REF!,0),MATCH('Respuestas de formulario 1.1'!EX$1,#REF!,0)))</f>
        <v/>
      </c>
      <c r="EY168" s="56" t="str">
        <f t="array" ref="EY168">IF($DQ168="","", INDEX(#REF!,MATCH(CONCATENATE('Respuestas de formulario 1.1'!$B168,$DQ168),#REF!,0),MATCH('Respuestas de formulario 1.1'!EY$1,#REF!,0)))</f>
        <v/>
      </c>
      <c r="EZ168" s="56" t="str">
        <f t="array" ref="EZ168">IF($DQ168="","", INDEX(#REF!,MATCH(CONCATENATE('Respuestas de formulario 1.1'!$B168,$DQ168),#REF!,0),MATCH('Respuestas de formulario 1.1'!EZ$1,#REF!,0)))</f>
        <v/>
      </c>
      <c r="FA168" s="56" t="str">
        <f t="array" ref="FA168">IF($DQ168="","", INDEX(#REF!,MATCH(CONCATENATE('Respuestas de formulario 1.1'!$B168,$DQ168),#REF!,0),MATCH('Respuestas de formulario 1.1'!FA$1,#REF!,0)))</f>
        <v/>
      </c>
      <c r="FB168" s="56" t="str">
        <f t="array" ref="FB168">IF($DQ168="","", INDEX(#REF!,MATCH(CONCATENATE('Respuestas de formulario 1.1'!$B168,$DQ168),#REF!,0),MATCH('Respuestas de formulario 1.1'!FB$1,#REF!,0)))</f>
        <v/>
      </c>
      <c r="FC168" s="56" t="str">
        <f t="array" ref="FC168">IF($DQ168="","", INDEX(#REF!,MATCH(CONCATENATE('Respuestas de formulario 1.1'!$B168,$DQ168),#REF!,0),MATCH('Respuestas de formulario 1.1'!FC$1,#REF!,0)))</f>
        <v/>
      </c>
      <c r="FD168" s="45" t="str">
        <f t="array" ref="FD168">IF($DQ168="","", INDEX(#REF!,MATCH(CONCATENATE('Respuestas de formulario 1.1'!$B168,$DQ168),#REF!,0),MATCH('Respuestas de formulario 1.1'!FD$1,#REF!,0)))</f>
        <v/>
      </c>
      <c r="FE168" s="45" t="str">
        <f t="array" ref="FE168">IF($DR168="","", INDEX(#REF!,MATCH(CONCATENATE(#REF!,$DR168),#REF!,0),MATCH(#REF!,#REF!,0)))</f>
        <v/>
      </c>
      <c r="FF168" s="56" t="str">
        <f t="array" ref="FF168">IF($DR168="","", INDEX(#REF!,MATCH(CONCATENATE(#REF!,$DR168),#REF!,0),MATCH(#REF!,#REF!,0)))</f>
        <v/>
      </c>
      <c r="FG168" s="56" t="str">
        <f t="array" ref="FG168">IF($DR168="","", INDEX(#REF!,MATCH(CONCATENATE(#REF!,$DR168),#REF!,0),MATCH(#REF!,#REF!,0)))</f>
        <v/>
      </c>
      <c r="FH168" s="56" t="str">
        <f t="array" ref="FH168">IF($DR168="","", INDEX(#REF!,MATCH(CONCATENATE(#REF!,$DR168),#REF!,0),MATCH(#REF!,#REF!,0)))</f>
        <v/>
      </c>
      <c r="FI168" s="56" t="str">
        <f t="array" ref="FI168">IF($DR168="","", INDEX(#REF!,MATCH(CONCATENATE(#REF!,$DR168),#REF!,0),MATCH(#REF!,#REF!,0)))</f>
        <v/>
      </c>
      <c r="FJ168" s="56" t="str">
        <f t="array" ref="FJ168">IF($DR168="","", INDEX(#REF!,MATCH(CONCATENATE(#REF!,$DR168),#REF!,0),MATCH(#REF!,#REF!,0)))</f>
        <v/>
      </c>
      <c r="FK168" s="45" t="str">
        <f t="array" ref="FK168">IF($DR168="","", INDEX(#REF!,MATCH(CONCATENATE(#REF!,$DR168),#REF!,0),MATCH(#REF!,#REF!,0)))</f>
        <v/>
      </c>
      <c r="FL168" s="45" t="str">
        <f t="array" ref="FL168">IF($DT168="","", INDEX(#REF!,MATCH(CONCATENATE('Respuestas de formulario 1.1'!$B168,$DS168),#REF!,0),MATCH('Respuestas de formulario 1.1'!FL$1,#REF!,0)))</f>
        <v/>
      </c>
      <c r="FM168" s="56" t="str">
        <f t="array" ref="FM168">IF($DT168="","", INDEX(#REF!,MATCH(CONCATENATE('Respuestas de formulario 1.1'!$B168,$DS168),#REF!,0),MATCH('Respuestas de formulario 1.1'!FM$1,#REF!,0)))</f>
        <v/>
      </c>
      <c r="FN168" s="56" t="str">
        <f t="array" ref="FN168">IF($DT168="","", INDEX(#REF!,MATCH(CONCATENATE('Respuestas de formulario 1.1'!$B168,$DS168),#REF!,0),MATCH('Respuestas de formulario 1.1'!FN$1,#REF!,0)))</f>
        <v/>
      </c>
      <c r="FO168" s="56" t="str">
        <f t="array" ref="FO168">IF($DT168="","", INDEX(#REF!,MATCH(CONCATENATE('Respuestas de formulario 1.1'!$B168,$DS168),#REF!,0),MATCH('Respuestas de formulario 1.1'!FO$1,#REF!,0)))</f>
        <v/>
      </c>
      <c r="FP168" s="56" t="str">
        <f t="array" ref="FP168">IF($DT168="","", INDEX(#REF!,MATCH(CONCATENATE('Respuestas de formulario 1.1'!$B168,$DS168),#REF!,0),MATCH('Respuestas de formulario 1.1'!FP$1,#REF!,0)))</f>
        <v/>
      </c>
      <c r="FQ168" s="56" t="str">
        <f t="array" ref="FQ168">IF($DT168="","", INDEX(#REF!,MATCH(CONCATENATE('Respuestas de formulario 1.1'!$B168,$DS168),#REF!,0),MATCH('Respuestas de formulario 1.1'!FQ$1,#REF!,0)))</f>
        <v/>
      </c>
      <c r="FR168" s="45" t="str">
        <f t="array" ref="FR168">IF($DT168="","", INDEX(#REF!,MATCH(CONCATENATE('Respuestas de formulario 1.1'!$B168,$DS168),#REF!,0),MATCH('Respuestas de formulario 1.1'!FR$1,#REF!,0)))</f>
        <v/>
      </c>
      <c r="FS168" s="45" t="str">
        <f t="array" ref="FS168">IF($DU168="","", INDEX(#REF!,MATCH(CONCATENATE('Respuestas de formulario 1.1'!$B168,$DT168),#REF!,0),MATCH('Respuestas de formulario 1.1'!FS$1,#REF!,0)))</f>
        <v/>
      </c>
      <c r="FT168" s="56" t="str">
        <f t="array" ref="FT168">IF($DU168="","", INDEX(#REF!,MATCH(CONCATENATE('Respuestas de formulario 1.1'!$B168,$DT168),#REF!,0),MATCH('Respuestas de formulario 1.1'!FT$1,#REF!,0)))</f>
        <v/>
      </c>
      <c r="FU168" s="56" t="str">
        <f t="array" ref="FU168">IF($DU168="","", INDEX(#REF!,MATCH(CONCATENATE('Respuestas de formulario 1.1'!$B168,$DT168),#REF!,0),MATCH('Respuestas de formulario 1.1'!FU$1,#REF!,0)))</f>
        <v/>
      </c>
      <c r="FV168" s="56" t="str">
        <f t="array" ref="FV168">IF($DU168="","", INDEX(#REF!,MATCH(CONCATENATE('Respuestas de formulario 1.1'!$B168,$DT168),#REF!,0),MATCH('Respuestas de formulario 1.1'!FV$1,#REF!,0)))</f>
        <v/>
      </c>
      <c r="FW168" s="56" t="str">
        <f t="array" ref="FW168">IF($DU168="","", INDEX(#REF!,MATCH(CONCATENATE('Respuestas de formulario 1.1'!$B168,$DT168),#REF!,0),MATCH('Respuestas de formulario 1.1'!FW$1,#REF!,0)))</f>
        <v/>
      </c>
      <c r="FX168" s="56" t="str">
        <f t="array" ref="FX168">IF($DU168="","", INDEX(#REF!,MATCH(CONCATENATE('Respuestas de formulario 1.1'!$B168,$DT168),#REF!,0),MATCH('Respuestas de formulario 1.1'!FX$1,#REF!,0)))</f>
        <v/>
      </c>
      <c r="FY168" s="45" t="str">
        <f t="array" ref="FY168">IF($DU168="","", INDEX(#REF!,MATCH(CONCATENATE('Respuestas de formulario 1.1'!$B168,$DT168),#REF!,0),MATCH('Respuestas de formulario 1.1'!FY$1,#REF!,0)))</f>
        <v/>
      </c>
      <c r="FZ168" s="3" t="s">
        <v>2860</v>
      </c>
      <c r="GA168" s="1" t="s">
        <v>5731</v>
      </c>
      <c r="GB168" s="5" t="s">
        <v>5732</v>
      </c>
      <c r="GC168" s="4" t="str">
        <f>HYPERLINK("https://drive.google.com/file/d/13vS76Y8n3p-eG0BmOrwCyFdjaLZiLtUb/view?usp=drivesdk","PAULIN LOPEZ KARLA BELEN Formato de reinscripción y pago 2022-2")</f>
        <v>PAULIN LOPEZ KARLA BELEN Formato de reinscripción y pago 2022-2</v>
      </c>
      <c r="GD168" s="1" t="s">
        <v>5733</v>
      </c>
      <c r="GE168" s="1"/>
      <c r="GF168" s="1"/>
      <c r="GG168" s="1"/>
      <c r="GH168" s="1"/>
      <c r="GI168" s="1" t="s">
        <v>5734</v>
      </c>
      <c r="GJ168" s="5" t="s">
        <v>5735</v>
      </c>
      <c r="GK168" s="5" t="str">
        <f>HYPERLINK("https://drive.google.com/file/d/1C-rL1Y_ZGeF2BmaJWCu76PopJp_zEJaQ/view?usp=drivesdk","PAULIN LOPEZ KARLA BELEN Formato de reinscripción y pago 2022-2")</f>
        <v>PAULIN LOPEZ KARLA BELEN Formato de reinscripción y pago 2022-2</v>
      </c>
      <c r="GL168" s="1" t="s">
        <v>5736</v>
      </c>
    </row>
    <row r="169" spans="1:194" ht="38.25" x14ac:dyDescent="0.2">
      <c r="A169" s="2">
        <v>45139.479587974536</v>
      </c>
      <c r="B169" s="1" t="s">
        <v>1893</v>
      </c>
      <c r="C169" s="1" t="s">
        <v>333</v>
      </c>
      <c r="D169" s="1" t="s">
        <v>409</v>
      </c>
      <c r="E169" s="1" t="s">
        <v>5737</v>
      </c>
      <c r="F169" s="1" t="s">
        <v>223</v>
      </c>
      <c r="G169" s="5" t="s">
        <v>5738</v>
      </c>
      <c r="H169" s="41">
        <v>39346</v>
      </c>
      <c r="I169" s="1">
        <v>15</v>
      </c>
      <c r="J169" s="1">
        <v>5511742871</v>
      </c>
      <c r="K169" s="1">
        <v>5557329741</v>
      </c>
      <c r="L169" s="1" t="s">
        <v>1894</v>
      </c>
      <c r="M169" s="1">
        <v>22309060500227</v>
      </c>
      <c r="N169" s="1" t="s">
        <v>562</v>
      </c>
      <c r="O169" s="1" t="s">
        <v>225</v>
      </c>
      <c r="P169" s="1" t="s">
        <v>278</v>
      </c>
      <c r="Q169" s="1" t="s">
        <v>227</v>
      </c>
      <c r="R169" s="1" t="s">
        <v>236</v>
      </c>
      <c r="S169" s="1" t="s">
        <v>228</v>
      </c>
      <c r="T169" s="1" t="s">
        <v>411</v>
      </c>
      <c r="U169" s="1" t="s">
        <v>249</v>
      </c>
      <c r="V169" s="1" t="s">
        <v>228</v>
      </c>
      <c r="W169" s="1" t="s">
        <v>5739</v>
      </c>
      <c r="X169" s="1" t="s">
        <v>249</v>
      </c>
      <c r="Y169" s="1" t="s">
        <v>1121</v>
      </c>
      <c r="Z169" s="1" t="s">
        <v>240</v>
      </c>
      <c r="AA169" s="44" t="s">
        <v>654</v>
      </c>
      <c r="AB169" s="1">
        <v>16</v>
      </c>
      <c r="AC169" s="1">
        <v>16</v>
      </c>
      <c r="AD169" s="1" t="s">
        <v>5740</v>
      </c>
      <c r="AE169" s="1" t="s">
        <v>5741</v>
      </c>
      <c r="AF169" s="1" t="s">
        <v>265</v>
      </c>
      <c r="AG169" s="1">
        <v>35</v>
      </c>
      <c r="AH169" s="5" t="s">
        <v>5742</v>
      </c>
      <c r="AI169" s="1">
        <v>5510315188</v>
      </c>
      <c r="AJ169" s="1">
        <v>5557329741</v>
      </c>
      <c r="AK169" s="1" t="s">
        <v>1895</v>
      </c>
      <c r="AL169" s="1" t="s">
        <v>286</v>
      </c>
      <c r="AM169" s="1" t="s">
        <v>2530</v>
      </c>
      <c r="AN169" s="1" t="s">
        <v>970</v>
      </c>
      <c r="AO169" s="1" t="s">
        <v>435</v>
      </c>
      <c r="AP169" s="1">
        <v>47</v>
      </c>
      <c r="AQ169" s="1" t="s">
        <v>283</v>
      </c>
      <c r="AR169" s="42">
        <v>0.25</v>
      </c>
      <c r="AS169" s="42">
        <v>0.83333333333575865</v>
      </c>
      <c r="AT169" s="1">
        <v>5624242921</v>
      </c>
      <c r="AU169" s="1">
        <v>5557329741</v>
      </c>
      <c r="AV169" s="1" t="s">
        <v>1895</v>
      </c>
      <c r="AW169" s="5" t="s">
        <v>5743</v>
      </c>
      <c r="AX169" s="1" t="s">
        <v>5744</v>
      </c>
      <c r="AY169" s="1" t="s">
        <v>252</v>
      </c>
      <c r="AZ169" s="1" t="s">
        <v>1905</v>
      </c>
      <c r="BA169" s="1" t="s">
        <v>279</v>
      </c>
      <c r="BB169" s="1">
        <v>65</v>
      </c>
      <c r="BC169" s="1" t="s">
        <v>579</v>
      </c>
      <c r="BD169" s="43">
        <v>0.375</v>
      </c>
      <c r="BE169" s="43">
        <v>0.20833333333575865</v>
      </c>
      <c r="BF169" s="1">
        <v>5557329741</v>
      </c>
      <c r="BG169" s="1">
        <v>5557329741</v>
      </c>
      <c r="BH169" s="1" t="s">
        <v>1895</v>
      </c>
      <c r="BI169" s="5" t="s">
        <v>5745</v>
      </c>
      <c r="BJ169" s="1" t="s">
        <v>236</v>
      </c>
      <c r="BL169" s="1">
        <v>1.55</v>
      </c>
      <c r="BM169" s="1">
        <v>58</v>
      </c>
      <c r="BN169" s="1" t="s">
        <v>236</v>
      </c>
      <c r="BO169" s="1" t="s">
        <v>228</v>
      </c>
      <c r="BQ169" s="1" t="s">
        <v>228</v>
      </c>
      <c r="BR169" s="1" t="s">
        <v>237</v>
      </c>
      <c r="BS169" s="1" t="s">
        <v>228</v>
      </c>
      <c r="BT169" s="1" t="s">
        <v>237</v>
      </c>
      <c r="BU169" s="1" t="s">
        <v>228</v>
      </c>
      <c r="BW169" s="1" t="s">
        <v>272</v>
      </c>
      <c r="BX169" s="1">
        <v>40</v>
      </c>
      <c r="BY169" s="1">
        <v>100</v>
      </c>
      <c r="BZ169" s="1" t="s">
        <v>284</v>
      </c>
      <c r="CA169" s="1" t="s">
        <v>343</v>
      </c>
      <c r="CB169" s="1" t="s">
        <v>240</v>
      </c>
      <c r="CC169" s="1" t="s">
        <v>274</v>
      </c>
      <c r="CD169" s="1">
        <v>600</v>
      </c>
      <c r="CE169" s="1">
        <v>900</v>
      </c>
      <c r="CF169" s="1" t="s">
        <v>236</v>
      </c>
      <c r="CG169" s="1" t="s">
        <v>242</v>
      </c>
      <c r="CH169" s="1" t="s">
        <v>243</v>
      </c>
      <c r="CI169" s="1" t="s">
        <v>243</v>
      </c>
      <c r="CJ169" s="1" t="s">
        <v>2848</v>
      </c>
      <c r="CL169" s="5" t="s">
        <v>5746</v>
      </c>
      <c r="CM169" s="44" t="s">
        <v>1898</v>
      </c>
      <c r="CN169" s="1" t="s">
        <v>228</v>
      </c>
      <c r="CQ169" s="42">
        <v>0.33333333333575865</v>
      </c>
      <c r="CR169" s="42">
        <v>0.70833333333575865</v>
      </c>
      <c r="CT169" s="45" t="str">
        <f t="array" ref="CT169">IFERROR(INDEX(#REF!,MATCH('Respuestas de formulario 1.1'!$B169,#REF!,0),MATCH('Respuestas de formulario 1.1'!CT$1,#REF!,0)),"")</f>
        <v/>
      </c>
      <c r="CU169" s="56" t="str">
        <f t="array" ref="CU169">IFERROR(INDEX(#REF!,MATCH('Respuestas de formulario 1.1'!$B169,#REF!,0),MATCH('Respuestas de formulario 1.1'!CU$1,#REF!,0)),"")</f>
        <v/>
      </c>
      <c r="CV169" s="56" t="str">
        <f t="array" ref="CV169">IFERROR(INDEX(#REF!,MATCH('Respuestas de formulario 1.1'!$B169,#REF!,0),MATCH('Respuestas de formulario 1.1'!CV$1,#REF!,0)),"")</f>
        <v/>
      </c>
      <c r="CW169" s="56" t="str">
        <f t="array" ref="CW169">IFERROR(INDEX(#REF!,MATCH('Respuestas de formulario 1.1'!$B169,#REF!,0),MATCH('Respuestas de formulario 1.1'!CW$1,#REF!,0)),"")</f>
        <v/>
      </c>
      <c r="CX169" s="56" t="str">
        <f t="array" ref="CX169">IFERROR(INDEX(#REF!,MATCH('Respuestas de formulario 1.1'!$B169,#REF!,0),MATCH('Respuestas de formulario 1.1'!CX$1,#REF!,0)),"")</f>
        <v/>
      </c>
      <c r="CY169" s="56" t="str">
        <f t="array" ref="CY169">IFERROR(INDEX(#REF!,MATCH('Respuestas de formulario 1.1'!$B169,#REF!,0),MATCH('Respuestas de formulario 1.1'!CY$1,#REF!,0)),"")</f>
        <v/>
      </c>
      <c r="CZ169" s="57" t="str">
        <f t="array" ref="CZ169">IFERROR(INDEX(#REF!,MATCH('Respuestas de formulario 1.1'!$B169,#REF!,0),MATCH('Respuestas de formulario 1.1'!CZ$1,#REF!,0)),"")</f>
        <v/>
      </c>
      <c r="DA169" s="45" t="e">
        <f t="array" ref="DA169">INDEX(#REF!,MATCH('Respuestas de formulario 1.1'!$B169,#REF!,0),MATCH('Respuestas de formulario 1.1'!DA$1,#REF!,0))</f>
        <v>#REF!</v>
      </c>
      <c r="DB169" s="45" t="e">
        <f t="array" ref="DB169">INDEX(#REF!,MATCH('Respuestas de formulario 1.1'!$B169,#REF!,0),MATCH('Respuestas de formulario 1.1'!DB$1,#REF!,0))</f>
        <v>#REF!</v>
      </c>
      <c r="DC169" s="45" t="e">
        <f t="array" ref="DC169">INDEX(#REF!,MATCH('Respuestas de formulario 1.1'!$B169,#REF!,0),MATCH('Respuestas de formulario 1.1'!DC$1,#REF!,0))</f>
        <v>#REF!</v>
      </c>
      <c r="DD169" s="45" t="e">
        <f t="array" ref="DD169">INDEX(#REF!,MATCH('Respuestas de formulario 1.1'!$B169,#REF!,0),MATCH('Respuestas de formulario 1.1'!DD$1,#REF!,0))</f>
        <v>#REF!</v>
      </c>
      <c r="DE169" s="45" t="e">
        <f t="array" ref="DE169">INDEX(#REF!,MATCH('Respuestas de formulario 1.1'!$B169,#REF!,0),MATCH('Respuestas de formulario 1.1'!DE$1,#REF!,0))</f>
        <v>#REF!</v>
      </c>
      <c r="DF169" s="45" t="e">
        <f t="array" ref="DF169">INDEX(#REF!,MATCH('Respuestas de formulario 1.1'!$B169,#REF!,0),MATCH('Respuestas de formulario 1.1'!DF$1,#REF!,0))</f>
        <v>#REF!</v>
      </c>
      <c r="DG169" s="45" t="e">
        <f t="array" ref="DG169">INDEX(#REF!,MATCH('Respuestas de formulario 1.1'!$B169,#REF!,0),MATCH('Respuestas de formulario 1.1'!DG$1,#REF!,0))</f>
        <v>#REF!</v>
      </c>
      <c r="DH169" s="45" t="e">
        <f t="array" ref="DH169">INDEX(#REF!,MATCH('Respuestas de formulario 1.1'!$B169,#REF!,0),MATCH('Respuestas de formulario 1.1'!DH$1,#REF!,0))</f>
        <v>#REF!</v>
      </c>
      <c r="DI169" s="48" t="e">
        <f>VLOOKUP(CONCATENATE($DF169," TUTO ",$DC169),#REF!,3,0)</f>
        <v>#REF!</v>
      </c>
      <c r="DJ169" s="48" t="e">
        <f t="array" ref="DJ169">IF('Respuestas de formulario 1.1'!A169="","",INDEX(#REF!,MATCH('Respuestas de formulario 1.1'!B169,#REF!,0),MATCH('Respuestas de formulario 1.1'!$DH$1,#REF!,0)))</f>
        <v>#REF!</v>
      </c>
      <c r="DK169" s="52" t="str">
        <f>CONCATENATE("http://doc.google.com/uc?id=",MID('Respuestas de formulario 1.1'!G169,34,33))</f>
        <v>http://doc.google.com/uc?id=1qCqNbDygOyf09W5N0fTmBJd-NlgWCELX</v>
      </c>
      <c r="DL169" s="49" t="str">
        <f>CONCATENATE("http://doc.google.com/uc?id=",MID('Respuestas de formulario 1.1'!AH169,34,33))</f>
        <v>http://doc.google.com/uc?id=1oopSB44J-BuASFALMmWaz9oyScc7Oi02</v>
      </c>
      <c r="DM169" s="50" t="str">
        <f>CONCATENATE("http://doc.google.com/uc?id=",MID('Respuestas de formulario 1.1'!AW169,34,33))</f>
        <v>http://doc.google.com/uc?id=10bquEyE6KwCzGipZujFiRWRZV2qmuKUT</v>
      </c>
      <c r="DN169" s="53" t="str">
        <f>CONCATENATE("http://doc.google.com/uc?id=",MID('Respuestas de formulario 1.1'!$BI169,34,33))</f>
        <v>http://doc.google.com/uc?id=1UQvxHPvwVAGt2RCqtcOiQzL5XBerXY1P</v>
      </c>
      <c r="DO169" s="45" t="str">
        <f>IFERROR(VLOOKUP(CONCATENATE('Respuestas de formulario 1.1'!$B169,MID('Respuestas de formulario 1.1'!DO$1,2,1)),#REF!,12,0),"")</f>
        <v/>
      </c>
      <c r="DP169" s="45" t="str">
        <f>IFERROR(VLOOKUP(CONCATENATE('Respuestas de formulario 1.1'!$B169,MID('Respuestas de formulario 1.1'!DP$1,2,1)),#REF!,12,0),"")</f>
        <v/>
      </c>
      <c r="DQ169" s="45" t="str">
        <f>IFERROR(VLOOKUP(CONCATENATE('Respuestas de formulario 1.1'!$B169,MID('Respuestas de formulario 1.1'!DQ$1,2,1)),#REF!,12,0),"")</f>
        <v/>
      </c>
      <c r="DR169" s="45" t="str">
        <f>IFERROR(VLOOKUP(CONCATENATE('Respuestas de formulario 1.1'!$B169,MID('Respuestas de formulario 1.1'!DR$1,2,1)),#REF!,12,0),"")</f>
        <v/>
      </c>
      <c r="DS169" s="45" t="str">
        <f>IFERROR(VLOOKUP(CONCATENATE('Respuestas de formulario 1.1'!$B169,MID('Respuestas de formulario 1.1'!DS$1,2,1)),#REF!,12,0),"")</f>
        <v/>
      </c>
      <c r="DT169" s="45" t="str">
        <f>IFERROR(VLOOKUP(CONCATENATE('Respuestas de formulario 1.1'!$B169,MID('Respuestas de formulario 1.1'!DT$1,2,1)),#REF!,12,0),"")</f>
        <v/>
      </c>
      <c r="DU169" s="45" t="str">
        <f>IFERROR(VLOOKUP(CONCATENATE('Respuestas de formulario 1.1'!$B169,MID('Respuestas de formulario 1.1'!DU$1,2,1)),#REF!,12,0),"")</f>
        <v/>
      </c>
      <c r="DV169" s="45" t="str">
        <f>IFERROR(VLOOKUP(CONCATENATE('Respuestas de formulario 1.1'!$B169,MID('Respuestas de formulario 1.1'!DV$1,2,1)),#REF!,12,0),"")</f>
        <v/>
      </c>
      <c r="DW169" s="45" t="str">
        <f>IFERROR(VLOOKUP(CONCATENATE('Respuestas de formulario 1.1'!$B169,MID('Respuestas de formulario 1.1'!DW$1,2,1)),#REF!,12,0),"")</f>
        <v/>
      </c>
      <c r="DX169" s="45" t="str">
        <f>IFERROR(VLOOKUP(CONCATENATE('Respuestas de formulario 1.1'!$B169,MID('Respuestas de formulario 1.1'!DX$1,2,1)),#REF!,12,0),"")</f>
        <v/>
      </c>
      <c r="DY169" s="45" t="str">
        <f>IFERROR(VLOOKUP(CONCATENATE('Respuestas de formulario 1.1'!$B169,MID('Respuestas de formulario 1.1'!DY$1,2,1)),#REF!,12,0),"")</f>
        <v/>
      </c>
      <c r="DZ169" s="45" t="str">
        <f>IFERROR(VLOOKUP(CONCATENATE('Respuestas de formulario 1.1'!$B169,MID('Respuestas de formulario 1.1'!DZ$1,2,1)),#REF!,12,0),"")</f>
        <v/>
      </c>
      <c r="EA169" s="45" t="str">
        <f>IFERROR(VLOOKUP(CONCATENATE('Respuestas de formulario 1.1'!$B169,MID('Respuestas de formulario 1.1'!EA$1,2,1)),#REF!,12,0),"")</f>
        <v/>
      </c>
      <c r="EB169" s="45" t="str">
        <f>IFERROR(VLOOKUP(CONCATENATE('Respuestas de formulario 1.1'!$B169,MID('Respuestas de formulario 1.1'!EB$1,2,1)),#REF!,12,0),"")</f>
        <v/>
      </c>
      <c r="EC169" s="45" t="str">
        <f>IFERROR(VLOOKUP(CONCATENATE('Respuestas de formulario 1.1'!$B169,MID('Respuestas de formulario 1.1'!EC$1,2,1)),#REF!,12,0),"")</f>
        <v/>
      </c>
      <c r="ED169" s="45" t="str">
        <f>IFERROR(VLOOKUP(CONCATENATE('Respuestas de formulario 1.1'!$B169,MID('Respuestas de formulario 1.1'!ED$1,2,1)),#REF!,12,0),"")</f>
        <v/>
      </c>
      <c r="EE169" s="45" t="str">
        <f>IFERROR(VLOOKUP(CONCATENATE('Respuestas de formulario 1.1'!$B169,MID('Respuestas de formulario 1.1'!EE$1,2,1)),#REF!,12,0),"")</f>
        <v/>
      </c>
      <c r="EF169" s="45" t="str">
        <f>IFERROR(VLOOKUP(CONCATENATE('Respuestas de formulario 1.1'!$B169,MID('Respuestas de formulario 1.1'!EF$1,2,1)),#REF!,12,0),"")</f>
        <v/>
      </c>
      <c r="EG169" s="45" t="str">
        <f>IFERROR(VLOOKUP(CONCATENATE('Respuestas de formulario 1.1'!$B169,MID('Respuestas de formulario 1.1'!EG$1,2,1)),#REF!,12,0),"")</f>
        <v/>
      </c>
      <c r="EH169" s="45" t="str">
        <f>IFERROR(VLOOKUP(CONCATENATE('Respuestas de formulario 1.1'!$B169,MID('Respuestas de formulario 1.1'!EH$1,2,1)),#REF!,12,0),"")</f>
        <v/>
      </c>
      <c r="EI169" s="45" t="str">
        <f>IFERROR(VLOOKUP(CONCATENATE('Respuestas de formulario 1.1'!$B169,MID('Respuestas de formulario 1.1'!EI$1,2,1)),#REF!,12,0),"")</f>
        <v/>
      </c>
      <c r="EJ169" s="45" t="str">
        <f t="array" ref="EJ169">IF(DO169="","", INDEX(#REF!,MATCH(CONCATENATE('Respuestas de formulario 1.1'!$B169,DO169),#REF!,0),MATCH('Respuestas de formulario 1.1'!EJ$1,#REF!,0)))</f>
        <v/>
      </c>
      <c r="EK169" s="56" t="str">
        <f t="array" ref="EK169">IF(DP169="","", INDEX(#REF!,MATCH(CONCATENATE('Respuestas de formulario 1.1'!$B169,DP169),#REF!,0),MATCH('Respuestas de formulario 1.1'!EK$1,#REF!,0)))</f>
        <v/>
      </c>
      <c r="EL169" s="56" t="str">
        <f t="array" ref="EL169">IF(DQ169="","", INDEX(#REF!,MATCH(CONCATENATE('Respuestas de formulario 1.1'!$B169,DQ169),#REF!,0),MATCH('Respuestas de formulario 1.1'!EL$1,#REF!,0)))</f>
        <v/>
      </c>
      <c r="EM169" s="56" t="str">
        <f t="array" ref="EM169">IF(DR169="","", INDEX(#REF!,MATCH(CONCATENATE('Respuestas de formulario 1.1'!$B169,DR169),#REF!,0),MATCH('Respuestas de formulario 1.1'!EM$1,#REF!,0)))</f>
        <v/>
      </c>
      <c r="EN169" s="56" t="str">
        <f t="array" ref="EN169">IF(DS169="","", INDEX(#REF!,MATCH(CONCATENATE('Respuestas de formulario 1.1'!$B169,DS169),#REF!,0),MATCH('Respuestas de formulario 1.1'!EN$1,#REF!,0)))</f>
        <v/>
      </c>
      <c r="EO169" s="56" t="str">
        <f t="array" ref="EO169">IF(DT169="","", INDEX(#REF!,MATCH(CONCATENATE('Respuestas de formulario 1.1'!$B169,DT169),#REF!,0),MATCH('Respuestas de formulario 1.1'!EO$1,#REF!,0)))</f>
        <v/>
      </c>
      <c r="EP169" s="45" t="str">
        <f t="array" ref="EP169">IF(DU169="","", INDEX(#REF!,MATCH(CONCATENATE('Respuestas de formulario 1.1'!$B169,DU169),#REF!,0),MATCH('Respuestas de formulario 1.1'!EP$1,#REF!,0)))</f>
        <v/>
      </c>
      <c r="EQ169" s="45" t="str">
        <f t="array" ref="EQ169">IF(DP169="","", INDEX(#REF!,MATCH(CONCATENATE('Respuestas de formulario 1.1'!$B169,DP169),#REF!,0),MATCH('Respuestas de formulario 1.1'!EQ$1,#REF!,0)))</f>
        <v/>
      </c>
      <c r="ER169" s="56" t="str">
        <f t="array" ref="ER169">IF(DQ169="","", INDEX(#REF!,MATCH(CONCATENATE('Respuestas de formulario 1.1'!$B169,DQ169),#REF!,0),MATCH('Respuestas de formulario 1.1'!ER$1,#REF!,0)))</f>
        <v/>
      </c>
      <c r="ES169" s="56" t="str">
        <f t="array" ref="ES169">IF(DR169="","", INDEX(#REF!,MATCH(CONCATENATE('Respuestas de formulario 1.1'!$B169,DR169),#REF!,0),MATCH('Respuestas de formulario 1.1'!ES$1,#REF!,0)))</f>
        <v/>
      </c>
      <c r="ET169" s="56" t="str">
        <f t="array" ref="ET169">IF(DS169="","", INDEX(#REF!,MATCH(CONCATENATE('Respuestas de formulario 1.1'!$B169,DS169),#REF!,0),MATCH('Respuestas de formulario 1.1'!ET$1,#REF!,0)))</f>
        <v/>
      </c>
      <c r="EU169" s="56" t="str">
        <f t="array" ref="EU169">IF(DT169="","", INDEX(#REF!,MATCH(CONCATENATE('Respuestas de formulario 1.1'!$B169,DT169),#REF!,0),MATCH('Respuestas de formulario 1.1'!EU$1,#REF!,0)))</f>
        <v/>
      </c>
      <c r="EV169" s="56" t="str">
        <f t="array" ref="EV169">IF(DU169="","", INDEX(#REF!,MATCH(CONCATENATE('Respuestas de formulario 1.1'!$B169,DU169),#REF!,0),MATCH('Respuestas de formulario 1.1'!EV$1,#REF!,0)))</f>
        <v/>
      </c>
      <c r="EW169" s="45" t="str">
        <f t="array" ref="EW169">IF(DV169="","", INDEX(#REF!,MATCH(CONCATENATE('Respuestas de formulario 1.1'!$B169,DV169),#REF!,0),MATCH('Respuestas de formulario 1.1'!EW$1,#REF!,0)))</f>
        <v/>
      </c>
      <c r="EX169" s="45" t="str">
        <f t="array" ref="EX169">IF($DQ169="","", INDEX(#REF!,MATCH(CONCATENATE('Respuestas de formulario 1.1'!$B169,$DQ169),#REF!,0),MATCH('Respuestas de formulario 1.1'!EX$1,#REF!,0)))</f>
        <v/>
      </c>
      <c r="EY169" s="56" t="str">
        <f t="array" ref="EY169">IF($DQ169="","", INDEX(#REF!,MATCH(CONCATENATE('Respuestas de formulario 1.1'!$B169,$DQ169),#REF!,0),MATCH('Respuestas de formulario 1.1'!EY$1,#REF!,0)))</f>
        <v/>
      </c>
      <c r="EZ169" s="56" t="str">
        <f t="array" ref="EZ169">IF($DQ169="","", INDEX(#REF!,MATCH(CONCATENATE('Respuestas de formulario 1.1'!$B169,$DQ169),#REF!,0),MATCH('Respuestas de formulario 1.1'!EZ$1,#REF!,0)))</f>
        <v/>
      </c>
      <c r="FA169" s="56" t="str">
        <f t="array" ref="FA169">IF($DQ169="","", INDEX(#REF!,MATCH(CONCATENATE('Respuestas de formulario 1.1'!$B169,$DQ169),#REF!,0),MATCH('Respuestas de formulario 1.1'!FA$1,#REF!,0)))</f>
        <v/>
      </c>
      <c r="FB169" s="56" t="str">
        <f t="array" ref="FB169">IF($DQ169="","", INDEX(#REF!,MATCH(CONCATENATE('Respuestas de formulario 1.1'!$B169,$DQ169),#REF!,0),MATCH('Respuestas de formulario 1.1'!FB$1,#REF!,0)))</f>
        <v/>
      </c>
      <c r="FC169" s="56" t="str">
        <f t="array" ref="FC169">IF($DQ169="","", INDEX(#REF!,MATCH(CONCATENATE('Respuestas de formulario 1.1'!$B169,$DQ169),#REF!,0),MATCH('Respuestas de formulario 1.1'!FC$1,#REF!,0)))</f>
        <v/>
      </c>
      <c r="FD169" s="45" t="str">
        <f t="array" ref="FD169">IF($DQ169="","", INDEX(#REF!,MATCH(CONCATENATE('Respuestas de formulario 1.1'!$B169,$DQ169),#REF!,0),MATCH('Respuestas de formulario 1.1'!FD$1,#REF!,0)))</f>
        <v/>
      </c>
      <c r="FE169" s="45" t="str">
        <f t="array" ref="FE169">IF($DR169="","", INDEX(#REF!,MATCH(CONCATENATE(#REF!,$DR169),#REF!,0),MATCH(#REF!,#REF!,0)))</f>
        <v/>
      </c>
      <c r="FF169" s="56" t="str">
        <f t="array" ref="FF169">IF($DR169="","", INDEX(#REF!,MATCH(CONCATENATE(#REF!,$DR169),#REF!,0),MATCH(#REF!,#REF!,0)))</f>
        <v/>
      </c>
      <c r="FG169" s="56" t="str">
        <f t="array" ref="FG169">IF($DR169="","", INDEX(#REF!,MATCH(CONCATENATE(#REF!,$DR169),#REF!,0),MATCH(#REF!,#REF!,0)))</f>
        <v/>
      </c>
      <c r="FH169" s="56" t="str">
        <f t="array" ref="FH169">IF($DR169="","", INDEX(#REF!,MATCH(CONCATENATE(#REF!,$DR169),#REF!,0),MATCH(#REF!,#REF!,0)))</f>
        <v/>
      </c>
      <c r="FI169" s="56" t="str">
        <f t="array" ref="FI169">IF($DR169="","", INDEX(#REF!,MATCH(CONCATENATE(#REF!,$DR169),#REF!,0),MATCH(#REF!,#REF!,0)))</f>
        <v/>
      </c>
      <c r="FJ169" s="56" t="str">
        <f t="array" ref="FJ169">IF($DR169="","", INDEX(#REF!,MATCH(CONCATENATE(#REF!,$DR169),#REF!,0),MATCH(#REF!,#REF!,0)))</f>
        <v/>
      </c>
      <c r="FK169" s="45" t="str">
        <f t="array" ref="FK169">IF($DR169="","", INDEX(#REF!,MATCH(CONCATENATE(#REF!,$DR169),#REF!,0),MATCH(#REF!,#REF!,0)))</f>
        <v/>
      </c>
      <c r="FL169" s="45" t="str">
        <f t="array" ref="FL169">IF($DT169="","", INDEX(#REF!,MATCH(CONCATENATE('Respuestas de formulario 1.1'!$B169,$DS169),#REF!,0),MATCH('Respuestas de formulario 1.1'!FL$1,#REF!,0)))</f>
        <v/>
      </c>
      <c r="FM169" s="56" t="str">
        <f t="array" ref="FM169">IF($DT169="","", INDEX(#REF!,MATCH(CONCATENATE('Respuestas de formulario 1.1'!$B169,$DS169),#REF!,0),MATCH('Respuestas de formulario 1.1'!FM$1,#REF!,0)))</f>
        <v/>
      </c>
      <c r="FN169" s="56" t="str">
        <f t="array" ref="FN169">IF($DT169="","", INDEX(#REF!,MATCH(CONCATENATE('Respuestas de formulario 1.1'!$B169,$DS169),#REF!,0),MATCH('Respuestas de formulario 1.1'!FN$1,#REF!,0)))</f>
        <v/>
      </c>
      <c r="FO169" s="56" t="str">
        <f t="array" ref="FO169">IF($DT169="","", INDEX(#REF!,MATCH(CONCATENATE('Respuestas de formulario 1.1'!$B169,$DS169),#REF!,0),MATCH('Respuestas de formulario 1.1'!FO$1,#REF!,0)))</f>
        <v/>
      </c>
      <c r="FP169" s="56" t="str">
        <f t="array" ref="FP169">IF($DT169="","", INDEX(#REF!,MATCH(CONCATENATE('Respuestas de formulario 1.1'!$B169,$DS169),#REF!,0),MATCH('Respuestas de formulario 1.1'!FP$1,#REF!,0)))</f>
        <v/>
      </c>
      <c r="FQ169" s="56" t="str">
        <f t="array" ref="FQ169">IF($DT169="","", INDEX(#REF!,MATCH(CONCATENATE('Respuestas de formulario 1.1'!$B169,$DS169),#REF!,0),MATCH('Respuestas de formulario 1.1'!FQ$1,#REF!,0)))</f>
        <v/>
      </c>
      <c r="FR169" s="45" t="str">
        <f t="array" ref="FR169">IF($DT169="","", INDEX(#REF!,MATCH(CONCATENATE('Respuestas de formulario 1.1'!$B169,$DS169),#REF!,0),MATCH('Respuestas de formulario 1.1'!FR$1,#REF!,0)))</f>
        <v/>
      </c>
      <c r="FS169" s="45" t="str">
        <f t="array" ref="FS169">IF($DU169="","", INDEX(#REF!,MATCH(CONCATENATE('Respuestas de formulario 1.1'!$B169,$DT169),#REF!,0),MATCH('Respuestas de formulario 1.1'!FS$1,#REF!,0)))</f>
        <v/>
      </c>
      <c r="FT169" s="56" t="str">
        <f t="array" ref="FT169">IF($DU169="","", INDEX(#REF!,MATCH(CONCATENATE('Respuestas de formulario 1.1'!$B169,$DT169),#REF!,0),MATCH('Respuestas de formulario 1.1'!FT$1,#REF!,0)))</f>
        <v/>
      </c>
      <c r="FU169" s="56" t="str">
        <f t="array" ref="FU169">IF($DU169="","", INDEX(#REF!,MATCH(CONCATENATE('Respuestas de formulario 1.1'!$B169,$DT169),#REF!,0),MATCH('Respuestas de formulario 1.1'!FU$1,#REF!,0)))</f>
        <v/>
      </c>
      <c r="FV169" s="56" t="str">
        <f t="array" ref="FV169">IF($DU169="","", INDEX(#REF!,MATCH(CONCATENATE('Respuestas de formulario 1.1'!$B169,$DT169),#REF!,0),MATCH('Respuestas de formulario 1.1'!FV$1,#REF!,0)))</f>
        <v/>
      </c>
      <c r="FW169" s="56" t="str">
        <f t="array" ref="FW169">IF($DU169="","", INDEX(#REF!,MATCH(CONCATENATE('Respuestas de formulario 1.1'!$B169,$DT169),#REF!,0),MATCH('Respuestas de formulario 1.1'!FW$1,#REF!,0)))</f>
        <v/>
      </c>
      <c r="FX169" s="56" t="str">
        <f t="array" ref="FX169">IF($DU169="","", INDEX(#REF!,MATCH(CONCATENATE('Respuestas de formulario 1.1'!$B169,$DT169),#REF!,0),MATCH('Respuestas de formulario 1.1'!FX$1,#REF!,0)))</f>
        <v/>
      </c>
      <c r="FY169" s="45" t="str">
        <f t="array" ref="FY169">IF($DU169="","", INDEX(#REF!,MATCH(CONCATENATE('Respuestas de formulario 1.1'!$B169,$DT169),#REF!,0),MATCH('Respuestas de formulario 1.1'!FY$1,#REF!,0)))</f>
        <v/>
      </c>
      <c r="FZ169" s="3" t="s">
        <v>2860</v>
      </c>
      <c r="GA169" s="1" t="s">
        <v>5747</v>
      </c>
      <c r="GB169" s="5" t="s">
        <v>5748</v>
      </c>
      <c r="GC169" s="4" t="str">
        <f>HYPERLINK("https://drive.google.com/file/d/1s8khxw7yBVZ_mig9fUP0ybkpTkTATBvA/view?usp=drivesdk","RAMIREZ GUTIERREZ  XIMENA SHELINE  Formato de reinscripción y pago 2022-2")</f>
        <v>RAMIREZ GUTIERREZ  XIMENA SHELINE  Formato de reinscripción y pago 2022-2</v>
      </c>
      <c r="GD169" s="1" t="s">
        <v>5749</v>
      </c>
      <c r="GE169" s="1"/>
      <c r="GF169" s="1"/>
      <c r="GG169" s="1"/>
      <c r="GH169" s="1"/>
      <c r="GI169" s="1" t="s">
        <v>5750</v>
      </c>
      <c r="GJ169" s="5" t="s">
        <v>5751</v>
      </c>
      <c r="GK169" s="5" t="str">
        <f>HYPERLINK("https://drive.google.com/file/d/1WEo0RATABDPlZ2tZZRDLzU4beOnbdXdk/view?usp=drivesdk","RAMIREZ GUTIERREZ  XIMENA SHELINE  Formato de reinscripción y pago 2022-2")</f>
        <v>RAMIREZ GUTIERREZ  XIMENA SHELINE  Formato de reinscripción y pago 2022-2</v>
      </c>
      <c r="GL169" s="1" t="s">
        <v>5752</v>
      </c>
    </row>
    <row r="170" spans="1:194" ht="14.25" x14ac:dyDescent="0.2">
      <c r="A170" s="2">
        <v>45139.479610428243</v>
      </c>
      <c r="B170" s="1" t="s">
        <v>2275</v>
      </c>
      <c r="C170" s="1" t="s">
        <v>746</v>
      </c>
      <c r="D170" s="1" t="s">
        <v>2744</v>
      </c>
      <c r="E170" s="1" t="s">
        <v>2276</v>
      </c>
      <c r="F170" s="1" t="s">
        <v>262</v>
      </c>
      <c r="G170" s="5" t="s">
        <v>5753</v>
      </c>
      <c r="H170" s="41">
        <v>39445</v>
      </c>
      <c r="I170" s="1">
        <v>15</v>
      </c>
      <c r="J170" s="1">
        <v>5527918526</v>
      </c>
      <c r="K170" s="1" t="s">
        <v>5754</v>
      </c>
      <c r="L170" s="1" t="s">
        <v>2277</v>
      </c>
      <c r="M170" s="1">
        <v>22309060570365</v>
      </c>
      <c r="N170" s="1" t="s">
        <v>562</v>
      </c>
      <c r="O170" s="1" t="s">
        <v>225</v>
      </c>
      <c r="P170" s="1" t="s">
        <v>278</v>
      </c>
      <c r="Q170" s="1" t="s">
        <v>315</v>
      </c>
      <c r="R170" s="1" t="s">
        <v>236</v>
      </c>
      <c r="S170" s="1" t="s">
        <v>228</v>
      </c>
      <c r="T170" s="1" t="s">
        <v>229</v>
      </c>
      <c r="U170" s="1" t="s">
        <v>249</v>
      </c>
      <c r="V170" s="1" t="s">
        <v>228</v>
      </c>
      <c r="W170" s="1" t="s">
        <v>5755</v>
      </c>
      <c r="X170" s="1" t="s">
        <v>264</v>
      </c>
      <c r="Y170" s="1" t="s">
        <v>1343</v>
      </c>
      <c r="Z170" s="1" t="s">
        <v>231</v>
      </c>
      <c r="AA170" s="1">
        <v>57460</v>
      </c>
      <c r="AB170" s="1">
        <v>80</v>
      </c>
      <c r="AC170" s="1">
        <v>80</v>
      </c>
      <c r="AD170" s="1" t="s">
        <v>5756</v>
      </c>
      <c r="AE170" s="1" t="s">
        <v>2278</v>
      </c>
      <c r="AF170" s="1" t="s">
        <v>586</v>
      </c>
      <c r="AG170" s="1">
        <v>29</v>
      </c>
      <c r="AH170" s="5" t="s">
        <v>5757</v>
      </c>
      <c r="AI170" s="1">
        <v>5536610139</v>
      </c>
      <c r="AJ170" s="1">
        <v>5593629818</v>
      </c>
      <c r="AK170" s="1" t="s">
        <v>5758</v>
      </c>
      <c r="AL170" s="1" t="s">
        <v>904</v>
      </c>
      <c r="AM170" s="1" t="s">
        <v>507</v>
      </c>
      <c r="AN170" s="1" t="s">
        <v>2309</v>
      </c>
      <c r="AO170" s="1" t="s">
        <v>5759</v>
      </c>
      <c r="AP170" s="1">
        <v>37</v>
      </c>
      <c r="AQ170" s="1" t="s">
        <v>663</v>
      </c>
      <c r="AR170" s="42">
        <v>0.29166666666424135</v>
      </c>
      <c r="AS170" s="42">
        <v>0.125</v>
      </c>
      <c r="AT170" s="1">
        <v>5585688479</v>
      </c>
      <c r="AU170" s="1">
        <v>5593629818</v>
      </c>
      <c r="AV170" s="1" t="s">
        <v>5760</v>
      </c>
      <c r="AW170" s="5" t="s">
        <v>5761</v>
      </c>
      <c r="AX170" s="1" t="s">
        <v>2744</v>
      </c>
      <c r="AY170" s="1" t="s">
        <v>1082</v>
      </c>
      <c r="AZ170" s="1" t="s">
        <v>1366</v>
      </c>
      <c r="BA170" s="1" t="s">
        <v>461</v>
      </c>
      <c r="BB170" s="1">
        <v>46</v>
      </c>
      <c r="BC170" s="1" t="s">
        <v>233</v>
      </c>
      <c r="BD170" s="43">
        <v>0</v>
      </c>
      <c r="BE170" s="43">
        <v>0</v>
      </c>
      <c r="BF170" s="1">
        <v>5527918526</v>
      </c>
      <c r="BG170" s="1">
        <v>5593629818</v>
      </c>
      <c r="BH170" s="1" t="s">
        <v>5762</v>
      </c>
      <c r="BI170" s="5" t="s">
        <v>5763</v>
      </c>
      <c r="BJ170" s="1" t="s">
        <v>236</v>
      </c>
      <c r="BL170" s="1">
        <v>1.57</v>
      </c>
      <c r="BM170" s="1">
        <v>80</v>
      </c>
      <c r="BN170" s="1" t="s">
        <v>236</v>
      </c>
      <c r="BO170" s="1" t="s">
        <v>236</v>
      </c>
      <c r="BP170" s="1" t="s">
        <v>5764</v>
      </c>
      <c r="BQ170" s="1" t="s">
        <v>228</v>
      </c>
      <c r="BR170" s="1" t="s">
        <v>237</v>
      </c>
      <c r="BS170" s="1" t="s">
        <v>228</v>
      </c>
      <c r="BT170" s="1" t="s">
        <v>237</v>
      </c>
      <c r="BU170" s="1" t="s">
        <v>228</v>
      </c>
      <c r="BW170" s="1" t="s">
        <v>238</v>
      </c>
      <c r="BX170" s="1">
        <v>30</v>
      </c>
      <c r="BY170" s="1">
        <v>18</v>
      </c>
      <c r="BZ170" s="1" t="s">
        <v>253</v>
      </c>
      <c r="CA170" s="1" t="s">
        <v>237</v>
      </c>
      <c r="CB170" s="1" t="s">
        <v>231</v>
      </c>
      <c r="CC170" s="1" t="s">
        <v>274</v>
      </c>
      <c r="CD170" s="1">
        <v>1000</v>
      </c>
      <c r="CE170" s="1">
        <v>2000</v>
      </c>
      <c r="CF170" s="1" t="s">
        <v>236</v>
      </c>
      <c r="CG170" s="1" t="s">
        <v>242</v>
      </c>
      <c r="CH170" s="1" t="s">
        <v>243</v>
      </c>
      <c r="CI170" s="1" t="s">
        <v>243</v>
      </c>
      <c r="CJ170" s="1" t="s">
        <v>2848</v>
      </c>
      <c r="CL170" s="5" t="s">
        <v>5765</v>
      </c>
      <c r="CM170" s="44" t="s">
        <v>2279</v>
      </c>
      <c r="CN170" s="1" t="s">
        <v>228</v>
      </c>
      <c r="CQ170" s="42">
        <v>0.29166666666424135</v>
      </c>
      <c r="CR170" s="42">
        <v>0.29166666666424135</v>
      </c>
      <c r="CT170" s="45" t="str">
        <f t="array" ref="CT170">IFERROR(INDEX(#REF!,MATCH('Respuestas de formulario 1.1'!$B170,#REF!,0),MATCH('Respuestas de formulario 1.1'!CT$1,#REF!,0)),"")</f>
        <v/>
      </c>
      <c r="CU170" s="56" t="str">
        <f t="array" ref="CU170">IFERROR(INDEX(#REF!,MATCH('Respuestas de formulario 1.1'!$B170,#REF!,0),MATCH('Respuestas de formulario 1.1'!CU$1,#REF!,0)),"")</f>
        <v/>
      </c>
      <c r="CV170" s="56" t="str">
        <f t="array" ref="CV170">IFERROR(INDEX(#REF!,MATCH('Respuestas de formulario 1.1'!$B170,#REF!,0),MATCH('Respuestas de formulario 1.1'!CV$1,#REF!,0)),"")</f>
        <v/>
      </c>
      <c r="CW170" s="56" t="str">
        <f t="array" ref="CW170">IFERROR(INDEX(#REF!,MATCH('Respuestas de formulario 1.1'!$B170,#REF!,0),MATCH('Respuestas de formulario 1.1'!CW$1,#REF!,0)),"")</f>
        <v/>
      </c>
      <c r="CX170" s="56" t="str">
        <f t="array" ref="CX170">IFERROR(INDEX(#REF!,MATCH('Respuestas de formulario 1.1'!$B170,#REF!,0),MATCH('Respuestas de formulario 1.1'!CX$1,#REF!,0)),"")</f>
        <v/>
      </c>
      <c r="CY170" s="56" t="str">
        <f t="array" ref="CY170">IFERROR(INDEX(#REF!,MATCH('Respuestas de formulario 1.1'!$B170,#REF!,0),MATCH('Respuestas de formulario 1.1'!CY$1,#REF!,0)),"")</f>
        <v/>
      </c>
      <c r="CZ170" s="57" t="str">
        <f t="array" ref="CZ170">IFERROR(INDEX(#REF!,MATCH('Respuestas de formulario 1.1'!$B170,#REF!,0),MATCH('Respuestas de formulario 1.1'!CZ$1,#REF!,0)),"")</f>
        <v/>
      </c>
      <c r="DA170" s="45" t="e">
        <f t="array" ref="DA170">INDEX(#REF!,MATCH('Respuestas de formulario 1.1'!$B170,#REF!,0),MATCH('Respuestas de formulario 1.1'!DA$1,#REF!,0))</f>
        <v>#REF!</v>
      </c>
      <c r="DB170" s="45" t="e">
        <f t="array" ref="DB170">INDEX(#REF!,MATCH('Respuestas de formulario 1.1'!$B170,#REF!,0),MATCH('Respuestas de formulario 1.1'!DB$1,#REF!,0))</f>
        <v>#REF!</v>
      </c>
      <c r="DC170" s="45" t="e">
        <f t="array" ref="DC170">INDEX(#REF!,MATCH('Respuestas de formulario 1.1'!$B170,#REF!,0),MATCH('Respuestas de formulario 1.1'!DC$1,#REF!,0))</f>
        <v>#REF!</v>
      </c>
      <c r="DD170" s="45" t="e">
        <f t="array" ref="DD170">INDEX(#REF!,MATCH('Respuestas de formulario 1.1'!$B170,#REF!,0),MATCH('Respuestas de formulario 1.1'!DD$1,#REF!,0))</f>
        <v>#REF!</v>
      </c>
      <c r="DE170" s="45" t="e">
        <f t="array" ref="DE170">INDEX(#REF!,MATCH('Respuestas de formulario 1.1'!$B170,#REF!,0),MATCH('Respuestas de formulario 1.1'!DE$1,#REF!,0))</f>
        <v>#REF!</v>
      </c>
      <c r="DF170" s="45" t="e">
        <f t="array" ref="DF170">INDEX(#REF!,MATCH('Respuestas de formulario 1.1'!$B170,#REF!,0),MATCH('Respuestas de formulario 1.1'!DF$1,#REF!,0))</f>
        <v>#REF!</v>
      </c>
      <c r="DG170" s="45" t="e">
        <f t="array" ref="DG170">INDEX(#REF!,MATCH('Respuestas de formulario 1.1'!$B170,#REF!,0),MATCH('Respuestas de formulario 1.1'!DG$1,#REF!,0))</f>
        <v>#REF!</v>
      </c>
      <c r="DH170" s="45" t="e">
        <f t="array" ref="DH170">INDEX(#REF!,MATCH('Respuestas de formulario 1.1'!$B170,#REF!,0),MATCH('Respuestas de formulario 1.1'!DH$1,#REF!,0))</f>
        <v>#REF!</v>
      </c>
      <c r="DI170" s="48" t="e">
        <f>VLOOKUP(CONCATENATE($DF170," TUTO ",$DC170),#REF!,3,0)</f>
        <v>#REF!</v>
      </c>
      <c r="DJ170" s="48" t="e">
        <f t="array" ref="DJ170">IF('Respuestas de formulario 1.1'!A170="","",INDEX(#REF!,MATCH('Respuestas de formulario 1.1'!B170,#REF!,0),MATCH('Respuestas de formulario 1.1'!$DH$1,#REF!,0)))</f>
        <v>#REF!</v>
      </c>
      <c r="DK170" s="52" t="str">
        <f>CONCATENATE("http://doc.google.com/uc?id=",MID('Respuestas de formulario 1.1'!G170,34,33))</f>
        <v>http://doc.google.com/uc?id=1RzGQz3ctA0Ul6GFr4-ctmxado405AhDg</v>
      </c>
      <c r="DL170" s="49" t="str">
        <f>CONCATENATE("http://doc.google.com/uc?id=",MID('Respuestas de formulario 1.1'!AH170,34,33))</f>
        <v>http://doc.google.com/uc?id=1_gxFlJCrx39rXZbxIwrbExwyrsn1ILfo</v>
      </c>
      <c r="DM170" s="50" t="str">
        <f>CONCATENATE("http://doc.google.com/uc?id=",MID('Respuestas de formulario 1.1'!AW170,34,33))</f>
        <v>http://doc.google.com/uc?id=12LhJeioiAd89nf0fmlczvCz4zpT_CZgg</v>
      </c>
      <c r="DN170" s="53" t="str">
        <f>CONCATENATE("http://doc.google.com/uc?id=",MID('Respuestas de formulario 1.1'!$BI170,34,33))</f>
        <v>http://doc.google.com/uc?id=1gPbgugRN6itP85ldpPsRv9wkH0D2V7q9</v>
      </c>
      <c r="DO170" s="45" t="str">
        <f>IFERROR(VLOOKUP(CONCATENATE('Respuestas de formulario 1.1'!$B170,MID('Respuestas de formulario 1.1'!DO$1,2,1)),#REF!,12,0),"")</f>
        <v/>
      </c>
      <c r="DP170" s="45" t="str">
        <f>IFERROR(VLOOKUP(CONCATENATE('Respuestas de formulario 1.1'!$B170,MID('Respuestas de formulario 1.1'!DP$1,2,1)),#REF!,12,0),"")</f>
        <v/>
      </c>
      <c r="DQ170" s="45" t="str">
        <f>IFERROR(VLOOKUP(CONCATENATE('Respuestas de formulario 1.1'!$B170,MID('Respuestas de formulario 1.1'!DQ$1,2,1)),#REF!,12,0),"")</f>
        <v/>
      </c>
      <c r="DR170" s="45" t="str">
        <f>IFERROR(VLOOKUP(CONCATENATE('Respuestas de formulario 1.1'!$B170,MID('Respuestas de formulario 1.1'!DR$1,2,1)),#REF!,12,0),"")</f>
        <v/>
      </c>
      <c r="DS170" s="45" t="str">
        <f>IFERROR(VLOOKUP(CONCATENATE('Respuestas de formulario 1.1'!$B170,MID('Respuestas de formulario 1.1'!DS$1,2,1)),#REF!,12,0),"")</f>
        <v/>
      </c>
      <c r="DT170" s="45" t="str">
        <f>IFERROR(VLOOKUP(CONCATENATE('Respuestas de formulario 1.1'!$B170,MID('Respuestas de formulario 1.1'!DT$1,2,1)),#REF!,12,0),"")</f>
        <v/>
      </c>
      <c r="DU170" s="45" t="str">
        <f>IFERROR(VLOOKUP(CONCATENATE('Respuestas de formulario 1.1'!$B170,MID('Respuestas de formulario 1.1'!DU$1,2,1)),#REF!,12,0),"")</f>
        <v/>
      </c>
      <c r="DV170" s="45" t="str">
        <f>IFERROR(VLOOKUP(CONCATENATE('Respuestas de formulario 1.1'!$B170,MID('Respuestas de formulario 1.1'!DV$1,2,1)),#REF!,12,0),"")</f>
        <v/>
      </c>
      <c r="DW170" s="45" t="str">
        <f>IFERROR(VLOOKUP(CONCATENATE('Respuestas de formulario 1.1'!$B170,MID('Respuestas de formulario 1.1'!DW$1,2,1)),#REF!,12,0),"")</f>
        <v/>
      </c>
      <c r="DX170" s="45" t="str">
        <f>IFERROR(VLOOKUP(CONCATENATE('Respuestas de formulario 1.1'!$B170,MID('Respuestas de formulario 1.1'!DX$1,2,1)),#REF!,12,0),"")</f>
        <v/>
      </c>
      <c r="DY170" s="45" t="str">
        <f>IFERROR(VLOOKUP(CONCATENATE('Respuestas de formulario 1.1'!$B170,MID('Respuestas de formulario 1.1'!DY$1,2,1)),#REF!,12,0),"")</f>
        <v/>
      </c>
      <c r="DZ170" s="45" t="str">
        <f>IFERROR(VLOOKUP(CONCATENATE('Respuestas de formulario 1.1'!$B170,MID('Respuestas de formulario 1.1'!DZ$1,2,1)),#REF!,12,0),"")</f>
        <v/>
      </c>
      <c r="EA170" s="45" t="str">
        <f>IFERROR(VLOOKUP(CONCATENATE('Respuestas de formulario 1.1'!$B170,MID('Respuestas de formulario 1.1'!EA$1,2,1)),#REF!,12,0),"")</f>
        <v/>
      </c>
      <c r="EB170" s="45" t="str">
        <f>IFERROR(VLOOKUP(CONCATENATE('Respuestas de formulario 1.1'!$B170,MID('Respuestas de formulario 1.1'!EB$1,2,1)),#REF!,12,0),"")</f>
        <v/>
      </c>
      <c r="EC170" s="45" t="str">
        <f>IFERROR(VLOOKUP(CONCATENATE('Respuestas de formulario 1.1'!$B170,MID('Respuestas de formulario 1.1'!EC$1,2,1)),#REF!,12,0),"")</f>
        <v/>
      </c>
      <c r="ED170" s="45" t="str">
        <f>IFERROR(VLOOKUP(CONCATENATE('Respuestas de formulario 1.1'!$B170,MID('Respuestas de formulario 1.1'!ED$1,2,1)),#REF!,12,0),"")</f>
        <v/>
      </c>
      <c r="EE170" s="45" t="str">
        <f>IFERROR(VLOOKUP(CONCATENATE('Respuestas de formulario 1.1'!$B170,MID('Respuestas de formulario 1.1'!EE$1,2,1)),#REF!,12,0),"")</f>
        <v/>
      </c>
      <c r="EF170" s="45" t="str">
        <f>IFERROR(VLOOKUP(CONCATENATE('Respuestas de formulario 1.1'!$B170,MID('Respuestas de formulario 1.1'!EF$1,2,1)),#REF!,12,0),"")</f>
        <v/>
      </c>
      <c r="EG170" s="45" t="str">
        <f>IFERROR(VLOOKUP(CONCATENATE('Respuestas de formulario 1.1'!$B170,MID('Respuestas de formulario 1.1'!EG$1,2,1)),#REF!,12,0),"")</f>
        <v/>
      </c>
      <c r="EH170" s="45" t="str">
        <f>IFERROR(VLOOKUP(CONCATENATE('Respuestas de formulario 1.1'!$B170,MID('Respuestas de formulario 1.1'!EH$1,2,1)),#REF!,12,0),"")</f>
        <v/>
      </c>
      <c r="EI170" s="45" t="str">
        <f>IFERROR(VLOOKUP(CONCATENATE('Respuestas de formulario 1.1'!$B170,MID('Respuestas de formulario 1.1'!EI$1,2,1)),#REF!,12,0),"")</f>
        <v/>
      </c>
      <c r="EJ170" s="45" t="str">
        <f t="array" ref="EJ170">IF(DO170="","", INDEX(#REF!,MATCH(CONCATENATE('Respuestas de formulario 1.1'!$B170,DO170),#REF!,0),MATCH('Respuestas de formulario 1.1'!EJ$1,#REF!,0)))</f>
        <v/>
      </c>
      <c r="EK170" s="56" t="str">
        <f t="array" ref="EK170">IF(DP170="","", INDEX(#REF!,MATCH(CONCATENATE('Respuestas de formulario 1.1'!$B170,DP170),#REF!,0),MATCH('Respuestas de formulario 1.1'!EK$1,#REF!,0)))</f>
        <v/>
      </c>
      <c r="EL170" s="56" t="str">
        <f t="array" ref="EL170">IF(DQ170="","", INDEX(#REF!,MATCH(CONCATENATE('Respuestas de formulario 1.1'!$B170,DQ170),#REF!,0),MATCH('Respuestas de formulario 1.1'!EL$1,#REF!,0)))</f>
        <v/>
      </c>
      <c r="EM170" s="56" t="str">
        <f t="array" ref="EM170">IF(DR170="","", INDEX(#REF!,MATCH(CONCATENATE('Respuestas de formulario 1.1'!$B170,DR170),#REF!,0),MATCH('Respuestas de formulario 1.1'!EM$1,#REF!,0)))</f>
        <v/>
      </c>
      <c r="EN170" s="56" t="str">
        <f t="array" ref="EN170">IF(DS170="","", INDEX(#REF!,MATCH(CONCATENATE('Respuestas de formulario 1.1'!$B170,DS170),#REF!,0),MATCH('Respuestas de formulario 1.1'!EN$1,#REF!,0)))</f>
        <v/>
      </c>
      <c r="EO170" s="56" t="str">
        <f t="array" ref="EO170">IF(DT170="","", INDEX(#REF!,MATCH(CONCATENATE('Respuestas de formulario 1.1'!$B170,DT170),#REF!,0),MATCH('Respuestas de formulario 1.1'!EO$1,#REF!,0)))</f>
        <v/>
      </c>
      <c r="EP170" s="45" t="str">
        <f t="array" ref="EP170">IF(DU170="","", INDEX(#REF!,MATCH(CONCATENATE('Respuestas de formulario 1.1'!$B170,DU170),#REF!,0),MATCH('Respuestas de formulario 1.1'!EP$1,#REF!,0)))</f>
        <v/>
      </c>
      <c r="EQ170" s="45" t="str">
        <f t="array" ref="EQ170">IF(DP170="","", INDEX(#REF!,MATCH(CONCATENATE('Respuestas de formulario 1.1'!$B170,DP170),#REF!,0),MATCH('Respuestas de formulario 1.1'!EQ$1,#REF!,0)))</f>
        <v/>
      </c>
      <c r="ER170" s="56" t="str">
        <f t="array" ref="ER170">IF(DQ170="","", INDEX(#REF!,MATCH(CONCATENATE('Respuestas de formulario 1.1'!$B170,DQ170),#REF!,0),MATCH('Respuestas de formulario 1.1'!ER$1,#REF!,0)))</f>
        <v/>
      </c>
      <c r="ES170" s="56" t="str">
        <f t="array" ref="ES170">IF(DR170="","", INDEX(#REF!,MATCH(CONCATENATE('Respuestas de formulario 1.1'!$B170,DR170),#REF!,0),MATCH('Respuestas de formulario 1.1'!ES$1,#REF!,0)))</f>
        <v/>
      </c>
      <c r="ET170" s="56" t="str">
        <f t="array" ref="ET170">IF(DS170="","", INDEX(#REF!,MATCH(CONCATENATE('Respuestas de formulario 1.1'!$B170,DS170),#REF!,0),MATCH('Respuestas de formulario 1.1'!ET$1,#REF!,0)))</f>
        <v/>
      </c>
      <c r="EU170" s="56" t="str">
        <f t="array" ref="EU170">IF(DT170="","", INDEX(#REF!,MATCH(CONCATENATE('Respuestas de formulario 1.1'!$B170,DT170),#REF!,0),MATCH('Respuestas de formulario 1.1'!EU$1,#REF!,0)))</f>
        <v/>
      </c>
      <c r="EV170" s="56" t="str">
        <f t="array" ref="EV170">IF(DU170="","", INDEX(#REF!,MATCH(CONCATENATE('Respuestas de formulario 1.1'!$B170,DU170),#REF!,0),MATCH('Respuestas de formulario 1.1'!EV$1,#REF!,0)))</f>
        <v/>
      </c>
      <c r="EW170" s="45" t="str">
        <f t="array" ref="EW170">IF(DV170="","", INDEX(#REF!,MATCH(CONCATENATE('Respuestas de formulario 1.1'!$B170,DV170),#REF!,0),MATCH('Respuestas de formulario 1.1'!EW$1,#REF!,0)))</f>
        <v/>
      </c>
      <c r="EX170" s="45" t="str">
        <f t="array" ref="EX170">IF($DQ170="","", INDEX(#REF!,MATCH(CONCATENATE('Respuestas de formulario 1.1'!$B170,$DQ170),#REF!,0),MATCH('Respuestas de formulario 1.1'!EX$1,#REF!,0)))</f>
        <v/>
      </c>
      <c r="EY170" s="56" t="str">
        <f t="array" ref="EY170">IF($DQ170="","", INDEX(#REF!,MATCH(CONCATENATE('Respuestas de formulario 1.1'!$B170,$DQ170),#REF!,0),MATCH('Respuestas de formulario 1.1'!EY$1,#REF!,0)))</f>
        <v/>
      </c>
      <c r="EZ170" s="56" t="str">
        <f t="array" ref="EZ170">IF($DQ170="","", INDEX(#REF!,MATCH(CONCATENATE('Respuestas de formulario 1.1'!$B170,$DQ170),#REF!,0),MATCH('Respuestas de formulario 1.1'!EZ$1,#REF!,0)))</f>
        <v/>
      </c>
      <c r="FA170" s="56" t="str">
        <f t="array" ref="FA170">IF($DQ170="","", INDEX(#REF!,MATCH(CONCATENATE('Respuestas de formulario 1.1'!$B170,$DQ170),#REF!,0),MATCH('Respuestas de formulario 1.1'!FA$1,#REF!,0)))</f>
        <v/>
      </c>
      <c r="FB170" s="56" t="str">
        <f t="array" ref="FB170">IF($DQ170="","", INDEX(#REF!,MATCH(CONCATENATE('Respuestas de formulario 1.1'!$B170,$DQ170),#REF!,0),MATCH('Respuestas de formulario 1.1'!FB$1,#REF!,0)))</f>
        <v/>
      </c>
      <c r="FC170" s="56" t="str">
        <f t="array" ref="FC170">IF($DQ170="","", INDEX(#REF!,MATCH(CONCATENATE('Respuestas de formulario 1.1'!$B170,$DQ170),#REF!,0),MATCH('Respuestas de formulario 1.1'!FC$1,#REF!,0)))</f>
        <v/>
      </c>
      <c r="FD170" s="45" t="str">
        <f t="array" ref="FD170">IF($DQ170="","", INDEX(#REF!,MATCH(CONCATENATE('Respuestas de formulario 1.1'!$B170,$DQ170),#REF!,0),MATCH('Respuestas de formulario 1.1'!FD$1,#REF!,0)))</f>
        <v/>
      </c>
      <c r="FE170" s="45" t="str">
        <f t="array" ref="FE170">IF($DR170="","", INDEX(#REF!,MATCH(CONCATENATE(#REF!,$DR170),#REF!,0),MATCH(#REF!,#REF!,0)))</f>
        <v/>
      </c>
      <c r="FF170" s="56" t="str">
        <f t="array" ref="FF170">IF($DR170="","", INDEX(#REF!,MATCH(CONCATENATE(#REF!,$DR170),#REF!,0),MATCH(#REF!,#REF!,0)))</f>
        <v/>
      </c>
      <c r="FG170" s="56" t="str">
        <f t="array" ref="FG170">IF($DR170="","", INDEX(#REF!,MATCH(CONCATENATE(#REF!,$DR170),#REF!,0),MATCH(#REF!,#REF!,0)))</f>
        <v/>
      </c>
      <c r="FH170" s="56" t="str">
        <f t="array" ref="FH170">IF($DR170="","", INDEX(#REF!,MATCH(CONCATENATE(#REF!,$DR170),#REF!,0),MATCH(#REF!,#REF!,0)))</f>
        <v/>
      </c>
      <c r="FI170" s="56" t="str">
        <f t="array" ref="FI170">IF($DR170="","", INDEX(#REF!,MATCH(CONCATENATE(#REF!,$DR170),#REF!,0),MATCH(#REF!,#REF!,0)))</f>
        <v/>
      </c>
      <c r="FJ170" s="56" t="str">
        <f t="array" ref="FJ170">IF($DR170="","", INDEX(#REF!,MATCH(CONCATENATE(#REF!,$DR170),#REF!,0),MATCH(#REF!,#REF!,0)))</f>
        <v/>
      </c>
      <c r="FK170" s="45" t="str">
        <f t="array" ref="FK170">IF($DR170="","", INDEX(#REF!,MATCH(CONCATENATE(#REF!,$DR170),#REF!,0),MATCH(#REF!,#REF!,0)))</f>
        <v/>
      </c>
      <c r="FL170" s="45" t="str">
        <f t="array" ref="FL170">IF($DT170="","", INDEX(#REF!,MATCH(CONCATENATE('Respuestas de formulario 1.1'!$B170,$DS170),#REF!,0),MATCH('Respuestas de formulario 1.1'!FL$1,#REF!,0)))</f>
        <v/>
      </c>
      <c r="FM170" s="56" t="str">
        <f t="array" ref="FM170">IF($DT170="","", INDEX(#REF!,MATCH(CONCATENATE('Respuestas de formulario 1.1'!$B170,$DS170),#REF!,0),MATCH('Respuestas de formulario 1.1'!FM$1,#REF!,0)))</f>
        <v/>
      </c>
      <c r="FN170" s="56" t="str">
        <f t="array" ref="FN170">IF($DT170="","", INDEX(#REF!,MATCH(CONCATENATE('Respuestas de formulario 1.1'!$B170,$DS170),#REF!,0),MATCH('Respuestas de formulario 1.1'!FN$1,#REF!,0)))</f>
        <v/>
      </c>
      <c r="FO170" s="56" t="str">
        <f t="array" ref="FO170">IF($DT170="","", INDEX(#REF!,MATCH(CONCATENATE('Respuestas de formulario 1.1'!$B170,$DS170),#REF!,0),MATCH('Respuestas de formulario 1.1'!FO$1,#REF!,0)))</f>
        <v/>
      </c>
      <c r="FP170" s="56" t="str">
        <f t="array" ref="FP170">IF($DT170="","", INDEX(#REF!,MATCH(CONCATENATE('Respuestas de formulario 1.1'!$B170,$DS170),#REF!,0),MATCH('Respuestas de formulario 1.1'!FP$1,#REF!,0)))</f>
        <v/>
      </c>
      <c r="FQ170" s="56" t="str">
        <f t="array" ref="FQ170">IF($DT170="","", INDEX(#REF!,MATCH(CONCATENATE('Respuestas de formulario 1.1'!$B170,$DS170),#REF!,0),MATCH('Respuestas de formulario 1.1'!FQ$1,#REF!,0)))</f>
        <v/>
      </c>
      <c r="FR170" s="45" t="str">
        <f t="array" ref="FR170">IF($DT170="","", INDEX(#REF!,MATCH(CONCATENATE('Respuestas de formulario 1.1'!$B170,$DS170),#REF!,0),MATCH('Respuestas de formulario 1.1'!FR$1,#REF!,0)))</f>
        <v/>
      </c>
      <c r="FS170" s="45" t="str">
        <f t="array" ref="FS170">IF($DU170="","", INDEX(#REF!,MATCH(CONCATENATE('Respuestas de formulario 1.1'!$B170,$DT170),#REF!,0),MATCH('Respuestas de formulario 1.1'!FS$1,#REF!,0)))</f>
        <v/>
      </c>
      <c r="FT170" s="56" t="str">
        <f t="array" ref="FT170">IF($DU170="","", INDEX(#REF!,MATCH(CONCATENATE('Respuestas de formulario 1.1'!$B170,$DT170),#REF!,0),MATCH('Respuestas de formulario 1.1'!FT$1,#REF!,0)))</f>
        <v/>
      </c>
      <c r="FU170" s="56" t="str">
        <f t="array" ref="FU170">IF($DU170="","", INDEX(#REF!,MATCH(CONCATENATE('Respuestas de formulario 1.1'!$B170,$DT170),#REF!,0),MATCH('Respuestas de formulario 1.1'!FU$1,#REF!,0)))</f>
        <v/>
      </c>
      <c r="FV170" s="56" t="str">
        <f t="array" ref="FV170">IF($DU170="","", INDEX(#REF!,MATCH(CONCATENATE('Respuestas de formulario 1.1'!$B170,$DT170),#REF!,0),MATCH('Respuestas de formulario 1.1'!FV$1,#REF!,0)))</f>
        <v/>
      </c>
      <c r="FW170" s="56" t="str">
        <f t="array" ref="FW170">IF($DU170="","", INDEX(#REF!,MATCH(CONCATENATE('Respuestas de formulario 1.1'!$B170,$DT170),#REF!,0),MATCH('Respuestas de formulario 1.1'!FW$1,#REF!,0)))</f>
        <v/>
      </c>
      <c r="FX170" s="56" t="str">
        <f t="array" ref="FX170">IF($DU170="","", INDEX(#REF!,MATCH(CONCATENATE('Respuestas de formulario 1.1'!$B170,$DT170),#REF!,0),MATCH('Respuestas de formulario 1.1'!FX$1,#REF!,0)))</f>
        <v/>
      </c>
      <c r="FY170" s="45" t="str">
        <f t="array" ref="FY170">IF($DU170="","", INDEX(#REF!,MATCH(CONCATENATE('Respuestas de formulario 1.1'!$B170,$DT170),#REF!,0),MATCH('Respuestas de formulario 1.1'!FY$1,#REF!,0)))</f>
        <v/>
      </c>
      <c r="GA170" s="1" t="s">
        <v>5766</v>
      </c>
      <c r="GB170" s="5" t="s">
        <v>5767</v>
      </c>
      <c r="GC170" s="4" t="str">
        <f>HYPERLINK("https://drive.google.com/file/d/1h84xwwB8cU6dYOtz-Kxx9HywzaCxFhop/view?usp=drivesdk","LEON CONDE OSMAR NOE  Formato de reinscripción y pago 2022-2")</f>
        <v>LEON CONDE OSMAR NOE  Formato de reinscripción y pago 2022-2</v>
      </c>
      <c r="GD170" s="1" t="s">
        <v>5768</v>
      </c>
      <c r="GE170" s="1"/>
      <c r="GF170" s="1"/>
      <c r="GG170" s="1"/>
      <c r="GH170" s="1"/>
      <c r="GI170" s="1" t="s">
        <v>5769</v>
      </c>
      <c r="GJ170" s="5" t="s">
        <v>5770</v>
      </c>
      <c r="GK170" s="5" t="str">
        <f>HYPERLINK("https://drive.google.com/file/d/10QWz-9sjj9USP8rRVDxwCrk3esITnNZw/view?usp=drivesdk","LEON CONDE OSMAR NOE  Formato de reinscripción y pago 2022-2")</f>
        <v>LEON CONDE OSMAR NOE  Formato de reinscripción y pago 2022-2</v>
      </c>
      <c r="GL170" s="1" t="s">
        <v>5771</v>
      </c>
    </row>
    <row r="171" spans="1:194" ht="38.25" x14ac:dyDescent="0.2">
      <c r="A171" s="2">
        <v>45139.479738576389</v>
      </c>
      <c r="B171" s="1" t="s">
        <v>2526</v>
      </c>
      <c r="C171" s="1" t="s">
        <v>1827</v>
      </c>
      <c r="D171" s="1" t="s">
        <v>268</v>
      </c>
      <c r="E171" s="1" t="s">
        <v>2527</v>
      </c>
      <c r="F171" s="1" t="s">
        <v>223</v>
      </c>
      <c r="G171" s="5" t="s">
        <v>5772</v>
      </c>
      <c r="H171" s="41">
        <v>38498</v>
      </c>
      <c r="I171" s="1">
        <v>18</v>
      </c>
      <c r="J171" s="1">
        <v>5575581917</v>
      </c>
      <c r="K171" s="1">
        <v>5557431370</v>
      </c>
      <c r="L171" s="1" t="s">
        <v>2528</v>
      </c>
      <c r="M171" s="1">
        <v>21309060570242</v>
      </c>
      <c r="N171" s="1" t="s">
        <v>1108</v>
      </c>
      <c r="O171" s="1" t="s">
        <v>225</v>
      </c>
      <c r="P171" s="1" t="s">
        <v>278</v>
      </c>
      <c r="Q171" s="1" t="s">
        <v>227</v>
      </c>
      <c r="R171" s="1" t="s">
        <v>236</v>
      </c>
      <c r="S171" s="1" t="s">
        <v>228</v>
      </c>
      <c r="T171" s="1" t="s">
        <v>411</v>
      </c>
      <c r="U171" s="1" t="s">
        <v>264</v>
      </c>
      <c r="V171" s="1" t="s">
        <v>228</v>
      </c>
      <c r="W171" s="1" t="s">
        <v>5773</v>
      </c>
      <c r="X171" s="1" t="s">
        <v>264</v>
      </c>
      <c r="Y171" s="1" t="s">
        <v>622</v>
      </c>
      <c r="Z171" s="1" t="s">
        <v>231</v>
      </c>
      <c r="AA171" s="1">
        <v>57410</v>
      </c>
      <c r="AB171" s="1" t="s">
        <v>5774</v>
      </c>
      <c r="AC171" s="1" t="s">
        <v>5774</v>
      </c>
      <c r="AD171" s="1" t="s">
        <v>5775</v>
      </c>
      <c r="AE171" s="1" t="s">
        <v>5776</v>
      </c>
      <c r="AF171" s="1" t="s">
        <v>265</v>
      </c>
      <c r="AG171" s="1">
        <v>42</v>
      </c>
      <c r="AH171" s="5" t="s">
        <v>5777</v>
      </c>
      <c r="AI171" s="1">
        <v>5566348748</v>
      </c>
      <c r="AJ171" s="1">
        <v>5557431370</v>
      </c>
      <c r="AK171" s="1"/>
      <c r="AL171" s="1" t="s">
        <v>617</v>
      </c>
      <c r="AM171" s="1" t="s">
        <v>268</v>
      </c>
      <c r="AN171" s="1" t="s">
        <v>2738</v>
      </c>
      <c r="AO171" s="1" t="s">
        <v>907</v>
      </c>
      <c r="AP171" s="1">
        <v>63</v>
      </c>
      <c r="AQ171" s="1" t="s">
        <v>328</v>
      </c>
      <c r="AR171" s="42">
        <v>0</v>
      </c>
      <c r="AS171" s="42">
        <v>0</v>
      </c>
      <c r="AT171" s="1">
        <v>5557431370</v>
      </c>
      <c r="AU171" s="1">
        <v>5557431370</v>
      </c>
      <c r="AV171" s="1"/>
      <c r="AW171" s="5" t="s">
        <v>5778</v>
      </c>
      <c r="AX171" s="1" t="s">
        <v>1827</v>
      </c>
      <c r="AY171" s="1" t="s">
        <v>2110</v>
      </c>
      <c r="AZ171" s="1" t="s">
        <v>2649</v>
      </c>
      <c r="BA171" s="1" t="s">
        <v>2021</v>
      </c>
      <c r="BB171" s="1">
        <v>67</v>
      </c>
      <c r="BC171" s="1" t="s">
        <v>5779</v>
      </c>
      <c r="BD171" s="43">
        <v>0.33333333333575865</v>
      </c>
      <c r="BE171" s="43">
        <v>0.79166666666424135</v>
      </c>
      <c r="BF171" s="1">
        <v>5557431370</v>
      </c>
      <c r="BG171" s="1">
        <v>5557431370</v>
      </c>
      <c r="BH171" s="1"/>
      <c r="BI171" s="5" t="s">
        <v>5780</v>
      </c>
      <c r="BJ171" s="1" t="s">
        <v>236</v>
      </c>
      <c r="BL171" s="1">
        <v>1.66</v>
      </c>
      <c r="BM171" s="1">
        <v>86</v>
      </c>
      <c r="BN171" s="1" t="s">
        <v>236</v>
      </c>
      <c r="BO171" s="1" t="s">
        <v>228</v>
      </c>
      <c r="BQ171" s="1" t="s">
        <v>228</v>
      </c>
      <c r="BR171" s="1" t="s">
        <v>237</v>
      </c>
      <c r="BS171" s="1" t="s">
        <v>236</v>
      </c>
      <c r="BT171" s="1" t="s">
        <v>457</v>
      </c>
      <c r="BU171" s="1" t="s">
        <v>228</v>
      </c>
      <c r="BW171" s="1" t="s">
        <v>238</v>
      </c>
      <c r="BX171" s="1">
        <v>90</v>
      </c>
      <c r="BY171" s="1">
        <v>500</v>
      </c>
      <c r="BZ171" s="1" t="s">
        <v>5781</v>
      </c>
      <c r="CA171" s="1" t="s">
        <v>343</v>
      </c>
      <c r="CB171" s="1" t="s">
        <v>5782</v>
      </c>
      <c r="CC171" s="1" t="s">
        <v>5783</v>
      </c>
      <c r="CD171" s="1">
        <v>1500</v>
      </c>
      <c r="CE171" s="1">
        <v>2000</v>
      </c>
      <c r="CF171" s="1" t="s">
        <v>236</v>
      </c>
      <c r="CG171" s="1" t="s">
        <v>323</v>
      </c>
      <c r="CH171" s="1" t="s">
        <v>243</v>
      </c>
      <c r="CI171" s="1" t="s">
        <v>243</v>
      </c>
      <c r="CJ171" s="1" t="s">
        <v>2848</v>
      </c>
      <c r="CL171" s="5" t="s">
        <v>5784</v>
      </c>
      <c r="CM171" s="1">
        <v>44190553311</v>
      </c>
      <c r="CN171" s="1" t="s">
        <v>228</v>
      </c>
      <c r="CQ171" s="42">
        <v>0.29166666666424135</v>
      </c>
      <c r="CR171" s="42">
        <v>0.91666666666424135</v>
      </c>
      <c r="CT171" s="45" t="str">
        <f t="array" ref="CT171">IFERROR(INDEX(#REF!,MATCH('Respuestas de formulario 1.1'!$B171,#REF!,0),MATCH('Respuestas de formulario 1.1'!CT$1,#REF!,0)),"")</f>
        <v/>
      </c>
      <c r="CU171" s="56" t="str">
        <f t="array" ref="CU171">IFERROR(INDEX(#REF!,MATCH('Respuestas de formulario 1.1'!$B171,#REF!,0),MATCH('Respuestas de formulario 1.1'!CU$1,#REF!,0)),"")</f>
        <v/>
      </c>
      <c r="CV171" s="56" t="str">
        <f t="array" ref="CV171">IFERROR(INDEX(#REF!,MATCH('Respuestas de formulario 1.1'!$B171,#REF!,0),MATCH('Respuestas de formulario 1.1'!CV$1,#REF!,0)),"")</f>
        <v/>
      </c>
      <c r="CW171" s="56" t="str">
        <f t="array" ref="CW171">IFERROR(INDEX(#REF!,MATCH('Respuestas de formulario 1.1'!$B171,#REF!,0),MATCH('Respuestas de formulario 1.1'!CW$1,#REF!,0)),"")</f>
        <v/>
      </c>
      <c r="CX171" s="56" t="str">
        <f t="array" ref="CX171">IFERROR(INDEX(#REF!,MATCH('Respuestas de formulario 1.1'!$B171,#REF!,0),MATCH('Respuestas de formulario 1.1'!CX$1,#REF!,0)),"")</f>
        <v/>
      </c>
      <c r="CY171" s="56" t="str">
        <f t="array" ref="CY171">IFERROR(INDEX(#REF!,MATCH('Respuestas de formulario 1.1'!$B171,#REF!,0),MATCH('Respuestas de formulario 1.1'!CY$1,#REF!,0)),"")</f>
        <v/>
      </c>
      <c r="CZ171" s="57" t="str">
        <f t="array" ref="CZ171">IFERROR(INDEX(#REF!,MATCH('Respuestas de formulario 1.1'!$B171,#REF!,0),MATCH('Respuestas de formulario 1.1'!CZ$1,#REF!,0)),"")</f>
        <v/>
      </c>
      <c r="DA171" s="45" t="e">
        <f t="array" ref="DA171">INDEX(#REF!,MATCH('Respuestas de formulario 1.1'!$B171,#REF!,0),MATCH('Respuestas de formulario 1.1'!DA$1,#REF!,0))</f>
        <v>#REF!</v>
      </c>
      <c r="DB171" s="45" t="e">
        <f t="array" ref="DB171">INDEX(#REF!,MATCH('Respuestas de formulario 1.1'!$B171,#REF!,0),MATCH('Respuestas de formulario 1.1'!DB$1,#REF!,0))</f>
        <v>#REF!</v>
      </c>
      <c r="DC171" s="45" t="e">
        <f t="array" ref="DC171">INDEX(#REF!,MATCH('Respuestas de formulario 1.1'!$B171,#REF!,0),MATCH('Respuestas de formulario 1.1'!DC$1,#REF!,0))</f>
        <v>#REF!</v>
      </c>
      <c r="DD171" s="45" t="e">
        <f t="array" ref="DD171">INDEX(#REF!,MATCH('Respuestas de formulario 1.1'!$B171,#REF!,0),MATCH('Respuestas de formulario 1.1'!DD$1,#REF!,0))</f>
        <v>#REF!</v>
      </c>
      <c r="DE171" s="45" t="e">
        <f t="array" ref="DE171">INDEX(#REF!,MATCH('Respuestas de formulario 1.1'!$B171,#REF!,0),MATCH('Respuestas de formulario 1.1'!DE$1,#REF!,0))</f>
        <v>#REF!</v>
      </c>
      <c r="DF171" s="45" t="e">
        <f t="array" ref="DF171">INDEX(#REF!,MATCH('Respuestas de formulario 1.1'!$B171,#REF!,0),MATCH('Respuestas de formulario 1.1'!DF$1,#REF!,0))</f>
        <v>#REF!</v>
      </c>
      <c r="DG171" s="45" t="e">
        <f t="array" ref="DG171">INDEX(#REF!,MATCH('Respuestas de formulario 1.1'!$B171,#REF!,0),MATCH('Respuestas de formulario 1.1'!DG$1,#REF!,0))</f>
        <v>#REF!</v>
      </c>
      <c r="DH171" s="45" t="e">
        <f t="array" ref="DH171">INDEX(#REF!,MATCH('Respuestas de formulario 1.1'!$B171,#REF!,0),MATCH('Respuestas de formulario 1.1'!DH$1,#REF!,0))</f>
        <v>#REF!</v>
      </c>
      <c r="DI171" s="48" t="e">
        <f>VLOOKUP(CONCATENATE($DF171," TUTO ",$DC171),#REF!,3,0)</f>
        <v>#REF!</v>
      </c>
      <c r="DJ171" s="48" t="e">
        <f t="array" ref="DJ171">IF('Respuestas de formulario 1.1'!A171="","",INDEX(#REF!,MATCH('Respuestas de formulario 1.1'!B171,#REF!,0),MATCH('Respuestas de formulario 1.1'!$DH$1,#REF!,0)))</f>
        <v>#REF!</v>
      </c>
      <c r="DK171" s="52" t="str">
        <f>CONCATENATE("http://doc.google.com/uc?id=",MID('Respuestas de formulario 1.1'!G171,34,33))</f>
        <v>http://doc.google.com/uc?id=1QLEIj9gC7PJESonRmcOWV0X3fAEdQeY4</v>
      </c>
      <c r="DL171" s="49" t="str">
        <f>CONCATENATE("http://doc.google.com/uc?id=",MID('Respuestas de formulario 1.1'!AH171,34,33))</f>
        <v>http://doc.google.com/uc?id=1zA4SJ5rGOEfLr_RrVFn_dyn7Yrega6xT</v>
      </c>
      <c r="DM171" s="50" t="str">
        <f>CONCATENATE("http://doc.google.com/uc?id=",MID('Respuestas de formulario 1.1'!AW171,34,33))</f>
        <v>http://doc.google.com/uc?id=1r8xfBcQJ0wAli_K9hx-nM1wSMhVKAf-7</v>
      </c>
      <c r="DN171" s="53" t="str">
        <f>CONCATENATE("http://doc.google.com/uc?id=",MID('Respuestas de formulario 1.1'!$BI171,34,33))</f>
        <v>http://doc.google.com/uc?id=1CthIDNP2VVZtJJPzddSvzz3bHWcnaNog</v>
      </c>
      <c r="DO171" s="45" t="str">
        <f>IFERROR(VLOOKUP(CONCATENATE('Respuestas de formulario 1.1'!$B171,MID('Respuestas de formulario 1.1'!DO$1,2,1)),#REF!,12,0),"")</f>
        <v/>
      </c>
      <c r="DP171" s="45" t="str">
        <f>IFERROR(VLOOKUP(CONCATENATE('Respuestas de formulario 1.1'!$B171,MID('Respuestas de formulario 1.1'!DP$1,2,1)),#REF!,12,0),"")</f>
        <v/>
      </c>
      <c r="DQ171" s="45" t="str">
        <f>IFERROR(VLOOKUP(CONCATENATE('Respuestas de formulario 1.1'!$B171,MID('Respuestas de formulario 1.1'!DQ$1,2,1)),#REF!,12,0),"")</f>
        <v/>
      </c>
      <c r="DR171" s="45" t="str">
        <f>IFERROR(VLOOKUP(CONCATENATE('Respuestas de formulario 1.1'!$B171,MID('Respuestas de formulario 1.1'!DR$1,2,1)),#REF!,12,0),"")</f>
        <v/>
      </c>
      <c r="DS171" s="45" t="str">
        <f>IFERROR(VLOOKUP(CONCATENATE('Respuestas de formulario 1.1'!$B171,MID('Respuestas de formulario 1.1'!DS$1,2,1)),#REF!,12,0),"")</f>
        <v/>
      </c>
      <c r="DT171" s="45" t="str">
        <f>IFERROR(VLOOKUP(CONCATENATE('Respuestas de formulario 1.1'!$B171,MID('Respuestas de formulario 1.1'!DT$1,2,1)),#REF!,12,0),"")</f>
        <v/>
      </c>
      <c r="DU171" s="45" t="str">
        <f>IFERROR(VLOOKUP(CONCATENATE('Respuestas de formulario 1.1'!$B171,MID('Respuestas de formulario 1.1'!DU$1,2,1)),#REF!,12,0),"")</f>
        <v/>
      </c>
      <c r="DV171" s="45" t="str">
        <f>IFERROR(VLOOKUP(CONCATENATE('Respuestas de formulario 1.1'!$B171,MID('Respuestas de formulario 1.1'!DV$1,2,1)),#REF!,12,0),"")</f>
        <v/>
      </c>
      <c r="DW171" s="45" t="str">
        <f>IFERROR(VLOOKUP(CONCATENATE('Respuestas de formulario 1.1'!$B171,MID('Respuestas de formulario 1.1'!DW$1,2,1)),#REF!,12,0),"")</f>
        <v/>
      </c>
      <c r="DX171" s="45" t="str">
        <f>IFERROR(VLOOKUP(CONCATENATE('Respuestas de formulario 1.1'!$B171,MID('Respuestas de formulario 1.1'!DX$1,2,1)),#REF!,12,0),"")</f>
        <v/>
      </c>
      <c r="DY171" s="45" t="str">
        <f>IFERROR(VLOOKUP(CONCATENATE('Respuestas de formulario 1.1'!$B171,MID('Respuestas de formulario 1.1'!DY$1,2,1)),#REF!,12,0),"")</f>
        <v/>
      </c>
      <c r="DZ171" s="45" t="str">
        <f>IFERROR(VLOOKUP(CONCATENATE('Respuestas de formulario 1.1'!$B171,MID('Respuestas de formulario 1.1'!DZ$1,2,1)),#REF!,12,0),"")</f>
        <v/>
      </c>
      <c r="EA171" s="45" t="str">
        <f>IFERROR(VLOOKUP(CONCATENATE('Respuestas de formulario 1.1'!$B171,MID('Respuestas de formulario 1.1'!EA$1,2,1)),#REF!,12,0),"")</f>
        <v/>
      </c>
      <c r="EB171" s="45" t="str">
        <f>IFERROR(VLOOKUP(CONCATENATE('Respuestas de formulario 1.1'!$B171,MID('Respuestas de formulario 1.1'!EB$1,2,1)),#REF!,12,0),"")</f>
        <v/>
      </c>
      <c r="EC171" s="45" t="str">
        <f>IFERROR(VLOOKUP(CONCATENATE('Respuestas de formulario 1.1'!$B171,MID('Respuestas de formulario 1.1'!EC$1,2,1)),#REF!,12,0),"")</f>
        <v/>
      </c>
      <c r="ED171" s="45" t="str">
        <f>IFERROR(VLOOKUP(CONCATENATE('Respuestas de formulario 1.1'!$B171,MID('Respuestas de formulario 1.1'!ED$1,2,1)),#REF!,12,0),"")</f>
        <v/>
      </c>
      <c r="EE171" s="45" t="str">
        <f>IFERROR(VLOOKUP(CONCATENATE('Respuestas de formulario 1.1'!$B171,MID('Respuestas de formulario 1.1'!EE$1,2,1)),#REF!,12,0),"")</f>
        <v/>
      </c>
      <c r="EF171" s="45" t="str">
        <f>IFERROR(VLOOKUP(CONCATENATE('Respuestas de formulario 1.1'!$B171,MID('Respuestas de formulario 1.1'!EF$1,2,1)),#REF!,12,0),"")</f>
        <v/>
      </c>
      <c r="EG171" s="45" t="str">
        <f>IFERROR(VLOOKUP(CONCATENATE('Respuestas de formulario 1.1'!$B171,MID('Respuestas de formulario 1.1'!EG$1,2,1)),#REF!,12,0),"")</f>
        <v/>
      </c>
      <c r="EH171" s="45" t="str">
        <f>IFERROR(VLOOKUP(CONCATENATE('Respuestas de formulario 1.1'!$B171,MID('Respuestas de formulario 1.1'!EH$1,2,1)),#REF!,12,0),"")</f>
        <v/>
      </c>
      <c r="EI171" s="45" t="str">
        <f>IFERROR(VLOOKUP(CONCATENATE('Respuestas de formulario 1.1'!$B171,MID('Respuestas de formulario 1.1'!EI$1,2,1)),#REF!,12,0),"")</f>
        <v/>
      </c>
      <c r="EJ171" s="45" t="str">
        <f t="array" ref="EJ171">IF(DO171="","", INDEX(#REF!,MATCH(CONCATENATE('Respuestas de formulario 1.1'!$B171,DO171),#REF!,0),MATCH('Respuestas de formulario 1.1'!EJ$1,#REF!,0)))</f>
        <v/>
      </c>
      <c r="EK171" s="56" t="str">
        <f t="array" ref="EK171">IF(DP171="","", INDEX(#REF!,MATCH(CONCATENATE('Respuestas de formulario 1.1'!$B171,DP171),#REF!,0),MATCH('Respuestas de formulario 1.1'!EK$1,#REF!,0)))</f>
        <v/>
      </c>
      <c r="EL171" s="56" t="str">
        <f t="array" ref="EL171">IF(DQ171="","", INDEX(#REF!,MATCH(CONCATENATE('Respuestas de formulario 1.1'!$B171,DQ171),#REF!,0),MATCH('Respuestas de formulario 1.1'!EL$1,#REF!,0)))</f>
        <v/>
      </c>
      <c r="EM171" s="56" t="str">
        <f t="array" ref="EM171">IF(DR171="","", INDEX(#REF!,MATCH(CONCATENATE('Respuestas de formulario 1.1'!$B171,DR171),#REF!,0),MATCH('Respuestas de formulario 1.1'!EM$1,#REF!,0)))</f>
        <v/>
      </c>
      <c r="EN171" s="56" t="str">
        <f t="array" ref="EN171">IF(DS171="","", INDEX(#REF!,MATCH(CONCATENATE('Respuestas de formulario 1.1'!$B171,DS171),#REF!,0),MATCH('Respuestas de formulario 1.1'!EN$1,#REF!,0)))</f>
        <v/>
      </c>
      <c r="EO171" s="56" t="str">
        <f t="array" ref="EO171">IF(DT171="","", INDEX(#REF!,MATCH(CONCATENATE('Respuestas de formulario 1.1'!$B171,DT171),#REF!,0),MATCH('Respuestas de formulario 1.1'!EO$1,#REF!,0)))</f>
        <v/>
      </c>
      <c r="EP171" s="45" t="str">
        <f t="array" ref="EP171">IF(DU171="","", INDEX(#REF!,MATCH(CONCATENATE('Respuestas de formulario 1.1'!$B171,DU171),#REF!,0),MATCH('Respuestas de formulario 1.1'!EP$1,#REF!,0)))</f>
        <v/>
      </c>
      <c r="EQ171" s="45" t="str">
        <f t="array" ref="EQ171">IF(DP171="","", INDEX(#REF!,MATCH(CONCATENATE('Respuestas de formulario 1.1'!$B171,DP171),#REF!,0),MATCH('Respuestas de formulario 1.1'!EQ$1,#REF!,0)))</f>
        <v/>
      </c>
      <c r="ER171" s="56" t="str">
        <f t="array" ref="ER171">IF(DQ171="","", INDEX(#REF!,MATCH(CONCATENATE('Respuestas de formulario 1.1'!$B171,DQ171),#REF!,0),MATCH('Respuestas de formulario 1.1'!ER$1,#REF!,0)))</f>
        <v/>
      </c>
      <c r="ES171" s="56" t="str">
        <f t="array" ref="ES171">IF(DR171="","", INDEX(#REF!,MATCH(CONCATENATE('Respuestas de formulario 1.1'!$B171,DR171),#REF!,0),MATCH('Respuestas de formulario 1.1'!ES$1,#REF!,0)))</f>
        <v/>
      </c>
      <c r="ET171" s="56" t="str">
        <f t="array" ref="ET171">IF(DS171="","", INDEX(#REF!,MATCH(CONCATENATE('Respuestas de formulario 1.1'!$B171,DS171),#REF!,0),MATCH('Respuestas de formulario 1.1'!ET$1,#REF!,0)))</f>
        <v/>
      </c>
      <c r="EU171" s="56" t="str">
        <f t="array" ref="EU171">IF(DT171="","", INDEX(#REF!,MATCH(CONCATENATE('Respuestas de formulario 1.1'!$B171,DT171),#REF!,0),MATCH('Respuestas de formulario 1.1'!EU$1,#REF!,0)))</f>
        <v/>
      </c>
      <c r="EV171" s="56" t="str">
        <f t="array" ref="EV171">IF(DU171="","", INDEX(#REF!,MATCH(CONCATENATE('Respuestas de formulario 1.1'!$B171,DU171),#REF!,0),MATCH('Respuestas de formulario 1.1'!EV$1,#REF!,0)))</f>
        <v/>
      </c>
      <c r="EW171" s="45" t="str">
        <f t="array" ref="EW171">IF(DV171="","", INDEX(#REF!,MATCH(CONCATENATE('Respuestas de formulario 1.1'!$B171,DV171),#REF!,0),MATCH('Respuestas de formulario 1.1'!EW$1,#REF!,0)))</f>
        <v/>
      </c>
      <c r="EX171" s="45" t="str">
        <f t="array" ref="EX171">IF($DQ171="","", INDEX(#REF!,MATCH(CONCATENATE('Respuestas de formulario 1.1'!$B171,$DQ171),#REF!,0),MATCH('Respuestas de formulario 1.1'!EX$1,#REF!,0)))</f>
        <v/>
      </c>
      <c r="EY171" s="56" t="str">
        <f t="array" ref="EY171">IF($DQ171="","", INDEX(#REF!,MATCH(CONCATENATE('Respuestas de formulario 1.1'!$B171,$DQ171),#REF!,0),MATCH('Respuestas de formulario 1.1'!EY$1,#REF!,0)))</f>
        <v/>
      </c>
      <c r="EZ171" s="56" t="str">
        <f t="array" ref="EZ171">IF($DQ171="","", INDEX(#REF!,MATCH(CONCATENATE('Respuestas de formulario 1.1'!$B171,$DQ171),#REF!,0),MATCH('Respuestas de formulario 1.1'!EZ$1,#REF!,0)))</f>
        <v/>
      </c>
      <c r="FA171" s="56" t="str">
        <f t="array" ref="FA171">IF($DQ171="","", INDEX(#REF!,MATCH(CONCATENATE('Respuestas de formulario 1.1'!$B171,$DQ171),#REF!,0),MATCH('Respuestas de formulario 1.1'!FA$1,#REF!,0)))</f>
        <v/>
      </c>
      <c r="FB171" s="56" t="str">
        <f t="array" ref="FB171">IF($DQ171="","", INDEX(#REF!,MATCH(CONCATENATE('Respuestas de formulario 1.1'!$B171,$DQ171),#REF!,0),MATCH('Respuestas de formulario 1.1'!FB$1,#REF!,0)))</f>
        <v/>
      </c>
      <c r="FC171" s="56" t="str">
        <f t="array" ref="FC171">IF($DQ171="","", INDEX(#REF!,MATCH(CONCATENATE('Respuestas de formulario 1.1'!$B171,$DQ171),#REF!,0),MATCH('Respuestas de formulario 1.1'!FC$1,#REF!,0)))</f>
        <v/>
      </c>
      <c r="FD171" s="45" t="str">
        <f t="array" ref="FD171">IF($DQ171="","", INDEX(#REF!,MATCH(CONCATENATE('Respuestas de formulario 1.1'!$B171,$DQ171),#REF!,0),MATCH('Respuestas de formulario 1.1'!FD$1,#REF!,0)))</f>
        <v/>
      </c>
      <c r="FE171" s="45" t="str">
        <f t="array" ref="FE171">IF($DR171="","", INDEX(#REF!,MATCH(CONCATENATE(#REF!,$DR171),#REF!,0),MATCH(#REF!,#REF!,0)))</f>
        <v/>
      </c>
      <c r="FF171" s="56" t="str">
        <f t="array" ref="FF171">IF($DR171="","", INDEX(#REF!,MATCH(CONCATENATE(#REF!,$DR171),#REF!,0),MATCH(#REF!,#REF!,0)))</f>
        <v/>
      </c>
      <c r="FG171" s="56" t="str">
        <f t="array" ref="FG171">IF($DR171="","", INDEX(#REF!,MATCH(CONCATENATE(#REF!,$DR171),#REF!,0),MATCH(#REF!,#REF!,0)))</f>
        <v/>
      </c>
      <c r="FH171" s="56" t="str">
        <f t="array" ref="FH171">IF($DR171="","", INDEX(#REF!,MATCH(CONCATENATE(#REF!,$DR171),#REF!,0),MATCH(#REF!,#REF!,0)))</f>
        <v/>
      </c>
      <c r="FI171" s="56" t="str">
        <f t="array" ref="FI171">IF($DR171="","", INDEX(#REF!,MATCH(CONCATENATE(#REF!,$DR171),#REF!,0),MATCH(#REF!,#REF!,0)))</f>
        <v/>
      </c>
      <c r="FJ171" s="56" t="str">
        <f t="array" ref="FJ171">IF($DR171="","", INDEX(#REF!,MATCH(CONCATENATE(#REF!,$DR171),#REF!,0),MATCH(#REF!,#REF!,0)))</f>
        <v/>
      </c>
      <c r="FK171" s="45" t="str">
        <f t="array" ref="FK171">IF($DR171="","", INDEX(#REF!,MATCH(CONCATENATE(#REF!,$DR171),#REF!,0),MATCH(#REF!,#REF!,0)))</f>
        <v/>
      </c>
      <c r="FL171" s="45" t="str">
        <f t="array" ref="FL171">IF($DT171="","", INDEX(#REF!,MATCH(CONCATENATE('Respuestas de formulario 1.1'!$B171,$DS171),#REF!,0),MATCH('Respuestas de formulario 1.1'!FL$1,#REF!,0)))</f>
        <v/>
      </c>
      <c r="FM171" s="56" t="str">
        <f t="array" ref="FM171">IF($DT171="","", INDEX(#REF!,MATCH(CONCATENATE('Respuestas de formulario 1.1'!$B171,$DS171),#REF!,0),MATCH('Respuestas de formulario 1.1'!FM$1,#REF!,0)))</f>
        <v/>
      </c>
      <c r="FN171" s="56" t="str">
        <f t="array" ref="FN171">IF($DT171="","", INDEX(#REF!,MATCH(CONCATENATE('Respuestas de formulario 1.1'!$B171,$DS171),#REF!,0),MATCH('Respuestas de formulario 1.1'!FN$1,#REF!,0)))</f>
        <v/>
      </c>
      <c r="FO171" s="56" t="str">
        <f t="array" ref="FO171">IF($DT171="","", INDEX(#REF!,MATCH(CONCATENATE('Respuestas de formulario 1.1'!$B171,$DS171),#REF!,0),MATCH('Respuestas de formulario 1.1'!FO$1,#REF!,0)))</f>
        <v/>
      </c>
      <c r="FP171" s="56" t="str">
        <f t="array" ref="FP171">IF($DT171="","", INDEX(#REF!,MATCH(CONCATENATE('Respuestas de formulario 1.1'!$B171,$DS171),#REF!,0),MATCH('Respuestas de formulario 1.1'!FP$1,#REF!,0)))</f>
        <v/>
      </c>
      <c r="FQ171" s="56" t="str">
        <f t="array" ref="FQ171">IF($DT171="","", INDEX(#REF!,MATCH(CONCATENATE('Respuestas de formulario 1.1'!$B171,$DS171),#REF!,0),MATCH('Respuestas de formulario 1.1'!FQ$1,#REF!,0)))</f>
        <v/>
      </c>
      <c r="FR171" s="45" t="str">
        <f t="array" ref="FR171">IF($DT171="","", INDEX(#REF!,MATCH(CONCATENATE('Respuestas de formulario 1.1'!$B171,$DS171),#REF!,0),MATCH('Respuestas de formulario 1.1'!FR$1,#REF!,0)))</f>
        <v/>
      </c>
      <c r="FS171" s="45" t="str">
        <f t="array" ref="FS171">IF($DU171="","", INDEX(#REF!,MATCH(CONCATENATE('Respuestas de formulario 1.1'!$B171,$DT171),#REF!,0),MATCH('Respuestas de formulario 1.1'!FS$1,#REF!,0)))</f>
        <v/>
      </c>
      <c r="FT171" s="56" t="str">
        <f t="array" ref="FT171">IF($DU171="","", INDEX(#REF!,MATCH(CONCATENATE('Respuestas de formulario 1.1'!$B171,$DT171),#REF!,0),MATCH('Respuestas de formulario 1.1'!FT$1,#REF!,0)))</f>
        <v/>
      </c>
      <c r="FU171" s="56" t="str">
        <f t="array" ref="FU171">IF($DU171="","", INDEX(#REF!,MATCH(CONCATENATE('Respuestas de formulario 1.1'!$B171,$DT171),#REF!,0),MATCH('Respuestas de formulario 1.1'!FU$1,#REF!,0)))</f>
        <v/>
      </c>
      <c r="FV171" s="56" t="str">
        <f t="array" ref="FV171">IF($DU171="","", INDEX(#REF!,MATCH(CONCATENATE('Respuestas de formulario 1.1'!$B171,$DT171),#REF!,0),MATCH('Respuestas de formulario 1.1'!FV$1,#REF!,0)))</f>
        <v/>
      </c>
      <c r="FW171" s="56" t="str">
        <f t="array" ref="FW171">IF($DU171="","", INDEX(#REF!,MATCH(CONCATENATE('Respuestas de formulario 1.1'!$B171,$DT171),#REF!,0),MATCH('Respuestas de formulario 1.1'!FW$1,#REF!,0)))</f>
        <v/>
      </c>
      <c r="FX171" s="56" t="str">
        <f t="array" ref="FX171">IF($DU171="","", INDEX(#REF!,MATCH(CONCATENATE('Respuestas de formulario 1.1'!$B171,$DT171),#REF!,0),MATCH('Respuestas de formulario 1.1'!FX$1,#REF!,0)))</f>
        <v/>
      </c>
      <c r="FY171" s="45" t="str">
        <f t="array" ref="FY171">IF($DU171="","", INDEX(#REF!,MATCH(CONCATENATE('Respuestas de formulario 1.1'!$B171,$DT171),#REF!,0),MATCH('Respuestas de formulario 1.1'!FY$1,#REF!,0)))</f>
        <v/>
      </c>
      <c r="FZ171" s="3" t="s">
        <v>2860</v>
      </c>
      <c r="GA171" s="1" t="s">
        <v>5785</v>
      </c>
      <c r="GB171" s="5" t="s">
        <v>5786</v>
      </c>
      <c r="GC171" s="4" t="str">
        <f>HYPERLINK("https://drive.google.com/file/d/1yPau46tV8EQmv6tpZh1j_y_H0cUy5zrg/view?usp=drivesdk","CARRASCO AGUILAR KAORIS AMEYALY Formato de reinscripción y pago 2022-2")</f>
        <v>CARRASCO AGUILAR KAORIS AMEYALY Formato de reinscripción y pago 2022-2</v>
      </c>
      <c r="GD171" s="1" t="s">
        <v>5787</v>
      </c>
      <c r="GE171" s="1"/>
      <c r="GF171" s="1"/>
      <c r="GG171" s="1"/>
      <c r="GH171" s="1"/>
      <c r="GI171" s="1" t="s">
        <v>5788</v>
      </c>
      <c r="GJ171" s="5" t="s">
        <v>5789</v>
      </c>
      <c r="GK171" s="5" t="str">
        <f>HYPERLINK("https://drive.google.com/file/d/1-iEr-veVn3YHcuGPwNC3kafXuwtQNugU/view?usp=drivesdk","CARRASCO AGUILAR KAORIS AMEYALY Formato de reinscripción y pago 2022-2")</f>
        <v>CARRASCO AGUILAR KAORIS AMEYALY Formato de reinscripción y pago 2022-2</v>
      </c>
      <c r="GL171" s="1" t="s">
        <v>5790</v>
      </c>
    </row>
    <row r="172" spans="1:194" ht="38.25" x14ac:dyDescent="0.2">
      <c r="A172" s="2">
        <v>45139.479821724541</v>
      </c>
      <c r="B172" s="1" t="s">
        <v>1305</v>
      </c>
      <c r="C172" s="1" t="s">
        <v>1306</v>
      </c>
      <c r="D172" s="1" t="s">
        <v>1307</v>
      </c>
      <c r="E172" s="1" t="s">
        <v>1308</v>
      </c>
      <c r="F172" s="1" t="s">
        <v>262</v>
      </c>
      <c r="G172" s="5" t="s">
        <v>5791</v>
      </c>
      <c r="H172" s="41">
        <v>38979</v>
      </c>
      <c r="I172" s="1">
        <v>16</v>
      </c>
      <c r="J172" s="1">
        <v>5613997790</v>
      </c>
      <c r="K172" s="1">
        <v>5557314544</v>
      </c>
      <c r="L172" s="1" t="s">
        <v>1309</v>
      </c>
      <c r="M172" s="1">
        <v>21309060570647</v>
      </c>
      <c r="N172" s="1" t="s">
        <v>1108</v>
      </c>
      <c r="O172" s="1" t="s">
        <v>247</v>
      </c>
      <c r="P172" s="1" t="s">
        <v>226</v>
      </c>
      <c r="Q172" s="1" t="s">
        <v>263</v>
      </c>
      <c r="R172" s="1" t="s">
        <v>236</v>
      </c>
      <c r="S172" s="1" t="s">
        <v>228</v>
      </c>
      <c r="T172" s="1" t="s">
        <v>229</v>
      </c>
      <c r="U172" s="1" t="s">
        <v>264</v>
      </c>
      <c r="V172" s="1" t="s">
        <v>228</v>
      </c>
      <c r="W172" s="1" t="s">
        <v>5792</v>
      </c>
      <c r="X172" s="1" t="s">
        <v>264</v>
      </c>
      <c r="Y172" s="1" t="s">
        <v>5442</v>
      </c>
      <c r="Z172" s="1" t="s">
        <v>231</v>
      </c>
      <c r="AA172" s="1">
        <v>57000</v>
      </c>
      <c r="AB172" s="1">
        <v>112</v>
      </c>
      <c r="AC172" s="1">
        <v>112</v>
      </c>
      <c r="AD172" s="1" t="s">
        <v>1310</v>
      </c>
      <c r="AE172" s="1" t="s">
        <v>1311</v>
      </c>
      <c r="AF172" s="1" t="s">
        <v>336</v>
      </c>
      <c r="AG172" s="1">
        <v>48</v>
      </c>
      <c r="AH172" s="5" t="s">
        <v>5793</v>
      </c>
      <c r="AI172" s="1">
        <v>5511431800</v>
      </c>
      <c r="AJ172" s="1">
        <v>5557314544</v>
      </c>
      <c r="AK172" s="1"/>
      <c r="AL172" s="1" t="s">
        <v>1306</v>
      </c>
      <c r="AM172" s="1" t="s">
        <v>1307</v>
      </c>
      <c r="AN172" s="1" t="s">
        <v>1039</v>
      </c>
      <c r="AO172" s="1" t="s">
        <v>445</v>
      </c>
      <c r="AP172" s="1">
        <v>55</v>
      </c>
      <c r="AQ172" s="1" t="s">
        <v>267</v>
      </c>
      <c r="AR172" s="42">
        <v>0.375</v>
      </c>
      <c r="AS172" s="42">
        <v>0.66666666666424135</v>
      </c>
      <c r="AT172" s="1">
        <v>5528830207</v>
      </c>
      <c r="AU172" s="1">
        <v>5557314544</v>
      </c>
      <c r="AV172" s="1" t="s">
        <v>1312</v>
      </c>
      <c r="AW172" s="5" t="s">
        <v>5794</v>
      </c>
      <c r="AX172" s="1" t="s">
        <v>1306</v>
      </c>
      <c r="AY172" s="1" t="s">
        <v>1307</v>
      </c>
      <c r="AZ172" s="1" t="s">
        <v>2318</v>
      </c>
      <c r="BA172" s="1" t="s">
        <v>265</v>
      </c>
      <c r="BB172" s="1">
        <v>55</v>
      </c>
      <c r="BC172" s="1" t="s">
        <v>362</v>
      </c>
      <c r="BD172" s="43">
        <v>0.375</v>
      </c>
      <c r="BE172" s="43">
        <v>0.66666666666424135</v>
      </c>
      <c r="BF172" s="1">
        <v>5528830207</v>
      </c>
      <c r="BG172" s="1">
        <v>5557314544</v>
      </c>
      <c r="BH172" s="1" t="s">
        <v>1312</v>
      </c>
      <c r="BI172" s="5" t="s">
        <v>5795</v>
      </c>
      <c r="BJ172" s="1" t="s">
        <v>236</v>
      </c>
      <c r="BL172" s="1">
        <v>184</v>
      </c>
      <c r="BM172" s="1">
        <v>83</v>
      </c>
      <c r="BN172" s="1" t="s">
        <v>236</v>
      </c>
      <c r="BO172" s="1" t="s">
        <v>236</v>
      </c>
      <c r="BP172" s="1" t="s">
        <v>5796</v>
      </c>
      <c r="BQ172" s="1" t="s">
        <v>228</v>
      </c>
      <c r="BR172" s="1" t="s">
        <v>237</v>
      </c>
      <c r="BS172" s="1" t="s">
        <v>228</v>
      </c>
      <c r="BT172" s="1" t="s">
        <v>237</v>
      </c>
      <c r="BU172" s="1" t="s">
        <v>228</v>
      </c>
      <c r="BW172" s="1" t="s">
        <v>238</v>
      </c>
      <c r="BX172" s="1">
        <v>70</v>
      </c>
      <c r="BY172" s="1">
        <v>160</v>
      </c>
      <c r="BZ172" s="1" t="s">
        <v>5797</v>
      </c>
      <c r="CA172" s="1" t="s">
        <v>237</v>
      </c>
      <c r="CB172" s="1" t="s">
        <v>240</v>
      </c>
      <c r="CC172" s="1" t="s">
        <v>416</v>
      </c>
      <c r="CD172" s="1">
        <v>200</v>
      </c>
      <c r="CE172" s="1">
        <v>1000</v>
      </c>
      <c r="CF172" s="1" t="s">
        <v>236</v>
      </c>
      <c r="CG172" s="1" t="s">
        <v>242</v>
      </c>
      <c r="CH172" s="1" t="s">
        <v>243</v>
      </c>
      <c r="CI172" s="1" t="s">
        <v>243</v>
      </c>
      <c r="CJ172" s="1" t="s">
        <v>2848</v>
      </c>
      <c r="CL172" s="5" t="s">
        <v>5798</v>
      </c>
      <c r="CM172" s="1">
        <v>55210651299</v>
      </c>
      <c r="CN172" s="1" t="s">
        <v>228</v>
      </c>
      <c r="CQ172" s="42">
        <v>0.5</v>
      </c>
      <c r="CR172" s="42">
        <v>0.75</v>
      </c>
      <c r="CT172" s="45" t="str">
        <f t="array" ref="CT172">IFERROR(INDEX(#REF!,MATCH('Respuestas de formulario 1.1'!$B172,#REF!,0),MATCH('Respuestas de formulario 1.1'!CT$1,#REF!,0)),"")</f>
        <v/>
      </c>
      <c r="CU172" s="56" t="str">
        <f t="array" ref="CU172">IFERROR(INDEX(#REF!,MATCH('Respuestas de formulario 1.1'!$B172,#REF!,0),MATCH('Respuestas de formulario 1.1'!CU$1,#REF!,0)),"")</f>
        <v/>
      </c>
      <c r="CV172" s="56" t="str">
        <f t="array" ref="CV172">IFERROR(INDEX(#REF!,MATCH('Respuestas de formulario 1.1'!$B172,#REF!,0),MATCH('Respuestas de formulario 1.1'!CV$1,#REF!,0)),"")</f>
        <v/>
      </c>
      <c r="CW172" s="56" t="str">
        <f t="array" ref="CW172">IFERROR(INDEX(#REF!,MATCH('Respuestas de formulario 1.1'!$B172,#REF!,0),MATCH('Respuestas de formulario 1.1'!CW$1,#REF!,0)),"")</f>
        <v/>
      </c>
      <c r="CX172" s="56" t="str">
        <f t="array" ref="CX172">IFERROR(INDEX(#REF!,MATCH('Respuestas de formulario 1.1'!$B172,#REF!,0),MATCH('Respuestas de formulario 1.1'!CX$1,#REF!,0)),"")</f>
        <v/>
      </c>
      <c r="CY172" s="56" t="str">
        <f t="array" ref="CY172">IFERROR(INDEX(#REF!,MATCH('Respuestas de formulario 1.1'!$B172,#REF!,0),MATCH('Respuestas de formulario 1.1'!CY$1,#REF!,0)),"")</f>
        <v/>
      </c>
      <c r="CZ172" s="57" t="str">
        <f t="array" ref="CZ172">IFERROR(INDEX(#REF!,MATCH('Respuestas de formulario 1.1'!$B172,#REF!,0),MATCH('Respuestas de formulario 1.1'!CZ$1,#REF!,0)),"")</f>
        <v/>
      </c>
      <c r="DA172" s="45" t="e">
        <f t="array" ref="DA172">INDEX(#REF!,MATCH('Respuestas de formulario 1.1'!$B172,#REF!,0),MATCH('Respuestas de formulario 1.1'!DA$1,#REF!,0))</f>
        <v>#REF!</v>
      </c>
      <c r="DB172" s="45" t="e">
        <f t="array" ref="DB172">INDEX(#REF!,MATCH('Respuestas de formulario 1.1'!$B172,#REF!,0),MATCH('Respuestas de formulario 1.1'!DB$1,#REF!,0))</f>
        <v>#REF!</v>
      </c>
      <c r="DC172" s="45" t="e">
        <f t="array" ref="DC172">INDEX(#REF!,MATCH('Respuestas de formulario 1.1'!$B172,#REF!,0),MATCH('Respuestas de formulario 1.1'!DC$1,#REF!,0))</f>
        <v>#REF!</v>
      </c>
      <c r="DD172" s="45" t="e">
        <f t="array" ref="DD172">INDEX(#REF!,MATCH('Respuestas de formulario 1.1'!$B172,#REF!,0),MATCH('Respuestas de formulario 1.1'!DD$1,#REF!,0))</f>
        <v>#REF!</v>
      </c>
      <c r="DE172" s="45" t="e">
        <f t="array" ref="DE172">INDEX(#REF!,MATCH('Respuestas de formulario 1.1'!$B172,#REF!,0),MATCH('Respuestas de formulario 1.1'!DE$1,#REF!,0))</f>
        <v>#REF!</v>
      </c>
      <c r="DF172" s="45" t="e">
        <f t="array" ref="DF172">INDEX(#REF!,MATCH('Respuestas de formulario 1.1'!$B172,#REF!,0),MATCH('Respuestas de formulario 1.1'!DF$1,#REF!,0))</f>
        <v>#REF!</v>
      </c>
      <c r="DG172" s="45" t="e">
        <f t="array" ref="DG172">INDEX(#REF!,MATCH('Respuestas de formulario 1.1'!$B172,#REF!,0),MATCH('Respuestas de formulario 1.1'!DG$1,#REF!,0))</f>
        <v>#REF!</v>
      </c>
      <c r="DH172" s="45" t="e">
        <f t="array" ref="DH172">INDEX(#REF!,MATCH('Respuestas de formulario 1.1'!$B172,#REF!,0),MATCH('Respuestas de formulario 1.1'!DH$1,#REF!,0))</f>
        <v>#REF!</v>
      </c>
      <c r="DI172" s="48" t="e">
        <f>VLOOKUP(CONCATENATE($DF172," TUTO ",$DC172),#REF!,3,0)</f>
        <v>#REF!</v>
      </c>
      <c r="DJ172" s="48" t="e">
        <f t="array" ref="DJ172">IF('Respuestas de formulario 1.1'!A172="","",INDEX(#REF!,MATCH('Respuestas de formulario 1.1'!B172,#REF!,0),MATCH('Respuestas de formulario 1.1'!$DH$1,#REF!,0)))</f>
        <v>#REF!</v>
      </c>
      <c r="DK172" s="52" t="str">
        <f>CONCATENATE("http://doc.google.com/uc?id=",MID('Respuestas de formulario 1.1'!G172,34,33))</f>
        <v>http://doc.google.com/uc?id=1nxtya9Y1k3N2Xo4BCO7Ai_JYI6YENa9_</v>
      </c>
      <c r="DL172" s="49" t="str">
        <f>CONCATENATE("http://doc.google.com/uc?id=",MID('Respuestas de formulario 1.1'!AH172,34,33))</f>
        <v>http://doc.google.com/uc?id=1U8eiabOS24Ghy3LgfqWTcfJkFE3nRGhW</v>
      </c>
      <c r="DM172" s="50" t="str">
        <f>CONCATENATE("http://doc.google.com/uc?id=",MID('Respuestas de formulario 1.1'!AW172,34,33))</f>
        <v>http://doc.google.com/uc?id=1narceullIFZKObmy9AT3loNU0kvbViHx</v>
      </c>
      <c r="DN172" s="53" t="str">
        <f>CONCATENATE("http://doc.google.com/uc?id=",MID('Respuestas de formulario 1.1'!$BI172,34,33))</f>
        <v>http://doc.google.com/uc?id=1lhiyVpy26BDiZWUV6MvpSK4648lwG7Vf</v>
      </c>
      <c r="DO172" s="45" t="str">
        <f>IFERROR(VLOOKUP(CONCATENATE('Respuestas de formulario 1.1'!$B172,MID('Respuestas de formulario 1.1'!DO$1,2,1)),#REF!,12,0),"")</f>
        <v/>
      </c>
      <c r="DP172" s="45" t="str">
        <f>IFERROR(VLOOKUP(CONCATENATE('Respuestas de formulario 1.1'!$B172,MID('Respuestas de formulario 1.1'!DP$1,2,1)),#REF!,12,0),"")</f>
        <v/>
      </c>
      <c r="DQ172" s="45" t="str">
        <f>IFERROR(VLOOKUP(CONCATENATE('Respuestas de formulario 1.1'!$B172,MID('Respuestas de formulario 1.1'!DQ$1,2,1)),#REF!,12,0),"")</f>
        <v/>
      </c>
      <c r="DR172" s="45" t="str">
        <f>IFERROR(VLOOKUP(CONCATENATE('Respuestas de formulario 1.1'!$B172,MID('Respuestas de formulario 1.1'!DR$1,2,1)),#REF!,12,0),"")</f>
        <v/>
      </c>
      <c r="DS172" s="45" t="str">
        <f>IFERROR(VLOOKUP(CONCATENATE('Respuestas de formulario 1.1'!$B172,MID('Respuestas de formulario 1.1'!DS$1,2,1)),#REF!,12,0),"")</f>
        <v/>
      </c>
      <c r="DT172" s="45" t="str">
        <f>IFERROR(VLOOKUP(CONCATENATE('Respuestas de formulario 1.1'!$B172,MID('Respuestas de formulario 1.1'!DT$1,2,1)),#REF!,12,0),"")</f>
        <v/>
      </c>
      <c r="DU172" s="45" t="str">
        <f>IFERROR(VLOOKUP(CONCATENATE('Respuestas de formulario 1.1'!$B172,MID('Respuestas de formulario 1.1'!DU$1,2,1)),#REF!,12,0),"")</f>
        <v/>
      </c>
      <c r="DV172" s="45" t="str">
        <f>IFERROR(VLOOKUP(CONCATENATE('Respuestas de formulario 1.1'!$B172,MID('Respuestas de formulario 1.1'!DV$1,2,1)),#REF!,12,0),"")</f>
        <v/>
      </c>
      <c r="DW172" s="45" t="str">
        <f>IFERROR(VLOOKUP(CONCATENATE('Respuestas de formulario 1.1'!$B172,MID('Respuestas de formulario 1.1'!DW$1,2,1)),#REF!,12,0),"")</f>
        <v/>
      </c>
      <c r="DX172" s="45" t="str">
        <f>IFERROR(VLOOKUP(CONCATENATE('Respuestas de formulario 1.1'!$B172,MID('Respuestas de formulario 1.1'!DX$1,2,1)),#REF!,12,0),"")</f>
        <v/>
      </c>
      <c r="DY172" s="45" t="str">
        <f>IFERROR(VLOOKUP(CONCATENATE('Respuestas de formulario 1.1'!$B172,MID('Respuestas de formulario 1.1'!DY$1,2,1)),#REF!,12,0),"")</f>
        <v/>
      </c>
      <c r="DZ172" s="45" t="str">
        <f>IFERROR(VLOOKUP(CONCATENATE('Respuestas de formulario 1.1'!$B172,MID('Respuestas de formulario 1.1'!DZ$1,2,1)),#REF!,12,0),"")</f>
        <v/>
      </c>
      <c r="EA172" s="45" t="str">
        <f>IFERROR(VLOOKUP(CONCATENATE('Respuestas de formulario 1.1'!$B172,MID('Respuestas de formulario 1.1'!EA$1,2,1)),#REF!,12,0),"")</f>
        <v/>
      </c>
      <c r="EB172" s="45" t="str">
        <f>IFERROR(VLOOKUP(CONCATENATE('Respuestas de formulario 1.1'!$B172,MID('Respuestas de formulario 1.1'!EB$1,2,1)),#REF!,12,0),"")</f>
        <v/>
      </c>
      <c r="EC172" s="45" t="str">
        <f>IFERROR(VLOOKUP(CONCATENATE('Respuestas de formulario 1.1'!$B172,MID('Respuestas de formulario 1.1'!EC$1,2,1)),#REF!,12,0),"")</f>
        <v/>
      </c>
      <c r="ED172" s="45" t="str">
        <f>IFERROR(VLOOKUP(CONCATENATE('Respuestas de formulario 1.1'!$B172,MID('Respuestas de formulario 1.1'!ED$1,2,1)),#REF!,12,0),"")</f>
        <v/>
      </c>
      <c r="EE172" s="45" t="str">
        <f>IFERROR(VLOOKUP(CONCATENATE('Respuestas de formulario 1.1'!$B172,MID('Respuestas de formulario 1.1'!EE$1,2,1)),#REF!,12,0),"")</f>
        <v/>
      </c>
      <c r="EF172" s="45" t="str">
        <f>IFERROR(VLOOKUP(CONCATENATE('Respuestas de formulario 1.1'!$B172,MID('Respuestas de formulario 1.1'!EF$1,2,1)),#REF!,12,0),"")</f>
        <v/>
      </c>
      <c r="EG172" s="45" t="str">
        <f>IFERROR(VLOOKUP(CONCATENATE('Respuestas de formulario 1.1'!$B172,MID('Respuestas de formulario 1.1'!EG$1,2,1)),#REF!,12,0),"")</f>
        <v/>
      </c>
      <c r="EH172" s="45" t="str">
        <f>IFERROR(VLOOKUP(CONCATENATE('Respuestas de formulario 1.1'!$B172,MID('Respuestas de formulario 1.1'!EH$1,2,1)),#REF!,12,0),"")</f>
        <v/>
      </c>
      <c r="EI172" s="45" t="str">
        <f>IFERROR(VLOOKUP(CONCATENATE('Respuestas de formulario 1.1'!$B172,MID('Respuestas de formulario 1.1'!EI$1,2,1)),#REF!,12,0),"")</f>
        <v/>
      </c>
      <c r="EJ172" s="45" t="str">
        <f t="array" ref="EJ172">IF(DO172="","", INDEX(#REF!,MATCH(CONCATENATE('Respuestas de formulario 1.1'!$B172,DO172),#REF!,0),MATCH('Respuestas de formulario 1.1'!EJ$1,#REF!,0)))</f>
        <v/>
      </c>
      <c r="EK172" s="56" t="str">
        <f t="array" ref="EK172">IF(DP172="","", INDEX(#REF!,MATCH(CONCATENATE('Respuestas de formulario 1.1'!$B172,DP172),#REF!,0),MATCH('Respuestas de formulario 1.1'!EK$1,#REF!,0)))</f>
        <v/>
      </c>
      <c r="EL172" s="56" t="str">
        <f t="array" ref="EL172">IF(DQ172="","", INDEX(#REF!,MATCH(CONCATENATE('Respuestas de formulario 1.1'!$B172,DQ172),#REF!,0),MATCH('Respuestas de formulario 1.1'!EL$1,#REF!,0)))</f>
        <v/>
      </c>
      <c r="EM172" s="56" t="str">
        <f t="array" ref="EM172">IF(DR172="","", INDEX(#REF!,MATCH(CONCATENATE('Respuestas de formulario 1.1'!$B172,DR172),#REF!,0),MATCH('Respuestas de formulario 1.1'!EM$1,#REF!,0)))</f>
        <v/>
      </c>
      <c r="EN172" s="56" t="str">
        <f t="array" ref="EN172">IF(DS172="","", INDEX(#REF!,MATCH(CONCATENATE('Respuestas de formulario 1.1'!$B172,DS172),#REF!,0),MATCH('Respuestas de formulario 1.1'!EN$1,#REF!,0)))</f>
        <v/>
      </c>
      <c r="EO172" s="56" t="str">
        <f t="array" ref="EO172">IF(DT172="","", INDEX(#REF!,MATCH(CONCATENATE('Respuestas de formulario 1.1'!$B172,DT172),#REF!,0),MATCH('Respuestas de formulario 1.1'!EO$1,#REF!,0)))</f>
        <v/>
      </c>
      <c r="EP172" s="45" t="str">
        <f t="array" ref="EP172">IF(DU172="","", INDEX(#REF!,MATCH(CONCATENATE('Respuestas de formulario 1.1'!$B172,DU172),#REF!,0),MATCH('Respuestas de formulario 1.1'!EP$1,#REF!,0)))</f>
        <v/>
      </c>
      <c r="EQ172" s="45" t="str">
        <f t="array" ref="EQ172">IF(DP172="","", INDEX(#REF!,MATCH(CONCATENATE('Respuestas de formulario 1.1'!$B172,DP172),#REF!,0),MATCH('Respuestas de formulario 1.1'!EQ$1,#REF!,0)))</f>
        <v/>
      </c>
      <c r="ER172" s="56" t="str">
        <f t="array" ref="ER172">IF(DQ172="","", INDEX(#REF!,MATCH(CONCATENATE('Respuestas de formulario 1.1'!$B172,DQ172),#REF!,0),MATCH('Respuestas de formulario 1.1'!ER$1,#REF!,0)))</f>
        <v/>
      </c>
      <c r="ES172" s="56" t="str">
        <f t="array" ref="ES172">IF(DR172="","", INDEX(#REF!,MATCH(CONCATENATE('Respuestas de formulario 1.1'!$B172,DR172),#REF!,0),MATCH('Respuestas de formulario 1.1'!ES$1,#REF!,0)))</f>
        <v/>
      </c>
      <c r="ET172" s="56" t="str">
        <f t="array" ref="ET172">IF(DS172="","", INDEX(#REF!,MATCH(CONCATENATE('Respuestas de formulario 1.1'!$B172,DS172),#REF!,0),MATCH('Respuestas de formulario 1.1'!ET$1,#REF!,0)))</f>
        <v/>
      </c>
      <c r="EU172" s="56" t="str">
        <f t="array" ref="EU172">IF(DT172="","", INDEX(#REF!,MATCH(CONCATENATE('Respuestas de formulario 1.1'!$B172,DT172),#REF!,0),MATCH('Respuestas de formulario 1.1'!EU$1,#REF!,0)))</f>
        <v/>
      </c>
      <c r="EV172" s="56" t="str">
        <f t="array" ref="EV172">IF(DU172="","", INDEX(#REF!,MATCH(CONCATENATE('Respuestas de formulario 1.1'!$B172,DU172),#REF!,0),MATCH('Respuestas de formulario 1.1'!EV$1,#REF!,0)))</f>
        <v/>
      </c>
      <c r="EW172" s="45" t="str">
        <f t="array" ref="EW172">IF(DV172="","", INDEX(#REF!,MATCH(CONCATENATE('Respuestas de formulario 1.1'!$B172,DV172),#REF!,0),MATCH('Respuestas de formulario 1.1'!EW$1,#REF!,0)))</f>
        <v/>
      </c>
      <c r="EX172" s="45" t="str">
        <f t="array" ref="EX172">IF($DQ172="","", INDEX(#REF!,MATCH(CONCATENATE('Respuestas de formulario 1.1'!$B172,$DQ172),#REF!,0),MATCH('Respuestas de formulario 1.1'!EX$1,#REF!,0)))</f>
        <v/>
      </c>
      <c r="EY172" s="56" t="str">
        <f t="array" ref="EY172">IF($DQ172="","", INDEX(#REF!,MATCH(CONCATENATE('Respuestas de formulario 1.1'!$B172,$DQ172),#REF!,0),MATCH('Respuestas de formulario 1.1'!EY$1,#REF!,0)))</f>
        <v/>
      </c>
      <c r="EZ172" s="56" t="str">
        <f t="array" ref="EZ172">IF($DQ172="","", INDEX(#REF!,MATCH(CONCATENATE('Respuestas de formulario 1.1'!$B172,$DQ172),#REF!,0),MATCH('Respuestas de formulario 1.1'!EZ$1,#REF!,0)))</f>
        <v/>
      </c>
      <c r="FA172" s="56" t="str">
        <f t="array" ref="FA172">IF($DQ172="","", INDEX(#REF!,MATCH(CONCATENATE('Respuestas de formulario 1.1'!$B172,$DQ172),#REF!,0),MATCH('Respuestas de formulario 1.1'!FA$1,#REF!,0)))</f>
        <v/>
      </c>
      <c r="FB172" s="56" t="str">
        <f t="array" ref="FB172">IF($DQ172="","", INDEX(#REF!,MATCH(CONCATENATE('Respuestas de formulario 1.1'!$B172,$DQ172),#REF!,0),MATCH('Respuestas de formulario 1.1'!FB$1,#REF!,0)))</f>
        <v/>
      </c>
      <c r="FC172" s="56" t="str">
        <f t="array" ref="FC172">IF($DQ172="","", INDEX(#REF!,MATCH(CONCATENATE('Respuestas de formulario 1.1'!$B172,$DQ172),#REF!,0),MATCH('Respuestas de formulario 1.1'!FC$1,#REF!,0)))</f>
        <v/>
      </c>
      <c r="FD172" s="45" t="str">
        <f t="array" ref="FD172">IF($DQ172="","", INDEX(#REF!,MATCH(CONCATENATE('Respuestas de formulario 1.1'!$B172,$DQ172),#REF!,0),MATCH('Respuestas de formulario 1.1'!FD$1,#REF!,0)))</f>
        <v/>
      </c>
      <c r="FE172" s="45" t="str">
        <f t="array" ref="FE172">IF($DR172="","", INDEX(#REF!,MATCH(CONCATENATE(#REF!,$DR172),#REF!,0),MATCH(#REF!,#REF!,0)))</f>
        <v/>
      </c>
      <c r="FF172" s="56" t="str">
        <f t="array" ref="FF172">IF($DR172="","", INDEX(#REF!,MATCH(CONCATENATE(#REF!,$DR172),#REF!,0),MATCH(#REF!,#REF!,0)))</f>
        <v/>
      </c>
      <c r="FG172" s="56" t="str">
        <f t="array" ref="FG172">IF($DR172="","", INDEX(#REF!,MATCH(CONCATENATE(#REF!,$DR172),#REF!,0),MATCH(#REF!,#REF!,0)))</f>
        <v/>
      </c>
      <c r="FH172" s="56" t="str">
        <f t="array" ref="FH172">IF($DR172="","", INDEX(#REF!,MATCH(CONCATENATE(#REF!,$DR172),#REF!,0),MATCH(#REF!,#REF!,0)))</f>
        <v/>
      </c>
      <c r="FI172" s="56" t="str">
        <f t="array" ref="FI172">IF($DR172="","", INDEX(#REF!,MATCH(CONCATENATE(#REF!,$DR172),#REF!,0),MATCH(#REF!,#REF!,0)))</f>
        <v/>
      </c>
      <c r="FJ172" s="56" t="str">
        <f t="array" ref="FJ172">IF($DR172="","", INDEX(#REF!,MATCH(CONCATENATE(#REF!,$DR172),#REF!,0),MATCH(#REF!,#REF!,0)))</f>
        <v/>
      </c>
      <c r="FK172" s="45" t="str">
        <f t="array" ref="FK172">IF($DR172="","", INDEX(#REF!,MATCH(CONCATENATE(#REF!,$DR172),#REF!,0),MATCH(#REF!,#REF!,0)))</f>
        <v/>
      </c>
      <c r="FL172" s="45" t="str">
        <f t="array" ref="FL172">IF($DT172="","", INDEX(#REF!,MATCH(CONCATENATE('Respuestas de formulario 1.1'!$B172,$DS172),#REF!,0),MATCH('Respuestas de formulario 1.1'!FL$1,#REF!,0)))</f>
        <v/>
      </c>
      <c r="FM172" s="56" t="str">
        <f t="array" ref="FM172">IF($DT172="","", INDEX(#REF!,MATCH(CONCATENATE('Respuestas de formulario 1.1'!$B172,$DS172),#REF!,0),MATCH('Respuestas de formulario 1.1'!FM$1,#REF!,0)))</f>
        <v/>
      </c>
      <c r="FN172" s="56" t="str">
        <f t="array" ref="FN172">IF($DT172="","", INDEX(#REF!,MATCH(CONCATENATE('Respuestas de formulario 1.1'!$B172,$DS172),#REF!,0),MATCH('Respuestas de formulario 1.1'!FN$1,#REF!,0)))</f>
        <v/>
      </c>
      <c r="FO172" s="56" t="str">
        <f t="array" ref="FO172">IF($DT172="","", INDEX(#REF!,MATCH(CONCATENATE('Respuestas de formulario 1.1'!$B172,$DS172),#REF!,0),MATCH('Respuestas de formulario 1.1'!FO$1,#REF!,0)))</f>
        <v/>
      </c>
      <c r="FP172" s="56" t="str">
        <f t="array" ref="FP172">IF($DT172="","", INDEX(#REF!,MATCH(CONCATENATE('Respuestas de formulario 1.1'!$B172,$DS172),#REF!,0),MATCH('Respuestas de formulario 1.1'!FP$1,#REF!,0)))</f>
        <v/>
      </c>
      <c r="FQ172" s="56" t="str">
        <f t="array" ref="FQ172">IF($DT172="","", INDEX(#REF!,MATCH(CONCATENATE('Respuestas de formulario 1.1'!$B172,$DS172),#REF!,0),MATCH('Respuestas de formulario 1.1'!FQ$1,#REF!,0)))</f>
        <v/>
      </c>
      <c r="FR172" s="45" t="str">
        <f t="array" ref="FR172">IF($DT172="","", INDEX(#REF!,MATCH(CONCATENATE('Respuestas de formulario 1.1'!$B172,$DS172),#REF!,0),MATCH('Respuestas de formulario 1.1'!FR$1,#REF!,0)))</f>
        <v/>
      </c>
      <c r="FS172" s="45" t="str">
        <f t="array" ref="FS172">IF($DU172="","", INDEX(#REF!,MATCH(CONCATENATE('Respuestas de formulario 1.1'!$B172,$DT172),#REF!,0),MATCH('Respuestas de formulario 1.1'!FS$1,#REF!,0)))</f>
        <v/>
      </c>
      <c r="FT172" s="56" t="str">
        <f t="array" ref="FT172">IF($DU172="","", INDEX(#REF!,MATCH(CONCATENATE('Respuestas de formulario 1.1'!$B172,$DT172),#REF!,0),MATCH('Respuestas de formulario 1.1'!FT$1,#REF!,0)))</f>
        <v/>
      </c>
      <c r="FU172" s="56" t="str">
        <f t="array" ref="FU172">IF($DU172="","", INDEX(#REF!,MATCH(CONCATENATE('Respuestas de formulario 1.1'!$B172,$DT172),#REF!,0),MATCH('Respuestas de formulario 1.1'!FU$1,#REF!,0)))</f>
        <v/>
      </c>
      <c r="FV172" s="56" t="str">
        <f t="array" ref="FV172">IF($DU172="","", INDEX(#REF!,MATCH(CONCATENATE('Respuestas de formulario 1.1'!$B172,$DT172),#REF!,0),MATCH('Respuestas de formulario 1.1'!FV$1,#REF!,0)))</f>
        <v/>
      </c>
      <c r="FW172" s="56" t="str">
        <f t="array" ref="FW172">IF($DU172="","", INDEX(#REF!,MATCH(CONCATENATE('Respuestas de formulario 1.1'!$B172,$DT172),#REF!,0),MATCH('Respuestas de formulario 1.1'!FW$1,#REF!,0)))</f>
        <v/>
      </c>
      <c r="FX172" s="56" t="str">
        <f t="array" ref="FX172">IF($DU172="","", INDEX(#REF!,MATCH(CONCATENATE('Respuestas de formulario 1.1'!$B172,$DT172),#REF!,0),MATCH('Respuestas de formulario 1.1'!FX$1,#REF!,0)))</f>
        <v/>
      </c>
      <c r="FY172" s="45" t="str">
        <f t="array" ref="FY172">IF($DU172="","", INDEX(#REF!,MATCH(CONCATENATE('Respuestas de formulario 1.1'!$B172,$DT172),#REF!,0),MATCH('Respuestas de formulario 1.1'!FY$1,#REF!,0)))</f>
        <v/>
      </c>
      <c r="FZ172" s="3" t="s">
        <v>2860</v>
      </c>
      <c r="GA172" s="1" t="s">
        <v>5799</v>
      </c>
      <c r="GB172" s="5" t="s">
        <v>5800</v>
      </c>
      <c r="GC172" s="4" t="str">
        <f>HYPERLINK("https://drive.google.com/file/d/1PGSGTcWfV8v0AE_F0cbN-DMB6XeFkdIi/view?usp=drivesdk","COLIN ARRIAGA EMILIO ADRIAN  Formato de reinscripción y pago 2022-2")</f>
        <v>COLIN ARRIAGA EMILIO ADRIAN  Formato de reinscripción y pago 2022-2</v>
      </c>
      <c r="GD172" s="1" t="s">
        <v>5801</v>
      </c>
      <c r="GE172" s="1"/>
      <c r="GF172" s="1"/>
      <c r="GG172" s="1"/>
      <c r="GH172" s="1"/>
      <c r="GI172" s="1" t="s">
        <v>5802</v>
      </c>
      <c r="GJ172" s="5" t="s">
        <v>5803</v>
      </c>
      <c r="GK172" s="5" t="str">
        <f>HYPERLINK("https://drive.google.com/file/d/1DB7kuGDTBtpee6Xe_7jKNx_Kr5EH8Wj_/view?usp=drivesdk","COLIN ARRIAGA EMILIO ADRIAN  Formato de reinscripción y pago 2022-2")</f>
        <v>COLIN ARRIAGA EMILIO ADRIAN  Formato de reinscripción y pago 2022-2</v>
      </c>
      <c r="GL172" s="1" t="s">
        <v>5804</v>
      </c>
    </row>
    <row r="173" spans="1:194" ht="38.25" x14ac:dyDescent="0.2">
      <c r="A173" s="2">
        <v>45139.480161701387</v>
      </c>
      <c r="B173" s="1" t="s">
        <v>44</v>
      </c>
      <c r="C173" s="1" t="s">
        <v>1795</v>
      </c>
      <c r="D173" s="1" t="s">
        <v>1796</v>
      </c>
      <c r="E173" s="1" t="s">
        <v>1797</v>
      </c>
      <c r="F173" s="1" t="s">
        <v>262</v>
      </c>
      <c r="G173" s="5" t="s">
        <v>5805</v>
      </c>
      <c r="H173" s="41">
        <v>39249</v>
      </c>
      <c r="I173" s="1">
        <v>16</v>
      </c>
      <c r="J173" s="1">
        <v>5614458060</v>
      </c>
      <c r="K173" s="1">
        <v>5572639805</v>
      </c>
      <c r="L173" s="1" t="s">
        <v>1798</v>
      </c>
      <c r="M173" s="1">
        <v>22309060570081</v>
      </c>
      <c r="N173" s="1" t="s">
        <v>562</v>
      </c>
      <c r="O173" s="1" t="s">
        <v>247</v>
      </c>
      <c r="P173" s="1" t="s">
        <v>278</v>
      </c>
      <c r="Q173" s="1" t="s">
        <v>263</v>
      </c>
      <c r="R173" s="1" t="s">
        <v>236</v>
      </c>
      <c r="S173" s="1" t="s">
        <v>228</v>
      </c>
      <c r="T173" s="1" t="s">
        <v>411</v>
      </c>
      <c r="U173" s="1" t="s">
        <v>434</v>
      </c>
      <c r="V173" s="1" t="s">
        <v>228</v>
      </c>
      <c r="W173" s="1" t="s">
        <v>5806</v>
      </c>
      <c r="X173" s="1" t="s">
        <v>434</v>
      </c>
      <c r="Y173" s="1" t="s">
        <v>5807</v>
      </c>
      <c r="Z173" s="1" t="s">
        <v>231</v>
      </c>
      <c r="AA173" s="1">
        <v>56616</v>
      </c>
      <c r="AB173" s="1" t="s">
        <v>2555</v>
      </c>
      <c r="AC173" s="1" t="s">
        <v>5808</v>
      </c>
      <c r="AD173" s="1" t="s">
        <v>5809</v>
      </c>
      <c r="AE173" s="1" t="s">
        <v>5810</v>
      </c>
      <c r="AF173" s="1" t="s">
        <v>265</v>
      </c>
      <c r="AG173" s="1">
        <v>34</v>
      </c>
      <c r="AH173" s="5" t="s">
        <v>5811</v>
      </c>
      <c r="AI173" s="1">
        <v>5535910173</v>
      </c>
      <c r="AJ173" s="1">
        <v>5572639805</v>
      </c>
      <c r="AK173" s="1" t="s">
        <v>1800</v>
      </c>
      <c r="AL173" s="1" t="s">
        <v>774</v>
      </c>
      <c r="AM173" s="1" t="s">
        <v>788</v>
      </c>
      <c r="AN173" s="1" t="s">
        <v>1842</v>
      </c>
      <c r="AO173" s="1" t="s">
        <v>435</v>
      </c>
      <c r="AP173" s="1">
        <v>37</v>
      </c>
      <c r="AQ173" s="1" t="s">
        <v>512</v>
      </c>
      <c r="AR173" s="42">
        <v>0.16666666666424135</v>
      </c>
      <c r="AS173" s="42">
        <v>0.91666666666424135</v>
      </c>
      <c r="AT173" s="1">
        <v>5573449369</v>
      </c>
      <c r="AU173" s="1">
        <v>5572639805</v>
      </c>
      <c r="AV173" s="1" t="s">
        <v>1799</v>
      </c>
      <c r="AW173" s="5" t="s">
        <v>5812</v>
      </c>
      <c r="AX173" s="1" t="s">
        <v>737</v>
      </c>
      <c r="AY173" s="1" t="s">
        <v>464</v>
      </c>
      <c r="AZ173" s="1" t="s">
        <v>5813</v>
      </c>
      <c r="BA173" s="1" t="s">
        <v>2384</v>
      </c>
      <c r="BB173" s="1">
        <v>64</v>
      </c>
      <c r="BC173" s="1" t="s">
        <v>328</v>
      </c>
      <c r="BD173" s="43">
        <v>0.33333333333575865</v>
      </c>
      <c r="BE173" s="43">
        <v>0.58333333333575865</v>
      </c>
      <c r="BF173" s="1">
        <v>5550428704</v>
      </c>
      <c r="BG173" s="1">
        <v>5591016044</v>
      </c>
      <c r="BH173" s="1"/>
      <c r="BI173" s="5" t="s">
        <v>5814</v>
      </c>
      <c r="BJ173" s="1" t="s">
        <v>236</v>
      </c>
      <c r="BK173" s="1" t="s">
        <v>5815</v>
      </c>
      <c r="BL173" s="1">
        <v>1.74</v>
      </c>
      <c r="BM173" s="1">
        <v>81.400000000000006</v>
      </c>
      <c r="BN173" s="1" t="s">
        <v>236</v>
      </c>
      <c r="BO173" s="1" t="s">
        <v>228</v>
      </c>
      <c r="BQ173" s="1" t="s">
        <v>228</v>
      </c>
      <c r="BR173" s="1" t="s">
        <v>237</v>
      </c>
      <c r="BS173" s="1" t="s">
        <v>228</v>
      </c>
      <c r="BT173" s="1" t="s">
        <v>237</v>
      </c>
      <c r="BU173" s="1" t="s">
        <v>228</v>
      </c>
      <c r="BW173" s="1" t="s">
        <v>238</v>
      </c>
      <c r="BX173" s="1">
        <v>1.3</v>
      </c>
      <c r="BY173" s="1">
        <v>250</v>
      </c>
      <c r="BZ173" s="1" t="s">
        <v>5816</v>
      </c>
      <c r="CA173" s="1" t="s">
        <v>5817</v>
      </c>
      <c r="CB173" s="1" t="s">
        <v>240</v>
      </c>
      <c r="CC173" s="1" t="s">
        <v>274</v>
      </c>
      <c r="CD173" s="1">
        <v>1500</v>
      </c>
      <c r="CE173" s="1">
        <v>2200</v>
      </c>
      <c r="CF173" s="1" t="s">
        <v>236</v>
      </c>
      <c r="CG173" s="1" t="s">
        <v>242</v>
      </c>
      <c r="CH173" s="1" t="s">
        <v>243</v>
      </c>
      <c r="CI173" s="1" t="s">
        <v>243</v>
      </c>
      <c r="CJ173" s="1" t="s">
        <v>2848</v>
      </c>
      <c r="CL173" s="5" t="s">
        <v>5818</v>
      </c>
      <c r="CM173" s="44" t="s">
        <v>1801</v>
      </c>
      <c r="CN173" s="1" t="s">
        <v>228</v>
      </c>
      <c r="CQ173" s="42">
        <v>0.33333333333575865</v>
      </c>
      <c r="CR173" s="42">
        <v>0.5</v>
      </c>
      <c r="CT173" s="45" t="str">
        <f t="array" ref="CT173">IFERROR(INDEX(#REF!,MATCH('Respuestas de formulario 1.1'!$B173,#REF!,0),MATCH('Respuestas de formulario 1.1'!CT$1,#REF!,0)),"")</f>
        <v/>
      </c>
      <c r="CU173" s="56" t="str">
        <f t="array" ref="CU173">IFERROR(INDEX(#REF!,MATCH('Respuestas de formulario 1.1'!$B173,#REF!,0),MATCH('Respuestas de formulario 1.1'!CU$1,#REF!,0)),"")</f>
        <v/>
      </c>
      <c r="CV173" s="56" t="str">
        <f t="array" ref="CV173">IFERROR(INDEX(#REF!,MATCH('Respuestas de formulario 1.1'!$B173,#REF!,0),MATCH('Respuestas de formulario 1.1'!CV$1,#REF!,0)),"")</f>
        <v/>
      </c>
      <c r="CW173" s="56" t="str">
        <f t="array" ref="CW173">IFERROR(INDEX(#REF!,MATCH('Respuestas de formulario 1.1'!$B173,#REF!,0),MATCH('Respuestas de formulario 1.1'!CW$1,#REF!,0)),"")</f>
        <v/>
      </c>
      <c r="CX173" s="56" t="str">
        <f t="array" ref="CX173">IFERROR(INDEX(#REF!,MATCH('Respuestas de formulario 1.1'!$B173,#REF!,0),MATCH('Respuestas de formulario 1.1'!CX$1,#REF!,0)),"")</f>
        <v/>
      </c>
      <c r="CY173" s="56" t="str">
        <f t="array" ref="CY173">IFERROR(INDEX(#REF!,MATCH('Respuestas de formulario 1.1'!$B173,#REF!,0),MATCH('Respuestas de formulario 1.1'!CY$1,#REF!,0)),"")</f>
        <v/>
      </c>
      <c r="CZ173" s="57" t="str">
        <f t="array" ref="CZ173">IFERROR(INDEX(#REF!,MATCH('Respuestas de formulario 1.1'!$B173,#REF!,0),MATCH('Respuestas de formulario 1.1'!CZ$1,#REF!,0)),"")</f>
        <v/>
      </c>
      <c r="DA173" s="45" t="e">
        <f t="array" ref="DA173">INDEX(#REF!,MATCH('Respuestas de formulario 1.1'!$B173,#REF!,0),MATCH('Respuestas de formulario 1.1'!DA$1,#REF!,0))</f>
        <v>#REF!</v>
      </c>
      <c r="DB173" s="45" t="e">
        <f t="array" ref="DB173">INDEX(#REF!,MATCH('Respuestas de formulario 1.1'!$B173,#REF!,0),MATCH('Respuestas de formulario 1.1'!DB$1,#REF!,0))</f>
        <v>#REF!</v>
      </c>
      <c r="DC173" s="45" t="e">
        <f t="array" ref="DC173">INDEX(#REF!,MATCH('Respuestas de formulario 1.1'!$B173,#REF!,0),MATCH('Respuestas de formulario 1.1'!DC$1,#REF!,0))</f>
        <v>#REF!</v>
      </c>
      <c r="DD173" s="45" t="e">
        <f t="array" ref="DD173">INDEX(#REF!,MATCH('Respuestas de formulario 1.1'!$B173,#REF!,0),MATCH('Respuestas de formulario 1.1'!DD$1,#REF!,0))</f>
        <v>#REF!</v>
      </c>
      <c r="DE173" s="45" t="e">
        <f t="array" ref="DE173">INDEX(#REF!,MATCH('Respuestas de formulario 1.1'!$B173,#REF!,0),MATCH('Respuestas de formulario 1.1'!DE$1,#REF!,0))</f>
        <v>#REF!</v>
      </c>
      <c r="DF173" s="45" t="e">
        <f t="array" ref="DF173">INDEX(#REF!,MATCH('Respuestas de formulario 1.1'!$B173,#REF!,0),MATCH('Respuestas de formulario 1.1'!DF$1,#REF!,0))</f>
        <v>#REF!</v>
      </c>
      <c r="DG173" s="45" t="e">
        <f t="array" ref="DG173">INDEX(#REF!,MATCH('Respuestas de formulario 1.1'!$B173,#REF!,0),MATCH('Respuestas de formulario 1.1'!DG$1,#REF!,0))</f>
        <v>#REF!</v>
      </c>
      <c r="DH173" s="45" t="e">
        <f t="array" ref="DH173">INDEX(#REF!,MATCH('Respuestas de formulario 1.1'!$B173,#REF!,0),MATCH('Respuestas de formulario 1.1'!DH$1,#REF!,0))</f>
        <v>#REF!</v>
      </c>
      <c r="DI173" s="48" t="e">
        <f>VLOOKUP(CONCATENATE($DF173," TUTO ",$DC173),#REF!,3,0)</f>
        <v>#REF!</v>
      </c>
      <c r="DJ173" s="48" t="e">
        <f t="array" ref="DJ173">IF('Respuestas de formulario 1.1'!A173="","",INDEX(#REF!,MATCH('Respuestas de formulario 1.1'!B173,#REF!,0),MATCH('Respuestas de formulario 1.1'!$DH$1,#REF!,0)))</f>
        <v>#REF!</v>
      </c>
      <c r="DK173" s="52" t="str">
        <f>CONCATENATE("http://doc.google.com/uc?id=",MID('Respuestas de formulario 1.1'!G173,34,33))</f>
        <v>http://doc.google.com/uc?id=1CH53gL2LhajQxh_N6kLzYkfKK3n9tNto</v>
      </c>
      <c r="DL173" s="49" t="str">
        <f>CONCATENATE("http://doc.google.com/uc?id=",MID('Respuestas de formulario 1.1'!AH173,34,33))</f>
        <v>http://doc.google.com/uc?id=1q80f3QXyuo-F73ZSyInox8kdPUmtLLFT</v>
      </c>
      <c r="DM173" s="50" t="str">
        <f>CONCATENATE("http://doc.google.com/uc?id=",MID('Respuestas de formulario 1.1'!AW173,34,33))</f>
        <v>http://doc.google.com/uc?id=1O5IBbAfAyfkGdPjWPaVjVqlniHPPH8Dq</v>
      </c>
      <c r="DN173" s="53" t="str">
        <f>CONCATENATE("http://doc.google.com/uc?id=",MID('Respuestas de formulario 1.1'!$BI173,34,33))</f>
        <v>http://doc.google.com/uc?id=1ZjMrsXbB7NfIZ8aaCS7EJ-ZIW01lzUvt</v>
      </c>
      <c r="DO173" s="45" t="str">
        <f>IFERROR(VLOOKUP(CONCATENATE('Respuestas de formulario 1.1'!$B173,MID('Respuestas de formulario 1.1'!DO$1,2,1)),#REF!,12,0),"")</f>
        <v/>
      </c>
      <c r="DP173" s="45" t="str">
        <f>IFERROR(VLOOKUP(CONCATENATE('Respuestas de formulario 1.1'!$B173,MID('Respuestas de formulario 1.1'!DP$1,2,1)),#REF!,12,0),"")</f>
        <v/>
      </c>
      <c r="DQ173" s="45" t="str">
        <f>IFERROR(VLOOKUP(CONCATENATE('Respuestas de formulario 1.1'!$B173,MID('Respuestas de formulario 1.1'!DQ$1,2,1)),#REF!,12,0),"")</f>
        <v/>
      </c>
      <c r="DR173" s="45" t="str">
        <f>IFERROR(VLOOKUP(CONCATENATE('Respuestas de formulario 1.1'!$B173,MID('Respuestas de formulario 1.1'!DR$1,2,1)),#REF!,12,0),"")</f>
        <v/>
      </c>
      <c r="DS173" s="45" t="str">
        <f>IFERROR(VLOOKUP(CONCATENATE('Respuestas de formulario 1.1'!$B173,MID('Respuestas de formulario 1.1'!DS$1,2,1)),#REF!,12,0),"")</f>
        <v/>
      </c>
      <c r="DT173" s="45" t="str">
        <f>IFERROR(VLOOKUP(CONCATENATE('Respuestas de formulario 1.1'!$B173,MID('Respuestas de formulario 1.1'!DT$1,2,1)),#REF!,12,0),"")</f>
        <v/>
      </c>
      <c r="DU173" s="45" t="str">
        <f>IFERROR(VLOOKUP(CONCATENATE('Respuestas de formulario 1.1'!$B173,MID('Respuestas de formulario 1.1'!DU$1,2,1)),#REF!,12,0),"")</f>
        <v/>
      </c>
      <c r="DV173" s="45" t="str">
        <f>IFERROR(VLOOKUP(CONCATENATE('Respuestas de formulario 1.1'!$B173,MID('Respuestas de formulario 1.1'!DV$1,2,1)),#REF!,12,0),"")</f>
        <v/>
      </c>
      <c r="DW173" s="45" t="str">
        <f>IFERROR(VLOOKUP(CONCATENATE('Respuestas de formulario 1.1'!$B173,MID('Respuestas de formulario 1.1'!DW$1,2,1)),#REF!,12,0),"")</f>
        <v/>
      </c>
      <c r="DX173" s="45" t="str">
        <f>IFERROR(VLOOKUP(CONCATENATE('Respuestas de formulario 1.1'!$B173,MID('Respuestas de formulario 1.1'!DX$1,2,1)),#REF!,12,0),"")</f>
        <v/>
      </c>
      <c r="DY173" s="45" t="str">
        <f>IFERROR(VLOOKUP(CONCATENATE('Respuestas de formulario 1.1'!$B173,MID('Respuestas de formulario 1.1'!DY$1,2,1)),#REF!,12,0),"")</f>
        <v/>
      </c>
      <c r="DZ173" s="45" t="str">
        <f>IFERROR(VLOOKUP(CONCATENATE('Respuestas de formulario 1.1'!$B173,MID('Respuestas de formulario 1.1'!DZ$1,2,1)),#REF!,12,0),"")</f>
        <v/>
      </c>
      <c r="EA173" s="45" t="str">
        <f>IFERROR(VLOOKUP(CONCATENATE('Respuestas de formulario 1.1'!$B173,MID('Respuestas de formulario 1.1'!EA$1,2,1)),#REF!,12,0),"")</f>
        <v/>
      </c>
      <c r="EB173" s="45" t="str">
        <f>IFERROR(VLOOKUP(CONCATENATE('Respuestas de formulario 1.1'!$B173,MID('Respuestas de formulario 1.1'!EB$1,2,1)),#REF!,12,0),"")</f>
        <v/>
      </c>
      <c r="EC173" s="45" t="str">
        <f>IFERROR(VLOOKUP(CONCATENATE('Respuestas de formulario 1.1'!$B173,MID('Respuestas de formulario 1.1'!EC$1,2,1)),#REF!,12,0),"")</f>
        <v/>
      </c>
      <c r="ED173" s="45" t="str">
        <f>IFERROR(VLOOKUP(CONCATENATE('Respuestas de formulario 1.1'!$B173,MID('Respuestas de formulario 1.1'!ED$1,2,1)),#REF!,12,0),"")</f>
        <v/>
      </c>
      <c r="EE173" s="45" t="str">
        <f>IFERROR(VLOOKUP(CONCATENATE('Respuestas de formulario 1.1'!$B173,MID('Respuestas de formulario 1.1'!EE$1,2,1)),#REF!,12,0),"")</f>
        <v/>
      </c>
      <c r="EF173" s="45" t="str">
        <f>IFERROR(VLOOKUP(CONCATENATE('Respuestas de formulario 1.1'!$B173,MID('Respuestas de formulario 1.1'!EF$1,2,1)),#REF!,12,0),"")</f>
        <v/>
      </c>
      <c r="EG173" s="45" t="str">
        <f>IFERROR(VLOOKUP(CONCATENATE('Respuestas de formulario 1.1'!$B173,MID('Respuestas de formulario 1.1'!EG$1,2,1)),#REF!,12,0),"")</f>
        <v/>
      </c>
      <c r="EH173" s="45" t="str">
        <f>IFERROR(VLOOKUP(CONCATENATE('Respuestas de formulario 1.1'!$B173,MID('Respuestas de formulario 1.1'!EH$1,2,1)),#REF!,12,0),"")</f>
        <v/>
      </c>
      <c r="EI173" s="45" t="str">
        <f>IFERROR(VLOOKUP(CONCATENATE('Respuestas de formulario 1.1'!$B173,MID('Respuestas de formulario 1.1'!EI$1,2,1)),#REF!,12,0),"")</f>
        <v/>
      </c>
      <c r="EJ173" s="45" t="str">
        <f t="array" ref="EJ173">IF(DO173="","", INDEX(#REF!,MATCH(CONCATENATE('Respuestas de formulario 1.1'!$B173,DO173),#REF!,0),MATCH('Respuestas de formulario 1.1'!EJ$1,#REF!,0)))</f>
        <v/>
      </c>
      <c r="EK173" s="56" t="str">
        <f t="array" ref="EK173">IF(DP173="","", INDEX(#REF!,MATCH(CONCATENATE('Respuestas de formulario 1.1'!$B173,DP173),#REF!,0),MATCH('Respuestas de formulario 1.1'!EK$1,#REF!,0)))</f>
        <v/>
      </c>
      <c r="EL173" s="56" t="str">
        <f t="array" ref="EL173">IF(DQ173="","", INDEX(#REF!,MATCH(CONCATENATE('Respuestas de formulario 1.1'!$B173,DQ173),#REF!,0),MATCH('Respuestas de formulario 1.1'!EL$1,#REF!,0)))</f>
        <v/>
      </c>
      <c r="EM173" s="56" t="str">
        <f t="array" ref="EM173">IF(DR173="","", INDEX(#REF!,MATCH(CONCATENATE('Respuestas de formulario 1.1'!$B173,DR173),#REF!,0),MATCH('Respuestas de formulario 1.1'!EM$1,#REF!,0)))</f>
        <v/>
      </c>
      <c r="EN173" s="56" t="str">
        <f t="array" ref="EN173">IF(DS173="","", INDEX(#REF!,MATCH(CONCATENATE('Respuestas de formulario 1.1'!$B173,DS173),#REF!,0),MATCH('Respuestas de formulario 1.1'!EN$1,#REF!,0)))</f>
        <v/>
      </c>
      <c r="EO173" s="56" t="str">
        <f t="array" ref="EO173">IF(DT173="","", INDEX(#REF!,MATCH(CONCATENATE('Respuestas de formulario 1.1'!$B173,DT173),#REF!,0),MATCH('Respuestas de formulario 1.1'!EO$1,#REF!,0)))</f>
        <v/>
      </c>
      <c r="EP173" s="45" t="str">
        <f t="array" ref="EP173">IF(DU173="","", INDEX(#REF!,MATCH(CONCATENATE('Respuestas de formulario 1.1'!$B173,DU173),#REF!,0),MATCH('Respuestas de formulario 1.1'!EP$1,#REF!,0)))</f>
        <v/>
      </c>
      <c r="EQ173" s="45" t="str">
        <f t="array" ref="EQ173">IF(DP173="","", INDEX(#REF!,MATCH(CONCATENATE('Respuestas de formulario 1.1'!$B173,DP173),#REF!,0),MATCH('Respuestas de formulario 1.1'!EQ$1,#REF!,0)))</f>
        <v/>
      </c>
      <c r="ER173" s="56" t="str">
        <f t="array" ref="ER173">IF(DQ173="","", INDEX(#REF!,MATCH(CONCATENATE('Respuestas de formulario 1.1'!$B173,DQ173),#REF!,0),MATCH('Respuestas de formulario 1.1'!ER$1,#REF!,0)))</f>
        <v/>
      </c>
      <c r="ES173" s="56" t="str">
        <f t="array" ref="ES173">IF(DR173="","", INDEX(#REF!,MATCH(CONCATENATE('Respuestas de formulario 1.1'!$B173,DR173),#REF!,0),MATCH('Respuestas de formulario 1.1'!ES$1,#REF!,0)))</f>
        <v/>
      </c>
      <c r="ET173" s="56" t="str">
        <f t="array" ref="ET173">IF(DS173="","", INDEX(#REF!,MATCH(CONCATENATE('Respuestas de formulario 1.1'!$B173,DS173),#REF!,0),MATCH('Respuestas de formulario 1.1'!ET$1,#REF!,0)))</f>
        <v/>
      </c>
      <c r="EU173" s="56" t="str">
        <f t="array" ref="EU173">IF(DT173="","", INDEX(#REF!,MATCH(CONCATENATE('Respuestas de formulario 1.1'!$B173,DT173),#REF!,0),MATCH('Respuestas de formulario 1.1'!EU$1,#REF!,0)))</f>
        <v/>
      </c>
      <c r="EV173" s="56" t="str">
        <f t="array" ref="EV173">IF(DU173="","", INDEX(#REF!,MATCH(CONCATENATE('Respuestas de formulario 1.1'!$B173,DU173),#REF!,0),MATCH('Respuestas de formulario 1.1'!EV$1,#REF!,0)))</f>
        <v/>
      </c>
      <c r="EW173" s="45" t="str">
        <f t="array" ref="EW173">IF(DV173="","", INDEX(#REF!,MATCH(CONCATENATE('Respuestas de formulario 1.1'!$B173,DV173),#REF!,0),MATCH('Respuestas de formulario 1.1'!EW$1,#REF!,0)))</f>
        <v/>
      </c>
      <c r="EX173" s="45" t="str">
        <f t="array" ref="EX173">IF($DQ173="","", INDEX(#REF!,MATCH(CONCATENATE('Respuestas de formulario 1.1'!$B173,$DQ173),#REF!,0),MATCH('Respuestas de formulario 1.1'!EX$1,#REF!,0)))</f>
        <v/>
      </c>
      <c r="EY173" s="56" t="str">
        <f t="array" ref="EY173">IF($DQ173="","", INDEX(#REF!,MATCH(CONCATENATE('Respuestas de formulario 1.1'!$B173,$DQ173),#REF!,0),MATCH('Respuestas de formulario 1.1'!EY$1,#REF!,0)))</f>
        <v/>
      </c>
      <c r="EZ173" s="56" t="str">
        <f t="array" ref="EZ173">IF($DQ173="","", INDEX(#REF!,MATCH(CONCATENATE('Respuestas de formulario 1.1'!$B173,$DQ173),#REF!,0),MATCH('Respuestas de formulario 1.1'!EZ$1,#REF!,0)))</f>
        <v/>
      </c>
      <c r="FA173" s="56" t="str">
        <f t="array" ref="FA173">IF($DQ173="","", INDEX(#REF!,MATCH(CONCATENATE('Respuestas de formulario 1.1'!$B173,$DQ173),#REF!,0),MATCH('Respuestas de formulario 1.1'!FA$1,#REF!,0)))</f>
        <v/>
      </c>
      <c r="FB173" s="56" t="str">
        <f t="array" ref="FB173">IF($DQ173="","", INDEX(#REF!,MATCH(CONCATENATE('Respuestas de formulario 1.1'!$B173,$DQ173),#REF!,0),MATCH('Respuestas de formulario 1.1'!FB$1,#REF!,0)))</f>
        <v/>
      </c>
      <c r="FC173" s="56" t="str">
        <f t="array" ref="FC173">IF($DQ173="","", INDEX(#REF!,MATCH(CONCATENATE('Respuestas de formulario 1.1'!$B173,$DQ173),#REF!,0),MATCH('Respuestas de formulario 1.1'!FC$1,#REF!,0)))</f>
        <v/>
      </c>
      <c r="FD173" s="45" t="str">
        <f t="array" ref="FD173">IF($DQ173="","", INDEX(#REF!,MATCH(CONCATENATE('Respuestas de formulario 1.1'!$B173,$DQ173),#REF!,0),MATCH('Respuestas de formulario 1.1'!FD$1,#REF!,0)))</f>
        <v/>
      </c>
      <c r="FE173" s="45" t="str">
        <f t="array" ref="FE173">IF($DR173="","", INDEX(#REF!,MATCH(CONCATENATE(#REF!,$DR173),#REF!,0),MATCH(#REF!,#REF!,0)))</f>
        <v/>
      </c>
      <c r="FF173" s="56" t="str">
        <f t="array" ref="FF173">IF($DR173="","", INDEX(#REF!,MATCH(CONCATENATE(#REF!,$DR173),#REF!,0),MATCH(#REF!,#REF!,0)))</f>
        <v/>
      </c>
      <c r="FG173" s="56" t="str">
        <f t="array" ref="FG173">IF($DR173="","", INDEX(#REF!,MATCH(CONCATENATE(#REF!,$DR173),#REF!,0),MATCH(#REF!,#REF!,0)))</f>
        <v/>
      </c>
      <c r="FH173" s="56" t="str">
        <f t="array" ref="FH173">IF($DR173="","", INDEX(#REF!,MATCH(CONCATENATE(#REF!,$DR173),#REF!,0),MATCH(#REF!,#REF!,0)))</f>
        <v/>
      </c>
      <c r="FI173" s="56" t="str">
        <f t="array" ref="FI173">IF($DR173="","", INDEX(#REF!,MATCH(CONCATENATE(#REF!,$DR173),#REF!,0),MATCH(#REF!,#REF!,0)))</f>
        <v/>
      </c>
      <c r="FJ173" s="56" t="str">
        <f t="array" ref="FJ173">IF($DR173="","", INDEX(#REF!,MATCH(CONCATENATE(#REF!,$DR173),#REF!,0),MATCH(#REF!,#REF!,0)))</f>
        <v/>
      </c>
      <c r="FK173" s="45" t="str">
        <f t="array" ref="FK173">IF($DR173="","", INDEX(#REF!,MATCH(CONCATENATE(#REF!,$DR173),#REF!,0),MATCH(#REF!,#REF!,0)))</f>
        <v/>
      </c>
      <c r="FL173" s="45" t="str">
        <f t="array" ref="FL173">IF($DT173="","", INDEX(#REF!,MATCH(CONCATENATE('Respuestas de formulario 1.1'!$B173,$DS173),#REF!,0),MATCH('Respuestas de formulario 1.1'!FL$1,#REF!,0)))</f>
        <v/>
      </c>
      <c r="FM173" s="56" t="str">
        <f t="array" ref="FM173">IF($DT173="","", INDEX(#REF!,MATCH(CONCATENATE('Respuestas de formulario 1.1'!$B173,$DS173),#REF!,0),MATCH('Respuestas de formulario 1.1'!FM$1,#REF!,0)))</f>
        <v/>
      </c>
      <c r="FN173" s="56" t="str">
        <f t="array" ref="FN173">IF($DT173="","", INDEX(#REF!,MATCH(CONCATENATE('Respuestas de formulario 1.1'!$B173,$DS173),#REF!,0),MATCH('Respuestas de formulario 1.1'!FN$1,#REF!,0)))</f>
        <v/>
      </c>
      <c r="FO173" s="56" t="str">
        <f t="array" ref="FO173">IF($DT173="","", INDEX(#REF!,MATCH(CONCATENATE('Respuestas de formulario 1.1'!$B173,$DS173),#REF!,0),MATCH('Respuestas de formulario 1.1'!FO$1,#REF!,0)))</f>
        <v/>
      </c>
      <c r="FP173" s="56" t="str">
        <f t="array" ref="FP173">IF($DT173="","", INDEX(#REF!,MATCH(CONCATENATE('Respuestas de formulario 1.1'!$B173,$DS173),#REF!,0),MATCH('Respuestas de formulario 1.1'!FP$1,#REF!,0)))</f>
        <v/>
      </c>
      <c r="FQ173" s="56" t="str">
        <f t="array" ref="FQ173">IF($DT173="","", INDEX(#REF!,MATCH(CONCATENATE('Respuestas de formulario 1.1'!$B173,$DS173),#REF!,0),MATCH('Respuestas de formulario 1.1'!FQ$1,#REF!,0)))</f>
        <v/>
      </c>
      <c r="FR173" s="45" t="str">
        <f t="array" ref="FR173">IF($DT173="","", INDEX(#REF!,MATCH(CONCATENATE('Respuestas de formulario 1.1'!$B173,$DS173),#REF!,0),MATCH('Respuestas de formulario 1.1'!FR$1,#REF!,0)))</f>
        <v/>
      </c>
      <c r="FS173" s="45" t="str">
        <f t="array" ref="FS173">IF($DU173="","", INDEX(#REF!,MATCH(CONCATENATE('Respuestas de formulario 1.1'!$B173,$DT173),#REF!,0),MATCH('Respuestas de formulario 1.1'!FS$1,#REF!,0)))</f>
        <v/>
      </c>
      <c r="FT173" s="56" t="str">
        <f t="array" ref="FT173">IF($DU173="","", INDEX(#REF!,MATCH(CONCATENATE('Respuestas de formulario 1.1'!$B173,$DT173),#REF!,0),MATCH('Respuestas de formulario 1.1'!FT$1,#REF!,0)))</f>
        <v/>
      </c>
      <c r="FU173" s="56" t="str">
        <f t="array" ref="FU173">IF($DU173="","", INDEX(#REF!,MATCH(CONCATENATE('Respuestas de formulario 1.1'!$B173,$DT173),#REF!,0),MATCH('Respuestas de formulario 1.1'!FU$1,#REF!,0)))</f>
        <v/>
      </c>
      <c r="FV173" s="56" t="str">
        <f t="array" ref="FV173">IF($DU173="","", INDEX(#REF!,MATCH(CONCATENATE('Respuestas de formulario 1.1'!$B173,$DT173),#REF!,0),MATCH('Respuestas de formulario 1.1'!FV$1,#REF!,0)))</f>
        <v/>
      </c>
      <c r="FW173" s="56" t="str">
        <f t="array" ref="FW173">IF($DU173="","", INDEX(#REF!,MATCH(CONCATENATE('Respuestas de formulario 1.1'!$B173,$DT173),#REF!,0),MATCH('Respuestas de formulario 1.1'!FW$1,#REF!,0)))</f>
        <v/>
      </c>
      <c r="FX173" s="56" t="str">
        <f t="array" ref="FX173">IF($DU173="","", INDEX(#REF!,MATCH(CONCATENATE('Respuestas de formulario 1.1'!$B173,$DT173),#REF!,0),MATCH('Respuestas de formulario 1.1'!FX$1,#REF!,0)))</f>
        <v/>
      </c>
      <c r="FY173" s="45" t="str">
        <f t="array" ref="FY173">IF($DU173="","", INDEX(#REF!,MATCH(CONCATENATE('Respuestas de formulario 1.1'!$B173,$DT173),#REF!,0),MATCH('Respuestas de formulario 1.1'!FY$1,#REF!,0)))</f>
        <v/>
      </c>
      <c r="FZ173" s="3" t="s">
        <v>2860</v>
      </c>
      <c r="GA173" s="1" t="s">
        <v>5819</v>
      </c>
      <c r="GB173" s="5" t="s">
        <v>5820</v>
      </c>
      <c r="GC173" s="4" t="str">
        <f>HYPERLINK("https://drive.google.com/file/d/10aNciO72RZDqa4b05DOaiPiQdfP2uMyg/view?usp=drivesdk","CABALLERO CRESPO ISAAC EMMANUEL Formato de reinscripción y pago 2022-2")</f>
        <v>CABALLERO CRESPO ISAAC EMMANUEL Formato de reinscripción y pago 2022-2</v>
      </c>
      <c r="GD173" s="1" t="s">
        <v>5821</v>
      </c>
      <c r="GE173" s="1"/>
      <c r="GF173" s="1"/>
      <c r="GG173" s="1"/>
      <c r="GH173" s="1"/>
      <c r="GI173" s="1" t="s">
        <v>5822</v>
      </c>
      <c r="GJ173" s="5" t="s">
        <v>5823</v>
      </c>
      <c r="GK173" s="5" t="str">
        <f>HYPERLINK("https://drive.google.com/file/d/1uEOu5MWwnXzLes4B2i3wAVgpf1lyJMnF/view?usp=drivesdk","CABALLERO CRESPO ISAAC EMMANUEL Formato de reinscripción y pago 2022-2")</f>
        <v>CABALLERO CRESPO ISAAC EMMANUEL Formato de reinscripción y pago 2022-2</v>
      </c>
      <c r="GL173" s="1" t="s">
        <v>5824</v>
      </c>
    </row>
    <row r="174" spans="1:194" ht="38.25" x14ac:dyDescent="0.2">
      <c r="A174" s="2">
        <v>45139.481798148146</v>
      </c>
      <c r="B174" s="1" t="s">
        <v>15</v>
      </c>
      <c r="C174" s="1" t="s">
        <v>585</v>
      </c>
      <c r="D174" s="1" t="s">
        <v>382</v>
      </c>
      <c r="E174" s="1" t="s">
        <v>1422</v>
      </c>
      <c r="F174" s="1" t="s">
        <v>223</v>
      </c>
      <c r="G174" s="5" t="s">
        <v>5825</v>
      </c>
      <c r="H174" s="41">
        <v>39278</v>
      </c>
      <c r="I174" s="1">
        <v>16</v>
      </c>
      <c r="J174" s="1">
        <v>5519799760</v>
      </c>
      <c r="K174" s="1">
        <v>5558416003</v>
      </c>
      <c r="L174" s="1" t="s">
        <v>1423</v>
      </c>
      <c r="M174" s="1">
        <v>22309060570761</v>
      </c>
      <c r="N174" s="1" t="s">
        <v>562</v>
      </c>
      <c r="O174" s="1" t="s">
        <v>247</v>
      </c>
      <c r="P174" s="1" t="s">
        <v>314</v>
      </c>
      <c r="Q174" s="1" t="s">
        <v>315</v>
      </c>
      <c r="R174" s="1" t="s">
        <v>236</v>
      </c>
      <c r="S174" s="1" t="s">
        <v>228</v>
      </c>
      <c r="T174" s="1" t="s">
        <v>229</v>
      </c>
      <c r="U174" s="1" t="s">
        <v>481</v>
      </c>
      <c r="V174" s="1" t="s">
        <v>228</v>
      </c>
      <c r="W174" s="1" t="s">
        <v>1424</v>
      </c>
      <c r="X174" s="1" t="s">
        <v>481</v>
      </c>
      <c r="Y174" s="1" t="s">
        <v>1429</v>
      </c>
      <c r="Z174" s="1" t="s">
        <v>240</v>
      </c>
      <c r="AA174" s="1">
        <v>13360</v>
      </c>
      <c r="AB174" s="1">
        <v>6504</v>
      </c>
      <c r="AC174" s="1" t="s">
        <v>310</v>
      </c>
      <c r="AD174" s="1" t="s">
        <v>5826</v>
      </c>
      <c r="AE174" s="1" t="s">
        <v>5827</v>
      </c>
      <c r="AF174" s="1" t="s">
        <v>461</v>
      </c>
      <c r="AG174" s="1">
        <v>44</v>
      </c>
      <c r="AH174" s="5" t="s">
        <v>5828</v>
      </c>
      <c r="AI174" s="1">
        <v>5527602007</v>
      </c>
      <c r="AJ174" s="1">
        <v>5558416003</v>
      </c>
      <c r="AK174" s="1" t="s">
        <v>1426</v>
      </c>
      <c r="AL174" s="1" t="s">
        <v>382</v>
      </c>
      <c r="AM174" s="1" t="s">
        <v>544</v>
      </c>
      <c r="AN174" s="1" t="s">
        <v>1427</v>
      </c>
      <c r="AO174" s="1" t="s">
        <v>453</v>
      </c>
      <c r="AP174" s="1">
        <v>34</v>
      </c>
      <c r="AQ174" s="1" t="s">
        <v>235</v>
      </c>
      <c r="AR174" s="42">
        <v>0.33333333333575865</v>
      </c>
      <c r="AS174" s="42">
        <v>0.79166666666424135</v>
      </c>
      <c r="AT174" s="1">
        <v>5516466485</v>
      </c>
      <c r="AU174" s="1">
        <v>5558416003</v>
      </c>
      <c r="AV174" s="1" t="s">
        <v>1428</v>
      </c>
      <c r="AW174" s="5" t="s">
        <v>5829</v>
      </c>
      <c r="AX174" s="1" t="s">
        <v>382</v>
      </c>
      <c r="AY174" s="1" t="s">
        <v>544</v>
      </c>
      <c r="AZ174" s="1" t="s">
        <v>2281</v>
      </c>
      <c r="BA174" s="1" t="s">
        <v>453</v>
      </c>
      <c r="BB174" s="1">
        <v>43</v>
      </c>
      <c r="BC174" s="1" t="s">
        <v>235</v>
      </c>
      <c r="BD174" s="43">
        <v>0.33333333333575865</v>
      </c>
      <c r="BE174" s="43">
        <v>0.79166666666424135</v>
      </c>
      <c r="BF174" s="1">
        <v>5539448324</v>
      </c>
      <c r="BG174" s="1">
        <v>5558416003</v>
      </c>
      <c r="BH174" s="1" t="s">
        <v>5830</v>
      </c>
      <c r="BI174" s="5" t="s">
        <v>5831</v>
      </c>
      <c r="BJ174" s="1" t="s">
        <v>236</v>
      </c>
      <c r="BK174" s="1" t="s">
        <v>461</v>
      </c>
      <c r="BL174" s="1">
        <v>1.57</v>
      </c>
      <c r="BM174" s="1">
        <v>66</v>
      </c>
      <c r="BN174" s="1" t="s">
        <v>228</v>
      </c>
      <c r="BO174" s="1" t="s">
        <v>228</v>
      </c>
      <c r="BQ174" s="1" t="s">
        <v>228</v>
      </c>
      <c r="BR174" s="1" t="s">
        <v>237</v>
      </c>
      <c r="BS174" s="1" t="s">
        <v>228</v>
      </c>
      <c r="BT174" s="1" t="s">
        <v>237</v>
      </c>
      <c r="BU174" s="1" t="s">
        <v>228</v>
      </c>
      <c r="BW174" s="1" t="s">
        <v>238</v>
      </c>
      <c r="BX174" s="1">
        <v>100</v>
      </c>
      <c r="BY174" s="1">
        <v>260</v>
      </c>
      <c r="BZ174" s="1" t="s">
        <v>1239</v>
      </c>
      <c r="CA174" s="1" t="s">
        <v>321</v>
      </c>
      <c r="CB174" s="1" t="s">
        <v>240</v>
      </c>
      <c r="CC174" s="1" t="s">
        <v>255</v>
      </c>
      <c r="CD174" s="1">
        <v>1500</v>
      </c>
      <c r="CE174" s="1">
        <v>2400</v>
      </c>
      <c r="CF174" s="1" t="s">
        <v>236</v>
      </c>
      <c r="CG174" s="1" t="s">
        <v>242</v>
      </c>
      <c r="CH174" s="1" t="s">
        <v>243</v>
      </c>
      <c r="CI174" s="1" t="s">
        <v>243</v>
      </c>
      <c r="CJ174" s="1" t="s">
        <v>2848</v>
      </c>
      <c r="CL174" s="5" t="s">
        <v>5832</v>
      </c>
      <c r="CM174" s="1">
        <v>16220771121</v>
      </c>
      <c r="CN174" s="1" t="s">
        <v>228</v>
      </c>
      <c r="CQ174" s="42">
        <v>0.33333333333575865</v>
      </c>
      <c r="CR174" s="42">
        <v>0.79166666666424135</v>
      </c>
      <c r="CT174" s="45" t="str">
        <f t="array" ref="CT174">IFERROR(INDEX(#REF!,MATCH('Respuestas de formulario 1.1'!$B174,#REF!,0),MATCH('Respuestas de formulario 1.1'!CT$1,#REF!,0)),"")</f>
        <v/>
      </c>
      <c r="CU174" s="56" t="str">
        <f t="array" ref="CU174">IFERROR(INDEX(#REF!,MATCH('Respuestas de formulario 1.1'!$B174,#REF!,0),MATCH('Respuestas de formulario 1.1'!CU$1,#REF!,0)),"")</f>
        <v/>
      </c>
      <c r="CV174" s="56" t="str">
        <f t="array" ref="CV174">IFERROR(INDEX(#REF!,MATCH('Respuestas de formulario 1.1'!$B174,#REF!,0),MATCH('Respuestas de formulario 1.1'!CV$1,#REF!,0)),"")</f>
        <v/>
      </c>
      <c r="CW174" s="56" t="str">
        <f t="array" ref="CW174">IFERROR(INDEX(#REF!,MATCH('Respuestas de formulario 1.1'!$B174,#REF!,0),MATCH('Respuestas de formulario 1.1'!CW$1,#REF!,0)),"")</f>
        <v/>
      </c>
      <c r="CX174" s="56" t="str">
        <f t="array" ref="CX174">IFERROR(INDEX(#REF!,MATCH('Respuestas de formulario 1.1'!$B174,#REF!,0),MATCH('Respuestas de formulario 1.1'!CX$1,#REF!,0)),"")</f>
        <v/>
      </c>
      <c r="CY174" s="56" t="str">
        <f t="array" ref="CY174">IFERROR(INDEX(#REF!,MATCH('Respuestas de formulario 1.1'!$B174,#REF!,0),MATCH('Respuestas de formulario 1.1'!CY$1,#REF!,0)),"")</f>
        <v/>
      </c>
      <c r="CZ174" s="57" t="str">
        <f t="array" ref="CZ174">IFERROR(INDEX(#REF!,MATCH('Respuestas de formulario 1.1'!$B174,#REF!,0),MATCH('Respuestas de formulario 1.1'!CZ$1,#REF!,0)),"")</f>
        <v/>
      </c>
      <c r="DA174" s="45" t="e">
        <f t="array" ref="DA174">INDEX(#REF!,MATCH('Respuestas de formulario 1.1'!$B174,#REF!,0),MATCH('Respuestas de formulario 1.1'!DA$1,#REF!,0))</f>
        <v>#REF!</v>
      </c>
      <c r="DB174" s="45" t="e">
        <f t="array" ref="DB174">INDEX(#REF!,MATCH('Respuestas de formulario 1.1'!$B174,#REF!,0),MATCH('Respuestas de formulario 1.1'!DB$1,#REF!,0))</f>
        <v>#REF!</v>
      </c>
      <c r="DC174" s="45" t="e">
        <f t="array" ref="DC174">INDEX(#REF!,MATCH('Respuestas de formulario 1.1'!$B174,#REF!,0),MATCH('Respuestas de formulario 1.1'!DC$1,#REF!,0))</f>
        <v>#REF!</v>
      </c>
      <c r="DD174" s="45" t="e">
        <f t="array" ref="DD174">INDEX(#REF!,MATCH('Respuestas de formulario 1.1'!$B174,#REF!,0),MATCH('Respuestas de formulario 1.1'!DD$1,#REF!,0))</f>
        <v>#REF!</v>
      </c>
      <c r="DE174" s="45" t="e">
        <f t="array" ref="DE174">INDEX(#REF!,MATCH('Respuestas de formulario 1.1'!$B174,#REF!,0),MATCH('Respuestas de formulario 1.1'!DE$1,#REF!,0))</f>
        <v>#REF!</v>
      </c>
      <c r="DF174" s="45" t="e">
        <f t="array" ref="DF174">INDEX(#REF!,MATCH('Respuestas de formulario 1.1'!$B174,#REF!,0),MATCH('Respuestas de formulario 1.1'!DF$1,#REF!,0))</f>
        <v>#REF!</v>
      </c>
      <c r="DG174" s="45" t="e">
        <f t="array" ref="DG174">INDEX(#REF!,MATCH('Respuestas de formulario 1.1'!$B174,#REF!,0),MATCH('Respuestas de formulario 1.1'!DG$1,#REF!,0))</f>
        <v>#REF!</v>
      </c>
      <c r="DH174" s="45" t="e">
        <f t="array" ref="DH174">INDEX(#REF!,MATCH('Respuestas de formulario 1.1'!$B174,#REF!,0),MATCH('Respuestas de formulario 1.1'!DH$1,#REF!,0))</f>
        <v>#REF!</v>
      </c>
      <c r="DI174" s="48" t="e">
        <f>VLOOKUP(CONCATENATE($DF174," TUTO ",$DC174),#REF!,3,0)</f>
        <v>#REF!</v>
      </c>
      <c r="DJ174" s="48" t="e">
        <f t="array" ref="DJ174">IF('Respuestas de formulario 1.1'!A174="","",INDEX(#REF!,MATCH('Respuestas de formulario 1.1'!B174,#REF!,0),MATCH('Respuestas de formulario 1.1'!$DH$1,#REF!,0)))</f>
        <v>#REF!</v>
      </c>
      <c r="DK174" s="52" t="str">
        <f>CONCATENATE("http://doc.google.com/uc?id=",MID('Respuestas de formulario 1.1'!G174,34,33))</f>
        <v>http://doc.google.com/uc?id=1sw2WIIsN1gqEEECaphY3pXwZYLkNuqFz</v>
      </c>
      <c r="DL174" s="49" t="str">
        <f>CONCATENATE("http://doc.google.com/uc?id=",MID('Respuestas de formulario 1.1'!AH174,34,33))</f>
        <v>http://doc.google.com/uc?id=1g4w0Nt0pFyj-BpnfwXIgIDAtwHDtUNA9</v>
      </c>
      <c r="DM174" s="50" t="str">
        <f>CONCATENATE("http://doc.google.com/uc?id=",MID('Respuestas de formulario 1.1'!AW174,34,33))</f>
        <v>http://doc.google.com/uc?id=15O19ofhLKmugUjLOK-Mng8rDZnK5pxhY</v>
      </c>
      <c r="DN174" s="53" t="str">
        <f>CONCATENATE("http://doc.google.com/uc?id=",MID('Respuestas de formulario 1.1'!$BI174,34,33))</f>
        <v>http://doc.google.com/uc?id=1Tbs_lqOzSt0Na2CgWRBV4YzPSHAue1nd</v>
      </c>
      <c r="DO174" s="45" t="str">
        <f>IFERROR(VLOOKUP(CONCATENATE('Respuestas de formulario 1.1'!$B174,MID('Respuestas de formulario 1.1'!DO$1,2,1)),#REF!,12,0),"")</f>
        <v/>
      </c>
      <c r="DP174" s="45" t="str">
        <f>IFERROR(VLOOKUP(CONCATENATE('Respuestas de formulario 1.1'!$B174,MID('Respuestas de formulario 1.1'!DP$1,2,1)),#REF!,12,0),"")</f>
        <v/>
      </c>
      <c r="DQ174" s="45" t="str">
        <f>IFERROR(VLOOKUP(CONCATENATE('Respuestas de formulario 1.1'!$B174,MID('Respuestas de formulario 1.1'!DQ$1,2,1)),#REF!,12,0),"")</f>
        <v/>
      </c>
      <c r="DR174" s="45" t="str">
        <f>IFERROR(VLOOKUP(CONCATENATE('Respuestas de formulario 1.1'!$B174,MID('Respuestas de formulario 1.1'!DR$1,2,1)),#REF!,12,0),"")</f>
        <v/>
      </c>
      <c r="DS174" s="45" t="str">
        <f>IFERROR(VLOOKUP(CONCATENATE('Respuestas de formulario 1.1'!$B174,MID('Respuestas de formulario 1.1'!DS$1,2,1)),#REF!,12,0),"")</f>
        <v/>
      </c>
      <c r="DT174" s="45" t="str">
        <f>IFERROR(VLOOKUP(CONCATENATE('Respuestas de formulario 1.1'!$B174,MID('Respuestas de formulario 1.1'!DT$1,2,1)),#REF!,12,0),"")</f>
        <v/>
      </c>
      <c r="DU174" s="45" t="str">
        <f>IFERROR(VLOOKUP(CONCATENATE('Respuestas de formulario 1.1'!$B174,MID('Respuestas de formulario 1.1'!DU$1,2,1)),#REF!,12,0),"")</f>
        <v/>
      </c>
      <c r="DV174" s="45" t="str">
        <f>IFERROR(VLOOKUP(CONCATENATE('Respuestas de formulario 1.1'!$B174,MID('Respuestas de formulario 1.1'!DV$1,2,1)),#REF!,12,0),"")</f>
        <v/>
      </c>
      <c r="DW174" s="45" t="str">
        <f>IFERROR(VLOOKUP(CONCATENATE('Respuestas de formulario 1.1'!$B174,MID('Respuestas de formulario 1.1'!DW$1,2,1)),#REF!,12,0),"")</f>
        <v/>
      </c>
      <c r="DX174" s="45" t="str">
        <f>IFERROR(VLOOKUP(CONCATENATE('Respuestas de formulario 1.1'!$B174,MID('Respuestas de formulario 1.1'!DX$1,2,1)),#REF!,12,0),"")</f>
        <v/>
      </c>
      <c r="DY174" s="45" t="str">
        <f>IFERROR(VLOOKUP(CONCATENATE('Respuestas de formulario 1.1'!$B174,MID('Respuestas de formulario 1.1'!DY$1,2,1)),#REF!,12,0),"")</f>
        <v/>
      </c>
      <c r="DZ174" s="45" t="str">
        <f>IFERROR(VLOOKUP(CONCATENATE('Respuestas de formulario 1.1'!$B174,MID('Respuestas de formulario 1.1'!DZ$1,2,1)),#REF!,12,0),"")</f>
        <v/>
      </c>
      <c r="EA174" s="45" t="str">
        <f>IFERROR(VLOOKUP(CONCATENATE('Respuestas de formulario 1.1'!$B174,MID('Respuestas de formulario 1.1'!EA$1,2,1)),#REF!,12,0),"")</f>
        <v/>
      </c>
      <c r="EB174" s="45" t="str">
        <f>IFERROR(VLOOKUP(CONCATENATE('Respuestas de formulario 1.1'!$B174,MID('Respuestas de formulario 1.1'!EB$1,2,1)),#REF!,12,0),"")</f>
        <v/>
      </c>
      <c r="EC174" s="45" t="str">
        <f>IFERROR(VLOOKUP(CONCATENATE('Respuestas de formulario 1.1'!$B174,MID('Respuestas de formulario 1.1'!EC$1,2,1)),#REF!,12,0),"")</f>
        <v/>
      </c>
      <c r="ED174" s="45" t="str">
        <f>IFERROR(VLOOKUP(CONCATENATE('Respuestas de formulario 1.1'!$B174,MID('Respuestas de formulario 1.1'!ED$1,2,1)),#REF!,12,0),"")</f>
        <v/>
      </c>
      <c r="EE174" s="45" t="str">
        <f>IFERROR(VLOOKUP(CONCATENATE('Respuestas de formulario 1.1'!$B174,MID('Respuestas de formulario 1.1'!EE$1,2,1)),#REF!,12,0),"")</f>
        <v/>
      </c>
      <c r="EF174" s="45" t="str">
        <f>IFERROR(VLOOKUP(CONCATENATE('Respuestas de formulario 1.1'!$B174,MID('Respuestas de formulario 1.1'!EF$1,2,1)),#REF!,12,0),"")</f>
        <v/>
      </c>
      <c r="EG174" s="45" t="str">
        <f>IFERROR(VLOOKUP(CONCATENATE('Respuestas de formulario 1.1'!$B174,MID('Respuestas de formulario 1.1'!EG$1,2,1)),#REF!,12,0),"")</f>
        <v/>
      </c>
      <c r="EH174" s="45" t="str">
        <f>IFERROR(VLOOKUP(CONCATENATE('Respuestas de formulario 1.1'!$B174,MID('Respuestas de formulario 1.1'!EH$1,2,1)),#REF!,12,0),"")</f>
        <v/>
      </c>
      <c r="EI174" s="45" t="str">
        <f>IFERROR(VLOOKUP(CONCATENATE('Respuestas de formulario 1.1'!$B174,MID('Respuestas de formulario 1.1'!EI$1,2,1)),#REF!,12,0),"")</f>
        <v/>
      </c>
      <c r="EJ174" s="45" t="str">
        <f t="array" ref="EJ174">IF(DO174="","", INDEX(#REF!,MATCH(CONCATENATE('Respuestas de formulario 1.1'!$B174,DO174),#REF!,0),MATCH('Respuestas de formulario 1.1'!EJ$1,#REF!,0)))</f>
        <v/>
      </c>
      <c r="EK174" s="56" t="str">
        <f t="array" ref="EK174">IF(DP174="","", INDEX(#REF!,MATCH(CONCATENATE('Respuestas de formulario 1.1'!$B174,DP174),#REF!,0),MATCH('Respuestas de formulario 1.1'!EK$1,#REF!,0)))</f>
        <v/>
      </c>
      <c r="EL174" s="56" t="str">
        <f t="array" ref="EL174">IF(DQ174="","", INDEX(#REF!,MATCH(CONCATENATE('Respuestas de formulario 1.1'!$B174,DQ174),#REF!,0),MATCH('Respuestas de formulario 1.1'!EL$1,#REF!,0)))</f>
        <v/>
      </c>
      <c r="EM174" s="56" t="str">
        <f t="array" ref="EM174">IF(DR174="","", INDEX(#REF!,MATCH(CONCATENATE('Respuestas de formulario 1.1'!$B174,DR174),#REF!,0),MATCH('Respuestas de formulario 1.1'!EM$1,#REF!,0)))</f>
        <v/>
      </c>
      <c r="EN174" s="56" t="str">
        <f t="array" ref="EN174">IF(DS174="","", INDEX(#REF!,MATCH(CONCATENATE('Respuestas de formulario 1.1'!$B174,DS174),#REF!,0),MATCH('Respuestas de formulario 1.1'!EN$1,#REF!,0)))</f>
        <v/>
      </c>
      <c r="EO174" s="56" t="str">
        <f t="array" ref="EO174">IF(DT174="","", INDEX(#REF!,MATCH(CONCATENATE('Respuestas de formulario 1.1'!$B174,DT174),#REF!,0),MATCH('Respuestas de formulario 1.1'!EO$1,#REF!,0)))</f>
        <v/>
      </c>
      <c r="EP174" s="45" t="str">
        <f t="array" ref="EP174">IF(DU174="","", INDEX(#REF!,MATCH(CONCATENATE('Respuestas de formulario 1.1'!$B174,DU174),#REF!,0),MATCH('Respuestas de formulario 1.1'!EP$1,#REF!,0)))</f>
        <v/>
      </c>
      <c r="EQ174" s="45" t="str">
        <f t="array" ref="EQ174">IF(DP174="","", INDEX(#REF!,MATCH(CONCATENATE('Respuestas de formulario 1.1'!$B174,DP174),#REF!,0),MATCH('Respuestas de formulario 1.1'!EQ$1,#REF!,0)))</f>
        <v/>
      </c>
      <c r="ER174" s="56" t="str">
        <f t="array" ref="ER174">IF(DQ174="","", INDEX(#REF!,MATCH(CONCATENATE('Respuestas de formulario 1.1'!$B174,DQ174),#REF!,0),MATCH('Respuestas de formulario 1.1'!ER$1,#REF!,0)))</f>
        <v/>
      </c>
      <c r="ES174" s="56" t="str">
        <f t="array" ref="ES174">IF(DR174="","", INDEX(#REF!,MATCH(CONCATENATE('Respuestas de formulario 1.1'!$B174,DR174),#REF!,0),MATCH('Respuestas de formulario 1.1'!ES$1,#REF!,0)))</f>
        <v/>
      </c>
      <c r="ET174" s="56" t="str">
        <f t="array" ref="ET174">IF(DS174="","", INDEX(#REF!,MATCH(CONCATENATE('Respuestas de formulario 1.1'!$B174,DS174),#REF!,0),MATCH('Respuestas de formulario 1.1'!ET$1,#REF!,0)))</f>
        <v/>
      </c>
      <c r="EU174" s="56" t="str">
        <f t="array" ref="EU174">IF(DT174="","", INDEX(#REF!,MATCH(CONCATENATE('Respuestas de formulario 1.1'!$B174,DT174),#REF!,0),MATCH('Respuestas de formulario 1.1'!EU$1,#REF!,0)))</f>
        <v/>
      </c>
      <c r="EV174" s="56" t="str">
        <f t="array" ref="EV174">IF(DU174="","", INDEX(#REF!,MATCH(CONCATENATE('Respuestas de formulario 1.1'!$B174,DU174),#REF!,0),MATCH('Respuestas de formulario 1.1'!EV$1,#REF!,0)))</f>
        <v/>
      </c>
      <c r="EW174" s="45" t="str">
        <f t="array" ref="EW174">IF(DV174="","", INDEX(#REF!,MATCH(CONCATENATE('Respuestas de formulario 1.1'!$B174,DV174),#REF!,0),MATCH('Respuestas de formulario 1.1'!EW$1,#REF!,0)))</f>
        <v/>
      </c>
      <c r="EX174" s="45" t="str">
        <f t="array" ref="EX174">IF($DQ174="","", INDEX(#REF!,MATCH(CONCATENATE('Respuestas de formulario 1.1'!$B174,$DQ174),#REF!,0),MATCH('Respuestas de formulario 1.1'!EX$1,#REF!,0)))</f>
        <v/>
      </c>
      <c r="EY174" s="56" t="str">
        <f t="array" ref="EY174">IF($DQ174="","", INDEX(#REF!,MATCH(CONCATENATE('Respuestas de formulario 1.1'!$B174,$DQ174),#REF!,0),MATCH('Respuestas de formulario 1.1'!EY$1,#REF!,0)))</f>
        <v/>
      </c>
      <c r="EZ174" s="56" t="str">
        <f t="array" ref="EZ174">IF($DQ174="","", INDEX(#REF!,MATCH(CONCATENATE('Respuestas de formulario 1.1'!$B174,$DQ174),#REF!,0),MATCH('Respuestas de formulario 1.1'!EZ$1,#REF!,0)))</f>
        <v/>
      </c>
      <c r="FA174" s="56" t="str">
        <f t="array" ref="FA174">IF($DQ174="","", INDEX(#REF!,MATCH(CONCATENATE('Respuestas de formulario 1.1'!$B174,$DQ174),#REF!,0),MATCH('Respuestas de formulario 1.1'!FA$1,#REF!,0)))</f>
        <v/>
      </c>
      <c r="FB174" s="56" t="str">
        <f t="array" ref="FB174">IF($DQ174="","", INDEX(#REF!,MATCH(CONCATENATE('Respuestas de formulario 1.1'!$B174,$DQ174),#REF!,0),MATCH('Respuestas de formulario 1.1'!FB$1,#REF!,0)))</f>
        <v/>
      </c>
      <c r="FC174" s="56" t="str">
        <f t="array" ref="FC174">IF($DQ174="","", INDEX(#REF!,MATCH(CONCATENATE('Respuestas de formulario 1.1'!$B174,$DQ174),#REF!,0),MATCH('Respuestas de formulario 1.1'!FC$1,#REF!,0)))</f>
        <v/>
      </c>
      <c r="FD174" s="45" t="str">
        <f t="array" ref="FD174">IF($DQ174="","", INDEX(#REF!,MATCH(CONCATENATE('Respuestas de formulario 1.1'!$B174,$DQ174),#REF!,0),MATCH('Respuestas de formulario 1.1'!FD$1,#REF!,0)))</f>
        <v/>
      </c>
      <c r="FE174" s="45" t="str">
        <f t="array" ref="FE174">IF($DR174="","", INDEX(#REF!,MATCH(CONCATENATE(#REF!,$DR174),#REF!,0),MATCH(#REF!,#REF!,0)))</f>
        <v/>
      </c>
      <c r="FF174" s="56" t="str">
        <f t="array" ref="FF174">IF($DR174="","", INDEX(#REF!,MATCH(CONCATENATE(#REF!,$DR174),#REF!,0),MATCH(#REF!,#REF!,0)))</f>
        <v/>
      </c>
      <c r="FG174" s="56" t="str">
        <f t="array" ref="FG174">IF($DR174="","", INDEX(#REF!,MATCH(CONCATENATE(#REF!,$DR174),#REF!,0),MATCH(#REF!,#REF!,0)))</f>
        <v/>
      </c>
      <c r="FH174" s="56" t="str">
        <f t="array" ref="FH174">IF($DR174="","", INDEX(#REF!,MATCH(CONCATENATE(#REF!,$DR174),#REF!,0),MATCH(#REF!,#REF!,0)))</f>
        <v/>
      </c>
      <c r="FI174" s="56" t="str">
        <f t="array" ref="FI174">IF($DR174="","", INDEX(#REF!,MATCH(CONCATENATE(#REF!,$DR174),#REF!,0),MATCH(#REF!,#REF!,0)))</f>
        <v/>
      </c>
      <c r="FJ174" s="56" t="str">
        <f t="array" ref="FJ174">IF($DR174="","", INDEX(#REF!,MATCH(CONCATENATE(#REF!,$DR174),#REF!,0),MATCH(#REF!,#REF!,0)))</f>
        <v/>
      </c>
      <c r="FK174" s="45" t="str">
        <f t="array" ref="FK174">IF($DR174="","", INDEX(#REF!,MATCH(CONCATENATE(#REF!,$DR174),#REF!,0),MATCH(#REF!,#REF!,0)))</f>
        <v/>
      </c>
      <c r="FL174" s="45" t="str">
        <f t="array" ref="FL174">IF($DT174="","", INDEX(#REF!,MATCH(CONCATENATE('Respuestas de formulario 1.1'!$B174,$DS174),#REF!,0),MATCH('Respuestas de formulario 1.1'!FL$1,#REF!,0)))</f>
        <v/>
      </c>
      <c r="FM174" s="56" t="str">
        <f t="array" ref="FM174">IF($DT174="","", INDEX(#REF!,MATCH(CONCATENATE('Respuestas de formulario 1.1'!$B174,$DS174),#REF!,0),MATCH('Respuestas de formulario 1.1'!FM$1,#REF!,0)))</f>
        <v/>
      </c>
      <c r="FN174" s="56" t="str">
        <f t="array" ref="FN174">IF($DT174="","", INDEX(#REF!,MATCH(CONCATENATE('Respuestas de formulario 1.1'!$B174,$DS174),#REF!,0),MATCH('Respuestas de formulario 1.1'!FN$1,#REF!,0)))</f>
        <v/>
      </c>
      <c r="FO174" s="56" t="str">
        <f t="array" ref="FO174">IF($DT174="","", INDEX(#REF!,MATCH(CONCATENATE('Respuestas de formulario 1.1'!$B174,$DS174),#REF!,0),MATCH('Respuestas de formulario 1.1'!FO$1,#REF!,0)))</f>
        <v/>
      </c>
      <c r="FP174" s="56" t="str">
        <f t="array" ref="FP174">IF($DT174="","", INDEX(#REF!,MATCH(CONCATENATE('Respuestas de formulario 1.1'!$B174,$DS174),#REF!,0),MATCH('Respuestas de formulario 1.1'!FP$1,#REF!,0)))</f>
        <v/>
      </c>
      <c r="FQ174" s="56" t="str">
        <f t="array" ref="FQ174">IF($DT174="","", INDEX(#REF!,MATCH(CONCATENATE('Respuestas de formulario 1.1'!$B174,$DS174),#REF!,0),MATCH('Respuestas de formulario 1.1'!FQ$1,#REF!,0)))</f>
        <v/>
      </c>
      <c r="FR174" s="45" t="str">
        <f t="array" ref="FR174">IF($DT174="","", INDEX(#REF!,MATCH(CONCATENATE('Respuestas de formulario 1.1'!$B174,$DS174),#REF!,0),MATCH('Respuestas de formulario 1.1'!FR$1,#REF!,0)))</f>
        <v/>
      </c>
      <c r="FS174" s="45" t="str">
        <f t="array" ref="FS174">IF($DU174="","", INDEX(#REF!,MATCH(CONCATENATE('Respuestas de formulario 1.1'!$B174,$DT174),#REF!,0),MATCH('Respuestas de formulario 1.1'!FS$1,#REF!,0)))</f>
        <v/>
      </c>
      <c r="FT174" s="56" t="str">
        <f t="array" ref="FT174">IF($DU174="","", INDEX(#REF!,MATCH(CONCATENATE('Respuestas de formulario 1.1'!$B174,$DT174),#REF!,0),MATCH('Respuestas de formulario 1.1'!FT$1,#REF!,0)))</f>
        <v/>
      </c>
      <c r="FU174" s="56" t="str">
        <f t="array" ref="FU174">IF($DU174="","", INDEX(#REF!,MATCH(CONCATENATE('Respuestas de formulario 1.1'!$B174,$DT174),#REF!,0),MATCH('Respuestas de formulario 1.1'!FU$1,#REF!,0)))</f>
        <v/>
      </c>
      <c r="FV174" s="56" t="str">
        <f t="array" ref="FV174">IF($DU174="","", INDEX(#REF!,MATCH(CONCATENATE('Respuestas de formulario 1.1'!$B174,$DT174),#REF!,0),MATCH('Respuestas de formulario 1.1'!FV$1,#REF!,0)))</f>
        <v/>
      </c>
      <c r="FW174" s="56" t="str">
        <f t="array" ref="FW174">IF($DU174="","", INDEX(#REF!,MATCH(CONCATENATE('Respuestas de formulario 1.1'!$B174,$DT174),#REF!,0),MATCH('Respuestas de formulario 1.1'!FW$1,#REF!,0)))</f>
        <v/>
      </c>
      <c r="FX174" s="56" t="str">
        <f t="array" ref="FX174">IF($DU174="","", INDEX(#REF!,MATCH(CONCATENATE('Respuestas de formulario 1.1'!$B174,$DT174),#REF!,0),MATCH('Respuestas de formulario 1.1'!FX$1,#REF!,0)))</f>
        <v/>
      </c>
      <c r="FY174" s="45" t="str">
        <f t="array" ref="FY174">IF($DU174="","", INDEX(#REF!,MATCH(CONCATENATE('Respuestas de formulario 1.1'!$B174,$DT174),#REF!,0),MATCH('Respuestas de formulario 1.1'!FY$1,#REF!,0)))</f>
        <v/>
      </c>
      <c r="FZ174" s="3" t="s">
        <v>2860</v>
      </c>
      <c r="GA174" s="1" t="s">
        <v>5833</v>
      </c>
      <c r="GB174" s="5" t="s">
        <v>5834</v>
      </c>
      <c r="GC174" s="4" t="str">
        <f>HYPERLINK("https://drive.google.com/file/d/1z15lp-bsGqQgCMD4gi9mxinVhr4cnQzA/view?usp=drivesdk","SANCHEZ REYES DANIELA MARITZA Formato de reinscripción y pago 2022-2")</f>
        <v>SANCHEZ REYES DANIELA MARITZA Formato de reinscripción y pago 2022-2</v>
      </c>
      <c r="GD174" s="1" t="s">
        <v>5835</v>
      </c>
      <c r="GE174" s="1"/>
      <c r="GF174" s="1"/>
      <c r="GG174" s="1"/>
      <c r="GH174" s="1"/>
      <c r="GI174" s="1" t="s">
        <v>5836</v>
      </c>
      <c r="GJ174" s="5" t="s">
        <v>5837</v>
      </c>
      <c r="GK174" s="5" t="str">
        <f>HYPERLINK("https://drive.google.com/file/d/1Y6lYYhrTNXEcYTqW5M_hsHgYDF6sxR5D/view?usp=drivesdk","SANCHEZ REYES DANIELA MARITZA Formato de reinscripción y pago 2022-2")</f>
        <v>SANCHEZ REYES DANIELA MARITZA Formato de reinscripción y pago 2022-2</v>
      </c>
      <c r="GL174" s="1" t="s">
        <v>5838</v>
      </c>
    </row>
    <row r="175" spans="1:194" ht="38.25" x14ac:dyDescent="0.2">
      <c r="A175" s="2">
        <v>45140.77244862268</v>
      </c>
      <c r="B175" s="1" t="s">
        <v>2784</v>
      </c>
      <c r="C175" s="1" t="s">
        <v>2785</v>
      </c>
      <c r="D175" s="1" t="s">
        <v>704</v>
      </c>
      <c r="E175" s="1" t="s">
        <v>5839</v>
      </c>
      <c r="F175" s="1" t="s">
        <v>223</v>
      </c>
      <c r="G175" s="5" t="s">
        <v>5840</v>
      </c>
      <c r="H175" s="41">
        <v>39039</v>
      </c>
      <c r="I175" s="1">
        <v>16</v>
      </c>
      <c r="J175" s="1">
        <v>5520399977</v>
      </c>
      <c r="K175" s="1">
        <v>5590478976</v>
      </c>
      <c r="L175" s="1" t="s">
        <v>2786</v>
      </c>
      <c r="M175" s="1">
        <v>21309060570615</v>
      </c>
      <c r="N175" s="1" t="s">
        <v>1108</v>
      </c>
      <c r="O175" s="1" t="s">
        <v>247</v>
      </c>
      <c r="P175" s="1" t="s">
        <v>226</v>
      </c>
      <c r="Q175" s="1" t="s">
        <v>248</v>
      </c>
      <c r="R175" s="1" t="s">
        <v>236</v>
      </c>
      <c r="S175" s="1" t="s">
        <v>228</v>
      </c>
      <c r="T175" s="1" t="s">
        <v>229</v>
      </c>
      <c r="U175" s="1" t="s">
        <v>249</v>
      </c>
      <c r="V175" s="1" t="s">
        <v>228</v>
      </c>
      <c r="W175" s="1" t="s">
        <v>5841</v>
      </c>
      <c r="X175" s="1" t="s">
        <v>249</v>
      </c>
      <c r="Y175" s="1" t="s">
        <v>2031</v>
      </c>
      <c r="Z175" s="1" t="s">
        <v>240</v>
      </c>
      <c r="AA175" s="44" t="s">
        <v>538</v>
      </c>
      <c r="AB175" s="1" t="s">
        <v>5842</v>
      </c>
      <c r="AC175" s="1" t="s">
        <v>5843</v>
      </c>
      <c r="AD175" s="1" t="s">
        <v>5844</v>
      </c>
      <c r="AE175" s="1" t="s">
        <v>5845</v>
      </c>
      <c r="AF175" s="1" t="s">
        <v>265</v>
      </c>
      <c r="AG175" s="1">
        <v>52</v>
      </c>
      <c r="AH175" s="5" t="s">
        <v>5846</v>
      </c>
      <c r="AI175" s="1">
        <v>5554997720</v>
      </c>
      <c r="AJ175" s="1">
        <v>5590478976</v>
      </c>
      <c r="AK175" s="1" t="s">
        <v>5847</v>
      </c>
      <c r="AL175" s="1" t="s">
        <v>5848</v>
      </c>
      <c r="AM175" s="1" t="s">
        <v>704</v>
      </c>
      <c r="AN175" s="1" t="s">
        <v>2743</v>
      </c>
      <c r="AO175" s="1" t="s">
        <v>758</v>
      </c>
      <c r="AP175" s="1">
        <v>23</v>
      </c>
      <c r="AQ175" s="1" t="s">
        <v>663</v>
      </c>
      <c r="AR175" s="42">
        <v>0.41666666666424135</v>
      </c>
      <c r="AS175" s="42">
        <v>0.75</v>
      </c>
      <c r="AT175" s="1">
        <v>5610503330</v>
      </c>
      <c r="AU175" s="1">
        <v>5590478976</v>
      </c>
      <c r="AV175" s="1" t="s">
        <v>2787</v>
      </c>
      <c r="AW175" s="5" t="s">
        <v>5849</v>
      </c>
      <c r="AX175" s="1" t="s">
        <v>704</v>
      </c>
      <c r="AY175" s="1" t="s">
        <v>374</v>
      </c>
      <c r="AZ175" s="1" t="s">
        <v>5850</v>
      </c>
      <c r="BA175" s="1" t="s">
        <v>672</v>
      </c>
      <c r="BB175" s="1">
        <v>19</v>
      </c>
      <c r="BC175" s="1" t="s">
        <v>663</v>
      </c>
      <c r="BD175" s="43">
        <v>0.33333333333575865</v>
      </c>
      <c r="BE175" s="43">
        <v>0.79166666666424135</v>
      </c>
      <c r="BF175" s="1">
        <v>5584018265</v>
      </c>
      <c r="BG175" s="1">
        <v>5590478976</v>
      </c>
      <c r="BH175" s="1" t="s">
        <v>5851</v>
      </c>
      <c r="BI175" s="5" t="s">
        <v>5852</v>
      </c>
      <c r="BJ175" s="1" t="s">
        <v>236</v>
      </c>
      <c r="BL175" s="1">
        <v>1.56</v>
      </c>
      <c r="BM175" s="1">
        <v>59</v>
      </c>
      <c r="BN175" s="1" t="s">
        <v>236</v>
      </c>
      <c r="BO175" s="1" t="s">
        <v>228</v>
      </c>
      <c r="BQ175" s="1" t="s">
        <v>228</v>
      </c>
      <c r="BR175" s="1" t="s">
        <v>237</v>
      </c>
      <c r="BS175" s="1" t="s">
        <v>228</v>
      </c>
      <c r="BT175" s="1" t="s">
        <v>237</v>
      </c>
      <c r="BU175" s="1" t="s">
        <v>228</v>
      </c>
      <c r="BW175" s="1" t="s">
        <v>238</v>
      </c>
      <c r="BX175" s="1">
        <v>180</v>
      </c>
      <c r="BY175" s="1">
        <v>700</v>
      </c>
      <c r="BZ175" s="1" t="s">
        <v>253</v>
      </c>
      <c r="CA175" s="1" t="s">
        <v>5853</v>
      </c>
      <c r="CB175" s="1" t="s">
        <v>240</v>
      </c>
      <c r="CC175" s="1" t="s">
        <v>300</v>
      </c>
      <c r="CD175" s="1">
        <v>1200</v>
      </c>
      <c r="CE175" s="1">
        <v>2000</v>
      </c>
      <c r="CF175" s="1" t="s">
        <v>236</v>
      </c>
      <c r="CG175" s="1" t="s">
        <v>323</v>
      </c>
      <c r="CH175" s="1" t="s">
        <v>243</v>
      </c>
      <c r="CI175" s="1" t="s">
        <v>243</v>
      </c>
      <c r="CJ175" s="1" t="s">
        <v>2848</v>
      </c>
      <c r="CL175" s="5" t="s">
        <v>5854</v>
      </c>
      <c r="CM175" s="1">
        <v>16210665317</v>
      </c>
      <c r="CN175" s="1" t="s">
        <v>228</v>
      </c>
      <c r="CQ175" s="42">
        <v>0.375</v>
      </c>
      <c r="CR175" s="42">
        <v>0.75</v>
      </c>
      <c r="CT175" s="45" t="str">
        <f t="array" ref="CT175">IFERROR(INDEX(#REF!,MATCH('Respuestas de formulario 1.1'!$B175,#REF!,0),MATCH('Respuestas de formulario 1.1'!CT$1,#REF!,0)),"")</f>
        <v/>
      </c>
      <c r="CU175" s="56" t="str">
        <f t="array" ref="CU175">IFERROR(INDEX(#REF!,MATCH('Respuestas de formulario 1.1'!$B175,#REF!,0),MATCH('Respuestas de formulario 1.1'!CU$1,#REF!,0)),"")</f>
        <v/>
      </c>
      <c r="CV175" s="56" t="str">
        <f t="array" ref="CV175">IFERROR(INDEX(#REF!,MATCH('Respuestas de formulario 1.1'!$B175,#REF!,0),MATCH('Respuestas de formulario 1.1'!CV$1,#REF!,0)),"")</f>
        <v/>
      </c>
      <c r="CW175" s="56" t="str">
        <f t="array" ref="CW175">IFERROR(INDEX(#REF!,MATCH('Respuestas de formulario 1.1'!$B175,#REF!,0),MATCH('Respuestas de formulario 1.1'!CW$1,#REF!,0)),"")</f>
        <v/>
      </c>
      <c r="CX175" s="56" t="str">
        <f t="array" ref="CX175">IFERROR(INDEX(#REF!,MATCH('Respuestas de formulario 1.1'!$B175,#REF!,0),MATCH('Respuestas de formulario 1.1'!CX$1,#REF!,0)),"")</f>
        <v/>
      </c>
      <c r="CY175" s="56" t="str">
        <f t="array" ref="CY175">IFERROR(INDEX(#REF!,MATCH('Respuestas de formulario 1.1'!$B175,#REF!,0),MATCH('Respuestas de formulario 1.1'!CY$1,#REF!,0)),"")</f>
        <v/>
      </c>
      <c r="CZ175" s="57" t="str">
        <f t="array" ref="CZ175">IFERROR(INDEX(#REF!,MATCH('Respuestas de formulario 1.1'!$B175,#REF!,0),MATCH('Respuestas de formulario 1.1'!CZ$1,#REF!,0)),"")</f>
        <v/>
      </c>
      <c r="DA175" s="45" t="e">
        <f t="array" ref="DA175">INDEX(#REF!,MATCH('Respuestas de formulario 1.1'!$B175,#REF!,0),MATCH('Respuestas de formulario 1.1'!DA$1,#REF!,0))</f>
        <v>#REF!</v>
      </c>
      <c r="DB175" s="45" t="e">
        <f t="array" ref="DB175">INDEX(#REF!,MATCH('Respuestas de formulario 1.1'!$B175,#REF!,0),MATCH('Respuestas de formulario 1.1'!DB$1,#REF!,0))</f>
        <v>#REF!</v>
      </c>
      <c r="DC175" s="45" t="e">
        <f t="array" ref="DC175">INDEX(#REF!,MATCH('Respuestas de formulario 1.1'!$B175,#REF!,0),MATCH('Respuestas de formulario 1.1'!DC$1,#REF!,0))</f>
        <v>#REF!</v>
      </c>
      <c r="DD175" s="45" t="e">
        <f t="array" ref="DD175">INDEX(#REF!,MATCH('Respuestas de formulario 1.1'!$B175,#REF!,0),MATCH('Respuestas de formulario 1.1'!DD$1,#REF!,0))</f>
        <v>#REF!</v>
      </c>
      <c r="DE175" s="45" t="e">
        <f t="array" ref="DE175">INDEX(#REF!,MATCH('Respuestas de formulario 1.1'!$B175,#REF!,0),MATCH('Respuestas de formulario 1.1'!DE$1,#REF!,0))</f>
        <v>#REF!</v>
      </c>
      <c r="DF175" s="45" t="e">
        <f t="array" ref="DF175">INDEX(#REF!,MATCH('Respuestas de formulario 1.1'!$B175,#REF!,0),MATCH('Respuestas de formulario 1.1'!DF$1,#REF!,0))</f>
        <v>#REF!</v>
      </c>
      <c r="DG175" s="45" t="e">
        <f t="array" ref="DG175">INDEX(#REF!,MATCH('Respuestas de formulario 1.1'!$B175,#REF!,0),MATCH('Respuestas de formulario 1.1'!DG$1,#REF!,0))</f>
        <v>#REF!</v>
      </c>
      <c r="DH175" s="45" t="e">
        <f t="array" ref="DH175">INDEX(#REF!,MATCH('Respuestas de formulario 1.1'!$B175,#REF!,0),MATCH('Respuestas de formulario 1.1'!DH$1,#REF!,0))</f>
        <v>#REF!</v>
      </c>
      <c r="DI175" s="48" t="e">
        <f>VLOOKUP(CONCATENATE($DF175," TUTO ",$DC175),#REF!,3,0)</f>
        <v>#REF!</v>
      </c>
      <c r="DJ175" s="48" t="e">
        <f t="array" ref="DJ175">IF('Respuestas de formulario 1.1'!A175="","",INDEX(#REF!,MATCH('Respuestas de formulario 1.1'!B175,#REF!,0),MATCH('Respuestas de formulario 1.1'!$DH$1,#REF!,0)))</f>
        <v>#REF!</v>
      </c>
      <c r="DK175" s="52" t="str">
        <f>CONCATENATE("http://doc.google.com/uc?id=",MID('Respuestas de formulario 1.1'!G175,34,33))</f>
        <v>http://doc.google.com/uc?id=1qN5qcgwGYd6vcOIkr7MQUMfl3CwTQmEh</v>
      </c>
      <c r="DL175" s="49" t="str">
        <f>CONCATENATE("http://doc.google.com/uc?id=",MID('Respuestas de formulario 1.1'!AH175,34,33))</f>
        <v>http://doc.google.com/uc?id=1sDnHvEavj-PuxHFhbm3jfcet0kdDSThr</v>
      </c>
      <c r="DM175" s="50" t="str">
        <f>CONCATENATE("http://doc.google.com/uc?id=",MID('Respuestas de formulario 1.1'!AW175,34,33))</f>
        <v>http://doc.google.com/uc?id=1ftoG7juQtKanAUCNlK2Zj3PL84Tauwzp</v>
      </c>
      <c r="DN175" s="53" t="str">
        <f>CONCATENATE("http://doc.google.com/uc?id=",MID('Respuestas de formulario 1.1'!$BI175,34,33))</f>
        <v>http://doc.google.com/uc?id=1EotEvcpi3xupSu_QT1hm_iv6k9YDLvtD</v>
      </c>
      <c r="DO175" s="45" t="str">
        <f>IFERROR(VLOOKUP(CONCATENATE('Respuestas de formulario 1.1'!$B175,MID('Respuestas de formulario 1.1'!DO$1,2,1)),#REF!,12,0),"")</f>
        <v/>
      </c>
      <c r="DP175" s="45" t="str">
        <f>IFERROR(VLOOKUP(CONCATENATE('Respuestas de formulario 1.1'!$B175,MID('Respuestas de formulario 1.1'!DP$1,2,1)),#REF!,12,0),"")</f>
        <v/>
      </c>
      <c r="DQ175" s="45" t="str">
        <f>IFERROR(VLOOKUP(CONCATENATE('Respuestas de formulario 1.1'!$B175,MID('Respuestas de formulario 1.1'!DQ$1,2,1)),#REF!,12,0),"")</f>
        <v/>
      </c>
      <c r="DR175" s="45" t="str">
        <f>IFERROR(VLOOKUP(CONCATENATE('Respuestas de formulario 1.1'!$B175,MID('Respuestas de formulario 1.1'!DR$1,2,1)),#REF!,12,0),"")</f>
        <v/>
      </c>
      <c r="DS175" s="45" t="str">
        <f>IFERROR(VLOOKUP(CONCATENATE('Respuestas de formulario 1.1'!$B175,MID('Respuestas de formulario 1.1'!DS$1,2,1)),#REF!,12,0),"")</f>
        <v/>
      </c>
      <c r="DT175" s="45" t="str">
        <f>IFERROR(VLOOKUP(CONCATENATE('Respuestas de formulario 1.1'!$B175,MID('Respuestas de formulario 1.1'!DT$1,2,1)),#REF!,12,0),"")</f>
        <v/>
      </c>
      <c r="DU175" s="45" t="str">
        <f>IFERROR(VLOOKUP(CONCATENATE('Respuestas de formulario 1.1'!$B175,MID('Respuestas de formulario 1.1'!DU$1,2,1)),#REF!,12,0),"")</f>
        <v/>
      </c>
      <c r="DV175" s="45" t="str">
        <f>IFERROR(VLOOKUP(CONCATENATE('Respuestas de formulario 1.1'!$B175,MID('Respuestas de formulario 1.1'!DV$1,2,1)),#REF!,12,0),"")</f>
        <v/>
      </c>
      <c r="DW175" s="45" t="str">
        <f>IFERROR(VLOOKUP(CONCATENATE('Respuestas de formulario 1.1'!$B175,MID('Respuestas de formulario 1.1'!DW$1,2,1)),#REF!,12,0),"")</f>
        <v/>
      </c>
      <c r="DX175" s="45" t="str">
        <f>IFERROR(VLOOKUP(CONCATENATE('Respuestas de formulario 1.1'!$B175,MID('Respuestas de formulario 1.1'!DX$1,2,1)),#REF!,12,0),"")</f>
        <v/>
      </c>
      <c r="DY175" s="45" t="str">
        <f>IFERROR(VLOOKUP(CONCATENATE('Respuestas de formulario 1.1'!$B175,MID('Respuestas de formulario 1.1'!DY$1,2,1)),#REF!,12,0),"")</f>
        <v/>
      </c>
      <c r="DZ175" s="45" t="str">
        <f>IFERROR(VLOOKUP(CONCATENATE('Respuestas de formulario 1.1'!$B175,MID('Respuestas de formulario 1.1'!DZ$1,2,1)),#REF!,12,0),"")</f>
        <v/>
      </c>
      <c r="EA175" s="45" t="str">
        <f>IFERROR(VLOOKUP(CONCATENATE('Respuestas de formulario 1.1'!$B175,MID('Respuestas de formulario 1.1'!EA$1,2,1)),#REF!,12,0),"")</f>
        <v/>
      </c>
      <c r="EB175" s="45" t="str">
        <f>IFERROR(VLOOKUP(CONCATENATE('Respuestas de formulario 1.1'!$B175,MID('Respuestas de formulario 1.1'!EB$1,2,1)),#REF!,12,0),"")</f>
        <v/>
      </c>
      <c r="EC175" s="45" t="str">
        <f>IFERROR(VLOOKUP(CONCATENATE('Respuestas de formulario 1.1'!$B175,MID('Respuestas de formulario 1.1'!EC$1,2,1)),#REF!,12,0),"")</f>
        <v/>
      </c>
      <c r="ED175" s="45" t="str">
        <f>IFERROR(VLOOKUP(CONCATENATE('Respuestas de formulario 1.1'!$B175,MID('Respuestas de formulario 1.1'!ED$1,2,1)),#REF!,12,0),"")</f>
        <v/>
      </c>
      <c r="EE175" s="45" t="str">
        <f>IFERROR(VLOOKUP(CONCATENATE('Respuestas de formulario 1.1'!$B175,MID('Respuestas de formulario 1.1'!EE$1,2,1)),#REF!,12,0),"")</f>
        <v/>
      </c>
      <c r="EF175" s="45" t="str">
        <f>IFERROR(VLOOKUP(CONCATENATE('Respuestas de formulario 1.1'!$B175,MID('Respuestas de formulario 1.1'!EF$1,2,1)),#REF!,12,0),"")</f>
        <v/>
      </c>
      <c r="EG175" s="45" t="str">
        <f>IFERROR(VLOOKUP(CONCATENATE('Respuestas de formulario 1.1'!$B175,MID('Respuestas de formulario 1.1'!EG$1,2,1)),#REF!,12,0),"")</f>
        <v/>
      </c>
      <c r="EH175" s="45" t="str">
        <f>IFERROR(VLOOKUP(CONCATENATE('Respuestas de formulario 1.1'!$B175,MID('Respuestas de formulario 1.1'!EH$1,2,1)),#REF!,12,0),"")</f>
        <v/>
      </c>
      <c r="EI175" s="45" t="str">
        <f>IFERROR(VLOOKUP(CONCATENATE('Respuestas de formulario 1.1'!$B175,MID('Respuestas de formulario 1.1'!EI$1,2,1)),#REF!,12,0),"")</f>
        <v/>
      </c>
      <c r="EJ175" s="45" t="str">
        <f t="array" ref="EJ175">IF(DO175="","", INDEX(#REF!,MATCH(CONCATENATE('Respuestas de formulario 1.1'!$B175,DO175),#REF!,0),MATCH('Respuestas de formulario 1.1'!EJ$1,#REF!,0)))</f>
        <v/>
      </c>
      <c r="EK175" s="56" t="str">
        <f t="array" ref="EK175">IF(DP175="","", INDEX(#REF!,MATCH(CONCATENATE('Respuestas de formulario 1.1'!$B175,DP175),#REF!,0),MATCH('Respuestas de formulario 1.1'!EK$1,#REF!,0)))</f>
        <v/>
      </c>
      <c r="EL175" s="56" t="str">
        <f t="array" ref="EL175">IF(DQ175="","", INDEX(#REF!,MATCH(CONCATENATE('Respuestas de formulario 1.1'!$B175,DQ175),#REF!,0),MATCH('Respuestas de formulario 1.1'!EL$1,#REF!,0)))</f>
        <v/>
      </c>
      <c r="EM175" s="56" t="str">
        <f t="array" ref="EM175">IF(DR175="","", INDEX(#REF!,MATCH(CONCATENATE('Respuestas de formulario 1.1'!$B175,DR175),#REF!,0),MATCH('Respuestas de formulario 1.1'!EM$1,#REF!,0)))</f>
        <v/>
      </c>
      <c r="EN175" s="56" t="str">
        <f t="array" ref="EN175">IF(DS175="","", INDEX(#REF!,MATCH(CONCATENATE('Respuestas de formulario 1.1'!$B175,DS175),#REF!,0),MATCH('Respuestas de formulario 1.1'!EN$1,#REF!,0)))</f>
        <v/>
      </c>
      <c r="EO175" s="56" t="str">
        <f t="array" ref="EO175">IF(DT175="","", INDEX(#REF!,MATCH(CONCATENATE('Respuestas de formulario 1.1'!$B175,DT175),#REF!,0),MATCH('Respuestas de formulario 1.1'!EO$1,#REF!,0)))</f>
        <v/>
      </c>
      <c r="EP175" s="45" t="str">
        <f t="array" ref="EP175">IF(DU175="","", INDEX(#REF!,MATCH(CONCATENATE('Respuestas de formulario 1.1'!$B175,DU175),#REF!,0),MATCH('Respuestas de formulario 1.1'!EP$1,#REF!,0)))</f>
        <v/>
      </c>
      <c r="EQ175" s="45" t="str">
        <f t="array" ref="EQ175">IF(DP175="","", INDEX(#REF!,MATCH(CONCATENATE('Respuestas de formulario 1.1'!$B175,DP175),#REF!,0),MATCH('Respuestas de formulario 1.1'!EQ$1,#REF!,0)))</f>
        <v/>
      </c>
      <c r="ER175" s="56" t="str">
        <f t="array" ref="ER175">IF(DQ175="","", INDEX(#REF!,MATCH(CONCATENATE('Respuestas de formulario 1.1'!$B175,DQ175),#REF!,0),MATCH('Respuestas de formulario 1.1'!ER$1,#REF!,0)))</f>
        <v/>
      </c>
      <c r="ES175" s="56" t="str">
        <f t="array" ref="ES175">IF(DR175="","", INDEX(#REF!,MATCH(CONCATENATE('Respuestas de formulario 1.1'!$B175,DR175),#REF!,0),MATCH('Respuestas de formulario 1.1'!ES$1,#REF!,0)))</f>
        <v/>
      </c>
      <c r="ET175" s="56" t="str">
        <f t="array" ref="ET175">IF(DS175="","", INDEX(#REF!,MATCH(CONCATENATE('Respuestas de formulario 1.1'!$B175,DS175),#REF!,0),MATCH('Respuestas de formulario 1.1'!ET$1,#REF!,0)))</f>
        <v/>
      </c>
      <c r="EU175" s="56" t="str">
        <f t="array" ref="EU175">IF(DT175="","", INDEX(#REF!,MATCH(CONCATENATE('Respuestas de formulario 1.1'!$B175,DT175),#REF!,0),MATCH('Respuestas de formulario 1.1'!EU$1,#REF!,0)))</f>
        <v/>
      </c>
      <c r="EV175" s="56" t="str">
        <f t="array" ref="EV175">IF(DU175="","", INDEX(#REF!,MATCH(CONCATENATE('Respuestas de formulario 1.1'!$B175,DU175),#REF!,0),MATCH('Respuestas de formulario 1.1'!EV$1,#REF!,0)))</f>
        <v/>
      </c>
      <c r="EW175" s="45" t="str">
        <f t="array" ref="EW175">IF(DV175="","", INDEX(#REF!,MATCH(CONCATENATE('Respuestas de formulario 1.1'!$B175,DV175),#REF!,0),MATCH('Respuestas de formulario 1.1'!EW$1,#REF!,0)))</f>
        <v/>
      </c>
      <c r="EX175" s="45" t="str">
        <f t="array" ref="EX175">IF($DQ175="","", INDEX(#REF!,MATCH(CONCATENATE('Respuestas de formulario 1.1'!$B175,$DQ175),#REF!,0),MATCH('Respuestas de formulario 1.1'!EX$1,#REF!,0)))</f>
        <v/>
      </c>
      <c r="EY175" s="56" t="str">
        <f t="array" ref="EY175">IF($DQ175="","", INDEX(#REF!,MATCH(CONCATENATE('Respuestas de formulario 1.1'!$B175,$DQ175),#REF!,0),MATCH('Respuestas de formulario 1.1'!EY$1,#REF!,0)))</f>
        <v/>
      </c>
      <c r="EZ175" s="56" t="str">
        <f t="array" ref="EZ175">IF($DQ175="","", INDEX(#REF!,MATCH(CONCATENATE('Respuestas de formulario 1.1'!$B175,$DQ175),#REF!,0),MATCH('Respuestas de formulario 1.1'!EZ$1,#REF!,0)))</f>
        <v/>
      </c>
      <c r="FA175" s="56" t="str">
        <f t="array" ref="FA175">IF($DQ175="","", INDEX(#REF!,MATCH(CONCATENATE('Respuestas de formulario 1.1'!$B175,$DQ175),#REF!,0),MATCH('Respuestas de formulario 1.1'!FA$1,#REF!,0)))</f>
        <v/>
      </c>
      <c r="FB175" s="56" t="str">
        <f t="array" ref="FB175">IF($DQ175="","", INDEX(#REF!,MATCH(CONCATENATE('Respuestas de formulario 1.1'!$B175,$DQ175),#REF!,0),MATCH('Respuestas de formulario 1.1'!FB$1,#REF!,0)))</f>
        <v/>
      </c>
      <c r="FC175" s="56" t="str">
        <f t="array" ref="FC175">IF($DQ175="","", INDEX(#REF!,MATCH(CONCATENATE('Respuestas de formulario 1.1'!$B175,$DQ175),#REF!,0),MATCH('Respuestas de formulario 1.1'!FC$1,#REF!,0)))</f>
        <v/>
      </c>
      <c r="FD175" s="45" t="str">
        <f t="array" ref="FD175">IF($DQ175="","", INDEX(#REF!,MATCH(CONCATENATE('Respuestas de formulario 1.1'!$B175,$DQ175),#REF!,0),MATCH('Respuestas de formulario 1.1'!FD$1,#REF!,0)))</f>
        <v/>
      </c>
      <c r="FE175" s="45" t="str">
        <f t="array" ref="FE175">IF($DR175="","", INDEX(#REF!,MATCH(CONCATENATE(#REF!,$DR175),#REF!,0),MATCH(#REF!,#REF!,0)))</f>
        <v/>
      </c>
      <c r="FF175" s="56" t="str">
        <f t="array" ref="FF175">IF($DR175="","", INDEX(#REF!,MATCH(CONCATENATE(#REF!,$DR175),#REF!,0),MATCH(#REF!,#REF!,0)))</f>
        <v/>
      </c>
      <c r="FG175" s="56" t="str">
        <f t="array" ref="FG175">IF($DR175="","", INDEX(#REF!,MATCH(CONCATENATE(#REF!,$DR175),#REF!,0),MATCH(#REF!,#REF!,0)))</f>
        <v/>
      </c>
      <c r="FH175" s="56" t="str">
        <f t="array" ref="FH175">IF($DR175="","", INDEX(#REF!,MATCH(CONCATENATE(#REF!,$DR175),#REF!,0),MATCH(#REF!,#REF!,0)))</f>
        <v/>
      </c>
      <c r="FI175" s="56" t="str">
        <f t="array" ref="FI175">IF($DR175="","", INDEX(#REF!,MATCH(CONCATENATE(#REF!,$DR175),#REF!,0),MATCH(#REF!,#REF!,0)))</f>
        <v/>
      </c>
      <c r="FJ175" s="56" t="str">
        <f t="array" ref="FJ175">IF($DR175="","", INDEX(#REF!,MATCH(CONCATENATE(#REF!,$DR175),#REF!,0),MATCH(#REF!,#REF!,0)))</f>
        <v/>
      </c>
      <c r="FK175" s="45" t="str">
        <f t="array" ref="FK175">IF($DR175="","", INDEX(#REF!,MATCH(CONCATENATE(#REF!,$DR175),#REF!,0),MATCH(#REF!,#REF!,0)))</f>
        <v/>
      </c>
      <c r="FL175" s="45" t="str">
        <f t="array" ref="FL175">IF($DT175="","", INDEX(#REF!,MATCH(CONCATENATE('Respuestas de formulario 1.1'!$B175,$DS175),#REF!,0),MATCH('Respuestas de formulario 1.1'!FL$1,#REF!,0)))</f>
        <v/>
      </c>
      <c r="FM175" s="56" t="str">
        <f t="array" ref="FM175">IF($DT175="","", INDEX(#REF!,MATCH(CONCATENATE('Respuestas de formulario 1.1'!$B175,$DS175),#REF!,0),MATCH('Respuestas de formulario 1.1'!FM$1,#REF!,0)))</f>
        <v/>
      </c>
      <c r="FN175" s="56" t="str">
        <f t="array" ref="FN175">IF($DT175="","", INDEX(#REF!,MATCH(CONCATENATE('Respuestas de formulario 1.1'!$B175,$DS175),#REF!,0),MATCH('Respuestas de formulario 1.1'!FN$1,#REF!,0)))</f>
        <v/>
      </c>
      <c r="FO175" s="56" t="str">
        <f t="array" ref="FO175">IF($DT175="","", INDEX(#REF!,MATCH(CONCATENATE('Respuestas de formulario 1.1'!$B175,$DS175),#REF!,0),MATCH('Respuestas de formulario 1.1'!FO$1,#REF!,0)))</f>
        <v/>
      </c>
      <c r="FP175" s="56" t="str">
        <f t="array" ref="FP175">IF($DT175="","", INDEX(#REF!,MATCH(CONCATENATE('Respuestas de formulario 1.1'!$B175,$DS175),#REF!,0),MATCH('Respuestas de formulario 1.1'!FP$1,#REF!,0)))</f>
        <v/>
      </c>
      <c r="FQ175" s="56" t="str">
        <f t="array" ref="FQ175">IF($DT175="","", INDEX(#REF!,MATCH(CONCATENATE('Respuestas de formulario 1.1'!$B175,$DS175),#REF!,0),MATCH('Respuestas de formulario 1.1'!FQ$1,#REF!,0)))</f>
        <v/>
      </c>
      <c r="FR175" s="45" t="str">
        <f t="array" ref="FR175">IF($DT175="","", INDEX(#REF!,MATCH(CONCATENATE('Respuestas de formulario 1.1'!$B175,$DS175),#REF!,0),MATCH('Respuestas de formulario 1.1'!FR$1,#REF!,0)))</f>
        <v/>
      </c>
      <c r="FS175" s="45" t="str">
        <f t="array" ref="FS175">IF($DU175="","", INDEX(#REF!,MATCH(CONCATENATE('Respuestas de formulario 1.1'!$B175,$DT175),#REF!,0),MATCH('Respuestas de formulario 1.1'!FS$1,#REF!,0)))</f>
        <v/>
      </c>
      <c r="FT175" s="56" t="str">
        <f t="array" ref="FT175">IF($DU175="","", INDEX(#REF!,MATCH(CONCATENATE('Respuestas de formulario 1.1'!$B175,$DT175),#REF!,0),MATCH('Respuestas de formulario 1.1'!FT$1,#REF!,0)))</f>
        <v/>
      </c>
      <c r="FU175" s="56" t="str">
        <f t="array" ref="FU175">IF($DU175="","", INDEX(#REF!,MATCH(CONCATENATE('Respuestas de formulario 1.1'!$B175,$DT175),#REF!,0),MATCH('Respuestas de formulario 1.1'!FU$1,#REF!,0)))</f>
        <v/>
      </c>
      <c r="FV175" s="56" t="str">
        <f t="array" ref="FV175">IF($DU175="","", INDEX(#REF!,MATCH(CONCATENATE('Respuestas de formulario 1.1'!$B175,$DT175),#REF!,0),MATCH('Respuestas de formulario 1.1'!FV$1,#REF!,0)))</f>
        <v/>
      </c>
      <c r="FW175" s="56" t="str">
        <f t="array" ref="FW175">IF($DU175="","", INDEX(#REF!,MATCH(CONCATENATE('Respuestas de formulario 1.1'!$B175,$DT175),#REF!,0),MATCH('Respuestas de formulario 1.1'!FW$1,#REF!,0)))</f>
        <v/>
      </c>
      <c r="FX175" s="56" t="str">
        <f t="array" ref="FX175">IF($DU175="","", INDEX(#REF!,MATCH(CONCATENATE('Respuestas de formulario 1.1'!$B175,$DT175),#REF!,0),MATCH('Respuestas de formulario 1.1'!FX$1,#REF!,0)))</f>
        <v/>
      </c>
      <c r="FY175" s="45" t="str">
        <f t="array" ref="FY175">IF($DU175="","", INDEX(#REF!,MATCH(CONCATENATE('Respuestas de formulario 1.1'!$B175,$DT175),#REF!,0),MATCH('Respuestas de formulario 1.1'!FY$1,#REF!,0)))</f>
        <v/>
      </c>
      <c r="FZ175" s="3" t="s">
        <v>2860</v>
      </c>
      <c r="GA175" s="1" t="s">
        <v>5855</v>
      </c>
      <c r="GB175" s="5" t="s">
        <v>5856</v>
      </c>
      <c r="GC175" s="4" t="str">
        <f>HYPERLINK("https://drive.google.com/file/d/1l74Qonfr8B3nsWk6GKtrwVALTkQZ-aiB/view?usp=drivesdk","TRUEBA IBARRA  JOANNA  Formato de reinscripción y pago 2022-2")</f>
        <v>TRUEBA IBARRA  JOANNA  Formato de reinscripción y pago 2022-2</v>
      </c>
      <c r="GD175" s="1" t="s">
        <v>5857</v>
      </c>
      <c r="GI175" s="1" t="s">
        <v>5858</v>
      </c>
      <c r="GJ175" s="5" t="s">
        <v>5859</v>
      </c>
      <c r="GK175" s="4" t="str">
        <f>HYPERLINK("https://drive.google.com/file/d/1Lgk2xn47mbLWpS9biEV68yb4nWTl0FsQ/view?usp=drivesdk","TRUEBA IBARRA  JOANNA  Formato de reinscripción y pago 2022-2")</f>
        <v>TRUEBA IBARRA  JOANNA  Formato de reinscripción y pago 2022-2</v>
      </c>
      <c r="GL175" s="1" t="s">
        <v>5860</v>
      </c>
    </row>
    <row r="176" spans="1:194" ht="38.25" x14ac:dyDescent="0.2">
      <c r="A176" s="2">
        <v>45139.484702164351</v>
      </c>
      <c r="B176" s="1" t="s">
        <v>1555</v>
      </c>
      <c r="C176" s="1" t="s">
        <v>5861</v>
      </c>
      <c r="D176" s="1" t="s">
        <v>252</v>
      </c>
      <c r="E176" s="1" t="s">
        <v>1136</v>
      </c>
      <c r="F176" s="1" t="s">
        <v>223</v>
      </c>
      <c r="G176" s="5" t="s">
        <v>5862</v>
      </c>
      <c r="H176" s="41">
        <v>38313</v>
      </c>
      <c r="I176" s="1">
        <v>18</v>
      </c>
      <c r="J176" s="1">
        <v>5618729859</v>
      </c>
      <c r="K176" s="1">
        <v>5590214468</v>
      </c>
      <c r="L176" s="1" t="s">
        <v>1556</v>
      </c>
      <c r="M176" s="1">
        <v>21309060570349</v>
      </c>
      <c r="N176" s="1" t="s">
        <v>1108</v>
      </c>
      <c r="O176" s="1" t="s">
        <v>225</v>
      </c>
      <c r="P176" s="1" t="s">
        <v>278</v>
      </c>
      <c r="Q176" s="1" t="s">
        <v>227</v>
      </c>
      <c r="R176" s="1" t="s">
        <v>236</v>
      </c>
      <c r="S176" s="1" t="s">
        <v>228</v>
      </c>
      <c r="T176" s="1" t="s">
        <v>229</v>
      </c>
      <c r="U176" s="1" t="s">
        <v>249</v>
      </c>
      <c r="V176" s="1" t="s">
        <v>228</v>
      </c>
      <c r="W176" s="1" t="s">
        <v>5863</v>
      </c>
      <c r="X176" s="1" t="s">
        <v>249</v>
      </c>
      <c r="Y176" s="1" t="s">
        <v>5864</v>
      </c>
      <c r="Z176" s="1" t="s">
        <v>240</v>
      </c>
      <c r="AA176" s="44" t="s">
        <v>1450</v>
      </c>
      <c r="AB176" s="1" t="s">
        <v>5865</v>
      </c>
      <c r="AC176" s="1" t="s">
        <v>5866</v>
      </c>
      <c r="AD176" s="1" t="s">
        <v>5867</v>
      </c>
      <c r="AE176" s="1" t="s">
        <v>5868</v>
      </c>
      <c r="AF176" s="1" t="s">
        <v>265</v>
      </c>
      <c r="AG176" s="1">
        <v>44</v>
      </c>
      <c r="AH176" s="5" t="s">
        <v>5869</v>
      </c>
      <c r="AI176" s="1">
        <v>5613597014</v>
      </c>
      <c r="AJ176" s="1">
        <v>5590214468</v>
      </c>
      <c r="AK176" s="1" t="s">
        <v>1557</v>
      </c>
      <c r="AL176" s="1" t="s">
        <v>585</v>
      </c>
      <c r="AM176" s="1" t="s">
        <v>480</v>
      </c>
      <c r="AN176" s="1" t="s">
        <v>1558</v>
      </c>
      <c r="AO176" s="1" t="s">
        <v>435</v>
      </c>
      <c r="AP176" s="1">
        <v>48</v>
      </c>
      <c r="AQ176" s="1" t="s">
        <v>1794</v>
      </c>
      <c r="AR176" s="42">
        <v>0.33333333333575865</v>
      </c>
      <c r="AS176" s="42">
        <v>0.25</v>
      </c>
      <c r="AT176" s="1">
        <v>5513955528</v>
      </c>
      <c r="AU176" s="1">
        <v>5590214468</v>
      </c>
      <c r="AV176" s="1" t="s">
        <v>1557</v>
      </c>
      <c r="AW176" s="5" t="s">
        <v>5870</v>
      </c>
      <c r="AX176" s="1" t="s">
        <v>252</v>
      </c>
      <c r="AY176" s="1" t="s">
        <v>671</v>
      </c>
      <c r="AZ176" s="1" t="s">
        <v>5871</v>
      </c>
      <c r="BA176" s="1" t="s">
        <v>265</v>
      </c>
      <c r="BB176" s="1">
        <v>44</v>
      </c>
      <c r="BC176" s="1" t="s">
        <v>454</v>
      </c>
      <c r="BD176" s="43">
        <v>0.29166666666424135</v>
      </c>
      <c r="BE176" s="43">
        <v>0.41666666666424135</v>
      </c>
      <c r="BF176" s="1">
        <v>5613597014</v>
      </c>
      <c r="BG176" s="1">
        <v>5590214468</v>
      </c>
      <c r="BH176" s="1" t="s">
        <v>1557</v>
      </c>
      <c r="BI176" s="5" t="s">
        <v>5872</v>
      </c>
      <c r="BJ176" s="1" t="s">
        <v>236</v>
      </c>
      <c r="BL176" s="1">
        <v>160</v>
      </c>
      <c r="BM176" s="1">
        <v>80</v>
      </c>
      <c r="BN176" s="1" t="s">
        <v>236</v>
      </c>
      <c r="BO176" s="1" t="s">
        <v>228</v>
      </c>
      <c r="BQ176" s="1" t="s">
        <v>228</v>
      </c>
      <c r="BR176" s="1" t="s">
        <v>237</v>
      </c>
      <c r="BS176" s="1" t="s">
        <v>236</v>
      </c>
      <c r="BT176" s="1" t="s">
        <v>462</v>
      </c>
      <c r="BU176" s="1" t="s">
        <v>228</v>
      </c>
      <c r="BW176" s="1" t="s">
        <v>238</v>
      </c>
      <c r="BX176" s="1">
        <v>180</v>
      </c>
      <c r="BY176" s="1">
        <v>300</v>
      </c>
      <c r="BZ176" s="1" t="s">
        <v>253</v>
      </c>
      <c r="CA176" s="1" t="s">
        <v>343</v>
      </c>
      <c r="CB176" s="1" t="s">
        <v>240</v>
      </c>
      <c r="CC176" s="1" t="s">
        <v>255</v>
      </c>
      <c r="CD176" s="1">
        <v>1000</v>
      </c>
      <c r="CE176" s="1">
        <v>2000</v>
      </c>
      <c r="CF176" s="1" t="s">
        <v>236</v>
      </c>
      <c r="CG176" s="1" t="s">
        <v>242</v>
      </c>
      <c r="CH176" s="1" t="s">
        <v>243</v>
      </c>
      <c r="CI176" s="1" t="s">
        <v>243</v>
      </c>
      <c r="CJ176" s="1" t="s">
        <v>2848</v>
      </c>
      <c r="CL176" s="5" t="s">
        <v>5873</v>
      </c>
      <c r="CM176" s="44" t="s">
        <v>1559</v>
      </c>
      <c r="CN176" s="1" t="s">
        <v>228</v>
      </c>
      <c r="CQ176" s="42">
        <v>0.29166666666424135</v>
      </c>
      <c r="CR176" s="42">
        <v>0.41666666666424135</v>
      </c>
      <c r="CT176" s="45" t="str">
        <f t="array" ref="CT176">IFERROR(INDEX(#REF!,MATCH('Respuestas de formulario 1.1'!$B176,#REF!,0),MATCH('Respuestas de formulario 1.1'!CT$1,#REF!,0)),"")</f>
        <v/>
      </c>
      <c r="CU176" s="56" t="str">
        <f t="array" ref="CU176">IFERROR(INDEX(#REF!,MATCH('Respuestas de formulario 1.1'!$B176,#REF!,0),MATCH('Respuestas de formulario 1.1'!CU$1,#REF!,0)),"")</f>
        <v/>
      </c>
      <c r="CV176" s="56" t="str">
        <f t="array" ref="CV176">IFERROR(INDEX(#REF!,MATCH('Respuestas de formulario 1.1'!$B176,#REF!,0),MATCH('Respuestas de formulario 1.1'!CV$1,#REF!,0)),"")</f>
        <v/>
      </c>
      <c r="CW176" s="56" t="str">
        <f t="array" ref="CW176">IFERROR(INDEX(#REF!,MATCH('Respuestas de formulario 1.1'!$B176,#REF!,0),MATCH('Respuestas de formulario 1.1'!CW$1,#REF!,0)),"")</f>
        <v/>
      </c>
      <c r="CX176" s="56" t="str">
        <f t="array" ref="CX176">IFERROR(INDEX(#REF!,MATCH('Respuestas de formulario 1.1'!$B176,#REF!,0),MATCH('Respuestas de formulario 1.1'!CX$1,#REF!,0)),"")</f>
        <v/>
      </c>
      <c r="CY176" s="56" t="str">
        <f t="array" ref="CY176">IFERROR(INDEX(#REF!,MATCH('Respuestas de formulario 1.1'!$B176,#REF!,0),MATCH('Respuestas de formulario 1.1'!CY$1,#REF!,0)),"")</f>
        <v/>
      </c>
      <c r="CZ176" s="57" t="str">
        <f t="array" ref="CZ176">IFERROR(INDEX(#REF!,MATCH('Respuestas de formulario 1.1'!$B176,#REF!,0),MATCH('Respuestas de formulario 1.1'!CZ$1,#REF!,0)),"")</f>
        <v/>
      </c>
      <c r="DA176" s="45" t="e">
        <f t="array" ref="DA176">INDEX(#REF!,MATCH('Respuestas de formulario 1.1'!$B176,#REF!,0),MATCH('Respuestas de formulario 1.1'!DA$1,#REF!,0))</f>
        <v>#REF!</v>
      </c>
      <c r="DB176" s="45" t="e">
        <f t="array" ref="DB176">INDEX(#REF!,MATCH('Respuestas de formulario 1.1'!$B176,#REF!,0),MATCH('Respuestas de formulario 1.1'!DB$1,#REF!,0))</f>
        <v>#REF!</v>
      </c>
      <c r="DC176" s="45" t="e">
        <f t="array" ref="DC176">INDEX(#REF!,MATCH('Respuestas de formulario 1.1'!$B176,#REF!,0),MATCH('Respuestas de formulario 1.1'!DC$1,#REF!,0))</f>
        <v>#REF!</v>
      </c>
      <c r="DD176" s="45" t="e">
        <f t="array" ref="DD176">INDEX(#REF!,MATCH('Respuestas de formulario 1.1'!$B176,#REF!,0),MATCH('Respuestas de formulario 1.1'!DD$1,#REF!,0))</f>
        <v>#REF!</v>
      </c>
      <c r="DE176" s="45" t="e">
        <f t="array" ref="DE176">INDEX(#REF!,MATCH('Respuestas de formulario 1.1'!$B176,#REF!,0),MATCH('Respuestas de formulario 1.1'!DE$1,#REF!,0))</f>
        <v>#REF!</v>
      </c>
      <c r="DF176" s="45" t="e">
        <f t="array" ref="DF176">INDEX(#REF!,MATCH('Respuestas de formulario 1.1'!$B176,#REF!,0),MATCH('Respuestas de formulario 1.1'!DF$1,#REF!,0))</f>
        <v>#REF!</v>
      </c>
      <c r="DG176" s="45" t="e">
        <f t="array" ref="DG176">INDEX(#REF!,MATCH('Respuestas de formulario 1.1'!$B176,#REF!,0),MATCH('Respuestas de formulario 1.1'!DG$1,#REF!,0))</f>
        <v>#REF!</v>
      </c>
      <c r="DH176" s="45" t="e">
        <f t="array" ref="DH176">INDEX(#REF!,MATCH('Respuestas de formulario 1.1'!$B176,#REF!,0),MATCH('Respuestas de formulario 1.1'!DH$1,#REF!,0))</f>
        <v>#REF!</v>
      </c>
      <c r="DI176" s="48" t="e">
        <f>VLOOKUP(CONCATENATE($DF176," TUTO ",$DC176),#REF!,3,0)</f>
        <v>#REF!</v>
      </c>
      <c r="DJ176" s="48" t="e">
        <f t="array" ref="DJ176">IF('Respuestas de formulario 1.1'!A176="","",INDEX(#REF!,MATCH('Respuestas de formulario 1.1'!B176,#REF!,0),MATCH('Respuestas de formulario 1.1'!$DH$1,#REF!,0)))</f>
        <v>#REF!</v>
      </c>
      <c r="DK176" s="52" t="str">
        <f>CONCATENATE("http://doc.google.com/uc?id=",MID('Respuestas de formulario 1.1'!G176,34,33))</f>
        <v>http://doc.google.com/uc?id=1c93kAil7u3Mf3KKnIfOvRz2jrqktwMAZ</v>
      </c>
      <c r="DL176" s="49" t="str">
        <f>CONCATENATE("http://doc.google.com/uc?id=",MID('Respuestas de formulario 1.1'!AH176,34,33))</f>
        <v>http://doc.google.com/uc?id=1ateXW2r43SSDeh5JNe5zr3llJRDfIHBg</v>
      </c>
      <c r="DM176" s="50" t="str">
        <f>CONCATENATE("http://doc.google.com/uc?id=",MID('Respuestas de formulario 1.1'!AW176,34,33))</f>
        <v>http://doc.google.com/uc?id=1YCdPxofFLG8mRFxWteCuHh4C9AbyyYKB</v>
      </c>
      <c r="DN176" s="53" t="str">
        <f>CONCATENATE("http://doc.google.com/uc?id=",MID('Respuestas de formulario 1.1'!$BI176,34,33))</f>
        <v>http://doc.google.com/uc?id=1oL4svIFCvBBNNjnrBBG7wi48-yJtnT8J</v>
      </c>
      <c r="DO176" s="45" t="str">
        <f>IFERROR(VLOOKUP(CONCATENATE('Respuestas de formulario 1.1'!$B176,MID('Respuestas de formulario 1.1'!DO$1,2,1)),#REF!,12,0),"")</f>
        <v/>
      </c>
      <c r="DP176" s="45" t="str">
        <f>IFERROR(VLOOKUP(CONCATENATE('Respuestas de formulario 1.1'!$B176,MID('Respuestas de formulario 1.1'!DP$1,2,1)),#REF!,12,0),"")</f>
        <v/>
      </c>
      <c r="DQ176" s="45" t="str">
        <f>IFERROR(VLOOKUP(CONCATENATE('Respuestas de formulario 1.1'!$B176,MID('Respuestas de formulario 1.1'!DQ$1,2,1)),#REF!,12,0),"")</f>
        <v/>
      </c>
      <c r="DR176" s="45" t="str">
        <f>IFERROR(VLOOKUP(CONCATENATE('Respuestas de formulario 1.1'!$B176,MID('Respuestas de formulario 1.1'!DR$1,2,1)),#REF!,12,0),"")</f>
        <v/>
      </c>
      <c r="DS176" s="45" t="str">
        <f>IFERROR(VLOOKUP(CONCATENATE('Respuestas de formulario 1.1'!$B176,MID('Respuestas de formulario 1.1'!DS$1,2,1)),#REF!,12,0),"")</f>
        <v/>
      </c>
      <c r="DT176" s="45" t="str">
        <f>IFERROR(VLOOKUP(CONCATENATE('Respuestas de formulario 1.1'!$B176,MID('Respuestas de formulario 1.1'!DT$1,2,1)),#REF!,12,0),"")</f>
        <v/>
      </c>
      <c r="DU176" s="45" t="str">
        <f>IFERROR(VLOOKUP(CONCATENATE('Respuestas de formulario 1.1'!$B176,MID('Respuestas de formulario 1.1'!DU$1,2,1)),#REF!,12,0),"")</f>
        <v/>
      </c>
      <c r="DV176" s="45" t="str">
        <f>IFERROR(VLOOKUP(CONCATENATE('Respuestas de formulario 1.1'!$B176,MID('Respuestas de formulario 1.1'!DV$1,2,1)),#REF!,12,0),"")</f>
        <v/>
      </c>
      <c r="DW176" s="45" t="str">
        <f>IFERROR(VLOOKUP(CONCATENATE('Respuestas de formulario 1.1'!$B176,MID('Respuestas de formulario 1.1'!DW$1,2,1)),#REF!,12,0),"")</f>
        <v/>
      </c>
      <c r="DX176" s="45" t="str">
        <f>IFERROR(VLOOKUP(CONCATENATE('Respuestas de formulario 1.1'!$B176,MID('Respuestas de formulario 1.1'!DX$1,2,1)),#REF!,12,0),"")</f>
        <v/>
      </c>
      <c r="DY176" s="45" t="str">
        <f>IFERROR(VLOOKUP(CONCATENATE('Respuestas de formulario 1.1'!$B176,MID('Respuestas de formulario 1.1'!DY$1,2,1)),#REF!,12,0),"")</f>
        <v/>
      </c>
      <c r="DZ176" s="45" t="str">
        <f>IFERROR(VLOOKUP(CONCATENATE('Respuestas de formulario 1.1'!$B176,MID('Respuestas de formulario 1.1'!DZ$1,2,1)),#REF!,12,0),"")</f>
        <v/>
      </c>
      <c r="EA176" s="45" t="str">
        <f>IFERROR(VLOOKUP(CONCATENATE('Respuestas de formulario 1.1'!$B176,MID('Respuestas de formulario 1.1'!EA$1,2,1)),#REF!,12,0),"")</f>
        <v/>
      </c>
      <c r="EB176" s="45" t="str">
        <f>IFERROR(VLOOKUP(CONCATENATE('Respuestas de formulario 1.1'!$B176,MID('Respuestas de formulario 1.1'!EB$1,2,1)),#REF!,12,0),"")</f>
        <v/>
      </c>
      <c r="EC176" s="45" t="str">
        <f>IFERROR(VLOOKUP(CONCATENATE('Respuestas de formulario 1.1'!$B176,MID('Respuestas de formulario 1.1'!EC$1,2,1)),#REF!,12,0),"")</f>
        <v/>
      </c>
      <c r="ED176" s="45" t="str">
        <f>IFERROR(VLOOKUP(CONCATENATE('Respuestas de formulario 1.1'!$B176,MID('Respuestas de formulario 1.1'!ED$1,2,1)),#REF!,12,0),"")</f>
        <v/>
      </c>
      <c r="EE176" s="45" t="str">
        <f>IFERROR(VLOOKUP(CONCATENATE('Respuestas de formulario 1.1'!$B176,MID('Respuestas de formulario 1.1'!EE$1,2,1)),#REF!,12,0),"")</f>
        <v/>
      </c>
      <c r="EF176" s="45" t="str">
        <f>IFERROR(VLOOKUP(CONCATENATE('Respuestas de formulario 1.1'!$B176,MID('Respuestas de formulario 1.1'!EF$1,2,1)),#REF!,12,0),"")</f>
        <v/>
      </c>
      <c r="EG176" s="45" t="str">
        <f>IFERROR(VLOOKUP(CONCATENATE('Respuestas de formulario 1.1'!$B176,MID('Respuestas de formulario 1.1'!EG$1,2,1)),#REF!,12,0),"")</f>
        <v/>
      </c>
      <c r="EH176" s="45" t="str">
        <f>IFERROR(VLOOKUP(CONCATENATE('Respuestas de formulario 1.1'!$B176,MID('Respuestas de formulario 1.1'!EH$1,2,1)),#REF!,12,0),"")</f>
        <v/>
      </c>
      <c r="EI176" s="45" t="str">
        <f>IFERROR(VLOOKUP(CONCATENATE('Respuestas de formulario 1.1'!$B176,MID('Respuestas de formulario 1.1'!EI$1,2,1)),#REF!,12,0),"")</f>
        <v/>
      </c>
      <c r="EJ176" s="45" t="str">
        <f t="array" ref="EJ176">IF(DO176="","", INDEX(#REF!,MATCH(CONCATENATE('Respuestas de formulario 1.1'!$B176,DO176),#REF!,0),MATCH('Respuestas de formulario 1.1'!EJ$1,#REF!,0)))</f>
        <v/>
      </c>
      <c r="EK176" s="56" t="str">
        <f t="array" ref="EK176">IF(DP176="","", INDEX(#REF!,MATCH(CONCATENATE('Respuestas de formulario 1.1'!$B176,DP176),#REF!,0),MATCH('Respuestas de formulario 1.1'!EK$1,#REF!,0)))</f>
        <v/>
      </c>
      <c r="EL176" s="56" t="str">
        <f t="array" ref="EL176">IF(DQ176="","", INDEX(#REF!,MATCH(CONCATENATE('Respuestas de formulario 1.1'!$B176,DQ176),#REF!,0),MATCH('Respuestas de formulario 1.1'!EL$1,#REF!,0)))</f>
        <v/>
      </c>
      <c r="EM176" s="56" t="str">
        <f t="array" ref="EM176">IF(DR176="","", INDEX(#REF!,MATCH(CONCATENATE('Respuestas de formulario 1.1'!$B176,DR176),#REF!,0),MATCH('Respuestas de formulario 1.1'!EM$1,#REF!,0)))</f>
        <v/>
      </c>
      <c r="EN176" s="56" t="str">
        <f t="array" ref="EN176">IF(DS176="","", INDEX(#REF!,MATCH(CONCATENATE('Respuestas de formulario 1.1'!$B176,DS176),#REF!,0),MATCH('Respuestas de formulario 1.1'!EN$1,#REF!,0)))</f>
        <v/>
      </c>
      <c r="EO176" s="56" t="str">
        <f t="array" ref="EO176">IF(DT176="","", INDEX(#REF!,MATCH(CONCATENATE('Respuestas de formulario 1.1'!$B176,DT176),#REF!,0),MATCH('Respuestas de formulario 1.1'!EO$1,#REF!,0)))</f>
        <v/>
      </c>
      <c r="EP176" s="45" t="str">
        <f t="array" ref="EP176">IF(DU176="","", INDEX(#REF!,MATCH(CONCATENATE('Respuestas de formulario 1.1'!$B176,DU176),#REF!,0),MATCH('Respuestas de formulario 1.1'!EP$1,#REF!,0)))</f>
        <v/>
      </c>
      <c r="EQ176" s="45" t="str">
        <f t="array" ref="EQ176">IF(DP176="","", INDEX(#REF!,MATCH(CONCATENATE('Respuestas de formulario 1.1'!$B176,DP176),#REF!,0),MATCH('Respuestas de formulario 1.1'!EQ$1,#REF!,0)))</f>
        <v/>
      </c>
      <c r="ER176" s="56" t="str">
        <f t="array" ref="ER176">IF(DQ176="","", INDEX(#REF!,MATCH(CONCATENATE('Respuestas de formulario 1.1'!$B176,DQ176),#REF!,0),MATCH('Respuestas de formulario 1.1'!ER$1,#REF!,0)))</f>
        <v/>
      </c>
      <c r="ES176" s="56" t="str">
        <f t="array" ref="ES176">IF(DR176="","", INDEX(#REF!,MATCH(CONCATENATE('Respuestas de formulario 1.1'!$B176,DR176),#REF!,0),MATCH('Respuestas de formulario 1.1'!ES$1,#REF!,0)))</f>
        <v/>
      </c>
      <c r="ET176" s="56" t="str">
        <f t="array" ref="ET176">IF(DS176="","", INDEX(#REF!,MATCH(CONCATENATE('Respuestas de formulario 1.1'!$B176,DS176),#REF!,0),MATCH('Respuestas de formulario 1.1'!ET$1,#REF!,0)))</f>
        <v/>
      </c>
      <c r="EU176" s="56" t="str">
        <f t="array" ref="EU176">IF(DT176="","", INDEX(#REF!,MATCH(CONCATENATE('Respuestas de formulario 1.1'!$B176,DT176),#REF!,0),MATCH('Respuestas de formulario 1.1'!EU$1,#REF!,0)))</f>
        <v/>
      </c>
      <c r="EV176" s="56" t="str">
        <f t="array" ref="EV176">IF(DU176="","", INDEX(#REF!,MATCH(CONCATENATE('Respuestas de formulario 1.1'!$B176,DU176),#REF!,0),MATCH('Respuestas de formulario 1.1'!EV$1,#REF!,0)))</f>
        <v/>
      </c>
      <c r="EW176" s="45" t="str">
        <f t="array" ref="EW176">IF(DV176="","", INDEX(#REF!,MATCH(CONCATENATE('Respuestas de formulario 1.1'!$B176,DV176),#REF!,0),MATCH('Respuestas de formulario 1.1'!EW$1,#REF!,0)))</f>
        <v/>
      </c>
      <c r="EX176" s="45" t="str">
        <f t="array" ref="EX176">IF($DQ176="","", INDEX(#REF!,MATCH(CONCATENATE('Respuestas de formulario 1.1'!$B176,$DQ176),#REF!,0),MATCH('Respuestas de formulario 1.1'!EX$1,#REF!,0)))</f>
        <v/>
      </c>
      <c r="EY176" s="56" t="str">
        <f t="array" ref="EY176">IF($DQ176="","", INDEX(#REF!,MATCH(CONCATENATE('Respuestas de formulario 1.1'!$B176,$DQ176),#REF!,0),MATCH('Respuestas de formulario 1.1'!EY$1,#REF!,0)))</f>
        <v/>
      </c>
      <c r="EZ176" s="56" t="str">
        <f t="array" ref="EZ176">IF($DQ176="","", INDEX(#REF!,MATCH(CONCATENATE('Respuestas de formulario 1.1'!$B176,$DQ176),#REF!,0),MATCH('Respuestas de formulario 1.1'!EZ$1,#REF!,0)))</f>
        <v/>
      </c>
      <c r="FA176" s="56" t="str">
        <f t="array" ref="FA176">IF($DQ176="","", INDEX(#REF!,MATCH(CONCATENATE('Respuestas de formulario 1.1'!$B176,$DQ176),#REF!,0),MATCH('Respuestas de formulario 1.1'!FA$1,#REF!,0)))</f>
        <v/>
      </c>
      <c r="FB176" s="56" t="str">
        <f t="array" ref="FB176">IF($DQ176="","", INDEX(#REF!,MATCH(CONCATENATE('Respuestas de formulario 1.1'!$B176,$DQ176),#REF!,0),MATCH('Respuestas de formulario 1.1'!FB$1,#REF!,0)))</f>
        <v/>
      </c>
      <c r="FC176" s="56" t="str">
        <f t="array" ref="FC176">IF($DQ176="","", INDEX(#REF!,MATCH(CONCATENATE('Respuestas de formulario 1.1'!$B176,$DQ176),#REF!,0),MATCH('Respuestas de formulario 1.1'!FC$1,#REF!,0)))</f>
        <v/>
      </c>
      <c r="FD176" s="45" t="str">
        <f t="array" ref="FD176">IF($DQ176="","", INDEX(#REF!,MATCH(CONCATENATE('Respuestas de formulario 1.1'!$B176,$DQ176),#REF!,0),MATCH('Respuestas de formulario 1.1'!FD$1,#REF!,0)))</f>
        <v/>
      </c>
      <c r="FE176" s="45" t="str">
        <f t="array" ref="FE176">IF($DR176="","", INDEX(#REF!,MATCH(CONCATENATE(#REF!,$DR176),#REF!,0),MATCH(#REF!,#REF!,0)))</f>
        <v/>
      </c>
      <c r="FF176" s="56" t="str">
        <f t="array" ref="FF176">IF($DR176="","", INDEX(#REF!,MATCH(CONCATENATE(#REF!,$DR176),#REF!,0),MATCH(#REF!,#REF!,0)))</f>
        <v/>
      </c>
      <c r="FG176" s="56" t="str">
        <f t="array" ref="FG176">IF($DR176="","", INDEX(#REF!,MATCH(CONCATENATE(#REF!,$DR176),#REF!,0),MATCH(#REF!,#REF!,0)))</f>
        <v/>
      </c>
      <c r="FH176" s="56" t="str">
        <f t="array" ref="FH176">IF($DR176="","", INDEX(#REF!,MATCH(CONCATENATE(#REF!,$DR176),#REF!,0),MATCH(#REF!,#REF!,0)))</f>
        <v/>
      </c>
      <c r="FI176" s="56" t="str">
        <f t="array" ref="FI176">IF($DR176="","", INDEX(#REF!,MATCH(CONCATENATE(#REF!,$DR176),#REF!,0),MATCH(#REF!,#REF!,0)))</f>
        <v/>
      </c>
      <c r="FJ176" s="56" t="str">
        <f t="array" ref="FJ176">IF($DR176="","", INDEX(#REF!,MATCH(CONCATENATE(#REF!,$DR176),#REF!,0),MATCH(#REF!,#REF!,0)))</f>
        <v/>
      </c>
      <c r="FK176" s="45" t="str">
        <f t="array" ref="FK176">IF($DR176="","", INDEX(#REF!,MATCH(CONCATENATE(#REF!,$DR176),#REF!,0),MATCH(#REF!,#REF!,0)))</f>
        <v/>
      </c>
      <c r="FL176" s="45" t="str">
        <f t="array" ref="FL176">IF($DT176="","", INDEX(#REF!,MATCH(CONCATENATE('Respuestas de formulario 1.1'!$B176,$DS176),#REF!,0),MATCH('Respuestas de formulario 1.1'!FL$1,#REF!,0)))</f>
        <v/>
      </c>
      <c r="FM176" s="56" t="str">
        <f t="array" ref="FM176">IF($DT176="","", INDEX(#REF!,MATCH(CONCATENATE('Respuestas de formulario 1.1'!$B176,$DS176),#REF!,0),MATCH('Respuestas de formulario 1.1'!FM$1,#REF!,0)))</f>
        <v/>
      </c>
      <c r="FN176" s="56" t="str">
        <f t="array" ref="FN176">IF($DT176="","", INDEX(#REF!,MATCH(CONCATENATE('Respuestas de formulario 1.1'!$B176,$DS176),#REF!,0),MATCH('Respuestas de formulario 1.1'!FN$1,#REF!,0)))</f>
        <v/>
      </c>
      <c r="FO176" s="56" t="str">
        <f t="array" ref="FO176">IF($DT176="","", INDEX(#REF!,MATCH(CONCATENATE('Respuestas de formulario 1.1'!$B176,$DS176),#REF!,0),MATCH('Respuestas de formulario 1.1'!FO$1,#REF!,0)))</f>
        <v/>
      </c>
      <c r="FP176" s="56" t="str">
        <f t="array" ref="FP176">IF($DT176="","", INDEX(#REF!,MATCH(CONCATENATE('Respuestas de formulario 1.1'!$B176,$DS176),#REF!,0),MATCH('Respuestas de formulario 1.1'!FP$1,#REF!,0)))</f>
        <v/>
      </c>
      <c r="FQ176" s="56" t="str">
        <f t="array" ref="FQ176">IF($DT176="","", INDEX(#REF!,MATCH(CONCATENATE('Respuestas de formulario 1.1'!$B176,$DS176),#REF!,0),MATCH('Respuestas de formulario 1.1'!FQ$1,#REF!,0)))</f>
        <v/>
      </c>
      <c r="FR176" s="45" t="str">
        <f t="array" ref="FR176">IF($DT176="","", INDEX(#REF!,MATCH(CONCATENATE('Respuestas de formulario 1.1'!$B176,$DS176),#REF!,0),MATCH('Respuestas de formulario 1.1'!FR$1,#REF!,0)))</f>
        <v/>
      </c>
      <c r="FS176" s="45" t="str">
        <f t="array" ref="FS176">IF($DU176="","", INDEX(#REF!,MATCH(CONCATENATE('Respuestas de formulario 1.1'!$B176,$DT176),#REF!,0),MATCH('Respuestas de formulario 1.1'!FS$1,#REF!,0)))</f>
        <v/>
      </c>
      <c r="FT176" s="56" t="str">
        <f t="array" ref="FT176">IF($DU176="","", INDEX(#REF!,MATCH(CONCATENATE('Respuestas de formulario 1.1'!$B176,$DT176),#REF!,0),MATCH('Respuestas de formulario 1.1'!FT$1,#REF!,0)))</f>
        <v/>
      </c>
      <c r="FU176" s="56" t="str">
        <f t="array" ref="FU176">IF($DU176="","", INDEX(#REF!,MATCH(CONCATENATE('Respuestas de formulario 1.1'!$B176,$DT176),#REF!,0),MATCH('Respuestas de formulario 1.1'!FU$1,#REF!,0)))</f>
        <v/>
      </c>
      <c r="FV176" s="56" t="str">
        <f t="array" ref="FV176">IF($DU176="","", INDEX(#REF!,MATCH(CONCATENATE('Respuestas de formulario 1.1'!$B176,$DT176),#REF!,0),MATCH('Respuestas de formulario 1.1'!FV$1,#REF!,0)))</f>
        <v/>
      </c>
      <c r="FW176" s="56" t="str">
        <f t="array" ref="FW176">IF($DU176="","", INDEX(#REF!,MATCH(CONCATENATE('Respuestas de formulario 1.1'!$B176,$DT176),#REF!,0),MATCH('Respuestas de formulario 1.1'!FW$1,#REF!,0)))</f>
        <v/>
      </c>
      <c r="FX176" s="56" t="str">
        <f t="array" ref="FX176">IF($DU176="","", INDEX(#REF!,MATCH(CONCATENATE('Respuestas de formulario 1.1'!$B176,$DT176),#REF!,0),MATCH('Respuestas de formulario 1.1'!FX$1,#REF!,0)))</f>
        <v/>
      </c>
      <c r="FY176" s="45" t="str">
        <f t="array" ref="FY176">IF($DU176="","", INDEX(#REF!,MATCH(CONCATENATE('Respuestas de formulario 1.1'!$B176,$DT176),#REF!,0),MATCH('Respuestas de formulario 1.1'!FY$1,#REF!,0)))</f>
        <v/>
      </c>
      <c r="FZ176" s="3" t="s">
        <v>2860</v>
      </c>
      <c r="GA176" s="1" t="s">
        <v>5874</v>
      </c>
      <c r="GB176" s="5" t="s">
        <v>5875</v>
      </c>
      <c r="GC176" s="4" t="str">
        <f>HYPERLINK("https://drive.google.com/file/d/1AQ_VjnlIsBBRsEl8fUi6Awy9EhielvSr/view?usp=drivesdk","CORDOVA  PEREZ KARLA BELEN Formato de reinscripción y pago 2022-2")</f>
        <v>CORDOVA  PEREZ KARLA BELEN Formato de reinscripción y pago 2022-2</v>
      </c>
      <c r="GD176" s="1" t="s">
        <v>5876</v>
      </c>
      <c r="GE176" s="1"/>
      <c r="GF176" s="1"/>
      <c r="GG176" s="1"/>
      <c r="GH176" s="1"/>
      <c r="GI176" s="1" t="s">
        <v>5877</v>
      </c>
      <c r="GJ176" s="5" t="s">
        <v>5878</v>
      </c>
      <c r="GK176" s="5" t="str">
        <f>HYPERLINK("https://drive.google.com/file/d/1W0nfBj92dAfTfwbFMwiZhnRN-BngIYKS/view?usp=drivesdk","CORDOVA  PEREZ KARLA BELEN Formato de reinscripción y pago 2022-2")</f>
        <v>CORDOVA  PEREZ KARLA BELEN Formato de reinscripción y pago 2022-2</v>
      </c>
      <c r="GL176" s="1" t="s">
        <v>5879</v>
      </c>
    </row>
    <row r="177" spans="1:194" ht="38.25" x14ac:dyDescent="0.2">
      <c r="A177" s="2">
        <v>45139.486174166668</v>
      </c>
      <c r="B177" s="1" t="s">
        <v>2436</v>
      </c>
      <c r="C177" s="1" t="s">
        <v>485</v>
      </c>
      <c r="D177" s="1" t="s">
        <v>927</v>
      </c>
      <c r="E177" s="1" t="s">
        <v>2437</v>
      </c>
      <c r="F177" s="1" t="s">
        <v>223</v>
      </c>
      <c r="G177" s="5" t="s">
        <v>5880</v>
      </c>
      <c r="H177" s="41">
        <v>39375</v>
      </c>
      <c r="I177" s="1">
        <v>15</v>
      </c>
      <c r="J177" s="1">
        <v>5584676433</v>
      </c>
      <c r="K177" s="1">
        <v>5578042832</v>
      </c>
      <c r="L177" s="1" t="s">
        <v>2438</v>
      </c>
      <c r="M177" s="1">
        <v>22309060570155</v>
      </c>
      <c r="N177" s="1" t="s">
        <v>562</v>
      </c>
      <c r="O177" s="1" t="s">
        <v>247</v>
      </c>
      <c r="P177" s="1" t="s">
        <v>278</v>
      </c>
      <c r="Q177" s="1" t="s">
        <v>248</v>
      </c>
      <c r="R177" s="1" t="s">
        <v>236</v>
      </c>
      <c r="S177" s="1" t="s">
        <v>228</v>
      </c>
      <c r="T177" s="1" t="s">
        <v>229</v>
      </c>
      <c r="U177" s="1" t="s">
        <v>249</v>
      </c>
      <c r="V177" s="1" t="s">
        <v>228</v>
      </c>
      <c r="W177" s="1" t="s">
        <v>2601</v>
      </c>
      <c r="X177" s="1" t="s">
        <v>249</v>
      </c>
      <c r="Y177" s="1" t="s">
        <v>1379</v>
      </c>
      <c r="Z177" s="1" t="s">
        <v>240</v>
      </c>
      <c r="AA177" s="44" t="s">
        <v>475</v>
      </c>
      <c r="AB177" s="1">
        <v>13</v>
      </c>
      <c r="AC177" s="1" t="s">
        <v>450</v>
      </c>
      <c r="AD177" s="1" t="s">
        <v>5881</v>
      </c>
      <c r="AE177" s="1" t="s">
        <v>5882</v>
      </c>
      <c r="AF177" s="1" t="s">
        <v>445</v>
      </c>
      <c r="AG177" s="1">
        <v>46</v>
      </c>
      <c r="AH177" s="5" t="s">
        <v>5883</v>
      </c>
      <c r="AI177" s="1">
        <v>5578042832</v>
      </c>
      <c r="AJ177" s="1">
        <v>5578042832</v>
      </c>
      <c r="AK177" s="1" t="s">
        <v>2441</v>
      </c>
      <c r="AL177" s="1" t="s">
        <v>604</v>
      </c>
      <c r="AM177" s="1" t="s">
        <v>927</v>
      </c>
      <c r="AN177" s="1" t="s">
        <v>1751</v>
      </c>
      <c r="AO177" s="1" t="s">
        <v>758</v>
      </c>
      <c r="AP177" s="1">
        <v>23</v>
      </c>
      <c r="AQ177" s="1" t="s">
        <v>1044</v>
      </c>
      <c r="AR177" s="42">
        <v>0</v>
      </c>
      <c r="AS177" s="42">
        <v>0</v>
      </c>
      <c r="AT177" s="1">
        <v>5561492678</v>
      </c>
      <c r="AU177" s="1">
        <v>5561492678</v>
      </c>
      <c r="AV177" s="1" t="s">
        <v>2439</v>
      </c>
      <c r="AW177" s="5" t="s">
        <v>5884</v>
      </c>
      <c r="AX177" s="1" t="s">
        <v>927</v>
      </c>
      <c r="AY177" s="1" t="s">
        <v>2440</v>
      </c>
      <c r="AZ177" s="1" t="s">
        <v>1563</v>
      </c>
      <c r="BA177" s="1" t="s">
        <v>336</v>
      </c>
      <c r="BB177" s="1">
        <v>49</v>
      </c>
      <c r="BC177" s="1" t="s">
        <v>454</v>
      </c>
      <c r="BD177" s="43">
        <v>0.33333333333575865</v>
      </c>
      <c r="BE177" s="43">
        <v>0.25</v>
      </c>
      <c r="BF177" s="1">
        <v>5545865385</v>
      </c>
      <c r="BG177" s="1">
        <v>5545865385</v>
      </c>
      <c r="BH177" s="1" t="s">
        <v>5885</v>
      </c>
      <c r="BI177" s="5" t="s">
        <v>5886</v>
      </c>
      <c r="BJ177" s="1" t="s">
        <v>236</v>
      </c>
      <c r="BK177" s="1" t="s">
        <v>450</v>
      </c>
      <c r="BL177" s="1">
        <v>1.59</v>
      </c>
      <c r="BM177" s="1">
        <v>49</v>
      </c>
      <c r="BN177" s="1" t="s">
        <v>228</v>
      </c>
      <c r="BO177" s="1" t="s">
        <v>228</v>
      </c>
      <c r="BP177" s="1" t="s">
        <v>450</v>
      </c>
      <c r="BQ177" s="1" t="s">
        <v>228</v>
      </c>
      <c r="BR177" s="1" t="s">
        <v>237</v>
      </c>
      <c r="BS177" s="1" t="s">
        <v>228</v>
      </c>
      <c r="BT177" s="1" t="s">
        <v>237</v>
      </c>
      <c r="BU177" s="1" t="s">
        <v>228</v>
      </c>
      <c r="BW177" s="1" t="s">
        <v>238</v>
      </c>
      <c r="BX177" s="1">
        <v>40</v>
      </c>
      <c r="BY177" s="1">
        <v>320</v>
      </c>
      <c r="BZ177" s="1" t="s">
        <v>298</v>
      </c>
      <c r="CA177" s="1" t="s">
        <v>1414</v>
      </c>
      <c r="CB177" s="1" t="s">
        <v>231</v>
      </c>
      <c r="CC177" s="1" t="s">
        <v>1283</v>
      </c>
      <c r="CD177" s="1">
        <v>1500</v>
      </c>
      <c r="CE177" s="1">
        <v>2480</v>
      </c>
      <c r="CF177" s="1" t="s">
        <v>236</v>
      </c>
      <c r="CG177" s="1" t="s">
        <v>242</v>
      </c>
      <c r="CH177" s="1" t="s">
        <v>243</v>
      </c>
      <c r="CI177" s="1" t="s">
        <v>243</v>
      </c>
      <c r="CJ177" s="1" t="s">
        <v>2848</v>
      </c>
      <c r="CL177" s="5" t="s">
        <v>5887</v>
      </c>
      <c r="CM177" s="44" t="s">
        <v>2443</v>
      </c>
      <c r="CN177" s="1" t="s">
        <v>228</v>
      </c>
      <c r="CQ177" s="42">
        <v>0.125</v>
      </c>
      <c r="CR177" s="42">
        <v>0.45833333333575865</v>
      </c>
      <c r="CT177" s="45" t="str">
        <f t="array" ref="CT177">IFERROR(INDEX(#REF!,MATCH('Respuestas de formulario 1.1'!$B177,#REF!,0),MATCH('Respuestas de formulario 1.1'!CT$1,#REF!,0)),"")</f>
        <v/>
      </c>
      <c r="CU177" s="56" t="str">
        <f t="array" ref="CU177">IFERROR(INDEX(#REF!,MATCH('Respuestas de formulario 1.1'!$B177,#REF!,0),MATCH('Respuestas de formulario 1.1'!CU$1,#REF!,0)),"")</f>
        <v/>
      </c>
      <c r="CV177" s="56" t="str">
        <f t="array" ref="CV177">IFERROR(INDEX(#REF!,MATCH('Respuestas de formulario 1.1'!$B177,#REF!,0),MATCH('Respuestas de formulario 1.1'!CV$1,#REF!,0)),"")</f>
        <v/>
      </c>
      <c r="CW177" s="56" t="str">
        <f t="array" ref="CW177">IFERROR(INDEX(#REF!,MATCH('Respuestas de formulario 1.1'!$B177,#REF!,0),MATCH('Respuestas de formulario 1.1'!CW$1,#REF!,0)),"")</f>
        <v/>
      </c>
      <c r="CX177" s="56" t="str">
        <f t="array" ref="CX177">IFERROR(INDEX(#REF!,MATCH('Respuestas de formulario 1.1'!$B177,#REF!,0),MATCH('Respuestas de formulario 1.1'!CX$1,#REF!,0)),"")</f>
        <v/>
      </c>
      <c r="CY177" s="56" t="str">
        <f t="array" ref="CY177">IFERROR(INDEX(#REF!,MATCH('Respuestas de formulario 1.1'!$B177,#REF!,0),MATCH('Respuestas de formulario 1.1'!CY$1,#REF!,0)),"")</f>
        <v/>
      </c>
      <c r="CZ177" s="57" t="str">
        <f t="array" ref="CZ177">IFERROR(INDEX(#REF!,MATCH('Respuestas de formulario 1.1'!$B177,#REF!,0),MATCH('Respuestas de formulario 1.1'!CZ$1,#REF!,0)),"")</f>
        <v/>
      </c>
      <c r="DA177" s="45" t="e">
        <f t="array" ref="DA177">INDEX(#REF!,MATCH('Respuestas de formulario 1.1'!$B177,#REF!,0),MATCH('Respuestas de formulario 1.1'!DA$1,#REF!,0))</f>
        <v>#REF!</v>
      </c>
      <c r="DB177" s="45" t="e">
        <f t="array" ref="DB177">INDEX(#REF!,MATCH('Respuestas de formulario 1.1'!$B177,#REF!,0),MATCH('Respuestas de formulario 1.1'!DB$1,#REF!,0))</f>
        <v>#REF!</v>
      </c>
      <c r="DC177" s="45" t="e">
        <f t="array" ref="DC177">INDEX(#REF!,MATCH('Respuestas de formulario 1.1'!$B177,#REF!,0),MATCH('Respuestas de formulario 1.1'!DC$1,#REF!,0))</f>
        <v>#REF!</v>
      </c>
      <c r="DD177" s="45" t="e">
        <f t="array" ref="DD177">INDEX(#REF!,MATCH('Respuestas de formulario 1.1'!$B177,#REF!,0),MATCH('Respuestas de formulario 1.1'!DD$1,#REF!,0))</f>
        <v>#REF!</v>
      </c>
      <c r="DE177" s="45" t="e">
        <f t="array" ref="DE177">INDEX(#REF!,MATCH('Respuestas de formulario 1.1'!$B177,#REF!,0),MATCH('Respuestas de formulario 1.1'!DE$1,#REF!,0))</f>
        <v>#REF!</v>
      </c>
      <c r="DF177" s="45" t="e">
        <f t="array" ref="DF177">INDEX(#REF!,MATCH('Respuestas de formulario 1.1'!$B177,#REF!,0),MATCH('Respuestas de formulario 1.1'!DF$1,#REF!,0))</f>
        <v>#REF!</v>
      </c>
      <c r="DG177" s="45" t="e">
        <f t="array" ref="DG177">INDEX(#REF!,MATCH('Respuestas de formulario 1.1'!$B177,#REF!,0),MATCH('Respuestas de formulario 1.1'!DG$1,#REF!,0))</f>
        <v>#REF!</v>
      </c>
      <c r="DH177" s="45" t="e">
        <f t="array" ref="DH177">INDEX(#REF!,MATCH('Respuestas de formulario 1.1'!$B177,#REF!,0),MATCH('Respuestas de formulario 1.1'!DH$1,#REF!,0))</f>
        <v>#REF!</v>
      </c>
      <c r="DI177" s="48" t="e">
        <f>VLOOKUP(CONCATENATE($DF177," TUTO ",$DC177),#REF!,3,0)</f>
        <v>#REF!</v>
      </c>
      <c r="DJ177" s="48" t="e">
        <f t="array" ref="DJ177">IF('Respuestas de formulario 1.1'!A177="","",INDEX(#REF!,MATCH('Respuestas de formulario 1.1'!B177,#REF!,0),MATCH('Respuestas de formulario 1.1'!$DH$1,#REF!,0)))</f>
        <v>#REF!</v>
      </c>
      <c r="DK177" s="52" t="str">
        <f>CONCATENATE("http://doc.google.com/uc?id=",MID('Respuestas de formulario 1.1'!G177,34,33))</f>
        <v>http://doc.google.com/uc?id=1lI0AGm_ghfO4byLLZV3g2_EplVePmEkp</v>
      </c>
      <c r="DL177" s="49" t="str">
        <f>CONCATENATE("http://doc.google.com/uc?id=",MID('Respuestas de formulario 1.1'!AH177,34,33))</f>
        <v>http://doc.google.com/uc?id=1mFvC3LQSd2vVyMYiJyWHN0QrerdSwGqF</v>
      </c>
      <c r="DM177" s="50" t="str">
        <f>CONCATENATE("http://doc.google.com/uc?id=",MID('Respuestas de formulario 1.1'!AW177,34,33))</f>
        <v>http://doc.google.com/uc?id=1xp1olyhN8qWCkLq_7P4QPCJC89Lk1pH4</v>
      </c>
      <c r="DN177" s="53" t="str">
        <f>CONCATENATE("http://doc.google.com/uc?id=",MID('Respuestas de formulario 1.1'!$BI177,34,33))</f>
        <v>http://doc.google.com/uc?id=1AWFvWAkpQoFnzAxBnxJw4rt3UcGCRTNO</v>
      </c>
      <c r="DO177" s="45" t="str">
        <f>IFERROR(VLOOKUP(CONCATENATE('Respuestas de formulario 1.1'!$B177,MID('Respuestas de formulario 1.1'!DO$1,2,1)),#REF!,12,0),"")</f>
        <v/>
      </c>
      <c r="DP177" s="45" t="str">
        <f>IFERROR(VLOOKUP(CONCATENATE('Respuestas de formulario 1.1'!$B177,MID('Respuestas de formulario 1.1'!DP$1,2,1)),#REF!,12,0),"")</f>
        <v/>
      </c>
      <c r="DQ177" s="45" t="str">
        <f>IFERROR(VLOOKUP(CONCATENATE('Respuestas de formulario 1.1'!$B177,MID('Respuestas de formulario 1.1'!DQ$1,2,1)),#REF!,12,0),"")</f>
        <v/>
      </c>
      <c r="DR177" s="45" t="str">
        <f>IFERROR(VLOOKUP(CONCATENATE('Respuestas de formulario 1.1'!$B177,MID('Respuestas de formulario 1.1'!DR$1,2,1)),#REF!,12,0),"")</f>
        <v/>
      </c>
      <c r="DS177" s="45" t="str">
        <f>IFERROR(VLOOKUP(CONCATENATE('Respuestas de formulario 1.1'!$B177,MID('Respuestas de formulario 1.1'!DS$1,2,1)),#REF!,12,0),"")</f>
        <v/>
      </c>
      <c r="DT177" s="45" t="str">
        <f>IFERROR(VLOOKUP(CONCATENATE('Respuestas de formulario 1.1'!$B177,MID('Respuestas de formulario 1.1'!DT$1,2,1)),#REF!,12,0),"")</f>
        <v/>
      </c>
      <c r="DU177" s="45" t="str">
        <f>IFERROR(VLOOKUP(CONCATENATE('Respuestas de formulario 1.1'!$B177,MID('Respuestas de formulario 1.1'!DU$1,2,1)),#REF!,12,0),"")</f>
        <v/>
      </c>
      <c r="DV177" s="45" t="str">
        <f>IFERROR(VLOOKUP(CONCATENATE('Respuestas de formulario 1.1'!$B177,MID('Respuestas de formulario 1.1'!DV$1,2,1)),#REF!,12,0),"")</f>
        <v/>
      </c>
      <c r="DW177" s="45" t="str">
        <f>IFERROR(VLOOKUP(CONCATENATE('Respuestas de formulario 1.1'!$B177,MID('Respuestas de formulario 1.1'!DW$1,2,1)),#REF!,12,0),"")</f>
        <v/>
      </c>
      <c r="DX177" s="45" t="str">
        <f>IFERROR(VLOOKUP(CONCATENATE('Respuestas de formulario 1.1'!$B177,MID('Respuestas de formulario 1.1'!DX$1,2,1)),#REF!,12,0),"")</f>
        <v/>
      </c>
      <c r="DY177" s="45" t="str">
        <f>IFERROR(VLOOKUP(CONCATENATE('Respuestas de formulario 1.1'!$B177,MID('Respuestas de formulario 1.1'!DY$1,2,1)),#REF!,12,0),"")</f>
        <v/>
      </c>
      <c r="DZ177" s="45" t="str">
        <f>IFERROR(VLOOKUP(CONCATENATE('Respuestas de formulario 1.1'!$B177,MID('Respuestas de formulario 1.1'!DZ$1,2,1)),#REF!,12,0),"")</f>
        <v/>
      </c>
      <c r="EA177" s="45" t="str">
        <f>IFERROR(VLOOKUP(CONCATENATE('Respuestas de formulario 1.1'!$B177,MID('Respuestas de formulario 1.1'!EA$1,2,1)),#REF!,12,0),"")</f>
        <v/>
      </c>
      <c r="EB177" s="45" t="str">
        <f>IFERROR(VLOOKUP(CONCATENATE('Respuestas de formulario 1.1'!$B177,MID('Respuestas de formulario 1.1'!EB$1,2,1)),#REF!,12,0),"")</f>
        <v/>
      </c>
      <c r="EC177" s="45" t="str">
        <f>IFERROR(VLOOKUP(CONCATENATE('Respuestas de formulario 1.1'!$B177,MID('Respuestas de formulario 1.1'!EC$1,2,1)),#REF!,12,0),"")</f>
        <v/>
      </c>
      <c r="ED177" s="45" t="str">
        <f>IFERROR(VLOOKUP(CONCATENATE('Respuestas de formulario 1.1'!$B177,MID('Respuestas de formulario 1.1'!ED$1,2,1)),#REF!,12,0),"")</f>
        <v/>
      </c>
      <c r="EE177" s="45" t="str">
        <f>IFERROR(VLOOKUP(CONCATENATE('Respuestas de formulario 1.1'!$B177,MID('Respuestas de formulario 1.1'!EE$1,2,1)),#REF!,12,0),"")</f>
        <v/>
      </c>
      <c r="EF177" s="45" t="str">
        <f>IFERROR(VLOOKUP(CONCATENATE('Respuestas de formulario 1.1'!$B177,MID('Respuestas de formulario 1.1'!EF$1,2,1)),#REF!,12,0),"")</f>
        <v/>
      </c>
      <c r="EG177" s="45" t="str">
        <f>IFERROR(VLOOKUP(CONCATENATE('Respuestas de formulario 1.1'!$B177,MID('Respuestas de formulario 1.1'!EG$1,2,1)),#REF!,12,0),"")</f>
        <v/>
      </c>
      <c r="EH177" s="45" t="str">
        <f>IFERROR(VLOOKUP(CONCATENATE('Respuestas de formulario 1.1'!$B177,MID('Respuestas de formulario 1.1'!EH$1,2,1)),#REF!,12,0),"")</f>
        <v/>
      </c>
      <c r="EI177" s="45" t="str">
        <f>IFERROR(VLOOKUP(CONCATENATE('Respuestas de formulario 1.1'!$B177,MID('Respuestas de formulario 1.1'!EI$1,2,1)),#REF!,12,0),"")</f>
        <v/>
      </c>
      <c r="EJ177" s="45" t="str">
        <f t="array" ref="EJ177">IF(DO177="","", INDEX(#REF!,MATCH(CONCATENATE('Respuestas de formulario 1.1'!$B177,DO177),#REF!,0),MATCH('Respuestas de formulario 1.1'!EJ$1,#REF!,0)))</f>
        <v/>
      </c>
      <c r="EK177" s="56" t="str">
        <f t="array" ref="EK177">IF(DP177="","", INDEX(#REF!,MATCH(CONCATENATE('Respuestas de formulario 1.1'!$B177,DP177),#REF!,0),MATCH('Respuestas de formulario 1.1'!EK$1,#REF!,0)))</f>
        <v/>
      </c>
      <c r="EL177" s="56" t="str">
        <f t="array" ref="EL177">IF(DQ177="","", INDEX(#REF!,MATCH(CONCATENATE('Respuestas de formulario 1.1'!$B177,DQ177),#REF!,0),MATCH('Respuestas de formulario 1.1'!EL$1,#REF!,0)))</f>
        <v/>
      </c>
      <c r="EM177" s="56" t="str">
        <f t="array" ref="EM177">IF(DR177="","", INDEX(#REF!,MATCH(CONCATENATE('Respuestas de formulario 1.1'!$B177,DR177),#REF!,0),MATCH('Respuestas de formulario 1.1'!EM$1,#REF!,0)))</f>
        <v/>
      </c>
      <c r="EN177" s="56" t="str">
        <f t="array" ref="EN177">IF(DS177="","", INDEX(#REF!,MATCH(CONCATENATE('Respuestas de formulario 1.1'!$B177,DS177),#REF!,0),MATCH('Respuestas de formulario 1.1'!EN$1,#REF!,0)))</f>
        <v/>
      </c>
      <c r="EO177" s="56" t="str">
        <f t="array" ref="EO177">IF(DT177="","", INDEX(#REF!,MATCH(CONCATENATE('Respuestas de formulario 1.1'!$B177,DT177),#REF!,0),MATCH('Respuestas de formulario 1.1'!EO$1,#REF!,0)))</f>
        <v/>
      </c>
      <c r="EP177" s="45" t="str">
        <f t="array" ref="EP177">IF(DU177="","", INDEX(#REF!,MATCH(CONCATENATE('Respuestas de formulario 1.1'!$B177,DU177),#REF!,0),MATCH('Respuestas de formulario 1.1'!EP$1,#REF!,0)))</f>
        <v/>
      </c>
      <c r="EQ177" s="45" t="str">
        <f t="array" ref="EQ177">IF(DP177="","", INDEX(#REF!,MATCH(CONCATENATE('Respuestas de formulario 1.1'!$B177,DP177),#REF!,0),MATCH('Respuestas de formulario 1.1'!EQ$1,#REF!,0)))</f>
        <v/>
      </c>
      <c r="ER177" s="56" t="str">
        <f t="array" ref="ER177">IF(DQ177="","", INDEX(#REF!,MATCH(CONCATENATE('Respuestas de formulario 1.1'!$B177,DQ177),#REF!,0),MATCH('Respuestas de formulario 1.1'!ER$1,#REF!,0)))</f>
        <v/>
      </c>
      <c r="ES177" s="56" t="str">
        <f t="array" ref="ES177">IF(DR177="","", INDEX(#REF!,MATCH(CONCATENATE('Respuestas de formulario 1.1'!$B177,DR177),#REF!,0),MATCH('Respuestas de formulario 1.1'!ES$1,#REF!,0)))</f>
        <v/>
      </c>
      <c r="ET177" s="56" t="str">
        <f t="array" ref="ET177">IF(DS177="","", INDEX(#REF!,MATCH(CONCATENATE('Respuestas de formulario 1.1'!$B177,DS177),#REF!,0),MATCH('Respuestas de formulario 1.1'!ET$1,#REF!,0)))</f>
        <v/>
      </c>
      <c r="EU177" s="56" t="str">
        <f t="array" ref="EU177">IF(DT177="","", INDEX(#REF!,MATCH(CONCATENATE('Respuestas de formulario 1.1'!$B177,DT177),#REF!,0),MATCH('Respuestas de formulario 1.1'!EU$1,#REF!,0)))</f>
        <v/>
      </c>
      <c r="EV177" s="56" t="str">
        <f t="array" ref="EV177">IF(DU177="","", INDEX(#REF!,MATCH(CONCATENATE('Respuestas de formulario 1.1'!$B177,DU177),#REF!,0),MATCH('Respuestas de formulario 1.1'!EV$1,#REF!,0)))</f>
        <v/>
      </c>
      <c r="EW177" s="45" t="str">
        <f t="array" ref="EW177">IF(DV177="","", INDEX(#REF!,MATCH(CONCATENATE('Respuestas de formulario 1.1'!$B177,DV177),#REF!,0),MATCH('Respuestas de formulario 1.1'!EW$1,#REF!,0)))</f>
        <v/>
      </c>
      <c r="EX177" s="45" t="str">
        <f t="array" ref="EX177">IF($DQ177="","", INDEX(#REF!,MATCH(CONCATENATE('Respuestas de formulario 1.1'!$B177,$DQ177),#REF!,0),MATCH('Respuestas de formulario 1.1'!EX$1,#REF!,0)))</f>
        <v/>
      </c>
      <c r="EY177" s="56" t="str">
        <f t="array" ref="EY177">IF($DQ177="","", INDEX(#REF!,MATCH(CONCATENATE('Respuestas de formulario 1.1'!$B177,$DQ177),#REF!,0),MATCH('Respuestas de formulario 1.1'!EY$1,#REF!,0)))</f>
        <v/>
      </c>
      <c r="EZ177" s="56" t="str">
        <f t="array" ref="EZ177">IF($DQ177="","", INDEX(#REF!,MATCH(CONCATENATE('Respuestas de formulario 1.1'!$B177,$DQ177),#REF!,0),MATCH('Respuestas de formulario 1.1'!EZ$1,#REF!,0)))</f>
        <v/>
      </c>
      <c r="FA177" s="56" t="str">
        <f t="array" ref="FA177">IF($DQ177="","", INDEX(#REF!,MATCH(CONCATENATE('Respuestas de formulario 1.1'!$B177,$DQ177),#REF!,0),MATCH('Respuestas de formulario 1.1'!FA$1,#REF!,0)))</f>
        <v/>
      </c>
      <c r="FB177" s="56" t="str">
        <f t="array" ref="FB177">IF($DQ177="","", INDEX(#REF!,MATCH(CONCATENATE('Respuestas de formulario 1.1'!$B177,$DQ177),#REF!,0),MATCH('Respuestas de formulario 1.1'!FB$1,#REF!,0)))</f>
        <v/>
      </c>
      <c r="FC177" s="56" t="str">
        <f t="array" ref="FC177">IF($DQ177="","", INDEX(#REF!,MATCH(CONCATENATE('Respuestas de formulario 1.1'!$B177,$DQ177),#REF!,0),MATCH('Respuestas de formulario 1.1'!FC$1,#REF!,0)))</f>
        <v/>
      </c>
      <c r="FD177" s="45" t="str">
        <f t="array" ref="FD177">IF($DQ177="","", INDEX(#REF!,MATCH(CONCATENATE('Respuestas de formulario 1.1'!$B177,$DQ177),#REF!,0),MATCH('Respuestas de formulario 1.1'!FD$1,#REF!,0)))</f>
        <v/>
      </c>
      <c r="FE177" s="45" t="str">
        <f t="array" ref="FE177">IF($DR177="","", INDEX(#REF!,MATCH(CONCATENATE(#REF!,$DR177),#REF!,0),MATCH(#REF!,#REF!,0)))</f>
        <v/>
      </c>
      <c r="FF177" s="56" t="str">
        <f t="array" ref="FF177">IF($DR177="","", INDEX(#REF!,MATCH(CONCATENATE(#REF!,$DR177),#REF!,0),MATCH(#REF!,#REF!,0)))</f>
        <v/>
      </c>
      <c r="FG177" s="56" t="str">
        <f t="array" ref="FG177">IF($DR177="","", INDEX(#REF!,MATCH(CONCATENATE(#REF!,$DR177),#REF!,0),MATCH(#REF!,#REF!,0)))</f>
        <v/>
      </c>
      <c r="FH177" s="56" t="str">
        <f t="array" ref="FH177">IF($DR177="","", INDEX(#REF!,MATCH(CONCATENATE(#REF!,$DR177),#REF!,0),MATCH(#REF!,#REF!,0)))</f>
        <v/>
      </c>
      <c r="FI177" s="56" t="str">
        <f t="array" ref="FI177">IF($DR177="","", INDEX(#REF!,MATCH(CONCATENATE(#REF!,$DR177),#REF!,0),MATCH(#REF!,#REF!,0)))</f>
        <v/>
      </c>
      <c r="FJ177" s="56" t="str">
        <f t="array" ref="FJ177">IF($DR177="","", INDEX(#REF!,MATCH(CONCATENATE(#REF!,$DR177),#REF!,0),MATCH(#REF!,#REF!,0)))</f>
        <v/>
      </c>
      <c r="FK177" s="45" t="str">
        <f t="array" ref="FK177">IF($DR177="","", INDEX(#REF!,MATCH(CONCATENATE(#REF!,$DR177),#REF!,0),MATCH(#REF!,#REF!,0)))</f>
        <v/>
      </c>
      <c r="FL177" s="45" t="str">
        <f t="array" ref="FL177">IF($DT177="","", INDEX(#REF!,MATCH(CONCATENATE('Respuestas de formulario 1.1'!$B177,$DS177),#REF!,0),MATCH('Respuestas de formulario 1.1'!FL$1,#REF!,0)))</f>
        <v/>
      </c>
      <c r="FM177" s="56" t="str">
        <f t="array" ref="FM177">IF($DT177="","", INDEX(#REF!,MATCH(CONCATENATE('Respuestas de formulario 1.1'!$B177,$DS177),#REF!,0),MATCH('Respuestas de formulario 1.1'!FM$1,#REF!,0)))</f>
        <v/>
      </c>
      <c r="FN177" s="56" t="str">
        <f t="array" ref="FN177">IF($DT177="","", INDEX(#REF!,MATCH(CONCATENATE('Respuestas de formulario 1.1'!$B177,$DS177),#REF!,0),MATCH('Respuestas de formulario 1.1'!FN$1,#REF!,0)))</f>
        <v/>
      </c>
      <c r="FO177" s="56" t="str">
        <f t="array" ref="FO177">IF($DT177="","", INDEX(#REF!,MATCH(CONCATENATE('Respuestas de formulario 1.1'!$B177,$DS177),#REF!,0),MATCH('Respuestas de formulario 1.1'!FO$1,#REF!,0)))</f>
        <v/>
      </c>
      <c r="FP177" s="56" t="str">
        <f t="array" ref="FP177">IF($DT177="","", INDEX(#REF!,MATCH(CONCATENATE('Respuestas de formulario 1.1'!$B177,$DS177),#REF!,0),MATCH('Respuestas de formulario 1.1'!FP$1,#REF!,0)))</f>
        <v/>
      </c>
      <c r="FQ177" s="56" t="str">
        <f t="array" ref="FQ177">IF($DT177="","", INDEX(#REF!,MATCH(CONCATENATE('Respuestas de formulario 1.1'!$B177,$DS177),#REF!,0),MATCH('Respuestas de formulario 1.1'!FQ$1,#REF!,0)))</f>
        <v/>
      </c>
      <c r="FR177" s="45" t="str">
        <f t="array" ref="FR177">IF($DT177="","", INDEX(#REF!,MATCH(CONCATENATE('Respuestas de formulario 1.1'!$B177,$DS177),#REF!,0),MATCH('Respuestas de formulario 1.1'!FR$1,#REF!,0)))</f>
        <v/>
      </c>
      <c r="FS177" s="45" t="str">
        <f t="array" ref="FS177">IF($DU177="","", INDEX(#REF!,MATCH(CONCATENATE('Respuestas de formulario 1.1'!$B177,$DT177),#REF!,0),MATCH('Respuestas de formulario 1.1'!FS$1,#REF!,0)))</f>
        <v/>
      </c>
      <c r="FT177" s="56" t="str">
        <f t="array" ref="FT177">IF($DU177="","", INDEX(#REF!,MATCH(CONCATENATE('Respuestas de formulario 1.1'!$B177,$DT177),#REF!,0),MATCH('Respuestas de formulario 1.1'!FT$1,#REF!,0)))</f>
        <v/>
      </c>
      <c r="FU177" s="56" t="str">
        <f t="array" ref="FU177">IF($DU177="","", INDEX(#REF!,MATCH(CONCATENATE('Respuestas de formulario 1.1'!$B177,$DT177),#REF!,0),MATCH('Respuestas de formulario 1.1'!FU$1,#REF!,0)))</f>
        <v/>
      </c>
      <c r="FV177" s="56" t="str">
        <f t="array" ref="FV177">IF($DU177="","", INDEX(#REF!,MATCH(CONCATENATE('Respuestas de formulario 1.1'!$B177,$DT177),#REF!,0),MATCH('Respuestas de formulario 1.1'!FV$1,#REF!,0)))</f>
        <v/>
      </c>
      <c r="FW177" s="56" t="str">
        <f t="array" ref="FW177">IF($DU177="","", INDEX(#REF!,MATCH(CONCATENATE('Respuestas de formulario 1.1'!$B177,$DT177),#REF!,0),MATCH('Respuestas de formulario 1.1'!FW$1,#REF!,0)))</f>
        <v/>
      </c>
      <c r="FX177" s="56" t="str">
        <f t="array" ref="FX177">IF($DU177="","", INDEX(#REF!,MATCH(CONCATENATE('Respuestas de formulario 1.1'!$B177,$DT177),#REF!,0),MATCH('Respuestas de formulario 1.1'!FX$1,#REF!,0)))</f>
        <v/>
      </c>
      <c r="FY177" s="45" t="str">
        <f t="array" ref="FY177">IF($DU177="","", INDEX(#REF!,MATCH(CONCATENATE('Respuestas de formulario 1.1'!$B177,$DT177),#REF!,0),MATCH('Respuestas de formulario 1.1'!FY$1,#REF!,0)))</f>
        <v/>
      </c>
      <c r="FZ177" s="3" t="s">
        <v>2860</v>
      </c>
      <c r="GA177" s="1" t="s">
        <v>5888</v>
      </c>
      <c r="GB177" s="5" t="s">
        <v>5889</v>
      </c>
      <c r="GC177" s="4" t="str">
        <f>HYPERLINK("https://drive.google.com/file/d/1qP0g1qMOuJ6JUS-CO2UfV15UpAe9GYd8/view?usp=drivesdk","DIAZ QUIJANO  WENDY ABIGAIL  Formato de reinscripción y pago 2022-2")</f>
        <v>DIAZ QUIJANO  WENDY ABIGAIL  Formato de reinscripción y pago 2022-2</v>
      </c>
      <c r="GD177" s="1" t="s">
        <v>5890</v>
      </c>
      <c r="GE177" s="1"/>
      <c r="GF177" s="1"/>
      <c r="GG177" s="1"/>
      <c r="GH177" s="1"/>
      <c r="GI177" s="1" t="s">
        <v>5891</v>
      </c>
      <c r="GJ177" s="5" t="s">
        <v>5892</v>
      </c>
      <c r="GK177" s="5" t="str">
        <f>HYPERLINK("https://drive.google.com/file/d/1sVUIQzciQhZ--bio1WAp0uGC4eVHOZR1/view?usp=drivesdk","DIAZ QUIJANO  WENDY ABIGAIL  Formato de reinscripción y pago 2022-2")</f>
        <v>DIAZ QUIJANO  WENDY ABIGAIL  Formato de reinscripción y pago 2022-2</v>
      </c>
      <c r="GL177" s="1" t="s">
        <v>5893</v>
      </c>
    </row>
    <row r="178" spans="1:194" ht="38.25" x14ac:dyDescent="0.2">
      <c r="A178" s="2">
        <v>45139.489707592591</v>
      </c>
      <c r="B178" s="1" t="s">
        <v>13</v>
      </c>
      <c r="C178" s="1" t="s">
        <v>585</v>
      </c>
      <c r="D178" s="1" t="s">
        <v>244</v>
      </c>
      <c r="E178" s="1" t="s">
        <v>1226</v>
      </c>
      <c r="F178" s="1" t="s">
        <v>262</v>
      </c>
      <c r="G178" s="5" t="s">
        <v>5894</v>
      </c>
      <c r="H178" s="41">
        <v>39365</v>
      </c>
      <c r="I178" s="1">
        <v>15</v>
      </c>
      <c r="J178" s="1">
        <v>5565134382</v>
      </c>
      <c r="K178" s="1">
        <v>5551124589</v>
      </c>
      <c r="L178" s="1" t="s">
        <v>1227</v>
      </c>
      <c r="M178" s="1">
        <v>22309060570723</v>
      </c>
      <c r="N178" s="1" t="s">
        <v>562</v>
      </c>
      <c r="O178" s="1" t="s">
        <v>247</v>
      </c>
      <c r="P178" s="1" t="s">
        <v>226</v>
      </c>
      <c r="Q178" s="1" t="s">
        <v>315</v>
      </c>
      <c r="R178" s="1" t="s">
        <v>236</v>
      </c>
      <c r="S178" s="1" t="s">
        <v>228</v>
      </c>
      <c r="T178" s="1" t="s">
        <v>229</v>
      </c>
      <c r="U178" s="1" t="s">
        <v>264</v>
      </c>
      <c r="V178" s="1" t="s">
        <v>228</v>
      </c>
      <c r="W178" s="1" t="s">
        <v>5895</v>
      </c>
      <c r="X178" s="1" t="s">
        <v>264</v>
      </c>
      <c r="Y178" s="1" t="s">
        <v>1288</v>
      </c>
      <c r="Z178" s="1" t="s">
        <v>231</v>
      </c>
      <c r="AA178" s="1">
        <v>57300</v>
      </c>
      <c r="AB178" s="1">
        <v>47</v>
      </c>
      <c r="AC178" s="1" t="s">
        <v>688</v>
      </c>
      <c r="AD178" s="1" t="s">
        <v>5896</v>
      </c>
      <c r="AE178" s="1" t="s">
        <v>5897</v>
      </c>
      <c r="AF178" s="1" t="s">
        <v>435</v>
      </c>
      <c r="AG178" s="1">
        <v>47</v>
      </c>
      <c r="AH178" s="5" t="s">
        <v>5898</v>
      </c>
      <c r="AI178" s="1">
        <v>5526762160</v>
      </c>
      <c r="AJ178" s="1">
        <v>5551124589</v>
      </c>
      <c r="AK178" s="1" t="s">
        <v>1229</v>
      </c>
      <c r="AL178" s="1" t="s">
        <v>244</v>
      </c>
      <c r="AM178" s="1" t="s">
        <v>1230</v>
      </c>
      <c r="AN178" s="1" t="s">
        <v>744</v>
      </c>
      <c r="AO178" s="1" t="s">
        <v>265</v>
      </c>
      <c r="AP178" s="1">
        <v>46</v>
      </c>
      <c r="AQ178" s="1" t="s">
        <v>454</v>
      </c>
      <c r="AR178" s="42">
        <v>0.375</v>
      </c>
      <c r="AS178" s="42">
        <v>0.83333333333575865</v>
      </c>
      <c r="AT178" s="1">
        <v>5551124589</v>
      </c>
      <c r="AU178" s="1">
        <v>5551124589</v>
      </c>
      <c r="AV178" s="1" t="s">
        <v>1229</v>
      </c>
      <c r="AW178" s="5" t="s">
        <v>5899</v>
      </c>
      <c r="AX178" s="1" t="s">
        <v>585</v>
      </c>
      <c r="AY178" s="1" t="s">
        <v>717</v>
      </c>
      <c r="AZ178" s="1" t="s">
        <v>1738</v>
      </c>
      <c r="BA178" s="1" t="s">
        <v>1228</v>
      </c>
      <c r="BB178" s="1">
        <v>62</v>
      </c>
      <c r="BC178" s="1" t="s">
        <v>1472</v>
      </c>
      <c r="BD178" s="43">
        <v>0</v>
      </c>
      <c r="BE178" s="43">
        <v>0</v>
      </c>
      <c r="BF178" s="1">
        <v>5540917058</v>
      </c>
      <c r="BG178" s="1">
        <v>5515583532</v>
      </c>
      <c r="BH178" s="1" t="s">
        <v>1229</v>
      </c>
      <c r="BI178" s="5" t="s">
        <v>5900</v>
      </c>
      <c r="BJ178" s="1" t="s">
        <v>236</v>
      </c>
      <c r="BL178" s="1">
        <v>180</v>
      </c>
      <c r="BM178" s="1">
        <v>59</v>
      </c>
      <c r="BN178" s="1" t="s">
        <v>236</v>
      </c>
      <c r="BO178" s="1" t="s">
        <v>228</v>
      </c>
      <c r="BQ178" s="1" t="s">
        <v>228</v>
      </c>
      <c r="BR178" s="1" t="s">
        <v>237</v>
      </c>
      <c r="BS178" s="1" t="s">
        <v>228</v>
      </c>
      <c r="BT178" s="1" t="s">
        <v>237</v>
      </c>
      <c r="BU178" s="1" t="s">
        <v>228</v>
      </c>
      <c r="BW178" s="1" t="s">
        <v>238</v>
      </c>
      <c r="BX178" s="1">
        <v>120</v>
      </c>
      <c r="BY178" s="1">
        <v>250</v>
      </c>
      <c r="BZ178" s="1" t="s">
        <v>1231</v>
      </c>
      <c r="CA178" s="1" t="s">
        <v>350</v>
      </c>
      <c r="CB178" s="1" t="s">
        <v>240</v>
      </c>
      <c r="CC178" s="1" t="s">
        <v>322</v>
      </c>
      <c r="CD178" s="1">
        <v>500</v>
      </c>
      <c r="CE178" s="1">
        <v>2000</v>
      </c>
      <c r="CF178" s="1" t="s">
        <v>236</v>
      </c>
      <c r="CG178" s="1" t="s">
        <v>323</v>
      </c>
      <c r="CH178" s="1" t="s">
        <v>243</v>
      </c>
      <c r="CI178" s="1" t="s">
        <v>243</v>
      </c>
      <c r="CJ178" s="1" t="s">
        <v>2848</v>
      </c>
      <c r="CL178" s="5" t="s">
        <v>5901</v>
      </c>
      <c r="CM178" s="1">
        <v>16220750729</v>
      </c>
      <c r="CN178" s="1" t="s">
        <v>228</v>
      </c>
      <c r="CQ178" s="42">
        <v>0.375</v>
      </c>
      <c r="CR178" s="42">
        <v>0.83333333333575865</v>
      </c>
      <c r="CT178" s="45" t="str">
        <f t="array" ref="CT178">IFERROR(INDEX(#REF!,MATCH('Respuestas de formulario 1.1'!$B178,#REF!,0),MATCH('Respuestas de formulario 1.1'!CT$1,#REF!,0)),"")</f>
        <v/>
      </c>
      <c r="CU178" s="56" t="str">
        <f t="array" ref="CU178">IFERROR(INDEX(#REF!,MATCH('Respuestas de formulario 1.1'!$B178,#REF!,0),MATCH('Respuestas de formulario 1.1'!CU$1,#REF!,0)),"")</f>
        <v/>
      </c>
      <c r="CV178" s="56" t="str">
        <f t="array" ref="CV178">IFERROR(INDEX(#REF!,MATCH('Respuestas de formulario 1.1'!$B178,#REF!,0),MATCH('Respuestas de formulario 1.1'!CV$1,#REF!,0)),"")</f>
        <v/>
      </c>
      <c r="CW178" s="56" t="str">
        <f t="array" ref="CW178">IFERROR(INDEX(#REF!,MATCH('Respuestas de formulario 1.1'!$B178,#REF!,0),MATCH('Respuestas de formulario 1.1'!CW$1,#REF!,0)),"")</f>
        <v/>
      </c>
      <c r="CX178" s="56" t="str">
        <f t="array" ref="CX178">IFERROR(INDEX(#REF!,MATCH('Respuestas de formulario 1.1'!$B178,#REF!,0),MATCH('Respuestas de formulario 1.1'!CX$1,#REF!,0)),"")</f>
        <v/>
      </c>
      <c r="CY178" s="56" t="str">
        <f t="array" ref="CY178">IFERROR(INDEX(#REF!,MATCH('Respuestas de formulario 1.1'!$B178,#REF!,0),MATCH('Respuestas de formulario 1.1'!CY$1,#REF!,0)),"")</f>
        <v/>
      </c>
      <c r="CZ178" s="57" t="str">
        <f t="array" ref="CZ178">IFERROR(INDEX(#REF!,MATCH('Respuestas de formulario 1.1'!$B178,#REF!,0),MATCH('Respuestas de formulario 1.1'!CZ$1,#REF!,0)),"")</f>
        <v/>
      </c>
      <c r="DA178" s="45" t="e">
        <f t="array" ref="DA178">INDEX(#REF!,MATCH('Respuestas de formulario 1.1'!$B178,#REF!,0),MATCH('Respuestas de formulario 1.1'!DA$1,#REF!,0))</f>
        <v>#REF!</v>
      </c>
      <c r="DB178" s="45" t="e">
        <f t="array" ref="DB178">INDEX(#REF!,MATCH('Respuestas de formulario 1.1'!$B178,#REF!,0),MATCH('Respuestas de formulario 1.1'!DB$1,#REF!,0))</f>
        <v>#REF!</v>
      </c>
      <c r="DC178" s="45" t="e">
        <f t="array" ref="DC178">INDEX(#REF!,MATCH('Respuestas de formulario 1.1'!$B178,#REF!,0),MATCH('Respuestas de formulario 1.1'!DC$1,#REF!,0))</f>
        <v>#REF!</v>
      </c>
      <c r="DD178" s="45" t="e">
        <f t="array" ref="DD178">INDEX(#REF!,MATCH('Respuestas de formulario 1.1'!$B178,#REF!,0),MATCH('Respuestas de formulario 1.1'!DD$1,#REF!,0))</f>
        <v>#REF!</v>
      </c>
      <c r="DE178" s="45" t="e">
        <f t="array" ref="DE178">INDEX(#REF!,MATCH('Respuestas de formulario 1.1'!$B178,#REF!,0),MATCH('Respuestas de formulario 1.1'!DE$1,#REF!,0))</f>
        <v>#REF!</v>
      </c>
      <c r="DF178" s="45" t="e">
        <f t="array" ref="DF178">INDEX(#REF!,MATCH('Respuestas de formulario 1.1'!$B178,#REF!,0),MATCH('Respuestas de formulario 1.1'!DF$1,#REF!,0))</f>
        <v>#REF!</v>
      </c>
      <c r="DG178" s="45" t="e">
        <f t="array" ref="DG178">INDEX(#REF!,MATCH('Respuestas de formulario 1.1'!$B178,#REF!,0),MATCH('Respuestas de formulario 1.1'!DG$1,#REF!,0))</f>
        <v>#REF!</v>
      </c>
      <c r="DH178" s="45" t="e">
        <f t="array" ref="DH178">INDEX(#REF!,MATCH('Respuestas de formulario 1.1'!$B178,#REF!,0),MATCH('Respuestas de formulario 1.1'!DH$1,#REF!,0))</f>
        <v>#REF!</v>
      </c>
      <c r="DI178" s="48" t="e">
        <f>VLOOKUP(CONCATENATE($DF178," TUTO ",$DC178),#REF!,3,0)</f>
        <v>#REF!</v>
      </c>
      <c r="DJ178" s="48" t="e">
        <f t="array" ref="DJ178">IF('Respuestas de formulario 1.1'!A178="","",INDEX(#REF!,MATCH('Respuestas de formulario 1.1'!B178,#REF!,0),MATCH('Respuestas de formulario 1.1'!$DH$1,#REF!,0)))</f>
        <v>#REF!</v>
      </c>
      <c r="DK178" s="52" t="str">
        <f>CONCATENATE("http://doc.google.com/uc?id=",MID('Respuestas de formulario 1.1'!G178,34,33))</f>
        <v>http://doc.google.com/uc?id=1aQDt3mt4--eYdQmDdgfKb3UbWK_4D5eF</v>
      </c>
      <c r="DL178" s="49" t="str">
        <f>CONCATENATE("http://doc.google.com/uc?id=",MID('Respuestas de formulario 1.1'!AH178,34,33))</f>
        <v>http://doc.google.com/uc?id=1ZHatG1g3LDL0sNm1NARNI-378XXGaB5P</v>
      </c>
      <c r="DM178" s="50" t="str">
        <f>CONCATENATE("http://doc.google.com/uc?id=",MID('Respuestas de formulario 1.1'!AW178,34,33))</f>
        <v>http://doc.google.com/uc?id=1wAG4PK_3B3V9JJdom5xX5sZ4rkpCqA5O</v>
      </c>
      <c r="DN178" s="53" t="str">
        <f>CONCATENATE("http://doc.google.com/uc?id=",MID('Respuestas de formulario 1.1'!$BI178,34,33))</f>
        <v>http://doc.google.com/uc?id=1Qt7zR8IcOxMN1XTHqhuHW7qPhHDyfncQ</v>
      </c>
      <c r="DO178" s="45" t="str">
        <f>IFERROR(VLOOKUP(CONCATENATE('Respuestas de formulario 1.1'!$B178,MID('Respuestas de formulario 1.1'!DO$1,2,1)),#REF!,12,0),"")</f>
        <v/>
      </c>
      <c r="DP178" s="45" t="str">
        <f>IFERROR(VLOOKUP(CONCATENATE('Respuestas de formulario 1.1'!$B178,MID('Respuestas de formulario 1.1'!DP$1,2,1)),#REF!,12,0),"")</f>
        <v/>
      </c>
      <c r="DQ178" s="45" t="str">
        <f>IFERROR(VLOOKUP(CONCATENATE('Respuestas de formulario 1.1'!$B178,MID('Respuestas de formulario 1.1'!DQ$1,2,1)),#REF!,12,0),"")</f>
        <v/>
      </c>
      <c r="DR178" s="45" t="str">
        <f>IFERROR(VLOOKUP(CONCATENATE('Respuestas de formulario 1.1'!$B178,MID('Respuestas de formulario 1.1'!DR$1,2,1)),#REF!,12,0),"")</f>
        <v/>
      </c>
      <c r="DS178" s="45" t="str">
        <f>IFERROR(VLOOKUP(CONCATENATE('Respuestas de formulario 1.1'!$B178,MID('Respuestas de formulario 1.1'!DS$1,2,1)),#REF!,12,0),"")</f>
        <v/>
      </c>
      <c r="DT178" s="45" t="str">
        <f>IFERROR(VLOOKUP(CONCATENATE('Respuestas de formulario 1.1'!$B178,MID('Respuestas de formulario 1.1'!DT$1,2,1)),#REF!,12,0),"")</f>
        <v/>
      </c>
      <c r="DU178" s="45" t="str">
        <f>IFERROR(VLOOKUP(CONCATENATE('Respuestas de formulario 1.1'!$B178,MID('Respuestas de formulario 1.1'!DU$1,2,1)),#REF!,12,0),"")</f>
        <v/>
      </c>
      <c r="DV178" s="45" t="str">
        <f>IFERROR(VLOOKUP(CONCATENATE('Respuestas de formulario 1.1'!$B178,MID('Respuestas de formulario 1.1'!DV$1,2,1)),#REF!,12,0),"")</f>
        <v/>
      </c>
      <c r="DW178" s="45" t="str">
        <f>IFERROR(VLOOKUP(CONCATENATE('Respuestas de formulario 1.1'!$B178,MID('Respuestas de formulario 1.1'!DW$1,2,1)),#REF!,12,0),"")</f>
        <v/>
      </c>
      <c r="DX178" s="45" t="str">
        <f>IFERROR(VLOOKUP(CONCATENATE('Respuestas de formulario 1.1'!$B178,MID('Respuestas de formulario 1.1'!DX$1,2,1)),#REF!,12,0),"")</f>
        <v/>
      </c>
      <c r="DY178" s="45" t="str">
        <f>IFERROR(VLOOKUP(CONCATENATE('Respuestas de formulario 1.1'!$B178,MID('Respuestas de formulario 1.1'!DY$1,2,1)),#REF!,12,0),"")</f>
        <v/>
      </c>
      <c r="DZ178" s="45" t="str">
        <f>IFERROR(VLOOKUP(CONCATENATE('Respuestas de formulario 1.1'!$B178,MID('Respuestas de formulario 1.1'!DZ$1,2,1)),#REF!,12,0),"")</f>
        <v/>
      </c>
      <c r="EA178" s="45" t="str">
        <f>IFERROR(VLOOKUP(CONCATENATE('Respuestas de formulario 1.1'!$B178,MID('Respuestas de formulario 1.1'!EA$1,2,1)),#REF!,12,0),"")</f>
        <v/>
      </c>
      <c r="EB178" s="45" t="str">
        <f>IFERROR(VLOOKUP(CONCATENATE('Respuestas de formulario 1.1'!$B178,MID('Respuestas de formulario 1.1'!EB$1,2,1)),#REF!,12,0),"")</f>
        <v/>
      </c>
      <c r="EC178" s="45" t="str">
        <f>IFERROR(VLOOKUP(CONCATENATE('Respuestas de formulario 1.1'!$B178,MID('Respuestas de formulario 1.1'!EC$1,2,1)),#REF!,12,0),"")</f>
        <v/>
      </c>
      <c r="ED178" s="45" t="str">
        <f>IFERROR(VLOOKUP(CONCATENATE('Respuestas de formulario 1.1'!$B178,MID('Respuestas de formulario 1.1'!ED$1,2,1)),#REF!,12,0),"")</f>
        <v/>
      </c>
      <c r="EE178" s="45" t="str">
        <f>IFERROR(VLOOKUP(CONCATENATE('Respuestas de formulario 1.1'!$B178,MID('Respuestas de formulario 1.1'!EE$1,2,1)),#REF!,12,0),"")</f>
        <v/>
      </c>
      <c r="EF178" s="45" t="str">
        <f>IFERROR(VLOOKUP(CONCATENATE('Respuestas de formulario 1.1'!$B178,MID('Respuestas de formulario 1.1'!EF$1,2,1)),#REF!,12,0),"")</f>
        <v/>
      </c>
      <c r="EG178" s="45" t="str">
        <f>IFERROR(VLOOKUP(CONCATENATE('Respuestas de formulario 1.1'!$B178,MID('Respuestas de formulario 1.1'!EG$1,2,1)),#REF!,12,0),"")</f>
        <v/>
      </c>
      <c r="EH178" s="45" t="str">
        <f>IFERROR(VLOOKUP(CONCATENATE('Respuestas de formulario 1.1'!$B178,MID('Respuestas de formulario 1.1'!EH$1,2,1)),#REF!,12,0),"")</f>
        <v/>
      </c>
      <c r="EI178" s="45" t="str">
        <f>IFERROR(VLOOKUP(CONCATENATE('Respuestas de formulario 1.1'!$B178,MID('Respuestas de formulario 1.1'!EI$1,2,1)),#REF!,12,0),"")</f>
        <v/>
      </c>
      <c r="EJ178" s="45" t="str">
        <f t="array" ref="EJ178">IF(DO178="","", INDEX(#REF!,MATCH(CONCATENATE('Respuestas de formulario 1.1'!$B178,DO178),#REF!,0),MATCH('Respuestas de formulario 1.1'!EJ$1,#REF!,0)))</f>
        <v/>
      </c>
      <c r="EK178" s="56" t="str">
        <f t="array" ref="EK178">IF(DP178="","", INDEX(#REF!,MATCH(CONCATENATE('Respuestas de formulario 1.1'!$B178,DP178),#REF!,0),MATCH('Respuestas de formulario 1.1'!EK$1,#REF!,0)))</f>
        <v/>
      </c>
      <c r="EL178" s="56" t="str">
        <f t="array" ref="EL178">IF(DQ178="","", INDEX(#REF!,MATCH(CONCATENATE('Respuestas de formulario 1.1'!$B178,DQ178),#REF!,0),MATCH('Respuestas de formulario 1.1'!EL$1,#REF!,0)))</f>
        <v/>
      </c>
      <c r="EM178" s="56" t="str">
        <f t="array" ref="EM178">IF(DR178="","", INDEX(#REF!,MATCH(CONCATENATE('Respuestas de formulario 1.1'!$B178,DR178),#REF!,0),MATCH('Respuestas de formulario 1.1'!EM$1,#REF!,0)))</f>
        <v/>
      </c>
      <c r="EN178" s="56" t="str">
        <f t="array" ref="EN178">IF(DS178="","", INDEX(#REF!,MATCH(CONCATENATE('Respuestas de formulario 1.1'!$B178,DS178),#REF!,0),MATCH('Respuestas de formulario 1.1'!EN$1,#REF!,0)))</f>
        <v/>
      </c>
      <c r="EO178" s="56" t="str">
        <f t="array" ref="EO178">IF(DT178="","", INDEX(#REF!,MATCH(CONCATENATE('Respuestas de formulario 1.1'!$B178,DT178),#REF!,0),MATCH('Respuestas de formulario 1.1'!EO$1,#REF!,0)))</f>
        <v/>
      </c>
      <c r="EP178" s="45" t="str">
        <f t="array" ref="EP178">IF(DU178="","", INDEX(#REF!,MATCH(CONCATENATE('Respuestas de formulario 1.1'!$B178,DU178),#REF!,0),MATCH('Respuestas de formulario 1.1'!EP$1,#REF!,0)))</f>
        <v/>
      </c>
      <c r="EQ178" s="45" t="str">
        <f t="array" ref="EQ178">IF(DP178="","", INDEX(#REF!,MATCH(CONCATENATE('Respuestas de formulario 1.1'!$B178,DP178),#REF!,0),MATCH('Respuestas de formulario 1.1'!EQ$1,#REF!,0)))</f>
        <v/>
      </c>
      <c r="ER178" s="56" t="str">
        <f t="array" ref="ER178">IF(DQ178="","", INDEX(#REF!,MATCH(CONCATENATE('Respuestas de formulario 1.1'!$B178,DQ178),#REF!,0),MATCH('Respuestas de formulario 1.1'!ER$1,#REF!,0)))</f>
        <v/>
      </c>
      <c r="ES178" s="56" t="str">
        <f t="array" ref="ES178">IF(DR178="","", INDEX(#REF!,MATCH(CONCATENATE('Respuestas de formulario 1.1'!$B178,DR178),#REF!,0),MATCH('Respuestas de formulario 1.1'!ES$1,#REF!,0)))</f>
        <v/>
      </c>
      <c r="ET178" s="56" t="str">
        <f t="array" ref="ET178">IF(DS178="","", INDEX(#REF!,MATCH(CONCATENATE('Respuestas de formulario 1.1'!$B178,DS178),#REF!,0),MATCH('Respuestas de formulario 1.1'!ET$1,#REF!,0)))</f>
        <v/>
      </c>
      <c r="EU178" s="56" t="str">
        <f t="array" ref="EU178">IF(DT178="","", INDEX(#REF!,MATCH(CONCATENATE('Respuestas de formulario 1.1'!$B178,DT178),#REF!,0),MATCH('Respuestas de formulario 1.1'!EU$1,#REF!,0)))</f>
        <v/>
      </c>
      <c r="EV178" s="56" t="str">
        <f t="array" ref="EV178">IF(DU178="","", INDEX(#REF!,MATCH(CONCATENATE('Respuestas de formulario 1.1'!$B178,DU178),#REF!,0),MATCH('Respuestas de formulario 1.1'!EV$1,#REF!,0)))</f>
        <v/>
      </c>
      <c r="EW178" s="45" t="str">
        <f t="array" ref="EW178">IF(DV178="","", INDEX(#REF!,MATCH(CONCATENATE('Respuestas de formulario 1.1'!$B178,DV178),#REF!,0),MATCH('Respuestas de formulario 1.1'!EW$1,#REF!,0)))</f>
        <v/>
      </c>
      <c r="EX178" s="45" t="str">
        <f t="array" ref="EX178">IF($DQ178="","", INDEX(#REF!,MATCH(CONCATENATE('Respuestas de formulario 1.1'!$B178,$DQ178),#REF!,0),MATCH('Respuestas de formulario 1.1'!EX$1,#REF!,0)))</f>
        <v/>
      </c>
      <c r="EY178" s="56" t="str">
        <f t="array" ref="EY178">IF($DQ178="","", INDEX(#REF!,MATCH(CONCATENATE('Respuestas de formulario 1.1'!$B178,$DQ178),#REF!,0),MATCH('Respuestas de formulario 1.1'!EY$1,#REF!,0)))</f>
        <v/>
      </c>
      <c r="EZ178" s="56" t="str">
        <f t="array" ref="EZ178">IF($DQ178="","", INDEX(#REF!,MATCH(CONCATENATE('Respuestas de formulario 1.1'!$B178,$DQ178),#REF!,0),MATCH('Respuestas de formulario 1.1'!EZ$1,#REF!,0)))</f>
        <v/>
      </c>
      <c r="FA178" s="56" t="str">
        <f t="array" ref="FA178">IF($DQ178="","", INDEX(#REF!,MATCH(CONCATENATE('Respuestas de formulario 1.1'!$B178,$DQ178),#REF!,0),MATCH('Respuestas de formulario 1.1'!FA$1,#REF!,0)))</f>
        <v/>
      </c>
      <c r="FB178" s="56" t="str">
        <f t="array" ref="FB178">IF($DQ178="","", INDEX(#REF!,MATCH(CONCATENATE('Respuestas de formulario 1.1'!$B178,$DQ178),#REF!,0),MATCH('Respuestas de formulario 1.1'!FB$1,#REF!,0)))</f>
        <v/>
      </c>
      <c r="FC178" s="56" t="str">
        <f t="array" ref="FC178">IF($DQ178="","", INDEX(#REF!,MATCH(CONCATENATE('Respuestas de formulario 1.1'!$B178,$DQ178),#REF!,0),MATCH('Respuestas de formulario 1.1'!FC$1,#REF!,0)))</f>
        <v/>
      </c>
      <c r="FD178" s="45" t="str">
        <f t="array" ref="FD178">IF($DQ178="","", INDEX(#REF!,MATCH(CONCATENATE('Respuestas de formulario 1.1'!$B178,$DQ178),#REF!,0),MATCH('Respuestas de formulario 1.1'!FD$1,#REF!,0)))</f>
        <v/>
      </c>
      <c r="FE178" s="45" t="str">
        <f t="array" ref="FE178">IF($DR178="","", INDEX(#REF!,MATCH(CONCATENATE(#REF!,$DR178),#REF!,0),MATCH(#REF!,#REF!,0)))</f>
        <v/>
      </c>
      <c r="FF178" s="56" t="str">
        <f t="array" ref="FF178">IF($DR178="","", INDEX(#REF!,MATCH(CONCATENATE(#REF!,$DR178),#REF!,0),MATCH(#REF!,#REF!,0)))</f>
        <v/>
      </c>
      <c r="FG178" s="56" t="str">
        <f t="array" ref="FG178">IF($DR178="","", INDEX(#REF!,MATCH(CONCATENATE(#REF!,$DR178),#REF!,0),MATCH(#REF!,#REF!,0)))</f>
        <v/>
      </c>
      <c r="FH178" s="56" t="str">
        <f t="array" ref="FH178">IF($DR178="","", INDEX(#REF!,MATCH(CONCATENATE(#REF!,$DR178),#REF!,0),MATCH(#REF!,#REF!,0)))</f>
        <v/>
      </c>
      <c r="FI178" s="56" t="str">
        <f t="array" ref="FI178">IF($DR178="","", INDEX(#REF!,MATCH(CONCATENATE(#REF!,$DR178),#REF!,0),MATCH(#REF!,#REF!,0)))</f>
        <v/>
      </c>
      <c r="FJ178" s="56" t="str">
        <f t="array" ref="FJ178">IF($DR178="","", INDEX(#REF!,MATCH(CONCATENATE(#REF!,$DR178),#REF!,0),MATCH(#REF!,#REF!,0)))</f>
        <v/>
      </c>
      <c r="FK178" s="45" t="str">
        <f t="array" ref="FK178">IF($DR178="","", INDEX(#REF!,MATCH(CONCATENATE(#REF!,$DR178),#REF!,0),MATCH(#REF!,#REF!,0)))</f>
        <v/>
      </c>
      <c r="FL178" s="45" t="str">
        <f t="array" ref="FL178">IF($DT178="","", INDEX(#REF!,MATCH(CONCATENATE('Respuestas de formulario 1.1'!$B178,$DS178),#REF!,0),MATCH('Respuestas de formulario 1.1'!FL$1,#REF!,0)))</f>
        <v/>
      </c>
      <c r="FM178" s="56" t="str">
        <f t="array" ref="FM178">IF($DT178="","", INDEX(#REF!,MATCH(CONCATENATE('Respuestas de formulario 1.1'!$B178,$DS178),#REF!,0),MATCH('Respuestas de formulario 1.1'!FM$1,#REF!,0)))</f>
        <v/>
      </c>
      <c r="FN178" s="56" t="str">
        <f t="array" ref="FN178">IF($DT178="","", INDEX(#REF!,MATCH(CONCATENATE('Respuestas de formulario 1.1'!$B178,$DS178),#REF!,0),MATCH('Respuestas de formulario 1.1'!FN$1,#REF!,0)))</f>
        <v/>
      </c>
      <c r="FO178" s="56" t="str">
        <f t="array" ref="FO178">IF($DT178="","", INDEX(#REF!,MATCH(CONCATENATE('Respuestas de formulario 1.1'!$B178,$DS178),#REF!,0),MATCH('Respuestas de formulario 1.1'!FO$1,#REF!,0)))</f>
        <v/>
      </c>
      <c r="FP178" s="56" t="str">
        <f t="array" ref="FP178">IF($DT178="","", INDEX(#REF!,MATCH(CONCATENATE('Respuestas de formulario 1.1'!$B178,$DS178),#REF!,0),MATCH('Respuestas de formulario 1.1'!FP$1,#REF!,0)))</f>
        <v/>
      </c>
      <c r="FQ178" s="56" t="str">
        <f t="array" ref="FQ178">IF($DT178="","", INDEX(#REF!,MATCH(CONCATENATE('Respuestas de formulario 1.1'!$B178,$DS178),#REF!,0),MATCH('Respuestas de formulario 1.1'!FQ$1,#REF!,0)))</f>
        <v/>
      </c>
      <c r="FR178" s="45" t="str">
        <f t="array" ref="FR178">IF($DT178="","", INDEX(#REF!,MATCH(CONCATENATE('Respuestas de formulario 1.1'!$B178,$DS178),#REF!,0),MATCH('Respuestas de formulario 1.1'!FR$1,#REF!,0)))</f>
        <v/>
      </c>
      <c r="FS178" s="45" t="str">
        <f t="array" ref="FS178">IF($DU178="","", INDEX(#REF!,MATCH(CONCATENATE('Respuestas de formulario 1.1'!$B178,$DT178),#REF!,0),MATCH('Respuestas de formulario 1.1'!FS$1,#REF!,0)))</f>
        <v/>
      </c>
      <c r="FT178" s="56" t="str">
        <f t="array" ref="FT178">IF($DU178="","", INDEX(#REF!,MATCH(CONCATENATE('Respuestas de formulario 1.1'!$B178,$DT178),#REF!,0),MATCH('Respuestas de formulario 1.1'!FT$1,#REF!,0)))</f>
        <v/>
      </c>
      <c r="FU178" s="56" t="str">
        <f t="array" ref="FU178">IF($DU178="","", INDEX(#REF!,MATCH(CONCATENATE('Respuestas de formulario 1.1'!$B178,$DT178),#REF!,0),MATCH('Respuestas de formulario 1.1'!FU$1,#REF!,0)))</f>
        <v/>
      </c>
      <c r="FV178" s="56" t="str">
        <f t="array" ref="FV178">IF($DU178="","", INDEX(#REF!,MATCH(CONCATENATE('Respuestas de formulario 1.1'!$B178,$DT178),#REF!,0),MATCH('Respuestas de formulario 1.1'!FV$1,#REF!,0)))</f>
        <v/>
      </c>
      <c r="FW178" s="56" t="str">
        <f t="array" ref="FW178">IF($DU178="","", INDEX(#REF!,MATCH(CONCATENATE('Respuestas de formulario 1.1'!$B178,$DT178),#REF!,0),MATCH('Respuestas de formulario 1.1'!FW$1,#REF!,0)))</f>
        <v/>
      </c>
      <c r="FX178" s="56" t="str">
        <f t="array" ref="FX178">IF($DU178="","", INDEX(#REF!,MATCH(CONCATENATE('Respuestas de formulario 1.1'!$B178,$DT178),#REF!,0),MATCH('Respuestas de formulario 1.1'!FX$1,#REF!,0)))</f>
        <v/>
      </c>
      <c r="FY178" s="45" t="str">
        <f t="array" ref="FY178">IF($DU178="","", INDEX(#REF!,MATCH(CONCATENATE('Respuestas de formulario 1.1'!$B178,$DT178),#REF!,0),MATCH('Respuestas de formulario 1.1'!FY$1,#REF!,0)))</f>
        <v/>
      </c>
      <c r="FZ178" s="3" t="s">
        <v>2860</v>
      </c>
      <c r="GA178" s="1" t="s">
        <v>5902</v>
      </c>
      <c r="GB178" s="5" t="s">
        <v>5903</v>
      </c>
      <c r="GC178" s="4" t="str">
        <f>HYPERLINK("https://drive.google.com/file/d/1EFKuE_KpmwF2zPTVFtJGEhsKT62cej-L/view?usp=drivesdk","SANCHEZ HERNANDEZ LUIS ANGEL Formato de reinscripción y pago 2022-2")</f>
        <v>SANCHEZ HERNANDEZ LUIS ANGEL Formato de reinscripción y pago 2022-2</v>
      </c>
      <c r="GD178" s="1" t="s">
        <v>5904</v>
      </c>
      <c r="GE178" s="1"/>
      <c r="GF178" s="1"/>
      <c r="GG178" s="1"/>
      <c r="GH178" s="1"/>
      <c r="GI178" s="1" t="s">
        <v>5905</v>
      </c>
      <c r="GJ178" s="5" t="s">
        <v>5906</v>
      </c>
      <c r="GK178" s="5" t="str">
        <f>HYPERLINK("https://drive.google.com/file/d/1T0GjLhy-3Ycia1-mNJVob7CDIwa6-eO1/view?usp=drivesdk","SANCHEZ HERNANDEZ LUIS ANGEL Formato de reinscripción y pago 2022-2")</f>
        <v>SANCHEZ HERNANDEZ LUIS ANGEL Formato de reinscripción y pago 2022-2</v>
      </c>
      <c r="GL178" s="1" t="s">
        <v>5907</v>
      </c>
    </row>
    <row r="179" spans="1:194" ht="38.25" x14ac:dyDescent="0.2">
      <c r="A179" s="2">
        <v>45139.490615277777</v>
      </c>
      <c r="B179" s="1" t="s">
        <v>1820</v>
      </c>
      <c r="C179" s="1" t="s">
        <v>2740</v>
      </c>
      <c r="D179" s="1" t="s">
        <v>888</v>
      </c>
      <c r="E179" s="1" t="s">
        <v>5593</v>
      </c>
      <c r="F179" s="1" t="s">
        <v>223</v>
      </c>
      <c r="G179" s="5" t="s">
        <v>5908</v>
      </c>
      <c r="H179" s="41">
        <v>39207</v>
      </c>
      <c r="I179" s="1">
        <v>16</v>
      </c>
      <c r="J179" s="1">
        <v>5620071813</v>
      </c>
      <c r="K179" s="1" t="s">
        <v>5909</v>
      </c>
      <c r="L179" s="1" t="s">
        <v>1821</v>
      </c>
      <c r="M179" s="1">
        <v>22309060570447</v>
      </c>
      <c r="N179" s="1" t="s">
        <v>562</v>
      </c>
      <c r="O179" s="1" t="s">
        <v>247</v>
      </c>
      <c r="P179" s="1" t="s">
        <v>278</v>
      </c>
      <c r="Q179" s="1" t="s">
        <v>315</v>
      </c>
      <c r="R179" s="1" t="s">
        <v>236</v>
      </c>
      <c r="S179" s="1" t="s">
        <v>228</v>
      </c>
      <c r="T179" s="1" t="s">
        <v>411</v>
      </c>
      <c r="U179" s="1" t="s">
        <v>393</v>
      </c>
      <c r="V179" s="1" t="s">
        <v>228</v>
      </c>
      <c r="W179" s="1" t="s">
        <v>5910</v>
      </c>
      <c r="X179" s="1" t="s">
        <v>249</v>
      </c>
      <c r="Y179" s="1" t="s">
        <v>1593</v>
      </c>
      <c r="Z179" s="1" t="s">
        <v>240</v>
      </c>
      <c r="AA179" s="44" t="s">
        <v>602</v>
      </c>
      <c r="AB179" s="1" t="s">
        <v>1822</v>
      </c>
      <c r="AC179" s="1" t="s">
        <v>1823</v>
      </c>
      <c r="AD179" s="1" t="s">
        <v>1824</v>
      </c>
      <c r="AE179" s="1" t="s">
        <v>1825</v>
      </c>
      <c r="AF179" s="1" t="s">
        <v>445</v>
      </c>
      <c r="AG179" s="1">
        <v>44</v>
      </c>
      <c r="AH179" s="5" t="s">
        <v>5911</v>
      </c>
      <c r="AI179" s="1">
        <v>5534584572</v>
      </c>
      <c r="AJ179" s="1">
        <v>5534584572</v>
      </c>
      <c r="AK179" s="1"/>
      <c r="AL179" s="1" t="s">
        <v>2740</v>
      </c>
      <c r="AM179" s="1" t="s">
        <v>888</v>
      </c>
      <c r="AN179" s="1" t="s">
        <v>5912</v>
      </c>
      <c r="AO179" s="1" t="s">
        <v>488</v>
      </c>
      <c r="AP179" s="1">
        <v>23</v>
      </c>
      <c r="AQ179" s="1" t="s">
        <v>1412</v>
      </c>
      <c r="AR179" s="42">
        <v>0.54166666666424135</v>
      </c>
      <c r="AS179" s="42">
        <v>0.66666666666424135</v>
      </c>
      <c r="AT179" s="1">
        <v>5576026805</v>
      </c>
      <c r="AU179" s="1">
        <v>5576026805</v>
      </c>
      <c r="AV179" s="1"/>
      <c r="AW179" s="5" t="s">
        <v>5913</v>
      </c>
      <c r="AX179" s="1" t="s">
        <v>2740</v>
      </c>
      <c r="AY179" s="1" t="s">
        <v>482</v>
      </c>
      <c r="AZ179" s="1" t="s">
        <v>5914</v>
      </c>
      <c r="BA179" s="1" t="s">
        <v>435</v>
      </c>
      <c r="BB179" s="1">
        <v>45</v>
      </c>
      <c r="BC179" s="1" t="s">
        <v>725</v>
      </c>
      <c r="BD179" s="43">
        <v>0.33333333333575865</v>
      </c>
      <c r="BE179" s="43">
        <v>0.66666666666424135</v>
      </c>
      <c r="BF179" s="1">
        <v>5538348163</v>
      </c>
      <c r="BG179" s="1">
        <v>5538348163</v>
      </c>
      <c r="BH179" s="1"/>
      <c r="BI179" s="5" t="s">
        <v>5915</v>
      </c>
      <c r="BJ179" s="1" t="s">
        <v>236</v>
      </c>
      <c r="BL179" s="1">
        <v>1.68</v>
      </c>
      <c r="BM179" s="1">
        <v>52</v>
      </c>
      <c r="BN179" s="1" t="s">
        <v>236</v>
      </c>
      <c r="BO179" s="1" t="s">
        <v>228</v>
      </c>
      <c r="BQ179" s="1" t="s">
        <v>228</v>
      </c>
      <c r="BR179" s="1" t="s">
        <v>237</v>
      </c>
      <c r="BS179" s="1" t="s">
        <v>228</v>
      </c>
      <c r="BT179" s="1" t="s">
        <v>237</v>
      </c>
      <c r="BU179" s="1" t="s">
        <v>228</v>
      </c>
      <c r="BW179" s="1" t="s">
        <v>388</v>
      </c>
      <c r="BX179" s="1">
        <v>20</v>
      </c>
      <c r="BY179" s="1">
        <v>12</v>
      </c>
      <c r="BZ179" s="1" t="s">
        <v>1185</v>
      </c>
      <c r="CA179" s="1" t="s">
        <v>343</v>
      </c>
      <c r="CB179" s="1" t="s">
        <v>240</v>
      </c>
      <c r="CC179" s="1" t="s">
        <v>322</v>
      </c>
      <c r="CD179" s="1">
        <v>2000</v>
      </c>
      <c r="CE179" s="1">
        <v>2000</v>
      </c>
      <c r="CF179" s="1" t="s">
        <v>236</v>
      </c>
      <c r="CG179" s="1" t="s">
        <v>242</v>
      </c>
      <c r="CH179" s="1" t="s">
        <v>243</v>
      </c>
      <c r="CI179" s="1" t="s">
        <v>243</v>
      </c>
      <c r="CJ179" s="1" t="s">
        <v>2848</v>
      </c>
      <c r="CL179" s="5" t="s">
        <v>5916</v>
      </c>
      <c r="CM179" s="1">
        <v>2806780184</v>
      </c>
      <c r="CN179" s="1" t="s">
        <v>228</v>
      </c>
      <c r="CQ179" s="42">
        <v>0.54166666666424135</v>
      </c>
      <c r="CR179" s="42">
        <v>0.875</v>
      </c>
      <c r="CT179" s="45" t="str">
        <f t="array" ref="CT179">IFERROR(INDEX(#REF!,MATCH('Respuestas de formulario 1.1'!$B179,#REF!,0),MATCH('Respuestas de formulario 1.1'!CT$1,#REF!,0)),"")</f>
        <v/>
      </c>
      <c r="CU179" s="56" t="str">
        <f t="array" ref="CU179">IFERROR(INDEX(#REF!,MATCH('Respuestas de formulario 1.1'!$B179,#REF!,0),MATCH('Respuestas de formulario 1.1'!CU$1,#REF!,0)),"")</f>
        <v/>
      </c>
      <c r="CV179" s="56" t="str">
        <f t="array" ref="CV179">IFERROR(INDEX(#REF!,MATCH('Respuestas de formulario 1.1'!$B179,#REF!,0),MATCH('Respuestas de formulario 1.1'!CV$1,#REF!,0)),"")</f>
        <v/>
      </c>
      <c r="CW179" s="56" t="str">
        <f t="array" ref="CW179">IFERROR(INDEX(#REF!,MATCH('Respuestas de formulario 1.1'!$B179,#REF!,0),MATCH('Respuestas de formulario 1.1'!CW$1,#REF!,0)),"")</f>
        <v/>
      </c>
      <c r="CX179" s="56" t="str">
        <f t="array" ref="CX179">IFERROR(INDEX(#REF!,MATCH('Respuestas de formulario 1.1'!$B179,#REF!,0),MATCH('Respuestas de formulario 1.1'!CX$1,#REF!,0)),"")</f>
        <v/>
      </c>
      <c r="CY179" s="56" t="str">
        <f t="array" ref="CY179">IFERROR(INDEX(#REF!,MATCH('Respuestas de formulario 1.1'!$B179,#REF!,0),MATCH('Respuestas de formulario 1.1'!CY$1,#REF!,0)),"")</f>
        <v/>
      </c>
      <c r="CZ179" s="57" t="str">
        <f t="array" ref="CZ179">IFERROR(INDEX(#REF!,MATCH('Respuestas de formulario 1.1'!$B179,#REF!,0),MATCH('Respuestas de formulario 1.1'!CZ$1,#REF!,0)),"")</f>
        <v/>
      </c>
      <c r="DA179" s="45" t="e">
        <f t="array" ref="DA179">INDEX(#REF!,MATCH('Respuestas de formulario 1.1'!$B179,#REF!,0),MATCH('Respuestas de formulario 1.1'!DA$1,#REF!,0))</f>
        <v>#REF!</v>
      </c>
      <c r="DB179" s="45" t="e">
        <f t="array" ref="DB179">INDEX(#REF!,MATCH('Respuestas de formulario 1.1'!$B179,#REF!,0),MATCH('Respuestas de formulario 1.1'!DB$1,#REF!,0))</f>
        <v>#REF!</v>
      </c>
      <c r="DC179" s="45" t="e">
        <f t="array" ref="DC179">INDEX(#REF!,MATCH('Respuestas de formulario 1.1'!$B179,#REF!,0),MATCH('Respuestas de formulario 1.1'!DC$1,#REF!,0))</f>
        <v>#REF!</v>
      </c>
      <c r="DD179" s="45" t="e">
        <f t="array" ref="DD179">INDEX(#REF!,MATCH('Respuestas de formulario 1.1'!$B179,#REF!,0),MATCH('Respuestas de formulario 1.1'!DD$1,#REF!,0))</f>
        <v>#REF!</v>
      </c>
      <c r="DE179" s="45" t="e">
        <f t="array" ref="DE179">INDEX(#REF!,MATCH('Respuestas de formulario 1.1'!$B179,#REF!,0),MATCH('Respuestas de formulario 1.1'!DE$1,#REF!,0))</f>
        <v>#REF!</v>
      </c>
      <c r="DF179" s="45" t="e">
        <f t="array" ref="DF179">INDEX(#REF!,MATCH('Respuestas de formulario 1.1'!$B179,#REF!,0),MATCH('Respuestas de formulario 1.1'!DF$1,#REF!,0))</f>
        <v>#REF!</v>
      </c>
      <c r="DG179" s="45" t="e">
        <f t="array" ref="DG179">INDEX(#REF!,MATCH('Respuestas de formulario 1.1'!$B179,#REF!,0),MATCH('Respuestas de formulario 1.1'!DG$1,#REF!,0))</f>
        <v>#REF!</v>
      </c>
      <c r="DH179" s="45" t="e">
        <f t="array" ref="DH179">INDEX(#REF!,MATCH('Respuestas de formulario 1.1'!$B179,#REF!,0),MATCH('Respuestas de formulario 1.1'!DH$1,#REF!,0))</f>
        <v>#REF!</v>
      </c>
      <c r="DI179" s="48" t="e">
        <f>VLOOKUP(CONCATENATE($DF179," TUTO ",$DC179),#REF!,3,0)</f>
        <v>#REF!</v>
      </c>
      <c r="DJ179" s="48" t="e">
        <f t="array" ref="DJ179">IF('Respuestas de formulario 1.1'!A179="","",INDEX(#REF!,MATCH('Respuestas de formulario 1.1'!B179,#REF!,0),MATCH('Respuestas de formulario 1.1'!$DH$1,#REF!,0)))</f>
        <v>#REF!</v>
      </c>
      <c r="DK179" s="52" t="str">
        <f>CONCATENATE("http://doc.google.com/uc?id=",MID('Respuestas de formulario 1.1'!G179,34,33))</f>
        <v>http://doc.google.com/uc?id=1wwQ0v6iDPX6F50LieQ5NeMgXGok2U4xe</v>
      </c>
      <c r="DL179" s="49" t="str">
        <f>CONCATENATE("http://doc.google.com/uc?id=",MID('Respuestas de formulario 1.1'!AH179,34,33))</f>
        <v>http://doc.google.com/uc?id=1Z8MRAl_KQ_zZ7j491DvnRgjKvwPkmNeT</v>
      </c>
      <c r="DM179" s="50" t="str">
        <f>CONCATENATE("http://doc.google.com/uc?id=",MID('Respuestas de formulario 1.1'!AW179,34,33))</f>
        <v>http://doc.google.com/uc?id=1-CaPjTy-inaFzZk-7ypjCvYdF8FejP7O</v>
      </c>
      <c r="DN179" s="53" t="str">
        <f>CONCATENATE("http://doc.google.com/uc?id=",MID('Respuestas de formulario 1.1'!$BI179,34,33))</f>
        <v>http://doc.google.com/uc?id=1dH7JRDTOwW7n6Gbe3f18ZtrOkGtAN1Lq</v>
      </c>
      <c r="DO179" s="45" t="str">
        <f>IFERROR(VLOOKUP(CONCATENATE('Respuestas de formulario 1.1'!$B179,MID('Respuestas de formulario 1.1'!DO$1,2,1)),#REF!,12,0),"")</f>
        <v/>
      </c>
      <c r="DP179" s="45" t="str">
        <f>IFERROR(VLOOKUP(CONCATENATE('Respuestas de formulario 1.1'!$B179,MID('Respuestas de formulario 1.1'!DP$1,2,1)),#REF!,12,0),"")</f>
        <v/>
      </c>
      <c r="DQ179" s="45" t="str">
        <f>IFERROR(VLOOKUP(CONCATENATE('Respuestas de formulario 1.1'!$B179,MID('Respuestas de formulario 1.1'!DQ$1,2,1)),#REF!,12,0),"")</f>
        <v/>
      </c>
      <c r="DR179" s="45" t="str">
        <f>IFERROR(VLOOKUP(CONCATENATE('Respuestas de formulario 1.1'!$B179,MID('Respuestas de formulario 1.1'!DR$1,2,1)),#REF!,12,0),"")</f>
        <v/>
      </c>
      <c r="DS179" s="45" t="str">
        <f>IFERROR(VLOOKUP(CONCATENATE('Respuestas de formulario 1.1'!$B179,MID('Respuestas de formulario 1.1'!DS$1,2,1)),#REF!,12,0),"")</f>
        <v/>
      </c>
      <c r="DT179" s="45" t="str">
        <f>IFERROR(VLOOKUP(CONCATENATE('Respuestas de formulario 1.1'!$B179,MID('Respuestas de formulario 1.1'!DT$1,2,1)),#REF!,12,0),"")</f>
        <v/>
      </c>
      <c r="DU179" s="45" t="str">
        <f>IFERROR(VLOOKUP(CONCATENATE('Respuestas de formulario 1.1'!$B179,MID('Respuestas de formulario 1.1'!DU$1,2,1)),#REF!,12,0),"")</f>
        <v/>
      </c>
      <c r="DV179" s="45" t="str">
        <f>IFERROR(VLOOKUP(CONCATENATE('Respuestas de formulario 1.1'!$B179,MID('Respuestas de formulario 1.1'!DV$1,2,1)),#REF!,12,0),"")</f>
        <v/>
      </c>
      <c r="DW179" s="45" t="str">
        <f>IFERROR(VLOOKUP(CONCATENATE('Respuestas de formulario 1.1'!$B179,MID('Respuestas de formulario 1.1'!DW$1,2,1)),#REF!,12,0),"")</f>
        <v/>
      </c>
      <c r="DX179" s="45" t="str">
        <f>IFERROR(VLOOKUP(CONCATENATE('Respuestas de formulario 1.1'!$B179,MID('Respuestas de formulario 1.1'!DX$1,2,1)),#REF!,12,0),"")</f>
        <v/>
      </c>
      <c r="DY179" s="45" t="str">
        <f>IFERROR(VLOOKUP(CONCATENATE('Respuestas de formulario 1.1'!$B179,MID('Respuestas de formulario 1.1'!DY$1,2,1)),#REF!,12,0),"")</f>
        <v/>
      </c>
      <c r="DZ179" s="45" t="str">
        <f>IFERROR(VLOOKUP(CONCATENATE('Respuestas de formulario 1.1'!$B179,MID('Respuestas de formulario 1.1'!DZ$1,2,1)),#REF!,12,0),"")</f>
        <v/>
      </c>
      <c r="EA179" s="45" t="str">
        <f>IFERROR(VLOOKUP(CONCATENATE('Respuestas de formulario 1.1'!$B179,MID('Respuestas de formulario 1.1'!EA$1,2,1)),#REF!,12,0),"")</f>
        <v/>
      </c>
      <c r="EB179" s="45" t="str">
        <f>IFERROR(VLOOKUP(CONCATENATE('Respuestas de formulario 1.1'!$B179,MID('Respuestas de formulario 1.1'!EB$1,2,1)),#REF!,12,0),"")</f>
        <v/>
      </c>
      <c r="EC179" s="45" t="str">
        <f>IFERROR(VLOOKUP(CONCATENATE('Respuestas de formulario 1.1'!$B179,MID('Respuestas de formulario 1.1'!EC$1,2,1)),#REF!,12,0),"")</f>
        <v/>
      </c>
      <c r="ED179" s="45" t="str">
        <f>IFERROR(VLOOKUP(CONCATENATE('Respuestas de formulario 1.1'!$B179,MID('Respuestas de formulario 1.1'!ED$1,2,1)),#REF!,12,0),"")</f>
        <v/>
      </c>
      <c r="EE179" s="45" t="str">
        <f>IFERROR(VLOOKUP(CONCATENATE('Respuestas de formulario 1.1'!$B179,MID('Respuestas de formulario 1.1'!EE$1,2,1)),#REF!,12,0),"")</f>
        <v/>
      </c>
      <c r="EF179" s="45" t="str">
        <f>IFERROR(VLOOKUP(CONCATENATE('Respuestas de formulario 1.1'!$B179,MID('Respuestas de formulario 1.1'!EF$1,2,1)),#REF!,12,0),"")</f>
        <v/>
      </c>
      <c r="EG179" s="45" t="str">
        <f>IFERROR(VLOOKUP(CONCATENATE('Respuestas de formulario 1.1'!$B179,MID('Respuestas de formulario 1.1'!EG$1,2,1)),#REF!,12,0),"")</f>
        <v/>
      </c>
      <c r="EH179" s="45" t="str">
        <f>IFERROR(VLOOKUP(CONCATENATE('Respuestas de formulario 1.1'!$B179,MID('Respuestas de formulario 1.1'!EH$1,2,1)),#REF!,12,0),"")</f>
        <v/>
      </c>
      <c r="EI179" s="45" t="str">
        <f>IFERROR(VLOOKUP(CONCATENATE('Respuestas de formulario 1.1'!$B179,MID('Respuestas de formulario 1.1'!EI$1,2,1)),#REF!,12,0),"")</f>
        <v/>
      </c>
      <c r="EJ179" s="45" t="str">
        <f t="array" ref="EJ179">IF(DO179="","", INDEX(#REF!,MATCH(CONCATENATE('Respuestas de formulario 1.1'!$B179,DO179),#REF!,0),MATCH('Respuestas de formulario 1.1'!EJ$1,#REF!,0)))</f>
        <v/>
      </c>
      <c r="EK179" s="56" t="str">
        <f t="array" ref="EK179">IF(DP179="","", INDEX(#REF!,MATCH(CONCATENATE('Respuestas de formulario 1.1'!$B179,DP179),#REF!,0),MATCH('Respuestas de formulario 1.1'!EK$1,#REF!,0)))</f>
        <v/>
      </c>
      <c r="EL179" s="56" t="str">
        <f t="array" ref="EL179">IF(DQ179="","", INDEX(#REF!,MATCH(CONCATENATE('Respuestas de formulario 1.1'!$B179,DQ179),#REF!,0),MATCH('Respuestas de formulario 1.1'!EL$1,#REF!,0)))</f>
        <v/>
      </c>
      <c r="EM179" s="56" t="str">
        <f t="array" ref="EM179">IF(DR179="","", INDEX(#REF!,MATCH(CONCATENATE('Respuestas de formulario 1.1'!$B179,DR179),#REF!,0),MATCH('Respuestas de formulario 1.1'!EM$1,#REF!,0)))</f>
        <v/>
      </c>
      <c r="EN179" s="56" t="str">
        <f t="array" ref="EN179">IF(DS179="","", INDEX(#REF!,MATCH(CONCATENATE('Respuestas de formulario 1.1'!$B179,DS179),#REF!,0),MATCH('Respuestas de formulario 1.1'!EN$1,#REF!,0)))</f>
        <v/>
      </c>
      <c r="EO179" s="56" t="str">
        <f t="array" ref="EO179">IF(DT179="","", INDEX(#REF!,MATCH(CONCATENATE('Respuestas de formulario 1.1'!$B179,DT179),#REF!,0),MATCH('Respuestas de formulario 1.1'!EO$1,#REF!,0)))</f>
        <v/>
      </c>
      <c r="EP179" s="45" t="str">
        <f t="array" ref="EP179">IF(DU179="","", INDEX(#REF!,MATCH(CONCATENATE('Respuestas de formulario 1.1'!$B179,DU179),#REF!,0),MATCH('Respuestas de formulario 1.1'!EP$1,#REF!,0)))</f>
        <v/>
      </c>
      <c r="EQ179" s="45" t="str">
        <f t="array" ref="EQ179">IF(DP179="","", INDEX(#REF!,MATCH(CONCATENATE('Respuestas de formulario 1.1'!$B179,DP179),#REF!,0),MATCH('Respuestas de formulario 1.1'!EQ$1,#REF!,0)))</f>
        <v/>
      </c>
      <c r="ER179" s="56" t="str">
        <f t="array" ref="ER179">IF(DQ179="","", INDEX(#REF!,MATCH(CONCATENATE('Respuestas de formulario 1.1'!$B179,DQ179),#REF!,0),MATCH('Respuestas de formulario 1.1'!ER$1,#REF!,0)))</f>
        <v/>
      </c>
      <c r="ES179" s="56" t="str">
        <f t="array" ref="ES179">IF(DR179="","", INDEX(#REF!,MATCH(CONCATENATE('Respuestas de formulario 1.1'!$B179,DR179),#REF!,0),MATCH('Respuestas de formulario 1.1'!ES$1,#REF!,0)))</f>
        <v/>
      </c>
      <c r="ET179" s="56" t="str">
        <f t="array" ref="ET179">IF(DS179="","", INDEX(#REF!,MATCH(CONCATENATE('Respuestas de formulario 1.1'!$B179,DS179),#REF!,0),MATCH('Respuestas de formulario 1.1'!ET$1,#REF!,0)))</f>
        <v/>
      </c>
      <c r="EU179" s="56" t="str">
        <f t="array" ref="EU179">IF(DT179="","", INDEX(#REF!,MATCH(CONCATENATE('Respuestas de formulario 1.1'!$B179,DT179),#REF!,0),MATCH('Respuestas de formulario 1.1'!EU$1,#REF!,0)))</f>
        <v/>
      </c>
      <c r="EV179" s="56" t="str">
        <f t="array" ref="EV179">IF(DU179="","", INDEX(#REF!,MATCH(CONCATENATE('Respuestas de formulario 1.1'!$B179,DU179),#REF!,0),MATCH('Respuestas de formulario 1.1'!EV$1,#REF!,0)))</f>
        <v/>
      </c>
      <c r="EW179" s="45" t="str">
        <f t="array" ref="EW179">IF(DV179="","", INDEX(#REF!,MATCH(CONCATENATE('Respuestas de formulario 1.1'!$B179,DV179),#REF!,0),MATCH('Respuestas de formulario 1.1'!EW$1,#REF!,0)))</f>
        <v/>
      </c>
      <c r="EX179" s="45" t="str">
        <f t="array" ref="EX179">IF($DQ179="","", INDEX(#REF!,MATCH(CONCATENATE('Respuestas de formulario 1.1'!$B179,$DQ179),#REF!,0),MATCH('Respuestas de formulario 1.1'!EX$1,#REF!,0)))</f>
        <v/>
      </c>
      <c r="EY179" s="56" t="str">
        <f t="array" ref="EY179">IF($DQ179="","", INDEX(#REF!,MATCH(CONCATENATE('Respuestas de formulario 1.1'!$B179,$DQ179),#REF!,0),MATCH('Respuestas de formulario 1.1'!EY$1,#REF!,0)))</f>
        <v/>
      </c>
      <c r="EZ179" s="56" t="str">
        <f t="array" ref="EZ179">IF($DQ179="","", INDEX(#REF!,MATCH(CONCATENATE('Respuestas de formulario 1.1'!$B179,$DQ179),#REF!,0),MATCH('Respuestas de formulario 1.1'!EZ$1,#REF!,0)))</f>
        <v/>
      </c>
      <c r="FA179" s="56" t="str">
        <f t="array" ref="FA179">IF($DQ179="","", INDEX(#REF!,MATCH(CONCATENATE('Respuestas de formulario 1.1'!$B179,$DQ179),#REF!,0),MATCH('Respuestas de formulario 1.1'!FA$1,#REF!,0)))</f>
        <v/>
      </c>
      <c r="FB179" s="56" t="str">
        <f t="array" ref="FB179">IF($DQ179="","", INDEX(#REF!,MATCH(CONCATENATE('Respuestas de formulario 1.1'!$B179,$DQ179),#REF!,0),MATCH('Respuestas de formulario 1.1'!FB$1,#REF!,0)))</f>
        <v/>
      </c>
      <c r="FC179" s="56" t="str">
        <f t="array" ref="FC179">IF($DQ179="","", INDEX(#REF!,MATCH(CONCATENATE('Respuestas de formulario 1.1'!$B179,$DQ179),#REF!,0),MATCH('Respuestas de formulario 1.1'!FC$1,#REF!,0)))</f>
        <v/>
      </c>
      <c r="FD179" s="45" t="str">
        <f t="array" ref="FD179">IF($DQ179="","", INDEX(#REF!,MATCH(CONCATENATE('Respuestas de formulario 1.1'!$B179,$DQ179),#REF!,0),MATCH('Respuestas de formulario 1.1'!FD$1,#REF!,0)))</f>
        <v/>
      </c>
      <c r="FE179" s="45" t="str">
        <f t="array" ref="FE179">IF($DR179="","", INDEX(#REF!,MATCH(CONCATENATE(#REF!,$DR179),#REF!,0),MATCH(#REF!,#REF!,0)))</f>
        <v/>
      </c>
      <c r="FF179" s="56" t="str">
        <f t="array" ref="FF179">IF($DR179="","", INDEX(#REF!,MATCH(CONCATENATE(#REF!,$DR179),#REF!,0),MATCH(#REF!,#REF!,0)))</f>
        <v/>
      </c>
      <c r="FG179" s="56" t="str">
        <f t="array" ref="FG179">IF($DR179="","", INDEX(#REF!,MATCH(CONCATENATE(#REF!,$DR179),#REF!,0),MATCH(#REF!,#REF!,0)))</f>
        <v/>
      </c>
      <c r="FH179" s="56" t="str">
        <f t="array" ref="FH179">IF($DR179="","", INDEX(#REF!,MATCH(CONCATENATE(#REF!,$DR179),#REF!,0),MATCH(#REF!,#REF!,0)))</f>
        <v/>
      </c>
      <c r="FI179" s="56" t="str">
        <f t="array" ref="FI179">IF($DR179="","", INDEX(#REF!,MATCH(CONCATENATE(#REF!,$DR179),#REF!,0),MATCH(#REF!,#REF!,0)))</f>
        <v/>
      </c>
      <c r="FJ179" s="56" t="str">
        <f t="array" ref="FJ179">IF($DR179="","", INDEX(#REF!,MATCH(CONCATENATE(#REF!,$DR179),#REF!,0),MATCH(#REF!,#REF!,0)))</f>
        <v/>
      </c>
      <c r="FK179" s="45" t="str">
        <f t="array" ref="FK179">IF($DR179="","", INDEX(#REF!,MATCH(CONCATENATE(#REF!,$DR179),#REF!,0),MATCH(#REF!,#REF!,0)))</f>
        <v/>
      </c>
      <c r="FL179" s="45" t="str">
        <f t="array" ref="FL179">IF($DT179="","", INDEX(#REF!,MATCH(CONCATENATE('Respuestas de formulario 1.1'!$B179,$DS179),#REF!,0),MATCH('Respuestas de formulario 1.1'!FL$1,#REF!,0)))</f>
        <v/>
      </c>
      <c r="FM179" s="56" t="str">
        <f t="array" ref="FM179">IF($DT179="","", INDEX(#REF!,MATCH(CONCATENATE('Respuestas de formulario 1.1'!$B179,$DS179),#REF!,0),MATCH('Respuestas de formulario 1.1'!FM$1,#REF!,0)))</f>
        <v/>
      </c>
      <c r="FN179" s="56" t="str">
        <f t="array" ref="FN179">IF($DT179="","", INDEX(#REF!,MATCH(CONCATENATE('Respuestas de formulario 1.1'!$B179,$DS179),#REF!,0),MATCH('Respuestas de formulario 1.1'!FN$1,#REF!,0)))</f>
        <v/>
      </c>
      <c r="FO179" s="56" t="str">
        <f t="array" ref="FO179">IF($DT179="","", INDEX(#REF!,MATCH(CONCATENATE('Respuestas de formulario 1.1'!$B179,$DS179),#REF!,0),MATCH('Respuestas de formulario 1.1'!FO$1,#REF!,0)))</f>
        <v/>
      </c>
      <c r="FP179" s="56" t="str">
        <f t="array" ref="FP179">IF($DT179="","", INDEX(#REF!,MATCH(CONCATENATE('Respuestas de formulario 1.1'!$B179,$DS179),#REF!,0),MATCH('Respuestas de formulario 1.1'!FP$1,#REF!,0)))</f>
        <v/>
      </c>
      <c r="FQ179" s="56" t="str">
        <f t="array" ref="FQ179">IF($DT179="","", INDEX(#REF!,MATCH(CONCATENATE('Respuestas de formulario 1.1'!$B179,$DS179),#REF!,0),MATCH('Respuestas de formulario 1.1'!FQ$1,#REF!,0)))</f>
        <v/>
      </c>
      <c r="FR179" s="45" t="str">
        <f t="array" ref="FR179">IF($DT179="","", INDEX(#REF!,MATCH(CONCATENATE('Respuestas de formulario 1.1'!$B179,$DS179),#REF!,0),MATCH('Respuestas de formulario 1.1'!FR$1,#REF!,0)))</f>
        <v/>
      </c>
      <c r="FS179" s="45" t="str">
        <f t="array" ref="FS179">IF($DU179="","", INDEX(#REF!,MATCH(CONCATENATE('Respuestas de formulario 1.1'!$B179,$DT179),#REF!,0),MATCH('Respuestas de formulario 1.1'!FS$1,#REF!,0)))</f>
        <v/>
      </c>
      <c r="FT179" s="56" t="str">
        <f t="array" ref="FT179">IF($DU179="","", INDEX(#REF!,MATCH(CONCATENATE('Respuestas de formulario 1.1'!$B179,$DT179),#REF!,0),MATCH('Respuestas de formulario 1.1'!FT$1,#REF!,0)))</f>
        <v/>
      </c>
      <c r="FU179" s="56" t="str">
        <f t="array" ref="FU179">IF($DU179="","", INDEX(#REF!,MATCH(CONCATENATE('Respuestas de formulario 1.1'!$B179,$DT179),#REF!,0),MATCH('Respuestas de formulario 1.1'!FU$1,#REF!,0)))</f>
        <v/>
      </c>
      <c r="FV179" s="56" t="str">
        <f t="array" ref="FV179">IF($DU179="","", INDEX(#REF!,MATCH(CONCATENATE('Respuestas de formulario 1.1'!$B179,$DT179),#REF!,0),MATCH('Respuestas de formulario 1.1'!FV$1,#REF!,0)))</f>
        <v/>
      </c>
      <c r="FW179" s="56" t="str">
        <f t="array" ref="FW179">IF($DU179="","", INDEX(#REF!,MATCH(CONCATENATE('Respuestas de formulario 1.1'!$B179,$DT179),#REF!,0),MATCH('Respuestas de formulario 1.1'!FW$1,#REF!,0)))</f>
        <v/>
      </c>
      <c r="FX179" s="56" t="str">
        <f t="array" ref="FX179">IF($DU179="","", INDEX(#REF!,MATCH(CONCATENATE('Respuestas de formulario 1.1'!$B179,$DT179),#REF!,0),MATCH('Respuestas de formulario 1.1'!FX$1,#REF!,0)))</f>
        <v/>
      </c>
      <c r="FY179" s="45" t="str">
        <f t="array" ref="FY179">IF($DU179="","", INDEX(#REF!,MATCH(CONCATENATE('Respuestas de formulario 1.1'!$B179,$DT179),#REF!,0),MATCH('Respuestas de formulario 1.1'!FY$1,#REF!,0)))</f>
        <v/>
      </c>
      <c r="FZ179" s="3" t="s">
        <v>2860</v>
      </c>
      <c r="GA179" s="1" t="s">
        <v>5917</v>
      </c>
      <c r="GB179" s="5" t="s">
        <v>5918</v>
      </c>
      <c r="GC179" s="4" t="str">
        <f>HYPERLINK("https://drive.google.com/file/d/1P6osajCpniE2Oiu9580q0i6WrIig4FcZ/view?usp=drivesdk","JAUREGUI  ESPINOSA  JENNIFER  Formato de reinscripción y pago 2022-2")</f>
        <v>JAUREGUI  ESPINOSA  JENNIFER  Formato de reinscripción y pago 2022-2</v>
      </c>
      <c r="GD179" s="1" t="s">
        <v>5919</v>
      </c>
      <c r="GE179" s="1"/>
      <c r="GF179" s="1"/>
      <c r="GG179" s="1"/>
      <c r="GH179" s="1"/>
      <c r="GI179" s="1" t="s">
        <v>5920</v>
      </c>
      <c r="GJ179" s="5" t="s">
        <v>5921</v>
      </c>
      <c r="GK179" s="5" t="str">
        <f>HYPERLINK("https://drive.google.com/file/d/16SpWzbqACing8-FHn1ixCA_BP_h40KGo/view?usp=drivesdk","JAUREGUI  ESPINOSA  JENNIFER  Formato de reinscripción y pago 2022-2")</f>
        <v>JAUREGUI  ESPINOSA  JENNIFER  Formato de reinscripción y pago 2022-2</v>
      </c>
      <c r="GL179" s="1" t="s">
        <v>5922</v>
      </c>
    </row>
    <row r="180" spans="1:194" ht="38.25" x14ac:dyDescent="0.2">
      <c r="A180" s="2">
        <v>45139.490628831016</v>
      </c>
      <c r="B180" s="1" t="s">
        <v>2543</v>
      </c>
      <c r="C180" s="1" t="s">
        <v>392</v>
      </c>
      <c r="D180" s="1" t="s">
        <v>390</v>
      </c>
      <c r="E180" s="1" t="s">
        <v>1260</v>
      </c>
      <c r="F180" s="1" t="s">
        <v>223</v>
      </c>
      <c r="G180" s="5" t="s">
        <v>5923</v>
      </c>
      <c r="H180" s="41">
        <v>39126</v>
      </c>
      <c r="I180" s="1">
        <v>16</v>
      </c>
      <c r="J180" s="1">
        <v>5535813237</v>
      </c>
      <c r="K180" s="1">
        <v>5559195136</v>
      </c>
      <c r="L180" s="1" t="s">
        <v>2544</v>
      </c>
      <c r="M180" s="1">
        <v>22309060570547</v>
      </c>
      <c r="N180" s="1" t="s">
        <v>562</v>
      </c>
      <c r="O180" s="1" t="s">
        <v>247</v>
      </c>
      <c r="P180" s="1" t="s">
        <v>278</v>
      </c>
      <c r="Q180" s="1" t="s">
        <v>248</v>
      </c>
      <c r="R180" s="1" t="s">
        <v>236</v>
      </c>
      <c r="S180" s="1" t="s">
        <v>228</v>
      </c>
      <c r="T180" s="1" t="s">
        <v>411</v>
      </c>
      <c r="U180" s="1" t="s">
        <v>249</v>
      </c>
      <c r="V180" s="1" t="s">
        <v>228</v>
      </c>
      <c r="W180" s="1" t="s">
        <v>5924</v>
      </c>
      <c r="X180" s="1" t="s">
        <v>249</v>
      </c>
      <c r="Y180" s="1" t="s">
        <v>5925</v>
      </c>
      <c r="Z180" s="1" t="s">
        <v>240</v>
      </c>
      <c r="AA180" s="44" t="s">
        <v>1118</v>
      </c>
      <c r="AB180" s="1" t="s">
        <v>5926</v>
      </c>
      <c r="AC180" s="1" t="s">
        <v>5927</v>
      </c>
      <c r="AD180" s="1" t="s">
        <v>5928</v>
      </c>
      <c r="AE180" s="1" t="s">
        <v>5929</v>
      </c>
      <c r="AF180" s="1" t="s">
        <v>445</v>
      </c>
      <c r="AG180" s="1">
        <v>42</v>
      </c>
      <c r="AH180" s="5" t="s">
        <v>5930</v>
      </c>
      <c r="AI180" s="1">
        <v>5548940722</v>
      </c>
      <c r="AJ180" s="1">
        <v>5559195136</v>
      </c>
      <c r="AK180" s="1" t="s">
        <v>2545</v>
      </c>
      <c r="AL180" s="1" t="s">
        <v>392</v>
      </c>
      <c r="AM180" s="1" t="s">
        <v>5931</v>
      </c>
      <c r="AN180" s="1" t="s">
        <v>5932</v>
      </c>
      <c r="AO180" s="1" t="s">
        <v>650</v>
      </c>
      <c r="AP180" s="1">
        <v>45</v>
      </c>
      <c r="AQ180" s="1" t="s">
        <v>663</v>
      </c>
      <c r="AR180" s="42">
        <v>0.29166666666424135</v>
      </c>
      <c r="AS180" s="42">
        <v>0.25</v>
      </c>
      <c r="AT180" s="1">
        <v>5527596053</v>
      </c>
      <c r="AU180" s="1">
        <v>5559195136</v>
      </c>
      <c r="AV180" s="1" t="s">
        <v>2546</v>
      </c>
      <c r="AW180" s="5" t="s">
        <v>5933</v>
      </c>
      <c r="AX180" s="1" t="s">
        <v>392</v>
      </c>
      <c r="AY180" s="1" t="s">
        <v>390</v>
      </c>
      <c r="AZ180" s="1" t="s">
        <v>5934</v>
      </c>
      <c r="BA180" s="1" t="s">
        <v>488</v>
      </c>
      <c r="BB180" s="1">
        <v>18</v>
      </c>
      <c r="BC180" s="1" t="s">
        <v>1044</v>
      </c>
      <c r="BD180" s="43">
        <v>0.33333333333575865</v>
      </c>
      <c r="BE180" s="43">
        <v>8.3333333335758653E-2</v>
      </c>
      <c r="BF180" s="1">
        <v>5621483430</v>
      </c>
      <c r="BG180" s="1">
        <v>5559195136</v>
      </c>
      <c r="BH180" s="1" t="s">
        <v>5935</v>
      </c>
      <c r="BI180" s="5" t="s">
        <v>5936</v>
      </c>
      <c r="BJ180" s="1" t="s">
        <v>236</v>
      </c>
      <c r="BL180" s="1">
        <v>1.6</v>
      </c>
      <c r="BM180" s="1">
        <v>43</v>
      </c>
      <c r="BN180" s="1" t="s">
        <v>236</v>
      </c>
      <c r="BO180" s="1" t="s">
        <v>228</v>
      </c>
      <c r="BP180" s="1" t="s">
        <v>297</v>
      </c>
      <c r="BQ180" s="1" t="s">
        <v>228</v>
      </c>
      <c r="BR180" s="1" t="s">
        <v>237</v>
      </c>
      <c r="BS180" s="1" t="s">
        <v>228</v>
      </c>
      <c r="BT180" s="1" t="s">
        <v>237</v>
      </c>
      <c r="BU180" s="1" t="s">
        <v>228</v>
      </c>
      <c r="BW180" s="1" t="s">
        <v>238</v>
      </c>
      <c r="BX180" s="1">
        <v>60</v>
      </c>
      <c r="BY180" s="1">
        <v>150</v>
      </c>
      <c r="BZ180" s="1" t="s">
        <v>5937</v>
      </c>
      <c r="CA180" s="1" t="s">
        <v>5938</v>
      </c>
      <c r="CB180" s="1" t="s">
        <v>240</v>
      </c>
      <c r="CC180" s="1" t="s">
        <v>300</v>
      </c>
      <c r="CD180" s="1">
        <v>1500</v>
      </c>
      <c r="CE180" s="1">
        <v>1500</v>
      </c>
      <c r="CF180" s="1" t="s">
        <v>236</v>
      </c>
      <c r="CG180" s="1" t="s">
        <v>242</v>
      </c>
      <c r="CH180" s="1" t="s">
        <v>243</v>
      </c>
      <c r="CI180" s="1" t="s">
        <v>243</v>
      </c>
      <c r="CJ180" s="1" t="s">
        <v>2848</v>
      </c>
      <c r="CL180" s="5" t="s">
        <v>5939</v>
      </c>
      <c r="CM180" s="44" t="s">
        <v>2547</v>
      </c>
      <c r="CN180" s="1" t="s">
        <v>228</v>
      </c>
      <c r="CQ180" s="42">
        <v>0.29166666666424135</v>
      </c>
      <c r="CR180" s="42">
        <v>0.25</v>
      </c>
      <c r="CT180" s="45" t="str">
        <f t="array" ref="CT180">IFERROR(INDEX(#REF!,MATCH('Respuestas de formulario 1.1'!$B180,#REF!,0),MATCH('Respuestas de formulario 1.1'!CT$1,#REF!,0)),"")</f>
        <v/>
      </c>
      <c r="CU180" s="56" t="str">
        <f t="array" ref="CU180">IFERROR(INDEX(#REF!,MATCH('Respuestas de formulario 1.1'!$B180,#REF!,0),MATCH('Respuestas de formulario 1.1'!CU$1,#REF!,0)),"")</f>
        <v/>
      </c>
      <c r="CV180" s="56" t="str">
        <f t="array" ref="CV180">IFERROR(INDEX(#REF!,MATCH('Respuestas de formulario 1.1'!$B180,#REF!,0),MATCH('Respuestas de formulario 1.1'!CV$1,#REF!,0)),"")</f>
        <v/>
      </c>
      <c r="CW180" s="56" t="str">
        <f t="array" ref="CW180">IFERROR(INDEX(#REF!,MATCH('Respuestas de formulario 1.1'!$B180,#REF!,0),MATCH('Respuestas de formulario 1.1'!CW$1,#REF!,0)),"")</f>
        <v/>
      </c>
      <c r="CX180" s="56" t="str">
        <f t="array" ref="CX180">IFERROR(INDEX(#REF!,MATCH('Respuestas de formulario 1.1'!$B180,#REF!,0),MATCH('Respuestas de formulario 1.1'!CX$1,#REF!,0)),"")</f>
        <v/>
      </c>
      <c r="CY180" s="56" t="str">
        <f t="array" ref="CY180">IFERROR(INDEX(#REF!,MATCH('Respuestas de formulario 1.1'!$B180,#REF!,0),MATCH('Respuestas de formulario 1.1'!CY$1,#REF!,0)),"")</f>
        <v/>
      </c>
      <c r="CZ180" s="57" t="str">
        <f t="array" ref="CZ180">IFERROR(INDEX(#REF!,MATCH('Respuestas de formulario 1.1'!$B180,#REF!,0),MATCH('Respuestas de formulario 1.1'!CZ$1,#REF!,0)),"")</f>
        <v/>
      </c>
      <c r="DA180" s="45" t="e">
        <f t="array" ref="DA180">INDEX(#REF!,MATCH('Respuestas de formulario 1.1'!$B180,#REF!,0),MATCH('Respuestas de formulario 1.1'!DA$1,#REF!,0))</f>
        <v>#REF!</v>
      </c>
      <c r="DB180" s="45" t="e">
        <f t="array" ref="DB180">INDEX(#REF!,MATCH('Respuestas de formulario 1.1'!$B180,#REF!,0),MATCH('Respuestas de formulario 1.1'!DB$1,#REF!,0))</f>
        <v>#REF!</v>
      </c>
      <c r="DC180" s="45" t="e">
        <f t="array" ref="DC180">INDEX(#REF!,MATCH('Respuestas de formulario 1.1'!$B180,#REF!,0),MATCH('Respuestas de formulario 1.1'!DC$1,#REF!,0))</f>
        <v>#REF!</v>
      </c>
      <c r="DD180" s="45" t="e">
        <f t="array" ref="DD180">INDEX(#REF!,MATCH('Respuestas de formulario 1.1'!$B180,#REF!,0),MATCH('Respuestas de formulario 1.1'!DD$1,#REF!,0))</f>
        <v>#REF!</v>
      </c>
      <c r="DE180" s="45" t="e">
        <f t="array" ref="DE180">INDEX(#REF!,MATCH('Respuestas de formulario 1.1'!$B180,#REF!,0),MATCH('Respuestas de formulario 1.1'!DE$1,#REF!,0))</f>
        <v>#REF!</v>
      </c>
      <c r="DF180" s="45" t="e">
        <f t="array" ref="DF180">INDEX(#REF!,MATCH('Respuestas de formulario 1.1'!$B180,#REF!,0),MATCH('Respuestas de formulario 1.1'!DF$1,#REF!,0))</f>
        <v>#REF!</v>
      </c>
      <c r="DG180" s="45" t="e">
        <f t="array" ref="DG180">INDEX(#REF!,MATCH('Respuestas de formulario 1.1'!$B180,#REF!,0),MATCH('Respuestas de formulario 1.1'!DG$1,#REF!,0))</f>
        <v>#REF!</v>
      </c>
      <c r="DH180" s="45" t="e">
        <f t="array" ref="DH180">INDEX(#REF!,MATCH('Respuestas de formulario 1.1'!$B180,#REF!,0),MATCH('Respuestas de formulario 1.1'!DH$1,#REF!,0))</f>
        <v>#REF!</v>
      </c>
      <c r="DI180" s="48" t="e">
        <f>VLOOKUP(CONCATENATE($DF180," TUTO ",$DC180),#REF!,3,0)</f>
        <v>#REF!</v>
      </c>
      <c r="DJ180" s="48" t="e">
        <f t="array" ref="DJ180">IF('Respuestas de formulario 1.1'!A180="","",INDEX(#REF!,MATCH('Respuestas de formulario 1.1'!B180,#REF!,0),MATCH('Respuestas de formulario 1.1'!$DH$1,#REF!,0)))</f>
        <v>#REF!</v>
      </c>
      <c r="DK180" s="52" t="str">
        <f>CONCATENATE("http://doc.google.com/uc?id=",MID('Respuestas de formulario 1.1'!G180,34,33))</f>
        <v>http://doc.google.com/uc?id=1Swv4okvWAfa8hMM38rMEAlftX2KrQ8YF</v>
      </c>
      <c r="DL180" s="49" t="str">
        <f>CONCATENATE("http://doc.google.com/uc?id=",MID('Respuestas de formulario 1.1'!AH180,34,33))</f>
        <v>http://doc.google.com/uc?id=14HeZud0ki96W2vyTfqIrJSOKKJA6KTcj</v>
      </c>
      <c r="DM180" s="50" t="str">
        <f>CONCATENATE("http://doc.google.com/uc?id=",MID('Respuestas de formulario 1.1'!AW180,34,33))</f>
        <v>http://doc.google.com/uc?id=1XjKHXvHtUFrScPHXzhHlqhL8G5zs9mnI</v>
      </c>
      <c r="DN180" s="53" t="str">
        <f>CONCATENATE("http://doc.google.com/uc?id=",MID('Respuestas de formulario 1.1'!$BI180,34,33))</f>
        <v>http://doc.google.com/uc?id=1sN7vW61GW_k1GyPMGCiLlEjWs3YpVfxY</v>
      </c>
      <c r="DO180" s="45" t="str">
        <f>IFERROR(VLOOKUP(CONCATENATE('Respuestas de formulario 1.1'!$B180,MID('Respuestas de formulario 1.1'!DO$1,2,1)),#REF!,12,0),"")</f>
        <v/>
      </c>
      <c r="DP180" s="45" t="str">
        <f>IFERROR(VLOOKUP(CONCATENATE('Respuestas de formulario 1.1'!$B180,MID('Respuestas de formulario 1.1'!DP$1,2,1)),#REF!,12,0),"")</f>
        <v/>
      </c>
      <c r="DQ180" s="45" t="str">
        <f>IFERROR(VLOOKUP(CONCATENATE('Respuestas de formulario 1.1'!$B180,MID('Respuestas de formulario 1.1'!DQ$1,2,1)),#REF!,12,0),"")</f>
        <v/>
      </c>
      <c r="DR180" s="45" t="str">
        <f>IFERROR(VLOOKUP(CONCATENATE('Respuestas de formulario 1.1'!$B180,MID('Respuestas de formulario 1.1'!DR$1,2,1)),#REF!,12,0),"")</f>
        <v/>
      </c>
      <c r="DS180" s="45" t="str">
        <f>IFERROR(VLOOKUP(CONCATENATE('Respuestas de formulario 1.1'!$B180,MID('Respuestas de formulario 1.1'!DS$1,2,1)),#REF!,12,0),"")</f>
        <v/>
      </c>
      <c r="DT180" s="45" t="str">
        <f>IFERROR(VLOOKUP(CONCATENATE('Respuestas de formulario 1.1'!$B180,MID('Respuestas de formulario 1.1'!DT$1,2,1)),#REF!,12,0),"")</f>
        <v/>
      </c>
      <c r="DU180" s="45" t="str">
        <f>IFERROR(VLOOKUP(CONCATENATE('Respuestas de formulario 1.1'!$B180,MID('Respuestas de formulario 1.1'!DU$1,2,1)),#REF!,12,0),"")</f>
        <v/>
      </c>
      <c r="DV180" s="45" t="str">
        <f>IFERROR(VLOOKUP(CONCATENATE('Respuestas de formulario 1.1'!$B180,MID('Respuestas de formulario 1.1'!DV$1,2,1)),#REF!,12,0),"")</f>
        <v/>
      </c>
      <c r="DW180" s="45" t="str">
        <f>IFERROR(VLOOKUP(CONCATENATE('Respuestas de formulario 1.1'!$B180,MID('Respuestas de formulario 1.1'!DW$1,2,1)),#REF!,12,0),"")</f>
        <v/>
      </c>
      <c r="DX180" s="45" t="str">
        <f>IFERROR(VLOOKUP(CONCATENATE('Respuestas de formulario 1.1'!$B180,MID('Respuestas de formulario 1.1'!DX$1,2,1)),#REF!,12,0),"")</f>
        <v/>
      </c>
      <c r="DY180" s="45" t="str">
        <f>IFERROR(VLOOKUP(CONCATENATE('Respuestas de formulario 1.1'!$B180,MID('Respuestas de formulario 1.1'!DY$1,2,1)),#REF!,12,0),"")</f>
        <v/>
      </c>
      <c r="DZ180" s="45" t="str">
        <f>IFERROR(VLOOKUP(CONCATENATE('Respuestas de formulario 1.1'!$B180,MID('Respuestas de formulario 1.1'!DZ$1,2,1)),#REF!,12,0),"")</f>
        <v/>
      </c>
      <c r="EA180" s="45" t="str">
        <f>IFERROR(VLOOKUP(CONCATENATE('Respuestas de formulario 1.1'!$B180,MID('Respuestas de formulario 1.1'!EA$1,2,1)),#REF!,12,0),"")</f>
        <v/>
      </c>
      <c r="EB180" s="45" t="str">
        <f>IFERROR(VLOOKUP(CONCATENATE('Respuestas de formulario 1.1'!$B180,MID('Respuestas de formulario 1.1'!EB$1,2,1)),#REF!,12,0),"")</f>
        <v/>
      </c>
      <c r="EC180" s="45" t="str">
        <f>IFERROR(VLOOKUP(CONCATENATE('Respuestas de formulario 1.1'!$B180,MID('Respuestas de formulario 1.1'!EC$1,2,1)),#REF!,12,0),"")</f>
        <v/>
      </c>
      <c r="ED180" s="45" t="str">
        <f>IFERROR(VLOOKUP(CONCATENATE('Respuestas de formulario 1.1'!$B180,MID('Respuestas de formulario 1.1'!ED$1,2,1)),#REF!,12,0),"")</f>
        <v/>
      </c>
      <c r="EE180" s="45" t="str">
        <f>IFERROR(VLOOKUP(CONCATENATE('Respuestas de formulario 1.1'!$B180,MID('Respuestas de formulario 1.1'!EE$1,2,1)),#REF!,12,0),"")</f>
        <v/>
      </c>
      <c r="EF180" s="45" t="str">
        <f>IFERROR(VLOOKUP(CONCATENATE('Respuestas de formulario 1.1'!$B180,MID('Respuestas de formulario 1.1'!EF$1,2,1)),#REF!,12,0),"")</f>
        <v/>
      </c>
      <c r="EG180" s="45" t="str">
        <f>IFERROR(VLOOKUP(CONCATENATE('Respuestas de formulario 1.1'!$B180,MID('Respuestas de formulario 1.1'!EG$1,2,1)),#REF!,12,0),"")</f>
        <v/>
      </c>
      <c r="EH180" s="45" t="str">
        <f>IFERROR(VLOOKUP(CONCATENATE('Respuestas de formulario 1.1'!$B180,MID('Respuestas de formulario 1.1'!EH$1,2,1)),#REF!,12,0),"")</f>
        <v/>
      </c>
      <c r="EI180" s="45" t="str">
        <f>IFERROR(VLOOKUP(CONCATENATE('Respuestas de formulario 1.1'!$B180,MID('Respuestas de formulario 1.1'!EI$1,2,1)),#REF!,12,0),"")</f>
        <v/>
      </c>
      <c r="EJ180" s="45" t="str">
        <f t="array" ref="EJ180">IF(DO180="","", INDEX(#REF!,MATCH(CONCATENATE('Respuestas de formulario 1.1'!$B180,DO180),#REF!,0),MATCH('Respuestas de formulario 1.1'!EJ$1,#REF!,0)))</f>
        <v/>
      </c>
      <c r="EK180" s="56" t="str">
        <f t="array" ref="EK180">IF(DP180="","", INDEX(#REF!,MATCH(CONCATENATE('Respuestas de formulario 1.1'!$B180,DP180),#REF!,0),MATCH('Respuestas de formulario 1.1'!EK$1,#REF!,0)))</f>
        <v/>
      </c>
      <c r="EL180" s="56" t="str">
        <f t="array" ref="EL180">IF(DQ180="","", INDEX(#REF!,MATCH(CONCATENATE('Respuestas de formulario 1.1'!$B180,DQ180),#REF!,0),MATCH('Respuestas de formulario 1.1'!EL$1,#REF!,0)))</f>
        <v/>
      </c>
      <c r="EM180" s="56" t="str">
        <f t="array" ref="EM180">IF(DR180="","", INDEX(#REF!,MATCH(CONCATENATE('Respuestas de formulario 1.1'!$B180,DR180),#REF!,0),MATCH('Respuestas de formulario 1.1'!EM$1,#REF!,0)))</f>
        <v/>
      </c>
      <c r="EN180" s="56" t="str">
        <f t="array" ref="EN180">IF(DS180="","", INDEX(#REF!,MATCH(CONCATENATE('Respuestas de formulario 1.1'!$B180,DS180),#REF!,0),MATCH('Respuestas de formulario 1.1'!EN$1,#REF!,0)))</f>
        <v/>
      </c>
      <c r="EO180" s="56" t="str">
        <f t="array" ref="EO180">IF(DT180="","", INDEX(#REF!,MATCH(CONCATENATE('Respuestas de formulario 1.1'!$B180,DT180),#REF!,0),MATCH('Respuestas de formulario 1.1'!EO$1,#REF!,0)))</f>
        <v/>
      </c>
      <c r="EP180" s="45" t="str">
        <f t="array" ref="EP180">IF(DU180="","", INDEX(#REF!,MATCH(CONCATENATE('Respuestas de formulario 1.1'!$B180,DU180),#REF!,0),MATCH('Respuestas de formulario 1.1'!EP$1,#REF!,0)))</f>
        <v/>
      </c>
      <c r="EQ180" s="45" t="str">
        <f t="array" ref="EQ180">IF(DP180="","", INDEX(#REF!,MATCH(CONCATENATE('Respuestas de formulario 1.1'!$B180,DP180),#REF!,0),MATCH('Respuestas de formulario 1.1'!EQ$1,#REF!,0)))</f>
        <v/>
      </c>
      <c r="ER180" s="56" t="str">
        <f t="array" ref="ER180">IF(DQ180="","", INDEX(#REF!,MATCH(CONCATENATE('Respuestas de formulario 1.1'!$B180,DQ180),#REF!,0),MATCH('Respuestas de formulario 1.1'!ER$1,#REF!,0)))</f>
        <v/>
      </c>
      <c r="ES180" s="56" t="str">
        <f t="array" ref="ES180">IF(DR180="","", INDEX(#REF!,MATCH(CONCATENATE('Respuestas de formulario 1.1'!$B180,DR180),#REF!,0),MATCH('Respuestas de formulario 1.1'!ES$1,#REF!,0)))</f>
        <v/>
      </c>
      <c r="ET180" s="56" t="str">
        <f t="array" ref="ET180">IF(DS180="","", INDEX(#REF!,MATCH(CONCATENATE('Respuestas de formulario 1.1'!$B180,DS180),#REF!,0),MATCH('Respuestas de formulario 1.1'!ET$1,#REF!,0)))</f>
        <v/>
      </c>
      <c r="EU180" s="56" t="str">
        <f t="array" ref="EU180">IF(DT180="","", INDEX(#REF!,MATCH(CONCATENATE('Respuestas de formulario 1.1'!$B180,DT180),#REF!,0),MATCH('Respuestas de formulario 1.1'!EU$1,#REF!,0)))</f>
        <v/>
      </c>
      <c r="EV180" s="56" t="str">
        <f t="array" ref="EV180">IF(DU180="","", INDEX(#REF!,MATCH(CONCATENATE('Respuestas de formulario 1.1'!$B180,DU180),#REF!,0),MATCH('Respuestas de formulario 1.1'!EV$1,#REF!,0)))</f>
        <v/>
      </c>
      <c r="EW180" s="45" t="str">
        <f t="array" ref="EW180">IF(DV180="","", INDEX(#REF!,MATCH(CONCATENATE('Respuestas de formulario 1.1'!$B180,DV180),#REF!,0),MATCH('Respuestas de formulario 1.1'!EW$1,#REF!,0)))</f>
        <v/>
      </c>
      <c r="EX180" s="45" t="str">
        <f t="array" ref="EX180">IF($DQ180="","", INDEX(#REF!,MATCH(CONCATENATE('Respuestas de formulario 1.1'!$B180,$DQ180),#REF!,0),MATCH('Respuestas de formulario 1.1'!EX$1,#REF!,0)))</f>
        <v/>
      </c>
      <c r="EY180" s="56" t="str">
        <f t="array" ref="EY180">IF($DQ180="","", INDEX(#REF!,MATCH(CONCATENATE('Respuestas de formulario 1.1'!$B180,$DQ180),#REF!,0),MATCH('Respuestas de formulario 1.1'!EY$1,#REF!,0)))</f>
        <v/>
      </c>
      <c r="EZ180" s="56" t="str">
        <f t="array" ref="EZ180">IF($DQ180="","", INDEX(#REF!,MATCH(CONCATENATE('Respuestas de formulario 1.1'!$B180,$DQ180),#REF!,0),MATCH('Respuestas de formulario 1.1'!EZ$1,#REF!,0)))</f>
        <v/>
      </c>
      <c r="FA180" s="56" t="str">
        <f t="array" ref="FA180">IF($DQ180="","", INDEX(#REF!,MATCH(CONCATENATE('Respuestas de formulario 1.1'!$B180,$DQ180),#REF!,0),MATCH('Respuestas de formulario 1.1'!FA$1,#REF!,0)))</f>
        <v/>
      </c>
      <c r="FB180" s="56" t="str">
        <f t="array" ref="FB180">IF($DQ180="","", INDEX(#REF!,MATCH(CONCATENATE('Respuestas de formulario 1.1'!$B180,$DQ180),#REF!,0),MATCH('Respuestas de formulario 1.1'!FB$1,#REF!,0)))</f>
        <v/>
      </c>
      <c r="FC180" s="56" t="str">
        <f t="array" ref="FC180">IF($DQ180="","", INDEX(#REF!,MATCH(CONCATENATE('Respuestas de formulario 1.1'!$B180,$DQ180),#REF!,0),MATCH('Respuestas de formulario 1.1'!FC$1,#REF!,0)))</f>
        <v/>
      </c>
      <c r="FD180" s="45" t="str">
        <f t="array" ref="FD180">IF($DQ180="","", INDEX(#REF!,MATCH(CONCATENATE('Respuestas de formulario 1.1'!$B180,$DQ180),#REF!,0),MATCH('Respuestas de formulario 1.1'!FD$1,#REF!,0)))</f>
        <v/>
      </c>
      <c r="FE180" s="45" t="str">
        <f t="array" ref="FE180">IF($DR180="","", INDEX(#REF!,MATCH(CONCATENATE(#REF!,$DR180),#REF!,0),MATCH(#REF!,#REF!,0)))</f>
        <v/>
      </c>
      <c r="FF180" s="56" t="str">
        <f t="array" ref="FF180">IF($DR180="","", INDEX(#REF!,MATCH(CONCATENATE(#REF!,$DR180),#REF!,0),MATCH(#REF!,#REF!,0)))</f>
        <v/>
      </c>
      <c r="FG180" s="56" t="str">
        <f t="array" ref="FG180">IF($DR180="","", INDEX(#REF!,MATCH(CONCATENATE(#REF!,$DR180),#REF!,0),MATCH(#REF!,#REF!,0)))</f>
        <v/>
      </c>
      <c r="FH180" s="56" t="str">
        <f t="array" ref="FH180">IF($DR180="","", INDEX(#REF!,MATCH(CONCATENATE(#REF!,$DR180),#REF!,0),MATCH(#REF!,#REF!,0)))</f>
        <v/>
      </c>
      <c r="FI180" s="56" t="str">
        <f t="array" ref="FI180">IF($DR180="","", INDEX(#REF!,MATCH(CONCATENATE(#REF!,$DR180),#REF!,0),MATCH(#REF!,#REF!,0)))</f>
        <v/>
      </c>
      <c r="FJ180" s="56" t="str">
        <f t="array" ref="FJ180">IF($DR180="","", INDEX(#REF!,MATCH(CONCATENATE(#REF!,$DR180),#REF!,0),MATCH(#REF!,#REF!,0)))</f>
        <v/>
      </c>
      <c r="FK180" s="45" t="str">
        <f t="array" ref="FK180">IF($DR180="","", INDEX(#REF!,MATCH(CONCATENATE(#REF!,$DR180),#REF!,0),MATCH(#REF!,#REF!,0)))</f>
        <v/>
      </c>
      <c r="FL180" s="45" t="str">
        <f t="array" ref="FL180">IF($DT180="","", INDEX(#REF!,MATCH(CONCATENATE('Respuestas de formulario 1.1'!$B180,$DS180),#REF!,0),MATCH('Respuestas de formulario 1.1'!FL$1,#REF!,0)))</f>
        <v/>
      </c>
      <c r="FM180" s="56" t="str">
        <f t="array" ref="FM180">IF($DT180="","", INDEX(#REF!,MATCH(CONCATENATE('Respuestas de formulario 1.1'!$B180,$DS180),#REF!,0),MATCH('Respuestas de formulario 1.1'!FM$1,#REF!,0)))</f>
        <v/>
      </c>
      <c r="FN180" s="56" t="str">
        <f t="array" ref="FN180">IF($DT180="","", INDEX(#REF!,MATCH(CONCATENATE('Respuestas de formulario 1.1'!$B180,$DS180),#REF!,0),MATCH('Respuestas de formulario 1.1'!FN$1,#REF!,0)))</f>
        <v/>
      </c>
      <c r="FO180" s="56" t="str">
        <f t="array" ref="FO180">IF($DT180="","", INDEX(#REF!,MATCH(CONCATENATE('Respuestas de formulario 1.1'!$B180,$DS180),#REF!,0),MATCH('Respuestas de formulario 1.1'!FO$1,#REF!,0)))</f>
        <v/>
      </c>
      <c r="FP180" s="56" t="str">
        <f t="array" ref="FP180">IF($DT180="","", INDEX(#REF!,MATCH(CONCATENATE('Respuestas de formulario 1.1'!$B180,$DS180),#REF!,0),MATCH('Respuestas de formulario 1.1'!FP$1,#REF!,0)))</f>
        <v/>
      </c>
      <c r="FQ180" s="56" t="str">
        <f t="array" ref="FQ180">IF($DT180="","", INDEX(#REF!,MATCH(CONCATENATE('Respuestas de formulario 1.1'!$B180,$DS180),#REF!,0),MATCH('Respuestas de formulario 1.1'!FQ$1,#REF!,0)))</f>
        <v/>
      </c>
      <c r="FR180" s="45" t="str">
        <f t="array" ref="FR180">IF($DT180="","", INDEX(#REF!,MATCH(CONCATENATE('Respuestas de formulario 1.1'!$B180,$DS180),#REF!,0),MATCH('Respuestas de formulario 1.1'!FR$1,#REF!,0)))</f>
        <v/>
      </c>
      <c r="FS180" s="45" t="str">
        <f t="array" ref="FS180">IF($DU180="","", INDEX(#REF!,MATCH(CONCATENATE('Respuestas de formulario 1.1'!$B180,$DT180),#REF!,0),MATCH('Respuestas de formulario 1.1'!FS$1,#REF!,0)))</f>
        <v/>
      </c>
      <c r="FT180" s="56" t="str">
        <f t="array" ref="FT180">IF($DU180="","", INDEX(#REF!,MATCH(CONCATENATE('Respuestas de formulario 1.1'!$B180,$DT180),#REF!,0),MATCH('Respuestas de formulario 1.1'!FT$1,#REF!,0)))</f>
        <v/>
      </c>
      <c r="FU180" s="56" t="str">
        <f t="array" ref="FU180">IF($DU180="","", INDEX(#REF!,MATCH(CONCATENATE('Respuestas de formulario 1.1'!$B180,$DT180),#REF!,0),MATCH('Respuestas de formulario 1.1'!FU$1,#REF!,0)))</f>
        <v/>
      </c>
      <c r="FV180" s="56" t="str">
        <f t="array" ref="FV180">IF($DU180="","", INDEX(#REF!,MATCH(CONCATENATE('Respuestas de formulario 1.1'!$B180,$DT180),#REF!,0),MATCH('Respuestas de formulario 1.1'!FV$1,#REF!,0)))</f>
        <v/>
      </c>
      <c r="FW180" s="56" t="str">
        <f t="array" ref="FW180">IF($DU180="","", INDEX(#REF!,MATCH(CONCATENATE('Respuestas de formulario 1.1'!$B180,$DT180),#REF!,0),MATCH('Respuestas de formulario 1.1'!FW$1,#REF!,0)))</f>
        <v/>
      </c>
      <c r="FX180" s="56" t="str">
        <f t="array" ref="FX180">IF($DU180="","", INDEX(#REF!,MATCH(CONCATENATE('Respuestas de formulario 1.1'!$B180,$DT180),#REF!,0),MATCH('Respuestas de formulario 1.1'!FX$1,#REF!,0)))</f>
        <v/>
      </c>
      <c r="FY180" s="45" t="str">
        <f t="array" ref="FY180">IF($DU180="","", INDEX(#REF!,MATCH(CONCATENATE('Respuestas de formulario 1.1'!$B180,$DT180),#REF!,0),MATCH('Respuestas de formulario 1.1'!FY$1,#REF!,0)))</f>
        <v/>
      </c>
      <c r="FZ180" s="3" t="s">
        <v>2860</v>
      </c>
      <c r="GA180" s="1" t="s">
        <v>5940</v>
      </c>
      <c r="GB180" s="5" t="s">
        <v>5941</v>
      </c>
      <c r="GC180" s="4" t="str">
        <f>HYPERLINK("https://drive.google.com/file/d/1TwhqFP6yU8-LclM71ba56x_M8_6Kjj30/view?usp=drivesdk","HERNANDEZ  GARCIA  EVELYN  Formato de reinscripción y pago 2022-2")</f>
        <v>HERNANDEZ  GARCIA  EVELYN  Formato de reinscripción y pago 2022-2</v>
      </c>
      <c r="GD180" s="1" t="s">
        <v>5942</v>
      </c>
      <c r="GE180" s="1"/>
      <c r="GF180" s="1"/>
      <c r="GG180" s="1"/>
      <c r="GH180" s="1"/>
      <c r="GI180" s="1" t="s">
        <v>5943</v>
      </c>
      <c r="GJ180" s="5" t="s">
        <v>5944</v>
      </c>
      <c r="GK180" s="5" t="str">
        <f>HYPERLINK("https://drive.google.com/file/d/1HLXCuBnQWAxgfjMm0YORXk9liawdcYhG/view?usp=drivesdk","HERNANDEZ  GARCIA  EVELYN  Formato de reinscripción y pago 2022-2")</f>
        <v>HERNANDEZ  GARCIA  EVELYN  Formato de reinscripción y pago 2022-2</v>
      </c>
      <c r="GL180" s="1" t="s">
        <v>5945</v>
      </c>
    </row>
    <row r="181" spans="1:194" ht="38.25" x14ac:dyDescent="0.2">
      <c r="A181" s="2">
        <v>45139.490701863426</v>
      </c>
      <c r="B181" s="1" t="s">
        <v>2086</v>
      </c>
      <c r="C181" s="1" t="s">
        <v>1263</v>
      </c>
      <c r="D181" s="1" t="s">
        <v>2090</v>
      </c>
      <c r="E181" s="1" t="s">
        <v>2087</v>
      </c>
      <c r="F181" s="1" t="s">
        <v>262</v>
      </c>
      <c r="G181" s="5" t="s">
        <v>5946</v>
      </c>
      <c r="H181" s="41">
        <v>39243</v>
      </c>
      <c r="I181" s="1">
        <v>16</v>
      </c>
      <c r="J181" s="1">
        <v>5580973693</v>
      </c>
      <c r="K181" s="1">
        <v>5535431423</v>
      </c>
      <c r="L181" s="1" t="s">
        <v>2088</v>
      </c>
      <c r="M181" s="1">
        <v>22309060570753</v>
      </c>
      <c r="N181" s="1" t="s">
        <v>562</v>
      </c>
      <c r="O181" s="1" t="s">
        <v>247</v>
      </c>
      <c r="P181" s="1" t="s">
        <v>226</v>
      </c>
      <c r="Q181" s="1" t="s">
        <v>315</v>
      </c>
      <c r="R181" s="1" t="s">
        <v>236</v>
      </c>
      <c r="S181" s="1" t="s">
        <v>228</v>
      </c>
      <c r="T181" s="1" t="s">
        <v>229</v>
      </c>
      <c r="U181" s="1" t="s">
        <v>289</v>
      </c>
      <c r="V181" s="1" t="s">
        <v>228</v>
      </c>
      <c r="W181" s="1" t="s">
        <v>5947</v>
      </c>
      <c r="X181" s="1" t="s">
        <v>289</v>
      </c>
      <c r="Y181" s="1" t="s">
        <v>5948</v>
      </c>
      <c r="Z181" s="1" t="s">
        <v>231</v>
      </c>
      <c r="AA181" s="1">
        <v>56566</v>
      </c>
      <c r="AB181" s="1">
        <v>20</v>
      </c>
      <c r="AC181" s="1">
        <v>22</v>
      </c>
      <c r="AD181" s="1" t="s">
        <v>2516</v>
      </c>
      <c r="AE181" s="1" t="s">
        <v>5949</v>
      </c>
      <c r="AF181" s="1" t="s">
        <v>461</v>
      </c>
      <c r="AG181" s="1">
        <v>40</v>
      </c>
      <c r="AH181" s="5" t="s">
        <v>5950</v>
      </c>
      <c r="AI181" s="1">
        <v>5615265867</v>
      </c>
      <c r="AJ181" s="1">
        <v>5535431423</v>
      </c>
      <c r="AK181" s="1" t="s">
        <v>5951</v>
      </c>
      <c r="AL181" s="1" t="s">
        <v>1263</v>
      </c>
      <c r="AM181" s="1" t="s">
        <v>2090</v>
      </c>
      <c r="AN181" s="1" t="s">
        <v>5952</v>
      </c>
      <c r="AO181" s="1" t="s">
        <v>586</v>
      </c>
      <c r="AP181" s="1">
        <v>20</v>
      </c>
      <c r="AQ181" s="1" t="s">
        <v>663</v>
      </c>
      <c r="AR181" s="42">
        <v>0.33333333333575865</v>
      </c>
      <c r="AS181" s="42">
        <v>0.29166666666424135</v>
      </c>
      <c r="AT181" s="1">
        <v>5513083519</v>
      </c>
      <c r="AU181" s="1">
        <v>5535431423</v>
      </c>
      <c r="AV181" s="1" t="s">
        <v>2089</v>
      </c>
      <c r="AW181" s="5" t="s">
        <v>5953</v>
      </c>
      <c r="AX181" s="1" t="s">
        <v>1263</v>
      </c>
      <c r="AY181" s="1" t="s">
        <v>2090</v>
      </c>
      <c r="AZ181" s="1" t="s">
        <v>5954</v>
      </c>
      <c r="BA181" s="1" t="s">
        <v>488</v>
      </c>
      <c r="BB181" s="1">
        <v>21</v>
      </c>
      <c r="BC181" s="1" t="s">
        <v>233</v>
      </c>
      <c r="BD181" s="43">
        <v>0.29166666666424135</v>
      </c>
      <c r="BE181" s="43">
        <v>0.33333333333575865</v>
      </c>
      <c r="BF181" s="1">
        <v>5544490012</v>
      </c>
      <c r="BG181" s="1">
        <v>5535431423</v>
      </c>
      <c r="BH181" s="1" t="s">
        <v>5955</v>
      </c>
      <c r="BI181" s="5" t="s">
        <v>5956</v>
      </c>
      <c r="BJ181" s="1" t="s">
        <v>236</v>
      </c>
      <c r="BL181" s="1">
        <v>1.6</v>
      </c>
      <c r="BM181" s="1">
        <v>56</v>
      </c>
      <c r="BN181" s="1" t="s">
        <v>228</v>
      </c>
      <c r="BO181" s="1" t="s">
        <v>228</v>
      </c>
      <c r="BQ181" s="1" t="s">
        <v>228</v>
      </c>
      <c r="BR181" s="1" t="s">
        <v>237</v>
      </c>
      <c r="BS181" s="1" t="s">
        <v>236</v>
      </c>
      <c r="BT181" s="1" t="s">
        <v>271</v>
      </c>
      <c r="BU181" s="1" t="s">
        <v>228</v>
      </c>
      <c r="BW181" s="1" t="s">
        <v>272</v>
      </c>
      <c r="BX181" s="1">
        <v>90</v>
      </c>
      <c r="BY181" s="1">
        <v>60</v>
      </c>
      <c r="BZ181" s="1" t="s">
        <v>298</v>
      </c>
      <c r="CA181" s="1" t="s">
        <v>777</v>
      </c>
      <c r="CB181" s="1" t="s">
        <v>240</v>
      </c>
      <c r="CC181" s="1" t="s">
        <v>274</v>
      </c>
      <c r="CD181" s="1">
        <v>320</v>
      </c>
      <c r="CE181" s="1">
        <v>1800</v>
      </c>
      <c r="CF181" s="1" t="s">
        <v>236</v>
      </c>
      <c r="CG181" s="1" t="s">
        <v>242</v>
      </c>
      <c r="CH181" s="1" t="s">
        <v>243</v>
      </c>
      <c r="CI181" s="1" t="s">
        <v>243</v>
      </c>
      <c r="CJ181" s="1" t="s">
        <v>2848</v>
      </c>
      <c r="CL181" s="5" t="s">
        <v>5957</v>
      </c>
      <c r="CM181" s="1">
        <v>88220766153</v>
      </c>
      <c r="CN181" s="1" t="s">
        <v>228</v>
      </c>
      <c r="CQ181" s="42">
        <v>0.29166666666424135</v>
      </c>
      <c r="CR181" s="42">
        <v>0.29166666666424135</v>
      </c>
      <c r="CT181" s="45" t="str">
        <f t="array" ref="CT181">IFERROR(INDEX(#REF!,MATCH('Respuestas de formulario 1.1'!$B181,#REF!,0),MATCH('Respuestas de formulario 1.1'!CT$1,#REF!,0)),"")</f>
        <v/>
      </c>
      <c r="CU181" s="56" t="str">
        <f t="array" ref="CU181">IFERROR(INDEX(#REF!,MATCH('Respuestas de formulario 1.1'!$B181,#REF!,0),MATCH('Respuestas de formulario 1.1'!CU$1,#REF!,0)),"")</f>
        <v/>
      </c>
      <c r="CV181" s="56" t="str">
        <f t="array" ref="CV181">IFERROR(INDEX(#REF!,MATCH('Respuestas de formulario 1.1'!$B181,#REF!,0),MATCH('Respuestas de formulario 1.1'!CV$1,#REF!,0)),"")</f>
        <v/>
      </c>
      <c r="CW181" s="56" t="str">
        <f t="array" ref="CW181">IFERROR(INDEX(#REF!,MATCH('Respuestas de formulario 1.1'!$B181,#REF!,0),MATCH('Respuestas de formulario 1.1'!CW$1,#REF!,0)),"")</f>
        <v/>
      </c>
      <c r="CX181" s="56" t="str">
        <f t="array" ref="CX181">IFERROR(INDEX(#REF!,MATCH('Respuestas de formulario 1.1'!$B181,#REF!,0),MATCH('Respuestas de formulario 1.1'!CX$1,#REF!,0)),"")</f>
        <v/>
      </c>
      <c r="CY181" s="56" t="str">
        <f t="array" ref="CY181">IFERROR(INDEX(#REF!,MATCH('Respuestas de formulario 1.1'!$B181,#REF!,0),MATCH('Respuestas de formulario 1.1'!CY$1,#REF!,0)),"")</f>
        <v/>
      </c>
      <c r="CZ181" s="57" t="str">
        <f t="array" ref="CZ181">IFERROR(INDEX(#REF!,MATCH('Respuestas de formulario 1.1'!$B181,#REF!,0),MATCH('Respuestas de formulario 1.1'!CZ$1,#REF!,0)),"")</f>
        <v/>
      </c>
      <c r="DA181" s="45" t="e">
        <f t="array" ref="DA181">INDEX(#REF!,MATCH('Respuestas de formulario 1.1'!$B181,#REF!,0),MATCH('Respuestas de formulario 1.1'!DA$1,#REF!,0))</f>
        <v>#REF!</v>
      </c>
      <c r="DB181" s="45" t="e">
        <f t="array" ref="DB181">INDEX(#REF!,MATCH('Respuestas de formulario 1.1'!$B181,#REF!,0),MATCH('Respuestas de formulario 1.1'!DB$1,#REF!,0))</f>
        <v>#REF!</v>
      </c>
      <c r="DC181" s="45" t="e">
        <f t="array" ref="DC181">INDEX(#REF!,MATCH('Respuestas de formulario 1.1'!$B181,#REF!,0),MATCH('Respuestas de formulario 1.1'!DC$1,#REF!,0))</f>
        <v>#REF!</v>
      </c>
      <c r="DD181" s="45" t="e">
        <f t="array" ref="DD181">INDEX(#REF!,MATCH('Respuestas de formulario 1.1'!$B181,#REF!,0),MATCH('Respuestas de formulario 1.1'!DD$1,#REF!,0))</f>
        <v>#REF!</v>
      </c>
      <c r="DE181" s="45" t="e">
        <f t="array" ref="DE181">INDEX(#REF!,MATCH('Respuestas de formulario 1.1'!$B181,#REF!,0),MATCH('Respuestas de formulario 1.1'!DE$1,#REF!,0))</f>
        <v>#REF!</v>
      </c>
      <c r="DF181" s="45" t="e">
        <f t="array" ref="DF181">INDEX(#REF!,MATCH('Respuestas de formulario 1.1'!$B181,#REF!,0),MATCH('Respuestas de formulario 1.1'!DF$1,#REF!,0))</f>
        <v>#REF!</v>
      </c>
      <c r="DG181" s="45" t="e">
        <f t="array" ref="DG181">INDEX(#REF!,MATCH('Respuestas de formulario 1.1'!$B181,#REF!,0),MATCH('Respuestas de formulario 1.1'!DG$1,#REF!,0))</f>
        <v>#REF!</v>
      </c>
      <c r="DH181" s="45" t="e">
        <f t="array" ref="DH181">INDEX(#REF!,MATCH('Respuestas de formulario 1.1'!$B181,#REF!,0),MATCH('Respuestas de formulario 1.1'!DH$1,#REF!,0))</f>
        <v>#REF!</v>
      </c>
      <c r="DI181" s="48" t="e">
        <f>VLOOKUP(CONCATENATE($DF181," TUTO ",$DC181),#REF!,3,0)</f>
        <v>#REF!</v>
      </c>
      <c r="DJ181" s="48" t="e">
        <f t="array" ref="DJ181">IF('Respuestas de formulario 1.1'!A181="","",INDEX(#REF!,MATCH('Respuestas de formulario 1.1'!B181,#REF!,0),MATCH('Respuestas de formulario 1.1'!$DH$1,#REF!,0)))</f>
        <v>#REF!</v>
      </c>
      <c r="DK181" s="52" t="str">
        <f>CONCATENATE("http://doc.google.com/uc?id=",MID('Respuestas de formulario 1.1'!G181,34,33))</f>
        <v>http://doc.google.com/uc?id=1px5WBuHacZd4ORYS_GmvG0185GWkjlF6</v>
      </c>
      <c r="DL181" s="49" t="str">
        <f>CONCATENATE("http://doc.google.com/uc?id=",MID('Respuestas de formulario 1.1'!AH181,34,33))</f>
        <v>http://doc.google.com/uc?id=1chPieSZvaWgT02wrChgmpRh6HXVFiT7e</v>
      </c>
      <c r="DM181" s="50" t="str">
        <f>CONCATENATE("http://doc.google.com/uc?id=",MID('Respuestas de formulario 1.1'!AW181,34,33))</f>
        <v>http://doc.google.com/uc?id=1Q5TJLvW2EwrL1SJDs1Ca42mykLUrfc6H</v>
      </c>
      <c r="DN181" s="53" t="str">
        <f>CONCATENATE("http://doc.google.com/uc?id=",MID('Respuestas de formulario 1.1'!$BI181,34,33))</f>
        <v>http://doc.google.com/uc?id=1bgRIv_UMtOfdBFwULQGi9ZvOObk2UAEy</v>
      </c>
      <c r="DO181" s="45" t="str">
        <f>IFERROR(VLOOKUP(CONCATENATE('Respuestas de formulario 1.1'!$B181,MID('Respuestas de formulario 1.1'!DO$1,2,1)),#REF!,12,0),"")</f>
        <v/>
      </c>
      <c r="DP181" s="45" t="str">
        <f>IFERROR(VLOOKUP(CONCATENATE('Respuestas de formulario 1.1'!$B181,MID('Respuestas de formulario 1.1'!DP$1,2,1)),#REF!,12,0),"")</f>
        <v/>
      </c>
      <c r="DQ181" s="45" t="str">
        <f>IFERROR(VLOOKUP(CONCATENATE('Respuestas de formulario 1.1'!$B181,MID('Respuestas de formulario 1.1'!DQ$1,2,1)),#REF!,12,0),"")</f>
        <v/>
      </c>
      <c r="DR181" s="45" t="str">
        <f>IFERROR(VLOOKUP(CONCATENATE('Respuestas de formulario 1.1'!$B181,MID('Respuestas de formulario 1.1'!DR$1,2,1)),#REF!,12,0),"")</f>
        <v/>
      </c>
      <c r="DS181" s="45" t="str">
        <f>IFERROR(VLOOKUP(CONCATENATE('Respuestas de formulario 1.1'!$B181,MID('Respuestas de formulario 1.1'!DS$1,2,1)),#REF!,12,0),"")</f>
        <v/>
      </c>
      <c r="DT181" s="45" t="str">
        <f>IFERROR(VLOOKUP(CONCATENATE('Respuestas de formulario 1.1'!$B181,MID('Respuestas de formulario 1.1'!DT$1,2,1)),#REF!,12,0),"")</f>
        <v/>
      </c>
      <c r="DU181" s="45" t="str">
        <f>IFERROR(VLOOKUP(CONCATENATE('Respuestas de formulario 1.1'!$B181,MID('Respuestas de formulario 1.1'!DU$1,2,1)),#REF!,12,0),"")</f>
        <v/>
      </c>
      <c r="DV181" s="45" t="str">
        <f>IFERROR(VLOOKUP(CONCATENATE('Respuestas de formulario 1.1'!$B181,MID('Respuestas de formulario 1.1'!DV$1,2,1)),#REF!,12,0),"")</f>
        <v/>
      </c>
      <c r="DW181" s="45" t="str">
        <f>IFERROR(VLOOKUP(CONCATENATE('Respuestas de formulario 1.1'!$B181,MID('Respuestas de formulario 1.1'!DW$1,2,1)),#REF!,12,0),"")</f>
        <v/>
      </c>
      <c r="DX181" s="45" t="str">
        <f>IFERROR(VLOOKUP(CONCATENATE('Respuestas de formulario 1.1'!$B181,MID('Respuestas de formulario 1.1'!DX$1,2,1)),#REF!,12,0),"")</f>
        <v/>
      </c>
      <c r="DY181" s="45" t="str">
        <f>IFERROR(VLOOKUP(CONCATENATE('Respuestas de formulario 1.1'!$B181,MID('Respuestas de formulario 1.1'!DY$1,2,1)),#REF!,12,0),"")</f>
        <v/>
      </c>
      <c r="DZ181" s="45" t="str">
        <f>IFERROR(VLOOKUP(CONCATENATE('Respuestas de formulario 1.1'!$B181,MID('Respuestas de formulario 1.1'!DZ$1,2,1)),#REF!,12,0),"")</f>
        <v/>
      </c>
      <c r="EA181" s="45" t="str">
        <f>IFERROR(VLOOKUP(CONCATENATE('Respuestas de formulario 1.1'!$B181,MID('Respuestas de formulario 1.1'!EA$1,2,1)),#REF!,12,0),"")</f>
        <v/>
      </c>
      <c r="EB181" s="45" t="str">
        <f>IFERROR(VLOOKUP(CONCATENATE('Respuestas de formulario 1.1'!$B181,MID('Respuestas de formulario 1.1'!EB$1,2,1)),#REF!,12,0),"")</f>
        <v/>
      </c>
      <c r="EC181" s="45" t="str">
        <f>IFERROR(VLOOKUP(CONCATENATE('Respuestas de formulario 1.1'!$B181,MID('Respuestas de formulario 1.1'!EC$1,2,1)),#REF!,12,0),"")</f>
        <v/>
      </c>
      <c r="ED181" s="45" t="str">
        <f>IFERROR(VLOOKUP(CONCATENATE('Respuestas de formulario 1.1'!$B181,MID('Respuestas de formulario 1.1'!ED$1,2,1)),#REF!,12,0),"")</f>
        <v/>
      </c>
      <c r="EE181" s="45" t="str">
        <f>IFERROR(VLOOKUP(CONCATENATE('Respuestas de formulario 1.1'!$B181,MID('Respuestas de formulario 1.1'!EE$1,2,1)),#REF!,12,0),"")</f>
        <v/>
      </c>
      <c r="EF181" s="45" t="str">
        <f>IFERROR(VLOOKUP(CONCATENATE('Respuestas de formulario 1.1'!$B181,MID('Respuestas de formulario 1.1'!EF$1,2,1)),#REF!,12,0),"")</f>
        <v/>
      </c>
      <c r="EG181" s="45" t="str">
        <f>IFERROR(VLOOKUP(CONCATENATE('Respuestas de formulario 1.1'!$B181,MID('Respuestas de formulario 1.1'!EG$1,2,1)),#REF!,12,0),"")</f>
        <v/>
      </c>
      <c r="EH181" s="45" t="str">
        <f>IFERROR(VLOOKUP(CONCATENATE('Respuestas de formulario 1.1'!$B181,MID('Respuestas de formulario 1.1'!EH$1,2,1)),#REF!,12,0),"")</f>
        <v/>
      </c>
      <c r="EI181" s="45" t="str">
        <f>IFERROR(VLOOKUP(CONCATENATE('Respuestas de formulario 1.1'!$B181,MID('Respuestas de formulario 1.1'!EI$1,2,1)),#REF!,12,0),"")</f>
        <v/>
      </c>
      <c r="EJ181" s="45" t="str">
        <f t="array" ref="EJ181">IF(DO181="","", INDEX(#REF!,MATCH(CONCATENATE('Respuestas de formulario 1.1'!$B181,DO181),#REF!,0),MATCH('Respuestas de formulario 1.1'!EJ$1,#REF!,0)))</f>
        <v/>
      </c>
      <c r="EK181" s="56" t="str">
        <f t="array" ref="EK181">IF(DP181="","", INDEX(#REF!,MATCH(CONCATENATE('Respuestas de formulario 1.1'!$B181,DP181),#REF!,0),MATCH('Respuestas de formulario 1.1'!EK$1,#REF!,0)))</f>
        <v/>
      </c>
      <c r="EL181" s="56" t="str">
        <f t="array" ref="EL181">IF(DQ181="","", INDEX(#REF!,MATCH(CONCATENATE('Respuestas de formulario 1.1'!$B181,DQ181),#REF!,0),MATCH('Respuestas de formulario 1.1'!EL$1,#REF!,0)))</f>
        <v/>
      </c>
      <c r="EM181" s="56" t="str">
        <f t="array" ref="EM181">IF(DR181="","", INDEX(#REF!,MATCH(CONCATENATE('Respuestas de formulario 1.1'!$B181,DR181),#REF!,0),MATCH('Respuestas de formulario 1.1'!EM$1,#REF!,0)))</f>
        <v/>
      </c>
      <c r="EN181" s="56" t="str">
        <f t="array" ref="EN181">IF(DS181="","", INDEX(#REF!,MATCH(CONCATENATE('Respuestas de formulario 1.1'!$B181,DS181),#REF!,0),MATCH('Respuestas de formulario 1.1'!EN$1,#REF!,0)))</f>
        <v/>
      </c>
      <c r="EO181" s="56" t="str">
        <f t="array" ref="EO181">IF(DT181="","", INDEX(#REF!,MATCH(CONCATENATE('Respuestas de formulario 1.1'!$B181,DT181),#REF!,0),MATCH('Respuestas de formulario 1.1'!EO$1,#REF!,0)))</f>
        <v/>
      </c>
      <c r="EP181" s="45" t="str">
        <f t="array" ref="EP181">IF(DU181="","", INDEX(#REF!,MATCH(CONCATENATE('Respuestas de formulario 1.1'!$B181,DU181),#REF!,0),MATCH('Respuestas de formulario 1.1'!EP$1,#REF!,0)))</f>
        <v/>
      </c>
      <c r="EQ181" s="45" t="str">
        <f t="array" ref="EQ181">IF(DP181="","", INDEX(#REF!,MATCH(CONCATENATE('Respuestas de formulario 1.1'!$B181,DP181),#REF!,0),MATCH('Respuestas de formulario 1.1'!EQ$1,#REF!,0)))</f>
        <v/>
      </c>
      <c r="ER181" s="56" t="str">
        <f t="array" ref="ER181">IF(DQ181="","", INDEX(#REF!,MATCH(CONCATENATE('Respuestas de formulario 1.1'!$B181,DQ181),#REF!,0),MATCH('Respuestas de formulario 1.1'!ER$1,#REF!,0)))</f>
        <v/>
      </c>
      <c r="ES181" s="56" t="str">
        <f t="array" ref="ES181">IF(DR181="","", INDEX(#REF!,MATCH(CONCATENATE('Respuestas de formulario 1.1'!$B181,DR181),#REF!,0),MATCH('Respuestas de formulario 1.1'!ES$1,#REF!,0)))</f>
        <v/>
      </c>
      <c r="ET181" s="56" t="str">
        <f t="array" ref="ET181">IF(DS181="","", INDEX(#REF!,MATCH(CONCATENATE('Respuestas de formulario 1.1'!$B181,DS181),#REF!,0),MATCH('Respuestas de formulario 1.1'!ET$1,#REF!,0)))</f>
        <v/>
      </c>
      <c r="EU181" s="56" t="str">
        <f t="array" ref="EU181">IF(DT181="","", INDEX(#REF!,MATCH(CONCATENATE('Respuestas de formulario 1.1'!$B181,DT181),#REF!,0),MATCH('Respuestas de formulario 1.1'!EU$1,#REF!,0)))</f>
        <v/>
      </c>
      <c r="EV181" s="56" t="str">
        <f t="array" ref="EV181">IF(DU181="","", INDEX(#REF!,MATCH(CONCATENATE('Respuestas de formulario 1.1'!$B181,DU181),#REF!,0),MATCH('Respuestas de formulario 1.1'!EV$1,#REF!,0)))</f>
        <v/>
      </c>
      <c r="EW181" s="45" t="str">
        <f t="array" ref="EW181">IF(DV181="","", INDEX(#REF!,MATCH(CONCATENATE('Respuestas de formulario 1.1'!$B181,DV181),#REF!,0),MATCH('Respuestas de formulario 1.1'!EW$1,#REF!,0)))</f>
        <v/>
      </c>
      <c r="EX181" s="45" t="str">
        <f t="array" ref="EX181">IF($DQ181="","", INDEX(#REF!,MATCH(CONCATENATE('Respuestas de formulario 1.1'!$B181,$DQ181),#REF!,0),MATCH('Respuestas de formulario 1.1'!EX$1,#REF!,0)))</f>
        <v/>
      </c>
      <c r="EY181" s="56" t="str">
        <f t="array" ref="EY181">IF($DQ181="","", INDEX(#REF!,MATCH(CONCATENATE('Respuestas de formulario 1.1'!$B181,$DQ181),#REF!,0),MATCH('Respuestas de formulario 1.1'!EY$1,#REF!,0)))</f>
        <v/>
      </c>
      <c r="EZ181" s="56" t="str">
        <f t="array" ref="EZ181">IF($DQ181="","", INDEX(#REF!,MATCH(CONCATENATE('Respuestas de formulario 1.1'!$B181,$DQ181),#REF!,0),MATCH('Respuestas de formulario 1.1'!EZ$1,#REF!,0)))</f>
        <v/>
      </c>
      <c r="FA181" s="56" t="str">
        <f t="array" ref="FA181">IF($DQ181="","", INDEX(#REF!,MATCH(CONCATENATE('Respuestas de formulario 1.1'!$B181,$DQ181),#REF!,0),MATCH('Respuestas de formulario 1.1'!FA$1,#REF!,0)))</f>
        <v/>
      </c>
      <c r="FB181" s="56" t="str">
        <f t="array" ref="FB181">IF($DQ181="","", INDEX(#REF!,MATCH(CONCATENATE('Respuestas de formulario 1.1'!$B181,$DQ181),#REF!,0),MATCH('Respuestas de formulario 1.1'!FB$1,#REF!,0)))</f>
        <v/>
      </c>
      <c r="FC181" s="56" t="str">
        <f t="array" ref="FC181">IF($DQ181="","", INDEX(#REF!,MATCH(CONCATENATE('Respuestas de formulario 1.1'!$B181,$DQ181),#REF!,0),MATCH('Respuestas de formulario 1.1'!FC$1,#REF!,0)))</f>
        <v/>
      </c>
      <c r="FD181" s="45" t="str">
        <f t="array" ref="FD181">IF($DQ181="","", INDEX(#REF!,MATCH(CONCATENATE('Respuestas de formulario 1.1'!$B181,$DQ181),#REF!,0),MATCH('Respuestas de formulario 1.1'!FD$1,#REF!,0)))</f>
        <v/>
      </c>
      <c r="FE181" s="45" t="str">
        <f t="array" ref="FE181">IF($DR181="","", INDEX(#REF!,MATCH(CONCATENATE(#REF!,$DR181),#REF!,0),MATCH(#REF!,#REF!,0)))</f>
        <v/>
      </c>
      <c r="FF181" s="56" t="str">
        <f t="array" ref="FF181">IF($DR181="","", INDEX(#REF!,MATCH(CONCATENATE(#REF!,$DR181),#REF!,0),MATCH(#REF!,#REF!,0)))</f>
        <v/>
      </c>
      <c r="FG181" s="56" t="str">
        <f t="array" ref="FG181">IF($DR181="","", INDEX(#REF!,MATCH(CONCATENATE(#REF!,$DR181),#REF!,0),MATCH(#REF!,#REF!,0)))</f>
        <v/>
      </c>
      <c r="FH181" s="56" t="str">
        <f t="array" ref="FH181">IF($DR181="","", INDEX(#REF!,MATCH(CONCATENATE(#REF!,$DR181),#REF!,0),MATCH(#REF!,#REF!,0)))</f>
        <v/>
      </c>
      <c r="FI181" s="56" t="str">
        <f t="array" ref="FI181">IF($DR181="","", INDEX(#REF!,MATCH(CONCATENATE(#REF!,$DR181),#REF!,0),MATCH(#REF!,#REF!,0)))</f>
        <v/>
      </c>
      <c r="FJ181" s="56" t="str">
        <f t="array" ref="FJ181">IF($DR181="","", INDEX(#REF!,MATCH(CONCATENATE(#REF!,$DR181),#REF!,0),MATCH(#REF!,#REF!,0)))</f>
        <v/>
      </c>
      <c r="FK181" s="45" t="str">
        <f t="array" ref="FK181">IF($DR181="","", INDEX(#REF!,MATCH(CONCATENATE(#REF!,$DR181),#REF!,0),MATCH(#REF!,#REF!,0)))</f>
        <v/>
      </c>
      <c r="FL181" s="45" t="str">
        <f t="array" ref="FL181">IF($DT181="","", INDEX(#REF!,MATCH(CONCATENATE('Respuestas de formulario 1.1'!$B181,$DS181),#REF!,0),MATCH('Respuestas de formulario 1.1'!FL$1,#REF!,0)))</f>
        <v/>
      </c>
      <c r="FM181" s="56" t="str">
        <f t="array" ref="FM181">IF($DT181="","", INDEX(#REF!,MATCH(CONCATENATE('Respuestas de formulario 1.1'!$B181,$DS181),#REF!,0),MATCH('Respuestas de formulario 1.1'!FM$1,#REF!,0)))</f>
        <v/>
      </c>
      <c r="FN181" s="56" t="str">
        <f t="array" ref="FN181">IF($DT181="","", INDEX(#REF!,MATCH(CONCATENATE('Respuestas de formulario 1.1'!$B181,$DS181),#REF!,0),MATCH('Respuestas de formulario 1.1'!FN$1,#REF!,0)))</f>
        <v/>
      </c>
      <c r="FO181" s="56" t="str">
        <f t="array" ref="FO181">IF($DT181="","", INDEX(#REF!,MATCH(CONCATENATE('Respuestas de formulario 1.1'!$B181,$DS181),#REF!,0),MATCH('Respuestas de formulario 1.1'!FO$1,#REF!,0)))</f>
        <v/>
      </c>
      <c r="FP181" s="56" t="str">
        <f t="array" ref="FP181">IF($DT181="","", INDEX(#REF!,MATCH(CONCATENATE('Respuestas de formulario 1.1'!$B181,$DS181),#REF!,0),MATCH('Respuestas de formulario 1.1'!FP$1,#REF!,0)))</f>
        <v/>
      </c>
      <c r="FQ181" s="56" t="str">
        <f t="array" ref="FQ181">IF($DT181="","", INDEX(#REF!,MATCH(CONCATENATE('Respuestas de formulario 1.1'!$B181,$DS181),#REF!,0),MATCH('Respuestas de formulario 1.1'!FQ$1,#REF!,0)))</f>
        <v/>
      </c>
      <c r="FR181" s="45" t="str">
        <f t="array" ref="FR181">IF($DT181="","", INDEX(#REF!,MATCH(CONCATENATE('Respuestas de formulario 1.1'!$B181,$DS181),#REF!,0),MATCH('Respuestas de formulario 1.1'!FR$1,#REF!,0)))</f>
        <v/>
      </c>
      <c r="FS181" s="45" t="str">
        <f t="array" ref="FS181">IF($DU181="","", INDEX(#REF!,MATCH(CONCATENATE('Respuestas de formulario 1.1'!$B181,$DT181),#REF!,0),MATCH('Respuestas de formulario 1.1'!FS$1,#REF!,0)))</f>
        <v/>
      </c>
      <c r="FT181" s="56" t="str">
        <f t="array" ref="FT181">IF($DU181="","", INDEX(#REF!,MATCH(CONCATENATE('Respuestas de formulario 1.1'!$B181,$DT181),#REF!,0),MATCH('Respuestas de formulario 1.1'!FT$1,#REF!,0)))</f>
        <v/>
      </c>
      <c r="FU181" s="56" t="str">
        <f t="array" ref="FU181">IF($DU181="","", INDEX(#REF!,MATCH(CONCATENATE('Respuestas de formulario 1.1'!$B181,$DT181),#REF!,0),MATCH('Respuestas de formulario 1.1'!FU$1,#REF!,0)))</f>
        <v/>
      </c>
      <c r="FV181" s="56" t="str">
        <f t="array" ref="FV181">IF($DU181="","", INDEX(#REF!,MATCH(CONCATENATE('Respuestas de formulario 1.1'!$B181,$DT181),#REF!,0),MATCH('Respuestas de formulario 1.1'!FV$1,#REF!,0)))</f>
        <v/>
      </c>
      <c r="FW181" s="56" t="str">
        <f t="array" ref="FW181">IF($DU181="","", INDEX(#REF!,MATCH(CONCATENATE('Respuestas de formulario 1.1'!$B181,$DT181),#REF!,0),MATCH('Respuestas de formulario 1.1'!FW$1,#REF!,0)))</f>
        <v/>
      </c>
      <c r="FX181" s="56" t="str">
        <f t="array" ref="FX181">IF($DU181="","", INDEX(#REF!,MATCH(CONCATENATE('Respuestas de formulario 1.1'!$B181,$DT181),#REF!,0),MATCH('Respuestas de formulario 1.1'!FX$1,#REF!,0)))</f>
        <v/>
      </c>
      <c r="FY181" s="45" t="str">
        <f t="array" ref="FY181">IF($DU181="","", INDEX(#REF!,MATCH(CONCATENATE('Respuestas de formulario 1.1'!$B181,$DT181),#REF!,0),MATCH('Respuestas de formulario 1.1'!FY$1,#REF!,0)))</f>
        <v/>
      </c>
      <c r="FZ181" s="3" t="s">
        <v>2860</v>
      </c>
      <c r="GA181" s="1" t="s">
        <v>5958</v>
      </c>
      <c r="GB181" s="5" t="s">
        <v>5959</v>
      </c>
      <c r="GC181" s="4" t="str">
        <f>HYPERLINK("https://drive.google.com/file/d/1cVXi3d1lRtsUMOB3x9zohxEPXqhf2L3Z/view?usp=drivesdk","ZARAGOZA  POZOS  GUSTAVO  Formato de reinscripción y pago 2022-2")</f>
        <v>ZARAGOZA  POZOS  GUSTAVO  Formato de reinscripción y pago 2022-2</v>
      </c>
      <c r="GD181" s="1" t="s">
        <v>5960</v>
      </c>
      <c r="GE181" s="1"/>
      <c r="GF181" s="1"/>
      <c r="GG181" s="1"/>
      <c r="GH181" s="1"/>
      <c r="GI181" s="1" t="s">
        <v>5961</v>
      </c>
      <c r="GJ181" s="5" t="s">
        <v>5962</v>
      </c>
      <c r="GK181" s="5" t="str">
        <f>HYPERLINK("https://drive.google.com/file/d/1P7DH2PEn86auJmWTkWAK2CORios5Nr9E/view?usp=drivesdk","ZARAGOZA  POZOS  GUSTAVO  Formato de reinscripción y pago 2022-2")</f>
        <v>ZARAGOZA  POZOS  GUSTAVO  Formato de reinscripción y pago 2022-2</v>
      </c>
      <c r="GL181" s="1" t="s">
        <v>5963</v>
      </c>
    </row>
    <row r="182" spans="1:194" ht="38.25" x14ac:dyDescent="0.2">
      <c r="A182" s="2">
        <v>45139.490825706016</v>
      </c>
      <c r="B182" s="1" t="s">
        <v>2522</v>
      </c>
      <c r="C182" s="1" t="s">
        <v>856</v>
      </c>
      <c r="D182" s="1" t="s">
        <v>480</v>
      </c>
      <c r="E182" s="1" t="s">
        <v>5964</v>
      </c>
      <c r="F182" s="1" t="s">
        <v>223</v>
      </c>
      <c r="G182" s="5" t="s">
        <v>5965</v>
      </c>
      <c r="H182" s="41">
        <v>39218</v>
      </c>
      <c r="I182" s="1">
        <v>16</v>
      </c>
      <c r="J182" s="1">
        <v>5552996960</v>
      </c>
      <c r="K182" s="1">
        <v>5570915992</v>
      </c>
      <c r="L182" s="1" t="s">
        <v>2523</v>
      </c>
      <c r="M182" s="1">
        <v>22309060570086</v>
      </c>
      <c r="N182" s="1" t="s">
        <v>562</v>
      </c>
      <c r="O182" s="1" t="s">
        <v>247</v>
      </c>
      <c r="P182" s="1" t="s">
        <v>278</v>
      </c>
      <c r="Q182" s="1" t="s">
        <v>227</v>
      </c>
      <c r="R182" s="1" t="s">
        <v>236</v>
      </c>
      <c r="S182" s="1" t="s">
        <v>228</v>
      </c>
      <c r="T182" s="1" t="s">
        <v>229</v>
      </c>
      <c r="U182" s="1" t="s">
        <v>249</v>
      </c>
      <c r="V182" s="1" t="s">
        <v>228</v>
      </c>
      <c r="W182" s="1" t="s">
        <v>5966</v>
      </c>
      <c r="X182" s="1" t="s">
        <v>249</v>
      </c>
      <c r="Y182" s="1" t="s">
        <v>2509</v>
      </c>
      <c r="Z182" s="1" t="s">
        <v>240</v>
      </c>
      <c r="AA182" s="44" t="s">
        <v>555</v>
      </c>
      <c r="AB182" s="1">
        <v>5578067829</v>
      </c>
      <c r="AC182" s="1">
        <v>5570915992</v>
      </c>
      <c r="AD182" s="1" t="s">
        <v>5967</v>
      </c>
      <c r="AE182" s="1" t="s">
        <v>5968</v>
      </c>
      <c r="AF182" s="1" t="s">
        <v>265</v>
      </c>
      <c r="AG182" s="1">
        <v>45</v>
      </c>
      <c r="AH182" s="5" t="s">
        <v>5969</v>
      </c>
      <c r="AI182" s="1">
        <v>5578067829</v>
      </c>
      <c r="AJ182" s="1">
        <v>5570915992</v>
      </c>
      <c r="AK182" s="1" t="s">
        <v>2508</v>
      </c>
      <c r="AL182" s="1" t="s">
        <v>480</v>
      </c>
      <c r="AM182" s="1" t="s">
        <v>629</v>
      </c>
      <c r="AN182" s="1" t="s">
        <v>483</v>
      </c>
      <c r="AO182" s="1" t="s">
        <v>265</v>
      </c>
      <c r="AP182" s="1">
        <v>45</v>
      </c>
      <c r="AQ182" s="1" t="s">
        <v>233</v>
      </c>
      <c r="AR182" s="42">
        <v>0.29166666666424135</v>
      </c>
      <c r="AS182" s="42">
        <v>0.70833333333575865</v>
      </c>
      <c r="AT182" s="1">
        <v>5552984165</v>
      </c>
      <c r="AU182" s="1">
        <v>5570915992</v>
      </c>
      <c r="AV182" s="1" t="s">
        <v>2508</v>
      </c>
      <c r="AW182" s="5" t="s">
        <v>5970</v>
      </c>
      <c r="AX182" s="1" t="s">
        <v>856</v>
      </c>
      <c r="AY182" s="1" t="s">
        <v>2193</v>
      </c>
      <c r="AZ182" s="1" t="s">
        <v>961</v>
      </c>
      <c r="BA182" s="1" t="s">
        <v>435</v>
      </c>
      <c r="BB182" s="1">
        <v>56</v>
      </c>
      <c r="BC182" s="1" t="s">
        <v>306</v>
      </c>
      <c r="BD182" s="43">
        <v>0.29166666666424135</v>
      </c>
      <c r="BE182" s="43">
        <v>0.70833333333575865</v>
      </c>
      <c r="BF182" s="1">
        <v>5552998921</v>
      </c>
      <c r="BG182" s="1">
        <v>5570915992</v>
      </c>
      <c r="BH182" s="1" t="s">
        <v>2507</v>
      </c>
      <c r="BI182" s="5" t="s">
        <v>5971</v>
      </c>
      <c r="BJ182" s="1" t="s">
        <v>236</v>
      </c>
      <c r="BL182" s="1">
        <v>1.56</v>
      </c>
      <c r="BM182" s="1">
        <v>59</v>
      </c>
      <c r="BN182" s="1" t="s">
        <v>236</v>
      </c>
      <c r="BO182" s="1" t="s">
        <v>228</v>
      </c>
      <c r="BQ182" s="1" t="s">
        <v>228</v>
      </c>
      <c r="BR182" s="1" t="s">
        <v>237</v>
      </c>
      <c r="BS182" s="1" t="s">
        <v>236</v>
      </c>
      <c r="BT182" s="1" t="s">
        <v>457</v>
      </c>
      <c r="BU182" s="1" t="s">
        <v>228</v>
      </c>
      <c r="BW182" s="1" t="s">
        <v>238</v>
      </c>
      <c r="BX182" s="1">
        <v>180</v>
      </c>
      <c r="BY182" s="1">
        <v>200</v>
      </c>
      <c r="BZ182" s="1" t="s">
        <v>5972</v>
      </c>
      <c r="CA182" s="1" t="s">
        <v>343</v>
      </c>
      <c r="CB182" s="1" t="s">
        <v>240</v>
      </c>
      <c r="CC182" s="1" t="s">
        <v>322</v>
      </c>
      <c r="CD182" s="1">
        <v>1600</v>
      </c>
      <c r="CE182" s="1">
        <v>1680</v>
      </c>
      <c r="CF182" s="1" t="s">
        <v>236</v>
      </c>
      <c r="CG182" s="1" t="s">
        <v>242</v>
      </c>
      <c r="CH182" s="1" t="s">
        <v>243</v>
      </c>
      <c r="CI182" s="1" t="s">
        <v>243</v>
      </c>
      <c r="CJ182" s="1" t="s">
        <v>2848</v>
      </c>
      <c r="CL182" s="5" t="s">
        <v>5973</v>
      </c>
      <c r="CM182" s="44" t="s">
        <v>2525</v>
      </c>
      <c r="CN182" s="1" t="s">
        <v>228</v>
      </c>
      <c r="CQ182" s="42">
        <v>0.29166666666424135</v>
      </c>
      <c r="CR182" s="42">
        <v>0.70833333333575865</v>
      </c>
      <c r="CT182" s="45" t="str">
        <f t="array" ref="CT182">IFERROR(INDEX(#REF!,MATCH('Respuestas de formulario 1.1'!$B182,#REF!,0),MATCH('Respuestas de formulario 1.1'!CT$1,#REF!,0)),"")</f>
        <v/>
      </c>
      <c r="CU182" s="56" t="str">
        <f t="array" ref="CU182">IFERROR(INDEX(#REF!,MATCH('Respuestas de formulario 1.1'!$B182,#REF!,0),MATCH('Respuestas de formulario 1.1'!CU$1,#REF!,0)),"")</f>
        <v/>
      </c>
      <c r="CV182" s="56" t="str">
        <f t="array" ref="CV182">IFERROR(INDEX(#REF!,MATCH('Respuestas de formulario 1.1'!$B182,#REF!,0),MATCH('Respuestas de formulario 1.1'!CV$1,#REF!,0)),"")</f>
        <v/>
      </c>
      <c r="CW182" s="56" t="str">
        <f t="array" ref="CW182">IFERROR(INDEX(#REF!,MATCH('Respuestas de formulario 1.1'!$B182,#REF!,0),MATCH('Respuestas de formulario 1.1'!CW$1,#REF!,0)),"")</f>
        <v/>
      </c>
      <c r="CX182" s="56" t="str">
        <f t="array" ref="CX182">IFERROR(INDEX(#REF!,MATCH('Respuestas de formulario 1.1'!$B182,#REF!,0),MATCH('Respuestas de formulario 1.1'!CX$1,#REF!,0)),"")</f>
        <v/>
      </c>
      <c r="CY182" s="56" t="str">
        <f t="array" ref="CY182">IFERROR(INDEX(#REF!,MATCH('Respuestas de formulario 1.1'!$B182,#REF!,0),MATCH('Respuestas de formulario 1.1'!CY$1,#REF!,0)),"")</f>
        <v/>
      </c>
      <c r="CZ182" s="57" t="str">
        <f t="array" ref="CZ182">IFERROR(INDEX(#REF!,MATCH('Respuestas de formulario 1.1'!$B182,#REF!,0),MATCH('Respuestas de formulario 1.1'!CZ$1,#REF!,0)),"")</f>
        <v/>
      </c>
      <c r="DA182" s="45" t="e">
        <f t="array" ref="DA182">INDEX(#REF!,MATCH('Respuestas de formulario 1.1'!$B182,#REF!,0),MATCH('Respuestas de formulario 1.1'!DA$1,#REF!,0))</f>
        <v>#REF!</v>
      </c>
      <c r="DB182" s="45" t="e">
        <f t="array" ref="DB182">INDEX(#REF!,MATCH('Respuestas de formulario 1.1'!$B182,#REF!,0),MATCH('Respuestas de formulario 1.1'!DB$1,#REF!,0))</f>
        <v>#REF!</v>
      </c>
      <c r="DC182" s="45" t="e">
        <f t="array" ref="DC182">INDEX(#REF!,MATCH('Respuestas de formulario 1.1'!$B182,#REF!,0),MATCH('Respuestas de formulario 1.1'!DC$1,#REF!,0))</f>
        <v>#REF!</v>
      </c>
      <c r="DD182" s="45" t="e">
        <f t="array" ref="DD182">INDEX(#REF!,MATCH('Respuestas de formulario 1.1'!$B182,#REF!,0),MATCH('Respuestas de formulario 1.1'!DD$1,#REF!,0))</f>
        <v>#REF!</v>
      </c>
      <c r="DE182" s="45" t="e">
        <f t="array" ref="DE182">INDEX(#REF!,MATCH('Respuestas de formulario 1.1'!$B182,#REF!,0),MATCH('Respuestas de formulario 1.1'!DE$1,#REF!,0))</f>
        <v>#REF!</v>
      </c>
      <c r="DF182" s="45" t="e">
        <f t="array" ref="DF182">INDEX(#REF!,MATCH('Respuestas de formulario 1.1'!$B182,#REF!,0),MATCH('Respuestas de formulario 1.1'!DF$1,#REF!,0))</f>
        <v>#REF!</v>
      </c>
      <c r="DG182" s="45" t="e">
        <f t="array" ref="DG182">INDEX(#REF!,MATCH('Respuestas de formulario 1.1'!$B182,#REF!,0),MATCH('Respuestas de formulario 1.1'!DG$1,#REF!,0))</f>
        <v>#REF!</v>
      </c>
      <c r="DH182" s="45" t="e">
        <f t="array" ref="DH182">INDEX(#REF!,MATCH('Respuestas de formulario 1.1'!$B182,#REF!,0),MATCH('Respuestas de formulario 1.1'!DH$1,#REF!,0))</f>
        <v>#REF!</v>
      </c>
      <c r="DI182" s="48" t="e">
        <f>VLOOKUP(CONCATENATE($DF182," TUTO ",$DC182),#REF!,3,0)</f>
        <v>#REF!</v>
      </c>
      <c r="DJ182" s="48" t="e">
        <f t="array" ref="DJ182">IF('Respuestas de formulario 1.1'!A182="","",INDEX(#REF!,MATCH('Respuestas de formulario 1.1'!B182,#REF!,0),MATCH('Respuestas de formulario 1.1'!$DH$1,#REF!,0)))</f>
        <v>#REF!</v>
      </c>
      <c r="DK182" s="52" t="str">
        <f>CONCATENATE("http://doc.google.com/uc?id=",MID('Respuestas de formulario 1.1'!G182,34,33))</f>
        <v>http://doc.google.com/uc?id=1g9pxWMUT7XRo-WtvOIBf5Je3YEl3pJY2</v>
      </c>
      <c r="DL182" s="49" t="str">
        <f>CONCATENATE("http://doc.google.com/uc?id=",MID('Respuestas de formulario 1.1'!AH182,34,33))</f>
        <v>http://doc.google.com/uc?id=1i9iqqQ5D7qFJDEyacW7oh-1DDqNafYqL</v>
      </c>
      <c r="DM182" s="50" t="str">
        <f>CONCATENATE("http://doc.google.com/uc?id=",MID('Respuestas de formulario 1.1'!AW182,34,33))</f>
        <v>http://doc.google.com/uc?id=16pc8fKSHamcs_MVX1igS8ZisXDcFCbCy</v>
      </c>
      <c r="DN182" s="53" t="str">
        <f>CONCATENATE("http://doc.google.com/uc?id=",MID('Respuestas de formulario 1.1'!$BI182,34,33))</f>
        <v>http://doc.google.com/uc?id=1dKvdtF3iAoJzD9jiuQjY4IeHxWSVB1jd</v>
      </c>
      <c r="DO182" s="45" t="str">
        <f>IFERROR(VLOOKUP(CONCATENATE('Respuestas de formulario 1.1'!$B182,MID('Respuestas de formulario 1.1'!DO$1,2,1)),#REF!,12,0),"")</f>
        <v/>
      </c>
      <c r="DP182" s="45" t="str">
        <f>IFERROR(VLOOKUP(CONCATENATE('Respuestas de formulario 1.1'!$B182,MID('Respuestas de formulario 1.1'!DP$1,2,1)),#REF!,12,0),"")</f>
        <v/>
      </c>
      <c r="DQ182" s="45" t="str">
        <f>IFERROR(VLOOKUP(CONCATENATE('Respuestas de formulario 1.1'!$B182,MID('Respuestas de formulario 1.1'!DQ$1,2,1)),#REF!,12,0),"")</f>
        <v/>
      </c>
      <c r="DR182" s="45" t="str">
        <f>IFERROR(VLOOKUP(CONCATENATE('Respuestas de formulario 1.1'!$B182,MID('Respuestas de formulario 1.1'!DR$1,2,1)),#REF!,12,0),"")</f>
        <v/>
      </c>
      <c r="DS182" s="45" t="str">
        <f>IFERROR(VLOOKUP(CONCATENATE('Respuestas de formulario 1.1'!$B182,MID('Respuestas de formulario 1.1'!DS$1,2,1)),#REF!,12,0),"")</f>
        <v/>
      </c>
      <c r="DT182" s="45" t="str">
        <f>IFERROR(VLOOKUP(CONCATENATE('Respuestas de formulario 1.1'!$B182,MID('Respuestas de formulario 1.1'!DT$1,2,1)),#REF!,12,0),"")</f>
        <v/>
      </c>
      <c r="DU182" s="45" t="str">
        <f>IFERROR(VLOOKUP(CONCATENATE('Respuestas de formulario 1.1'!$B182,MID('Respuestas de formulario 1.1'!DU$1,2,1)),#REF!,12,0),"")</f>
        <v/>
      </c>
      <c r="DV182" s="45" t="str">
        <f>IFERROR(VLOOKUP(CONCATENATE('Respuestas de formulario 1.1'!$B182,MID('Respuestas de formulario 1.1'!DV$1,2,1)),#REF!,12,0),"")</f>
        <v/>
      </c>
      <c r="DW182" s="45" t="str">
        <f>IFERROR(VLOOKUP(CONCATENATE('Respuestas de formulario 1.1'!$B182,MID('Respuestas de formulario 1.1'!DW$1,2,1)),#REF!,12,0),"")</f>
        <v/>
      </c>
      <c r="DX182" s="45" t="str">
        <f>IFERROR(VLOOKUP(CONCATENATE('Respuestas de formulario 1.1'!$B182,MID('Respuestas de formulario 1.1'!DX$1,2,1)),#REF!,12,0),"")</f>
        <v/>
      </c>
      <c r="DY182" s="45" t="str">
        <f>IFERROR(VLOOKUP(CONCATENATE('Respuestas de formulario 1.1'!$B182,MID('Respuestas de formulario 1.1'!DY$1,2,1)),#REF!,12,0),"")</f>
        <v/>
      </c>
      <c r="DZ182" s="45" t="str">
        <f>IFERROR(VLOOKUP(CONCATENATE('Respuestas de formulario 1.1'!$B182,MID('Respuestas de formulario 1.1'!DZ$1,2,1)),#REF!,12,0),"")</f>
        <v/>
      </c>
      <c r="EA182" s="45" t="str">
        <f>IFERROR(VLOOKUP(CONCATENATE('Respuestas de formulario 1.1'!$B182,MID('Respuestas de formulario 1.1'!EA$1,2,1)),#REF!,12,0),"")</f>
        <v/>
      </c>
      <c r="EB182" s="45" t="str">
        <f>IFERROR(VLOOKUP(CONCATENATE('Respuestas de formulario 1.1'!$B182,MID('Respuestas de formulario 1.1'!EB$1,2,1)),#REF!,12,0),"")</f>
        <v/>
      </c>
      <c r="EC182" s="45" t="str">
        <f>IFERROR(VLOOKUP(CONCATENATE('Respuestas de formulario 1.1'!$B182,MID('Respuestas de formulario 1.1'!EC$1,2,1)),#REF!,12,0),"")</f>
        <v/>
      </c>
      <c r="ED182" s="45" t="str">
        <f>IFERROR(VLOOKUP(CONCATENATE('Respuestas de formulario 1.1'!$B182,MID('Respuestas de formulario 1.1'!ED$1,2,1)),#REF!,12,0),"")</f>
        <v/>
      </c>
      <c r="EE182" s="45" t="str">
        <f>IFERROR(VLOOKUP(CONCATENATE('Respuestas de formulario 1.1'!$B182,MID('Respuestas de formulario 1.1'!EE$1,2,1)),#REF!,12,0),"")</f>
        <v/>
      </c>
      <c r="EF182" s="45" t="str">
        <f>IFERROR(VLOOKUP(CONCATENATE('Respuestas de formulario 1.1'!$B182,MID('Respuestas de formulario 1.1'!EF$1,2,1)),#REF!,12,0),"")</f>
        <v/>
      </c>
      <c r="EG182" s="45" t="str">
        <f>IFERROR(VLOOKUP(CONCATENATE('Respuestas de formulario 1.1'!$B182,MID('Respuestas de formulario 1.1'!EG$1,2,1)),#REF!,12,0),"")</f>
        <v/>
      </c>
      <c r="EH182" s="45" t="str">
        <f>IFERROR(VLOOKUP(CONCATENATE('Respuestas de formulario 1.1'!$B182,MID('Respuestas de formulario 1.1'!EH$1,2,1)),#REF!,12,0),"")</f>
        <v/>
      </c>
      <c r="EI182" s="45" t="str">
        <f>IFERROR(VLOOKUP(CONCATENATE('Respuestas de formulario 1.1'!$B182,MID('Respuestas de formulario 1.1'!EI$1,2,1)),#REF!,12,0),"")</f>
        <v/>
      </c>
      <c r="EJ182" s="45" t="str">
        <f t="array" ref="EJ182">IF(DO182="","", INDEX(#REF!,MATCH(CONCATENATE('Respuestas de formulario 1.1'!$B182,DO182),#REF!,0),MATCH('Respuestas de formulario 1.1'!EJ$1,#REF!,0)))</f>
        <v/>
      </c>
      <c r="EK182" s="56" t="str">
        <f t="array" ref="EK182">IF(DP182="","", INDEX(#REF!,MATCH(CONCATENATE('Respuestas de formulario 1.1'!$B182,DP182),#REF!,0),MATCH('Respuestas de formulario 1.1'!EK$1,#REF!,0)))</f>
        <v/>
      </c>
      <c r="EL182" s="56" t="str">
        <f t="array" ref="EL182">IF(DQ182="","", INDEX(#REF!,MATCH(CONCATENATE('Respuestas de formulario 1.1'!$B182,DQ182),#REF!,0),MATCH('Respuestas de formulario 1.1'!EL$1,#REF!,0)))</f>
        <v/>
      </c>
      <c r="EM182" s="56" t="str">
        <f t="array" ref="EM182">IF(DR182="","", INDEX(#REF!,MATCH(CONCATENATE('Respuestas de formulario 1.1'!$B182,DR182),#REF!,0),MATCH('Respuestas de formulario 1.1'!EM$1,#REF!,0)))</f>
        <v/>
      </c>
      <c r="EN182" s="56" t="str">
        <f t="array" ref="EN182">IF(DS182="","", INDEX(#REF!,MATCH(CONCATENATE('Respuestas de formulario 1.1'!$B182,DS182),#REF!,0),MATCH('Respuestas de formulario 1.1'!EN$1,#REF!,0)))</f>
        <v/>
      </c>
      <c r="EO182" s="56" t="str">
        <f t="array" ref="EO182">IF(DT182="","", INDEX(#REF!,MATCH(CONCATENATE('Respuestas de formulario 1.1'!$B182,DT182),#REF!,0),MATCH('Respuestas de formulario 1.1'!EO$1,#REF!,0)))</f>
        <v/>
      </c>
      <c r="EP182" s="45" t="str">
        <f t="array" ref="EP182">IF(DU182="","", INDEX(#REF!,MATCH(CONCATENATE('Respuestas de formulario 1.1'!$B182,DU182),#REF!,0),MATCH('Respuestas de formulario 1.1'!EP$1,#REF!,0)))</f>
        <v/>
      </c>
      <c r="EQ182" s="45" t="str">
        <f t="array" ref="EQ182">IF(DP182="","", INDEX(#REF!,MATCH(CONCATENATE('Respuestas de formulario 1.1'!$B182,DP182),#REF!,0),MATCH('Respuestas de formulario 1.1'!EQ$1,#REF!,0)))</f>
        <v/>
      </c>
      <c r="ER182" s="56" t="str">
        <f t="array" ref="ER182">IF(DQ182="","", INDEX(#REF!,MATCH(CONCATENATE('Respuestas de formulario 1.1'!$B182,DQ182),#REF!,0),MATCH('Respuestas de formulario 1.1'!ER$1,#REF!,0)))</f>
        <v/>
      </c>
      <c r="ES182" s="56" t="str">
        <f t="array" ref="ES182">IF(DR182="","", INDEX(#REF!,MATCH(CONCATENATE('Respuestas de formulario 1.1'!$B182,DR182),#REF!,0),MATCH('Respuestas de formulario 1.1'!ES$1,#REF!,0)))</f>
        <v/>
      </c>
      <c r="ET182" s="56" t="str">
        <f t="array" ref="ET182">IF(DS182="","", INDEX(#REF!,MATCH(CONCATENATE('Respuestas de formulario 1.1'!$B182,DS182),#REF!,0),MATCH('Respuestas de formulario 1.1'!ET$1,#REF!,0)))</f>
        <v/>
      </c>
      <c r="EU182" s="56" t="str">
        <f t="array" ref="EU182">IF(DT182="","", INDEX(#REF!,MATCH(CONCATENATE('Respuestas de formulario 1.1'!$B182,DT182),#REF!,0),MATCH('Respuestas de formulario 1.1'!EU$1,#REF!,0)))</f>
        <v/>
      </c>
      <c r="EV182" s="56" t="str">
        <f t="array" ref="EV182">IF(DU182="","", INDEX(#REF!,MATCH(CONCATENATE('Respuestas de formulario 1.1'!$B182,DU182),#REF!,0),MATCH('Respuestas de formulario 1.1'!EV$1,#REF!,0)))</f>
        <v/>
      </c>
      <c r="EW182" s="45" t="str">
        <f t="array" ref="EW182">IF(DV182="","", INDEX(#REF!,MATCH(CONCATENATE('Respuestas de formulario 1.1'!$B182,DV182),#REF!,0),MATCH('Respuestas de formulario 1.1'!EW$1,#REF!,0)))</f>
        <v/>
      </c>
      <c r="EX182" s="45" t="str">
        <f t="array" ref="EX182">IF($DQ182="","", INDEX(#REF!,MATCH(CONCATENATE('Respuestas de formulario 1.1'!$B182,$DQ182),#REF!,0),MATCH('Respuestas de formulario 1.1'!EX$1,#REF!,0)))</f>
        <v/>
      </c>
      <c r="EY182" s="56" t="str">
        <f t="array" ref="EY182">IF($DQ182="","", INDEX(#REF!,MATCH(CONCATENATE('Respuestas de formulario 1.1'!$B182,$DQ182),#REF!,0),MATCH('Respuestas de formulario 1.1'!EY$1,#REF!,0)))</f>
        <v/>
      </c>
      <c r="EZ182" s="56" t="str">
        <f t="array" ref="EZ182">IF($DQ182="","", INDEX(#REF!,MATCH(CONCATENATE('Respuestas de formulario 1.1'!$B182,$DQ182),#REF!,0),MATCH('Respuestas de formulario 1.1'!EZ$1,#REF!,0)))</f>
        <v/>
      </c>
      <c r="FA182" s="56" t="str">
        <f t="array" ref="FA182">IF($DQ182="","", INDEX(#REF!,MATCH(CONCATENATE('Respuestas de formulario 1.1'!$B182,$DQ182),#REF!,0),MATCH('Respuestas de formulario 1.1'!FA$1,#REF!,0)))</f>
        <v/>
      </c>
      <c r="FB182" s="56" t="str">
        <f t="array" ref="FB182">IF($DQ182="","", INDEX(#REF!,MATCH(CONCATENATE('Respuestas de formulario 1.1'!$B182,$DQ182),#REF!,0),MATCH('Respuestas de formulario 1.1'!FB$1,#REF!,0)))</f>
        <v/>
      </c>
      <c r="FC182" s="56" t="str">
        <f t="array" ref="FC182">IF($DQ182="","", INDEX(#REF!,MATCH(CONCATENATE('Respuestas de formulario 1.1'!$B182,$DQ182),#REF!,0),MATCH('Respuestas de formulario 1.1'!FC$1,#REF!,0)))</f>
        <v/>
      </c>
      <c r="FD182" s="45" t="str">
        <f t="array" ref="FD182">IF($DQ182="","", INDEX(#REF!,MATCH(CONCATENATE('Respuestas de formulario 1.1'!$B182,$DQ182),#REF!,0),MATCH('Respuestas de formulario 1.1'!FD$1,#REF!,0)))</f>
        <v/>
      </c>
      <c r="FE182" s="45" t="str">
        <f t="array" ref="FE182">IF($DR182="","", INDEX(#REF!,MATCH(CONCATENATE(#REF!,$DR182),#REF!,0),MATCH(#REF!,#REF!,0)))</f>
        <v/>
      </c>
      <c r="FF182" s="56" t="str">
        <f t="array" ref="FF182">IF($DR182="","", INDEX(#REF!,MATCH(CONCATENATE(#REF!,$DR182),#REF!,0),MATCH(#REF!,#REF!,0)))</f>
        <v/>
      </c>
      <c r="FG182" s="56" t="str">
        <f t="array" ref="FG182">IF($DR182="","", INDEX(#REF!,MATCH(CONCATENATE(#REF!,$DR182),#REF!,0),MATCH(#REF!,#REF!,0)))</f>
        <v/>
      </c>
      <c r="FH182" s="56" t="str">
        <f t="array" ref="FH182">IF($DR182="","", INDEX(#REF!,MATCH(CONCATENATE(#REF!,$DR182),#REF!,0),MATCH(#REF!,#REF!,0)))</f>
        <v/>
      </c>
      <c r="FI182" s="56" t="str">
        <f t="array" ref="FI182">IF($DR182="","", INDEX(#REF!,MATCH(CONCATENATE(#REF!,$DR182),#REF!,0),MATCH(#REF!,#REF!,0)))</f>
        <v/>
      </c>
      <c r="FJ182" s="56" t="str">
        <f t="array" ref="FJ182">IF($DR182="","", INDEX(#REF!,MATCH(CONCATENATE(#REF!,$DR182),#REF!,0),MATCH(#REF!,#REF!,0)))</f>
        <v/>
      </c>
      <c r="FK182" s="45" t="str">
        <f t="array" ref="FK182">IF($DR182="","", INDEX(#REF!,MATCH(CONCATENATE(#REF!,$DR182),#REF!,0),MATCH(#REF!,#REF!,0)))</f>
        <v/>
      </c>
      <c r="FL182" s="45" t="str">
        <f t="array" ref="FL182">IF($DT182="","", INDEX(#REF!,MATCH(CONCATENATE('Respuestas de formulario 1.1'!$B182,$DS182),#REF!,0),MATCH('Respuestas de formulario 1.1'!FL$1,#REF!,0)))</f>
        <v/>
      </c>
      <c r="FM182" s="56" t="str">
        <f t="array" ref="FM182">IF($DT182="","", INDEX(#REF!,MATCH(CONCATENATE('Respuestas de formulario 1.1'!$B182,$DS182),#REF!,0),MATCH('Respuestas de formulario 1.1'!FM$1,#REF!,0)))</f>
        <v/>
      </c>
      <c r="FN182" s="56" t="str">
        <f t="array" ref="FN182">IF($DT182="","", INDEX(#REF!,MATCH(CONCATENATE('Respuestas de formulario 1.1'!$B182,$DS182),#REF!,0),MATCH('Respuestas de formulario 1.1'!FN$1,#REF!,0)))</f>
        <v/>
      </c>
      <c r="FO182" s="56" t="str">
        <f t="array" ref="FO182">IF($DT182="","", INDEX(#REF!,MATCH(CONCATENATE('Respuestas de formulario 1.1'!$B182,$DS182),#REF!,0),MATCH('Respuestas de formulario 1.1'!FO$1,#REF!,0)))</f>
        <v/>
      </c>
      <c r="FP182" s="56" t="str">
        <f t="array" ref="FP182">IF($DT182="","", INDEX(#REF!,MATCH(CONCATENATE('Respuestas de formulario 1.1'!$B182,$DS182),#REF!,0),MATCH('Respuestas de formulario 1.1'!FP$1,#REF!,0)))</f>
        <v/>
      </c>
      <c r="FQ182" s="56" t="str">
        <f t="array" ref="FQ182">IF($DT182="","", INDEX(#REF!,MATCH(CONCATENATE('Respuestas de formulario 1.1'!$B182,$DS182),#REF!,0),MATCH('Respuestas de formulario 1.1'!FQ$1,#REF!,0)))</f>
        <v/>
      </c>
      <c r="FR182" s="45" t="str">
        <f t="array" ref="FR182">IF($DT182="","", INDEX(#REF!,MATCH(CONCATENATE('Respuestas de formulario 1.1'!$B182,$DS182),#REF!,0),MATCH('Respuestas de formulario 1.1'!FR$1,#REF!,0)))</f>
        <v/>
      </c>
      <c r="FS182" s="45" t="str">
        <f t="array" ref="FS182">IF($DU182="","", INDEX(#REF!,MATCH(CONCATENATE('Respuestas de formulario 1.1'!$B182,$DT182),#REF!,0),MATCH('Respuestas de formulario 1.1'!FS$1,#REF!,0)))</f>
        <v/>
      </c>
      <c r="FT182" s="56" t="str">
        <f t="array" ref="FT182">IF($DU182="","", INDEX(#REF!,MATCH(CONCATENATE('Respuestas de formulario 1.1'!$B182,$DT182),#REF!,0),MATCH('Respuestas de formulario 1.1'!FT$1,#REF!,0)))</f>
        <v/>
      </c>
      <c r="FU182" s="56" t="str">
        <f t="array" ref="FU182">IF($DU182="","", INDEX(#REF!,MATCH(CONCATENATE('Respuestas de formulario 1.1'!$B182,$DT182),#REF!,0),MATCH('Respuestas de formulario 1.1'!FU$1,#REF!,0)))</f>
        <v/>
      </c>
      <c r="FV182" s="56" t="str">
        <f t="array" ref="FV182">IF($DU182="","", INDEX(#REF!,MATCH(CONCATENATE('Respuestas de formulario 1.1'!$B182,$DT182),#REF!,0),MATCH('Respuestas de formulario 1.1'!FV$1,#REF!,0)))</f>
        <v/>
      </c>
      <c r="FW182" s="56" t="str">
        <f t="array" ref="FW182">IF($DU182="","", INDEX(#REF!,MATCH(CONCATENATE('Respuestas de formulario 1.1'!$B182,$DT182),#REF!,0),MATCH('Respuestas de formulario 1.1'!FW$1,#REF!,0)))</f>
        <v/>
      </c>
      <c r="FX182" s="56" t="str">
        <f t="array" ref="FX182">IF($DU182="","", INDEX(#REF!,MATCH(CONCATENATE('Respuestas de formulario 1.1'!$B182,$DT182),#REF!,0),MATCH('Respuestas de formulario 1.1'!FX$1,#REF!,0)))</f>
        <v/>
      </c>
      <c r="FY182" s="45" t="str">
        <f t="array" ref="FY182">IF($DU182="","", INDEX(#REF!,MATCH(CONCATENATE('Respuestas de formulario 1.1'!$B182,$DT182),#REF!,0),MATCH('Respuestas de formulario 1.1'!FY$1,#REF!,0)))</f>
        <v/>
      </c>
      <c r="FZ182" s="3" t="s">
        <v>2860</v>
      </c>
      <c r="GA182" s="1" t="s">
        <v>5974</v>
      </c>
      <c r="GB182" s="5" t="s">
        <v>5975</v>
      </c>
      <c r="GC182" s="4" t="str">
        <f>HYPERLINK("https://drive.google.com/file/d/1Dk8Fgf6WEh5tFMrhm7mzjZfg_53qU3dt/view?usp=drivesdk","BECERRIL CASTRO LILIANA ABRIL Formato de reinscripción y pago 2022-2")</f>
        <v>BECERRIL CASTRO LILIANA ABRIL Formato de reinscripción y pago 2022-2</v>
      </c>
      <c r="GD182" s="1" t="s">
        <v>5976</v>
      </c>
      <c r="GE182" s="1"/>
      <c r="GF182" s="1"/>
      <c r="GG182" s="1"/>
      <c r="GH182" s="1"/>
      <c r="GI182" s="1" t="s">
        <v>5977</v>
      </c>
      <c r="GJ182" s="5" t="s">
        <v>5978</v>
      </c>
      <c r="GK182" s="5" t="str">
        <f>HYPERLINK("https://drive.google.com/file/d/1ncMyran_Ruk3pASyFe57H0WeTAX9Np0f/view?usp=drivesdk","BECERRIL CASTRO LILIANA ABRIL Formato de reinscripción y pago 2022-2")</f>
        <v>BECERRIL CASTRO LILIANA ABRIL Formato de reinscripción y pago 2022-2</v>
      </c>
      <c r="GL182" s="1" t="s">
        <v>5979</v>
      </c>
    </row>
    <row r="183" spans="1:194" ht="14.25" x14ac:dyDescent="0.2">
      <c r="A183" s="2">
        <v>45139.491900011577</v>
      </c>
      <c r="B183" s="1" t="s">
        <v>1060</v>
      </c>
      <c r="C183" s="1" t="s">
        <v>244</v>
      </c>
      <c r="D183" s="1" t="s">
        <v>244</v>
      </c>
      <c r="E183" s="1" t="s">
        <v>776</v>
      </c>
      <c r="F183" s="1" t="s">
        <v>262</v>
      </c>
      <c r="G183" s="5" t="s">
        <v>5980</v>
      </c>
      <c r="H183" s="41">
        <v>39270</v>
      </c>
      <c r="I183" s="1">
        <v>16</v>
      </c>
      <c r="J183" s="1">
        <v>5528539649</v>
      </c>
      <c r="K183" s="1">
        <v>5565882237</v>
      </c>
      <c r="L183" s="1" t="s">
        <v>1061</v>
      </c>
      <c r="M183" s="1">
        <v>22309060570442</v>
      </c>
      <c r="N183" s="1" t="s">
        <v>562</v>
      </c>
      <c r="O183" s="1" t="s">
        <v>247</v>
      </c>
      <c r="P183" s="1" t="s">
        <v>278</v>
      </c>
      <c r="Q183" s="1" t="s">
        <v>248</v>
      </c>
      <c r="R183" s="1" t="s">
        <v>236</v>
      </c>
      <c r="S183" s="1" t="s">
        <v>228</v>
      </c>
      <c r="T183" s="1" t="s">
        <v>411</v>
      </c>
      <c r="U183" s="1" t="s">
        <v>249</v>
      </c>
      <c r="V183" s="1" t="s">
        <v>228</v>
      </c>
      <c r="W183" s="1" t="s">
        <v>5981</v>
      </c>
      <c r="X183" s="1" t="s">
        <v>264</v>
      </c>
      <c r="Y183" s="1" t="s">
        <v>5982</v>
      </c>
      <c r="Z183" s="1" t="s">
        <v>231</v>
      </c>
      <c r="AA183" s="1">
        <v>57900</v>
      </c>
      <c r="AB183" s="1">
        <v>257</v>
      </c>
      <c r="AC183" s="1" t="s">
        <v>297</v>
      </c>
      <c r="AD183" s="1" t="s">
        <v>5983</v>
      </c>
      <c r="AE183" s="1" t="s">
        <v>5984</v>
      </c>
      <c r="AF183" s="1" t="s">
        <v>445</v>
      </c>
      <c r="AG183" s="1">
        <v>39</v>
      </c>
      <c r="AH183" s="5" t="s">
        <v>5985</v>
      </c>
      <c r="AI183" s="1">
        <v>5525651139</v>
      </c>
      <c r="AJ183" s="1">
        <v>5565882237</v>
      </c>
      <c r="AK183" s="1" t="s">
        <v>1063</v>
      </c>
      <c r="AL183" s="1" t="s">
        <v>244</v>
      </c>
      <c r="AM183" s="1" t="s">
        <v>695</v>
      </c>
      <c r="AN183" s="1" t="s">
        <v>1065</v>
      </c>
      <c r="AO183" s="1" t="s">
        <v>650</v>
      </c>
      <c r="AP183" s="1">
        <v>44</v>
      </c>
      <c r="AQ183" s="1" t="s">
        <v>1066</v>
      </c>
      <c r="AR183" s="42">
        <v>0.25</v>
      </c>
      <c r="AS183" s="42">
        <v>0.79166666666424135</v>
      </c>
      <c r="AT183" s="1">
        <v>5581309846</v>
      </c>
      <c r="AU183" s="1">
        <v>5565882237</v>
      </c>
      <c r="AV183" s="1" t="s">
        <v>1067</v>
      </c>
      <c r="AW183" s="5" t="s">
        <v>5986</v>
      </c>
      <c r="AX183" s="1" t="s">
        <v>244</v>
      </c>
      <c r="AY183" s="1" t="s">
        <v>392</v>
      </c>
      <c r="AZ183" s="1" t="s">
        <v>5987</v>
      </c>
      <c r="BA183" s="1" t="s">
        <v>488</v>
      </c>
      <c r="BB183" s="1">
        <v>19</v>
      </c>
      <c r="BC183" s="1" t="s">
        <v>1044</v>
      </c>
      <c r="BD183" s="43">
        <v>0.54166666666424135</v>
      </c>
      <c r="BE183" s="43">
        <v>0.875</v>
      </c>
      <c r="BF183" s="1">
        <v>5525145336</v>
      </c>
      <c r="BG183" s="1">
        <v>5565882237</v>
      </c>
      <c r="BH183" s="1" t="s">
        <v>1062</v>
      </c>
      <c r="BI183" s="5" t="s">
        <v>5988</v>
      </c>
      <c r="BJ183" s="1" t="s">
        <v>236</v>
      </c>
      <c r="BK183" s="1" t="s">
        <v>297</v>
      </c>
      <c r="BL183" s="1">
        <v>174</v>
      </c>
      <c r="BM183" s="1">
        <v>75</v>
      </c>
      <c r="BN183" s="1" t="s">
        <v>236</v>
      </c>
      <c r="BO183" s="1" t="s">
        <v>228</v>
      </c>
      <c r="BP183" s="1" t="s">
        <v>270</v>
      </c>
      <c r="BQ183" s="1" t="s">
        <v>236</v>
      </c>
      <c r="BR183" s="1" t="s">
        <v>348</v>
      </c>
      <c r="BS183" s="1" t="s">
        <v>236</v>
      </c>
      <c r="BT183" s="1" t="s">
        <v>457</v>
      </c>
      <c r="BU183" s="1" t="s">
        <v>228</v>
      </c>
      <c r="BW183" s="1" t="s">
        <v>238</v>
      </c>
      <c r="BX183" s="1">
        <v>60</v>
      </c>
      <c r="BY183" s="1">
        <v>180</v>
      </c>
      <c r="BZ183" s="1" t="s">
        <v>253</v>
      </c>
      <c r="CA183" s="1" t="s">
        <v>509</v>
      </c>
      <c r="CB183" s="1" t="s">
        <v>240</v>
      </c>
      <c r="CC183" s="1" t="s">
        <v>300</v>
      </c>
      <c r="CD183" s="1">
        <v>4000</v>
      </c>
      <c r="CE183" s="1">
        <v>1500</v>
      </c>
      <c r="CF183" s="1" t="s">
        <v>236</v>
      </c>
      <c r="CG183" s="1" t="s">
        <v>242</v>
      </c>
      <c r="CH183" s="1" t="s">
        <v>243</v>
      </c>
      <c r="CI183" s="1" t="s">
        <v>243</v>
      </c>
      <c r="CJ183" s="1" t="s">
        <v>2848</v>
      </c>
      <c r="CL183" s="5" t="s">
        <v>5989</v>
      </c>
      <c r="CM183" s="44" t="s">
        <v>5990</v>
      </c>
      <c r="CN183" s="1" t="s">
        <v>228</v>
      </c>
      <c r="CQ183" s="42">
        <v>0.33333333333575865</v>
      </c>
      <c r="CR183" s="42">
        <v>0.58333333333575865</v>
      </c>
      <c r="CT183" s="45" t="str">
        <f t="array" ref="CT183">IFERROR(INDEX(#REF!,MATCH('Respuestas de formulario 1.1'!$B183,#REF!,0),MATCH('Respuestas de formulario 1.1'!CT$1,#REF!,0)),"")</f>
        <v/>
      </c>
      <c r="CU183" s="56" t="str">
        <f t="array" ref="CU183">IFERROR(INDEX(#REF!,MATCH('Respuestas de formulario 1.1'!$B183,#REF!,0),MATCH('Respuestas de formulario 1.1'!CU$1,#REF!,0)),"")</f>
        <v/>
      </c>
      <c r="CV183" s="56" t="str">
        <f t="array" ref="CV183">IFERROR(INDEX(#REF!,MATCH('Respuestas de formulario 1.1'!$B183,#REF!,0),MATCH('Respuestas de formulario 1.1'!CV$1,#REF!,0)),"")</f>
        <v/>
      </c>
      <c r="CW183" s="56" t="str">
        <f t="array" ref="CW183">IFERROR(INDEX(#REF!,MATCH('Respuestas de formulario 1.1'!$B183,#REF!,0),MATCH('Respuestas de formulario 1.1'!CW$1,#REF!,0)),"")</f>
        <v/>
      </c>
      <c r="CX183" s="56" t="str">
        <f t="array" ref="CX183">IFERROR(INDEX(#REF!,MATCH('Respuestas de formulario 1.1'!$B183,#REF!,0),MATCH('Respuestas de formulario 1.1'!CX$1,#REF!,0)),"")</f>
        <v/>
      </c>
      <c r="CY183" s="56" t="str">
        <f t="array" ref="CY183">IFERROR(INDEX(#REF!,MATCH('Respuestas de formulario 1.1'!$B183,#REF!,0),MATCH('Respuestas de formulario 1.1'!CY$1,#REF!,0)),"")</f>
        <v/>
      </c>
      <c r="CZ183" s="57" t="str">
        <f t="array" ref="CZ183">IFERROR(INDEX(#REF!,MATCH('Respuestas de formulario 1.1'!$B183,#REF!,0),MATCH('Respuestas de formulario 1.1'!CZ$1,#REF!,0)),"")</f>
        <v/>
      </c>
      <c r="DA183" s="45" t="e">
        <f t="array" ref="DA183">INDEX(#REF!,MATCH('Respuestas de formulario 1.1'!$B183,#REF!,0),MATCH('Respuestas de formulario 1.1'!DA$1,#REF!,0))</f>
        <v>#REF!</v>
      </c>
      <c r="DB183" s="45" t="e">
        <f t="array" ref="DB183">INDEX(#REF!,MATCH('Respuestas de formulario 1.1'!$B183,#REF!,0),MATCH('Respuestas de formulario 1.1'!DB$1,#REF!,0))</f>
        <v>#REF!</v>
      </c>
      <c r="DC183" s="45" t="e">
        <f t="array" ref="DC183">INDEX(#REF!,MATCH('Respuestas de formulario 1.1'!$B183,#REF!,0),MATCH('Respuestas de formulario 1.1'!DC$1,#REF!,0))</f>
        <v>#REF!</v>
      </c>
      <c r="DD183" s="45" t="e">
        <f t="array" ref="DD183">INDEX(#REF!,MATCH('Respuestas de formulario 1.1'!$B183,#REF!,0),MATCH('Respuestas de formulario 1.1'!DD$1,#REF!,0))</f>
        <v>#REF!</v>
      </c>
      <c r="DE183" s="45" t="e">
        <f t="array" ref="DE183">INDEX(#REF!,MATCH('Respuestas de formulario 1.1'!$B183,#REF!,0),MATCH('Respuestas de formulario 1.1'!DE$1,#REF!,0))</f>
        <v>#REF!</v>
      </c>
      <c r="DF183" s="45" t="e">
        <f t="array" ref="DF183">INDEX(#REF!,MATCH('Respuestas de formulario 1.1'!$B183,#REF!,0),MATCH('Respuestas de formulario 1.1'!DF$1,#REF!,0))</f>
        <v>#REF!</v>
      </c>
      <c r="DG183" s="45" t="e">
        <f t="array" ref="DG183">INDEX(#REF!,MATCH('Respuestas de formulario 1.1'!$B183,#REF!,0),MATCH('Respuestas de formulario 1.1'!DG$1,#REF!,0))</f>
        <v>#REF!</v>
      </c>
      <c r="DH183" s="45" t="e">
        <f t="array" ref="DH183">INDEX(#REF!,MATCH('Respuestas de formulario 1.1'!$B183,#REF!,0),MATCH('Respuestas de formulario 1.1'!DH$1,#REF!,0))</f>
        <v>#REF!</v>
      </c>
      <c r="DI183" s="48" t="e">
        <f>VLOOKUP(CONCATENATE($DF183," TUTO ",$DC183),#REF!,3,0)</f>
        <v>#REF!</v>
      </c>
      <c r="DJ183" s="48" t="e">
        <f t="array" ref="DJ183">IF('Respuestas de formulario 1.1'!A183="","",INDEX(#REF!,MATCH('Respuestas de formulario 1.1'!B183,#REF!,0),MATCH('Respuestas de formulario 1.1'!$DH$1,#REF!,0)))</f>
        <v>#REF!</v>
      </c>
      <c r="DK183" s="52" t="str">
        <f>CONCATENATE("http://doc.google.com/uc?id=",MID('Respuestas de formulario 1.1'!G183,34,33))</f>
        <v>http://doc.google.com/uc?id=1YcotL0Vrt06ae_MFTjttjurN-uuWfFfu</v>
      </c>
      <c r="DL183" s="49" t="str">
        <f>CONCATENATE("http://doc.google.com/uc?id=",MID('Respuestas de formulario 1.1'!AH183,34,33))</f>
        <v>http://doc.google.com/uc?id=1gknQsBgs1YdhhypdqxxlWAHNEoMJpoGh</v>
      </c>
      <c r="DM183" s="50" t="str">
        <f>CONCATENATE("http://doc.google.com/uc?id=",MID('Respuestas de formulario 1.1'!AW183,34,33))</f>
        <v>http://doc.google.com/uc?id=1e239Q-tmXPmcF3jUFFBEAHvyNZ70JfGH</v>
      </c>
      <c r="DN183" s="53" t="str">
        <f>CONCATENATE("http://doc.google.com/uc?id=",MID('Respuestas de formulario 1.1'!$BI183,34,33))</f>
        <v>http://doc.google.com/uc?id=1KEMzaIcEVFi6dB9TG8VsZrDjk1jrnu7e</v>
      </c>
      <c r="DO183" s="45" t="str">
        <f>IFERROR(VLOOKUP(CONCATENATE('Respuestas de formulario 1.1'!$B183,MID('Respuestas de formulario 1.1'!DO$1,2,1)),#REF!,12,0),"")</f>
        <v/>
      </c>
      <c r="DP183" s="45" t="str">
        <f>IFERROR(VLOOKUP(CONCATENATE('Respuestas de formulario 1.1'!$B183,MID('Respuestas de formulario 1.1'!DP$1,2,1)),#REF!,12,0),"")</f>
        <v/>
      </c>
      <c r="DQ183" s="45" t="str">
        <f>IFERROR(VLOOKUP(CONCATENATE('Respuestas de formulario 1.1'!$B183,MID('Respuestas de formulario 1.1'!DQ$1,2,1)),#REF!,12,0),"")</f>
        <v/>
      </c>
      <c r="DR183" s="45" t="str">
        <f>IFERROR(VLOOKUP(CONCATENATE('Respuestas de formulario 1.1'!$B183,MID('Respuestas de formulario 1.1'!DR$1,2,1)),#REF!,12,0),"")</f>
        <v/>
      </c>
      <c r="DS183" s="45" t="str">
        <f>IFERROR(VLOOKUP(CONCATENATE('Respuestas de formulario 1.1'!$B183,MID('Respuestas de formulario 1.1'!DS$1,2,1)),#REF!,12,0),"")</f>
        <v/>
      </c>
      <c r="DT183" s="45" t="str">
        <f>IFERROR(VLOOKUP(CONCATENATE('Respuestas de formulario 1.1'!$B183,MID('Respuestas de formulario 1.1'!DT$1,2,1)),#REF!,12,0),"")</f>
        <v/>
      </c>
      <c r="DU183" s="45" t="str">
        <f>IFERROR(VLOOKUP(CONCATENATE('Respuestas de formulario 1.1'!$B183,MID('Respuestas de formulario 1.1'!DU$1,2,1)),#REF!,12,0),"")</f>
        <v/>
      </c>
      <c r="DV183" s="45" t="str">
        <f>IFERROR(VLOOKUP(CONCATENATE('Respuestas de formulario 1.1'!$B183,MID('Respuestas de formulario 1.1'!DV$1,2,1)),#REF!,12,0),"")</f>
        <v/>
      </c>
      <c r="DW183" s="45" t="str">
        <f>IFERROR(VLOOKUP(CONCATENATE('Respuestas de formulario 1.1'!$B183,MID('Respuestas de formulario 1.1'!DW$1,2,1)),#REF!,12,0),"")</f>
        <v/>
      </c>
      <c r="DX183" s="45" t="str">
        <f>IFERROR(VLOOKUP(CONCATENATE('Respuestas de formulario 1.1'!$B183,MID('Respuestas de formulario 1.1'!DX$1,2,1)),#REF!,12,0),"")</f>
        <v/>
      </c>
      <c r="DY183" s="45" t="str">
        <f>IFERROR(VLOOKUP(CONCATENATE('Respuestas de formulario 1.1'!$B183,MID('Respuestas de formulario 1.1'!DY$1,2,1)),#REF!,12,0),"")</f>
        <v/>
      </c>
      <c r="DZ183" s="45" t="str">
        <f>IFERROR(VLOOKUP(CONCATENATE('Respuestas de formulario 1.1'!$B183,MID('Respuestas de formulario 1.1'!DZ$1,2,1)),#REF!,12,0),"")</f>
        <v/>
      </c>
      <c r="EA183" s="45" t="str">
        <f>IFERROR(VLOOKUP(CONCATENATE('Respuestas de formulario 1.1'!$B183,MID('Respuestas de formulario 1.1'!EA$1,2,1)),#REF!,12,0),"")</f>
        <v/>
      </c>
      <c r="EB183" s="45" t="str">
        <f>IFERROR(VLOOKUP(CONCATENATE('Respuestas de formulario 1.1'!$B183,MID('Respuestas de formulario 1.1'!EB$1,2,1)),#REF!,12,0),"")</f>
        <v/>
      </c>
      <c r="EC183" s="45" t="str">
        <f>IFERROR(VLOOKUP(CONCATENATE('Respuestas de formulario 1.1'!$B183,MID('Respuestas de formulario 1.1'!EC$1,2,1)),#REF!,12,0),"")</f>
        <v/>
      </c>
      <c r="ED183" s="45" t="str">
        <f>IFERROR(VLOOKUP(CONCATENATE('Respuestas de formulario 1.1'!$B183,MID('Respuestas de formulario 1.1'!ED$1,2,1)),#REF!,12,0),"")</f>
        <v/>
      </c>
      <c r="EE183" s="45" t="str">
        <f>IFERROR(VLOOKUP(CONCATENATE('Respuestas de formulario 1.1'!$B183,MID('Respuestas de formulario 1.1'!EE$1,2,1)),#REF!,12,0),"")</f>
        <v/>
      </c>
      <c r="EF183" s="45" t="str">
        <f>IFERROR(VLOOKUP(CONCATENATE('Respuestas de formulario 1.1'!$B183,MID('Respuestas de formulario 1.1'!EF$1,2,1)),#REF!,12,0),"")</f>
        <v/>
      </c>
      <c r="EG183" s="45" t="str">
        <f>IFERROR(VLOOKUP(CONCATENATE('Respuestas de formulario 1.1'!$B183,MID('Respuestas de formulario 1.1'!EG$1,2,1)),#REF!,12,0),"")</f>
        <v/>
      </c>
      <c r="EH183" s="45" t="str">
        <f>IFERROR(VLOOKUP(CONCATENATE('Respuestas de formulario 1.1'!$B183,MID('Respuestas de formulario 1.1'!EH$1,2,1)),#REF!,12,0),"")</f>
        <v/>
      </c>
      <c r="EI183" s="45" t="str">
        <f>IFERROR(VLOOKUP(CONCATENATE('Respuestas de formulario 1.1'!$B183,MID('Respuestas de formulario 1.1'!EI$1,2,1)),#REF!,12,0),"")</f>
        <v/>
      </c>
      <c r="EJ183" s="45" t="str">
        <f t="array" ref="EJ183">IF(DO183="","", INDEX(#REF!,MATCH(CONCATENATE('Respuestas de formulario 1.1'!$B183,DO183),#REF!,0),MATCH('Respuestas de formulario 1.1'!EJ$1,#REF!,0)))</f>
        <v/>
      </c>
      <c r="EK183" s="56" t="str">
        <f t="array" ref="EK183">IF(DP183="","", INDEX(#REF!,MATCH(CONCATENATE('Respuestas de formulario 1.1'!$B183,DP183),#REF!,0),MATCH('Respuestas de formulario 1.1'!EK$1,#REF!,0)))</f>
        <v/>
      </c>
      <c r="EL183" s="56" t="str">
        <f t="array" ref="EL183">IF(DQ183="","", INDEX(#REF!,MATCH(CONCATENATE('Respuestas de formulario 1.1'!$B183,DQ183),#REF!,0),MATCH('Respuestas de formulario 1.1'!EL$1,#REF!,0)))</f>
        <v/>
      </c>
      <c r="EM183" s="56" t="str">
        <f t="array" ref="EM183">IF(DR183="","", INDEX(#REF!,MATCH(CONCATENATE('Respuestas de formulario 1.1'!$B183,DR183),#REF!,0),MATCH('Respuestas de formulario 1.1'!EM$1,#REF!,0)))</f>
        <v/>
      </c>
      <c r="EN183" s="56" t="str">
        <f t="array" ref="EN183">IF(DS183="","", INDEX(#REF!,MATCH(CONCATENATE('Respuestas de formulario 1.1'!$B183,DS183),#REF!,0),MATCH('Respuestas de formulario 1.1'!EN$1,#REF!,0)))</f>
        <v/>
      </c>
      <c r="EO183" s="56" t="str">
        <f t="array" ref="EO183">IF(DT183="","", INDEX(#REF!,MATCH(CONCATENATE('Respuestas de formulario 1.1'!$B183,DT183),#REF!,0),MATCH('Respuestas de formulario 1.1'!EO$1,#REF!,0)))</f>
        <v/>
      </c>
      <c r="EP183" s="45" t="str">
        <f t="array" ref="EP183">IF(DU183="","", INDEX(#REF!,MATCH(CONCATENATE('Respuestas de formulario 1.1'!$B183,DU183),#REF!,0),MATCH('Respuestas de formulario 1.1'!EP$1,#REF!,0)))</f>
        <v/>
      </c>
      <c r="EQ183" s="45" t="str">
        <f t="array" ref="EQ183">IF(DP183="","", INDEX(#REF!,MATCH(CONCATENATE('Respuestas de formulario 1.1'!$B183,DP183),#REF!,0),MATCH('Respuestas de formulario 1.1'!EQ$1,#REF!,0)))</f>
        <v/>
      </c>
      <c r="ER183" s="56" t="str">
        <f t="array" ref="ER183">IF(DQ183="","", INDEX(#REF!,MATCH(CONCATENATE('Respuestas de formulario 1.1'!$B183,DQ183),#REF!,0),MATCH('Respuestas de formulario 1.1'!ER$1,#REF!,0)))</f>
        <v/>
      </c>
      <c r="ES183" s="56" t="str">
        <f t="array" ref="ES183">IF(DR183="","", INDEX(#REF!,MATCH(CONCATENATE('Respuestas de formulario 1.1'!$B183,DR183),#REF!,0),MATCH('Respuestas de formulario 1.1'!ES$1,#REF!,0)))</f>
        <v/>
      </c>
      <c r="ET183" s="56" t="str">
        <f t="array" ref="ET183">IF(DS183="","", INDEX(#REF!,MATCH(CONCATENATE('Respuestas de formulario 1.1'!$B183,DS183),#REF!,0),MATCH('Respuestas de formulario 1.1'!ET$1,#REF!,0)))</f>
        <v/>
      </c>
      <c r="EU183" s="56" t="str">
        <f t="array" ref="EU183">IF(DT183="","", INDEX(#REF!,MATCH(CONCATENATE('Respuestas de formulario 1.1'!$B183,DT183),#REF!,0),MATCH('Respuestas de formulario 1.1'!EU$1,#REF!,0)))</f>
        <v/>
      </c>
      <c r="EV183" s="56" t="str">
        <f t="array" ref="EV183">IF(DU183="","", INDEX(#REF!,MATCH(CONCATENATE('Respuestas de formulario 1.1'!$B183,DU183),#REF!,0),MATCH('Respuestas de formulario 1.1'!EV$1,#REF!,0)))</f>
        <v/>
      </c>
      <c r="EW183" s="45" t="str">
        <f t="array" ref="EW183">IF(DV183="","", INDEX(#REF!,MATCH(CONCATENATE('Respuestas de formulario 1.1'!$B183,DV183),#REF!,0),MATCH('Respuestas de formulario 1.1'!EW$1,#REF!,0)))</f>
        <v/>
      </c>
      <c r="EX183" s="45" t="str">
        <f t="array" ref="EX183">IF($DQ183="","", INDEX(#REF!,MATCH(CONCATENATE('Respuestas de formulario 1.1'!$B183,$DQ183),#REF!,0),MATCH('Respuestas de formulario 1.1'!EX$1,#REF!,0)))</f>
        <v/>
      </c>
      <c r="EY183" s="56" t="str">
        <f t="array" ref="EY183">IF($DQ183="","", INDEX(#REF!,MATCH(CONCATENATE('Respuestas de formulario 1.1'!$B183,$DQ183),#REF!,0),MATCH('Respuestas de formulario 1.1'!EY$1,#REF!,0)))</f>
        <v/>
      </c>
      <c r="EZ183" s="56" t="str">
        <f t="array" ref="EZ183">IF($DQ183="","", INDEX(#REF!,MATCH(CONCATENATE('Respuestas de formulario 1.1'!$B183,$DQ183),#REF!,0),MATCH('Respuestas de formulario 1.1'!EZ$1,#REF!,0)))</f>
        <v/>
      </c>
      <c r="FA183" s="56" t="str">
        <f t="array" ref="FA183">IF($DQ183="","", INDEX(#REF!,MATCH(CONCATENATE('Respuestas de formulario 1.1'!$B183,$DQ183),#REF!,0),MATCH('Respuestas de formulario 1.1'!FA$1,#REF!,0)))</f>
        <v/>
      </c>
      <c r="FB183" s="56" t="str">
        <f t="array" ref="FB183">IF($DQ183="","", INDEX(#REF!,MATCH(CONCATENATE('Respuestas de formulario 1.1'!$B183,$DQ183),#REF!,0),MATCH('Respuestas de formulario 1.1'!FB$1,#REF!,0)))</f>
        <v/>
      </c>
      <c r="FC183" s="56" t="str">
        <f t="array" ref="FC183">IF($DQ183="","", INDEX(#REF!,MATCH(CONCATENATE('Respuestas de formulario 1.1'!$B183,$DQ183),#REF!,0),MATCH('Respuestas de formulario 1.1'!FC$1,#REF!,0)))</f>
        <v/>
      </c>
      <c r="FD183" s="45" t="str">
        <f t="array" ref="FD183">IF($DQ183="","", INDEX(#REF!,MATCH(CONCATENATE('Respuestas de formulario 1.1'!$B183,$DQ183),#REF!,0),MATCH('Respuestas de formulario 1.1'!FD$1,#REF!,0)))</f>
        <v/>
      </c>
      <c r="FE183" s="45" t="str">
        <f t="array" ref="FE183">IF($DR183="","", INDEX(#REF!,MATCH(CONCATENATE(#REF!,$DR183),#REF!,0),MATCH(#REF!,#REF!,0)))</f>
        <v/>
      </c>
      <c r="FF183" s="56" t="str">
        <f t="array" ref="FF183">IF($DR183="","", INDEX(#REF!,MATCH(CONCATENATE(#REF!,$DR183),#REF!,0),MATCH(#REF!,#REF!,0)))</f>
        <v/>
      </c>
      <c r="FG183" s="56" t="str">
        <f t="array" ref="FG183">IF($DR183="","", INDEX(#REF!,MATCH(CONCATENATE(#REF!,$DR183),#REF!,0),MATCH(#REF!,#REF!,0)))</f>
        <v/>
      </c>
      <c r="FH183" s="56" t="str">
        <f t="array" ref="FH183">IF($DR183="","", INDEX(#REF!,MATCH(CONCATENATE(#REF!,$DR183),#REF!,0),MATCH(#REF!,#REF!,0)))</f>
        <v/>
      </c>
      <c r="FI183" s="56" t="str">
        <f t="array" ref="FI183">IF($DR183="","", INDEX(#REF!,MATCH(CONCATENATE(#REF!,$DR183),#REF!,0),MATCH(#REF!,#REF!,0)))</f>
        <v/>
      </c>
      <c r="FJ183" s="56" t="str">
        <f t="array" ref="FJ183">IF($DR183="","", INDEX(#REF!,MATCH(CONCATENATE(#REF!,$DR183),#REF!,0),MATCH(#REF!,#REF!,0)))</f>
        <v/>
      </c>
      <c r="FK183" s="45" t="str">
        <f t="array" ref="FK183">IF($DR183="","", INDEX(#REF!,MATCH(CONCATENATE(#REF!,$DR183),#REF!,0),MATCH(#REF!,#REF!,0)))</f>
        <v/>
      </c>
      <c r="FL183" s="45" t="str">
        <f t="array" ref="FL183">IF($DT183="","", INDEX(#REF!,MATCH(CONCATENATE('Respuestas de formulario 1.1'!$B183,$DS183),#REF!,0),MATCH('Respuestas de formulario 1.1'!FL$1,#REF!,0)))</f>
        <v/>
      </c>
      <c r="FM183" s="56" t="str">
        <f t="array" ref="FM183">IF($DT183="","", INDEX(#REF!,MATCH(CONCATENATE('Respuestas de formulario 1.1'!$B183,$DS183),#REF!,0),MATCH('Respuestas de formulario 1.1'!FM$1,#REF!,0)))</f>
        <v/>
      </c>
      <c r="FN183" s="56" t="str">
        <f t="array" ref="FN183">IF($DT183="","", INDEX(#REF!,MATCH(CONCATENATE('Respuestas de formulario 1.1'!$B183,$DS183),#REF!,0),MATCH('Respuestas de formulario 1.1'!FN$1,#REF!,0)))</f>
        <v/>
      </c>
      <c r="FO183" s="56" t="str">
        <f t="array" ref="FO183">IF($DT183="","", INDEX(#REF!,MATCH(CONCATENATE('Respuestas de formulario 1.1'!$B183,$DS183),#REF!,0),MATCH('Respuestas de formulario 1.1'!FO$1,#REF!,0)))</f>
        <v/>
      </c>
      <c r="FP183" s="56" t="str">
        <f t="array" ref="FP183">IF($DT183="","", INDEX(#REF!,MATCH(CONCATENATE('Respuestas de formulario 1.1'!$B183,$DS183),#REF!,0),MATCH('Respuestas de formulario 1.1'!FP$1,#REF!,0)))</f>
        <v/>
      </c>
      <c r="FQ183" s="56" t="str">
        <f t="array" ref="FQ183">IF($DT183="","", INDEX(#REF!,MATCH(CONCATENATE('Respuestas de formulario 1.1'!$B183,$DS183),#REF!,0),MATCH('Respuestas de formulario 1.1'!FQ$1,#REF!,0)))</f>
        <v/>
      </c>
      <c r="FR183" s="45" t="str">
        <f t="array" ref="FR183">IF($DT183="","", INDEX(#REF!,MATCH(CONCATENATE('Respuestas de formulario 1.1'!$B183,$DS183),#REF!,0),MATCH('Respuestas de formulario 1.1'!FR$1,#REF!,0)))</f>
        <v/>
      </c>
      <c r="FS183" s="45" t="str">
        <f t="array" ref="FS183">IF($DU183="","", INDEX(#REF!,MATCH(CONCATENATE('Respuestas de formulario 1.1'!$B183,$DT183),#REF!,0),MATCH('Respuestas de formulario 1.1'!FS$1,#REF!,0)))</f>
        <v/>
      </c>
      <c r="FT183" s="56" t="str">
        <f t="array" ref="FT183">IF($DU183="","", INDEX(#REF!,MATCH(CONCATENATE('Respuestas de formulario 1.1'!$B183,$DT183),#REF!,0),MATCH('Respuestas de formulario 1.1'!FT$1,#REF!,0)))</f>
        <v/>
      </c>
      <c r="FU183" s="56" t="str">
        <f t="array" ref="FU183">IF($DU183="","", INDEX(#REF!,MATCH(CONCATENATE('Respuestas de formulario 1.1'!$B183,$DT183),#REF!,0),MATCH('Respuestas de formulario 1.1'!FU$1,#REF!,0)))</f>
        <v/>
      </c>
      <c r="FV183" s="56" t="str">
        <f t="array" ref="FV183">IF($DU183="","", INDEX(#REF!,MATCH(CONCATENATE('Respuestas de formulario 1.1'!$B183,$DT183),#REF!,0),MATCH('Respuestas de formulario 1.1'!FV$1,#REF!,0)))</f>
        <v/>
      </c>
      <c r="FW183" s="56" t="str">
        <f t="array" ref="FW183">IF($DU183="","", INDEX(#REF!,MATCH(CONCATENATE('Respuestas de formulario 1.1'!$B183,$DT183),#REF!,0),MATCH('Respuestas de formulario 1.1'!FW$1,#REF!,0)))</f>
        <v/>
      </c>
      <c r="FX183" s="56" t="str">
        <f t="array" ref="FX183">IF($DU183="","", INDEX(#REF!,MATCH(CONCATENATE('Respuestas de formulario 1.1'!$B183,$DT183),#REF!,0),MATCH('Respuestas de formulario 1.1'!FX$1,#REF!,0)))</f>
        <v/>
      </c>
      <c r="FY183" s="45" t="str">
        <f t="array" ref="FY183">IF($DU183="","", INDEX(#REF!,MATCH(CONCATENATE('Respuestas de formulario 1.1'!$B183,$DT183),#REF!,0),MATCH('Respuestas de formulario 1.1'!FY$1,#REF!,0)))</f>
        <v/>
      </c>
      <c r="GA183" s="1" t="s">
        <v>5991</v>
      </c>
      <c r="GB183" s="5" t="s">
        <v>5992</v>
      </c>
      <c r="GC183" s="4" t="str">
        <f>HYPERLINK("https://drive.google.com/file/d/1iKHyj84boFLuc2hD1g32RP74DPUSjmev/view?usp=drivesdk","HERNANDEZ HERNANDEZ DANIEL Formato de reinscripción y pago 2022-2")</f>
        <v>HERNANDEZ HERNANDEZ DANIEL Formato de reinscripción y pago 2022-2</v>
      </c>
      <c r="GD183" s="1" t="s">
        <v>5993</v>
      </c>
      <c r="GE183" s="1"/>
      <c r="GF183" s="1"/>
      <c r="GG183" s="1"/>
      <c r="GH183" s="1"/>
      <c r="GI183" s="1" t="s">
        <v>5994</v>
      </c>
      <c r="GJ183" s="5" t="s">
        <v>5995</v>
      </c>
      <c r="GK183" s="5" t="str">
        <f>HYPERLINK("https://drive.google.com/file/d/169DPhXdjM9mXWKhDtZ7lCTp1kh7iMAC8/view?usp=drivesdk","HERNANDEZ HERNANDEZ DANIEL Formato de reinscripción y pago 2022-2")</f>
        <v>HERNANDEZ HERNANDEZ DANIEL Formato de reinscripción y pago 2022-2</v>
      </c>
      <c r="GL183" s="1" t="s">
        <v>5996</v>
      </c>
    </row>
    <row r="184" spans="1:194" ht="38.25" x14ac:dyDescent="0.2">
      <c r="A184" s="2">
        <v>45139.492174004627</v>
      </c>
      <c r="B184" s="1" t="s">
        <v>1021</v>
      </c>
      <c r="C184" s="1" t="s">
        <v>662</v>
      </c>
      <c r="D184" s="1" t="s">
        <v>1022</v>
      </c>
      <c r="E184" s="1" t="s">
        <v>1023</v>
      </c>
      <c r="F184" s="1" t="s">
        <v>223</v>
      </c>
      <c r="G184" s="5" t="s">
        <v>5997</v>
      </c>
      <c r="H184" s="41">
        <v>39010</v>
      </c>
      <c r="I184" s="1">
        <v>16</v>
      </c>
      <c r="J184" s="1">
        <v>5618913989</v>
      </c>
      <c r="K184" s="1">
        <v>5517138485</v>
      </c>
      <c r="L184" s="1" t="s">
        <v>1024</v>
      </c>
      <c r="M184" s="1">
        <v>21309060570258</v>
      </c>
      <c r="N184" s="1" t="s">
        <v>1108</v>
      </c>
      <c r="O184" s="1" t="s">
        <v>247</v>
      </c>
      <c r="P184" s="1" t="s">
        <v>278</v>
      </c>
      <c r="Q184" s="1" t="s">
        <v>315</v>
      </c>
      <c r="R184" s="1" t="s">
        <v>236</v>
      </c>
      <c r="S184" s="1" t="s">
        <v>228</v>
      </c>
      <c r="T184" s="1" t="s">
        <v>229</v>
      </c>
      <c r="U184" s="1" t="s">
        <v>394</v>
      </c>
      <c r="V184" s="1" t="s">
        <v>228</v>
      </c>
      <c r="W184" s="1" t="s">
        <v>5998</v>
      </c>
      <c r="X184" s="1" t="s">
        <v>394</v>
      </c>
      <c r="Y184" s="1" t="s">
        <v>1030</v>
      </c>
      <c r="Z184" s="1" t="s">
        <v>231</v>
      </c>
      <c r="AA184" s="1">
        <v>56510</v>
      </c>
      <c r="AB184" s="1">
        <v>1</v>
      </c>
      <c r="AC184" s="1">
        <v>32</v>
      </c>
      <c r="AD184" s="1" t="s">
        <v>5999</v>
      </c>
      <c r="AE184" s="1" t="s">
        <v>6000</v>
      </c>
      <c r="AF184" s="1" t="s">
        <v>445</v>
      </c>
      <c r="AG184" s="1">
        <v>37</v>
      </c>
      <c r="AH184" s="5" t="s">
        <v>6001</v>
      </c>
      <c r="AI184" s="1">
        <v>5545396799</v>
      </c>
      <c r="AJ184" s="1">
        <v>5517138485</v>
      </c>
      <c r="AK184" s="1" t="s">
        <v>1027</v>
      </c>
      <c r="AL184" s="1" t="s">
        <v>662</v>
      </c>
      <c r="AM184" s="1" t="s">
        <v>1028</v>
      </c>
      <c r="AN184" s="1" t="s">
        <v>747</v>
      </c>
      <c r="AO184" s="1" t="s">
        <v>435</v>
      </c>
      <c r="AP184" s="1">
        <v>37</v>
      </c>
      <c r="AQ184" s="1" t="s">
        <v>306</v>
      </c>
      <c r="AR184" s="42">
        <v>0.33333333333575865</v>
      </c>
      <c r="AS184" s="42">
        <v>0.72916666666424135</v>
      </c>
      <c r="AT184" s="1">
        <v>5545456428</v>
      </c>
      <c r="AU184" s="1">
        <v>5517138485</v>
      </c>
      <c r="AV184" s="1" t="s">
        <v>1025</v>
      </c>
      <c r="AW184" s="5" t="s">
        <v>6002</v>
      </c>
      <c r="AX184" s="1" t="s">
        <v>1026</v>
      </c>
      <c r="AY184" s="1" t="s">
        <v>232</v>
      </c>
      <c r="AZ184" s="1" t="s">
        <v>938</v>
      </c>
      <c r="BA184" s="1" t="s">
        <v>279</v>
      </c>
      <c r="BB184" s="1">
        <v>55</v>
      </c>
      <c r="BC184" s="1" t="s">
        <v>233</v>
      </c>
      <c r="BD184" s="43">
        <v>0.25</v>
      </c>
      <c r="BE184" s="43">
        <v>0.83333333333575865</v>
      </c>
      <c r="BF184" s="1">
        <v>5520677287</v>
      </c>
      <c r="BG184" s="1">
        <v>5517138485</v>
      </c>
      <c r="BH184" s="1" t="s">
        <v>6003</v>
      </c>
      <c r="BI184" s="5" t="s">
        <v>6004</v>
      </c>
      <c r="BJ184" s="1" t="s">
        <v>236</v>
      </c>
      <c r="BL184" s="1">
        <v>1.5</v>
      </c>
      <c r="BM184" s="1">
        <v>49</v>
      </c>
      <c r="BN184" s="1" t="s">
        <v>236</v>
      </c>
      <c r="BO184" s="1" t="s">
        <v>228</v>
      </c>
      <c r="BQ184" s="1" t="s">
        <v>228</v>
      </c>
      <c r="BR184" s="1" t="s">
        <v>237</v>
      </c>
      <c r="BS184" s="1" t="s">
        <v>228</v>
      </c>
      <c r="BT184" s="1" t="s">
        <v>237</v>
      </c>
      <c r="BU184" s="1" t="s">
        <v>228</v>
      </c>
      <c r="BW184" s="1" t="s">
        <v>238</v>
      </c>
      <c r="BX184" s="1">
        <v>120</v>
      </c>
      <c r="BY184" s="1">
        <v>60</v>
      </c>
      <c r="BZ184" s="1" t="s">
        <v>1973</v>
      </c>
      <c r="CA184" s="1" t="s">
        <v>321</v>
      </c>
      <c r="CB184" s="1" t="s">
        <v>240</v>
      </c>
      <c r="CC184" s="1" t="s">
        <v>322</v>
      </c>
      <c r="CD184" s="1">
        <v>1500</v>
      </c>
      <c r="CE184" s="1">
        <v>3000</v>
      </c>
      <c r="CF184" s="1" t="s">
        <v>236</v>
      </c>
      <c r="CG184" s="1" t="s">
        <v>256</v>
      </c>
      <c r="CH184" s="1" t="s">
        <v>243</v>
      </c>
      <c r="CI184" s="1" t="s">
        <v>243</v>
      </c>
      <c r="CJ184" s="1" t="s">
        <v>2848</v>
      </c>
      <c r="CL184" s="5" t="s">
        <v>6005</v>
      </c>
      <c r="CM184" s="44" t="s">
        <v>1029</v>
      </c>
      <c r="CN184" s="1" t="s">
        <v>228</v>
      </c>
      <c r="CQ184" s="42">
        <v>0.375</v>
      </c>
      <c r="CR184" s="42">
        <v>0.75</v>
      </c>
      <c r="CT184" s="45" t="str">
        <f t="array" ref="CT184">IFERROR(INDEX(#REF!,MATCH('Respuestas de formulario 1.1'!$B184,#REF!,0),MATCH('Respuestas de formulario 1.1'!CT$1,#REF!,0)),"")</f>
        <v/>
      </c>
      <c r="CU184" s="56" t="str">
        <f t="array" ref="CU184">IFERROR(INDEX(#REF!,MATCH('Respuestas de formulario 1.1'!$B184,#REF!,0),MATCH('Respuestas de formulario 1.1'!CU$1,#REF!,0)),"")</f>
        <v/>
      </c>
      <c r="CV184" s="56" t="str">
        <f t="array" ref="CV184">IFERROR(INDEX(#REF!,MATCH('Respuestas de formulario 1.1'!$B184,#REF!,0),MATCH('Respuestas de formulario 1.1'!CV$1,#REF!,0)),"")</f>
        <v/>
      </c>
      <c r="CW184" s="56" t="str">
        <f t="array" ref="CW184">IFERROR(INDEX(#REF!,MATCH('Respuestas de formulario 1.1'!$B184,#REF!,0),MATCH('Respuestas de formulario 1.1'!CW$1,#REF!,0)),"")</f>
        <v/>
      </c>
      <c r="CX184" s="56" t="str">
        <f t="array" ref="CX184">IFERROR(INDEX(#REF!,MATCH('Respuestas de formulario 1.1'!$B184,#REF!,0),MATCH('Respuestas de formulario 1.1'!CX$1,#REF!,0)),"")</f>
        <v/>
      </c>
      <c r="CY184" s="56" t="str">
        <f t="array" ref="CY184">IFERROR(INDEX(#REF!,MATCH('Respuestas de formulario 1.1'!$B184,#REF!,0),MATCH('Respuestas de formulario 1.1'!CY$1,#REF!,0)),"")</f>
        <v/>
      </c>
      <c r="CZ184" s="57" t="str">
        <f t="array" ref="CZ184">IFERROR(INDEX(#REF!,MATCH('Respuestas de formulario 1.1'!$B184,#REF!,0),MATCH('Respuestas de formulario 1.1'!CZ$1,#REF!,0)),"")</f>
        <v/>
      </c>
      <c r="DA184" s="45" t="e">
        <f t="array" ref="DA184">INDEX(#REF!,MATCH('Respuestas de formulario 1.1'!$B184,#REF!,0),MATCH('Respuestas de formulario 1.1'!DA$1,#REF!,0))</f>
        <v>#REF!</v>
      </c>
      <c r="DB184" s="45" t="e">
        <f t="array" ref="DB184">INDEX(#REF!,MATCH('Respuestas de formulario 1.1'!$B184,#REF!,0),MATCH('Respuestas de formulario 1.1'!DB$1,#REF!,0))</f>
        <v>#REF!</v>
      </c>
      <c r="DC184" s="45" t="e">
        <f t="array" ref="DC184">INDEX(#REF!,MATCH('Respuestas de formulario 1.1'!$B184,#REF!,0),MATCH('Respuestas de formulario 1.1'!DC$1,#REF!,0))</f>
        <v>#REF!</v>
      </c>
      <c r="DD184" s="45" t="e">
        <f t="array" ref="DD184">INDEX(#REF!,MATCH('Respuestas de formulario 1.1'!$B184,#REF!,0),MATCH('Respuestas de formulario 1.1'!DD$1,#REF!,0))</f>
        <v>#REF!</v>
      </c>
      <c r="DE184" s="45" t="e">
        <f t="array" ref="DE184">INDEX(#REF!,MATCH('Respuestas de formulario 1.1'!$B184,#REF!,0),MATCH('Respuestas de formulario 1.1'!DE$1,#REF!,0))</f>
        <v>#REF!</v>
      </c>
      <c r="DF184" s="45" t="e">
        <f t="array" ref="DF184">INDEX(#REF!,MATCH('Respuestas de formulario 1.1'!$B184,#REF!,0),MATCH('Respuestas de formulario 1.1'!DF$1,#REF!,0))</f>
        <v>#REF!</v>
      </c>
      <c r="DG184" s="45" t="e">
        <f t="array" ref="DG184">INDEX(#REF!,MATCH('Respuestas de formulario 1.1'!$B184,#REF!,0),MATCH('Respuestas de formulario 1.1'!DG$1,#REF!,0))</f>
        <v>#REF!</v>
      </c>
      <c r="DH184" s="45" t="e">
        <f t="array" ref="DH184">INDEX(#REF!,MATCH('Respuestas de formulario 1.1'!$B184,#REF!,0),MATCH('Respuestas de formulario 1.1'!DH$1,#REF!,0))</f>
        <v>#REF!</v>
      </c>
      <c r="DI184" s="48" t="e">
        <f>VLOOKUP(CONCATENATE($DF184," TUTO ",$DC184),#REF!,3,0)</f>
        <v>#REF!</v>
      </c>
      <c r="DJ184" s="48" t="e">
        <f t="array" ref="DJ184">IF('Respuestas de formulario 1.1'!A184="","",INDEX(#REF!,MATCH('Respuestas de formulario 1.1'!B184,#REF!,0),MATCH('Respuestas de formulario 1.1'!$DH$1,#REF!,0)))</f>
        <v>#REF!</v>
      </c>
      <c r="DK184" s="52" t="str">
        <f>CONCATENATE("http://doc.google.com/uc?id=",MID('Respuestas de formulario 1.1'!G184,34,33))</f>
        <v>http://doc.google.com/uc?id=1sODflGUaYx9BiijnosSirRSguCMmhmbR</v>
      </c>
      <c r="DL184" s="49" t="str">
        <f>CONCATENATE("http://doc.google.com/uc?id=",MID('Respuestas de formulario 1.1'!AH184,34,33))</f>
        <v>http://doc.google.com/uc?id=1RhzZTVLDuM5NOpw-mT2PrYjbwRe8KiVU</v>
      </c>
      <c r="DM184" s="50" t="str">
        <f>CONCATENATE("http://doc.google.com/uc?id=",MID('Respuestas de formulario 1.1'!AW184,34,33))</f>
        <v>http://doc.google.com/uc?id=16Du6MGFjjrUvMlRDNJe-g86-gP9ooKHN</v>
      </c>
      <c r="DN184" s="53" t="str">
        <f>CONCATENATE("http://doc.google.com/uc?id=",MID('Respuestas de formulario 1.1'!$BI184,34,33))</f>
        <v>http://doc.google.com/uc?id=1sQYxrD8uokyj-ld0OtfHBJZ9FrMCJL84</v>
      </c>
      <c r="DO184" s="45" t="str">
        <f>IFERROR(VLOOKUP(CONCATENATE('Respuestas de formulario 1.1'!$B184,MID('Respuestas de formulario 1.1'!DO$1,2,1)),#REF!,12,0),"")</f>
        <v/>
      </c>
      <c r="DP184" s="45" t="str">
        <f>IFERROR(VLOOKUP(CONCATENATE('Respuestas de formulario 1.1'!$B184,MID('Respuestas de formulario 1.1'!DP$1,2,1)),#REF!,12,0),"")</f>
        <v/>
      </c>
      <c r="DQ184" s="45" t="str">
        <f>IFERROR(VLOOKUP(CONCATENATE('Respuestas de formulario 1.1'!$B184,MID('Respuestas de formulario 1.1'!DQ$1,2,1)),#REF!,12,0),"")</f>
        <v/>
      </c>
      <c r="DR184" s="45" t="str">
        <f>IFERROR(VLOOKUP(CONCATENATE('Respuestas de formulario 1.1'!$B184,MID('Respuestas de formulario 1.1'!DR$1,2,1)),#REF!,12,0),"")</f>
        <v/>
      </c>
      <c r="DS184" s="45" t="str">
        <f>IFERROR(VLOOKUP(CONCATENATE('Respuestas de formulario 1.1'!$B184,MID('Respuestas de formulario 1.1'!DS$1,2,1)),#REF!,12,0),"")</f>
        <v/>
      </c>
      <c r="DT184" s="45" t="str">
        <f>IFERROR(VLOOKUP(CONCATENATE('Respuestas de formulario 1.1'!$B184,MID('Respuestas de formulario 1.1'!DT$1,2,1)),#REF!,12,0),"")</f>
        <v/>
      </c>
      <c r="DU184" s="45" t="str">
        <f>IFERROR(VLOOKUP(CONCATENATE('Respuestas de formulario 1.1'!$B184,MID('Respuestas de formulario 1.1'!DU$1,2,1)),#REF!,12,0),"")</f>
        <v/>
      </c>
      <c r="DV184" s="45" t="str">
        <f>IFERROR(VLOOKUP(CONCATENATE('Respuestas de formulario 1.1'!$B184,MID('Respuestas de formulario 1.1'!DV$1,2,1)),#REF!,12,0),"")</f>
        <v/>
      </c>
      <c r="DW184" s="45" t="str">
        <f>IFERROR(VLOOKUP(CONCATENATE('Respuestas de formulario 1.1'!$B184,MID('Respuestas de formulario 1.1'!DW$1,2,1)),#REF!,12,0),"")</f>
        <v/>
      </c>
      <c r="DX184" s="45" t="str">
        <f>IFERROR(VLOOKUP(CONCATENATE('Respuestas de formulario 1.1'!$B184,MID('Respuestas de formulario 1.1'!DX$1,2,1)),#REF!,12,0),"")</f>
        <v/>
      </c>
      <c r="DY184" s="45" t="str">
        <f>IFERROR(VLOOKUP(CONCATENATE('Respuestas de formulario 1.1'!$B184,MID('Respuestas de formulario 1.1'!DY$1,2,1)),#REF!,12,0),"")</f>
        <v/>
      </c>
      <c r="DZ184" s="45" t="str">
        <f>IFERROR(VLOOKUP(CONCATENATE('Respuestas de formulario 1.1'!$B184,MID('Respuestas de formulario 1.1'!DZ$1,2,1)),#REF!,12,0),"")</f>
        <v/>
      </c>
      <c r="EA184" s="45" t="str">
        <f>IFERROR(VLOOKUP(CONCATENATE('Respuestas de formulario 1.1'!$B184,MID('Respuestas de formulario 1.1'!EA$1,2,1)),#REF!,12,0),"")</f>
        <v/>
      </c>
      <c r="EB184" s="45" t="str">
        <f>IFERROR(VLOOKUP(CONCATENATE('Respuestas de formulario 1.1'!$B184,MID('Respuestas de formulario 1.1'!EB$1,2,1)),#REF!,12,0),"")</f>
        <v/>
      </c>
      <c r="EC184" s="45" t="str">
        <f>IFERROR(VLOOKUP(CONCATENATE('Respuestas de formulario 1.1'!$B184,MID('Respuestas de formulario 1.1'!EC$1,2,1)),#REF!,12,0),"")</f>
        <v/>
      </c>
      <c r="ED184" s="45" t="str">
        <f>IFERROR(VLOOKUP(CONCATENATE('Respuestas de formulario 1.1'!$B184,MID('Respuestas de formulario 1.1'!ED$1,2,1)),#REF!,12,0),"")</f>
        <v/>
      </c>
      <c r="EE184" s="45" t="str">
        <f>IFERROR(VLOOKUP(CONCATENATE('Respuestas de formulario 1.1'!$B184,MID('Respuestas de formulario 1.1'!EE$1,2,1)),#REF!,12,0),"")</f>
        <v/>
      </c>
      <c r="EF184" s="45" t="str">
        <f>IFERROR(VLOOKUP(CONCATENATE('Respuestas de formulario 1.1'!$B184,MID('Respuestas de formulario 1.1'!EF$1,2,1)),#REF!,12,0),"")</f>
        <v/>
      </c>
      <c r="EG184" s="45" t="str">
        <f>IFERROR(VLOOKUP(CONCATENATE('Respuestas de formulario 1.1'!$B184,MID('Respuestas de formulario 1.1'!EG$1,2,1)),#REF!,12,0),"")</f>
        <v/>
      </c>
      <c r="EH184" s="45" t="str">
        <f>IFERROR(VLOOKUP(CONCATENATE('Respuestas de formulario 1.1'!$B184,MID('Respuestas de formulario 1.1'!EH$1,2,1)),#REF!,12,0),"")</f>
        <v/>
      </c>
      <c r="EI184" s="45" t="str">
        <f>IFERROR(VLOOKUP(CONCATENATE('Respuestas de formulario 1.1'!$B184,MID('Respuestas de formulario 1.1'!EI$1,2,1)),#REF!,12,0),"")</f>
        <v/>
      </c>
      <c r="EJ184" s="45" t="str">
        <f t="array" ref="EJ184">IF(DO184="","", INDEX(#REF!,MATCH(CONCATENATE('Respuestas de formulario 1.1'!$B184,DO184),#REF!,0),MATCH('Respuestas de formulario 1.1'!EJ$1,#REF!,0)))</f>
        <v/>
      </c>
      <c r="EK184" s="56" t="str">
        <f t="array" ref="EK184">IF(DP184="","", INDEX(#REF!,MATCH(CONCATENATE('Respuestas de formulario 1.1'!$B184,DP184),#REF!,0),MATCH('Respuestas de formulario 1.1'!EK$1,#REF!,0)))</f>
        <v/>
      </c>
      <c r="EL184" s="56" t="str">
        <f t="array" ref="EL184">IF(DQ184="","", INDEX(#REF!,MATCH(CONCATENATE('Respuestas de formulario 1.1'!$B184,DQ184),#REF!,0),MATCH('Respuestas de formulario 1.1'!EL$1,#REF!,0)))</f>
        <v/>
      </c>
      <c r="EM184" s="56" t="str">
        <f t="array" ref="EM184">IF(DR184="","", INDEX(#REF!,MATCH(CONCATENATE('Respuestas de formulario 1.1'!$B184,DR184),#REF!,0),MATCH('Respuestas de formulario 1.1'!EM$1,#REF!,0)))</f>
        <v/>
      </c>
      <c r="EN184" s="56" t="str">
        <f t="array" ref="EN184">IF(DS184="","", INDEX(#REF!,MATCH(CONCATENATE('Respuestas de formulario 1.1'!$B184,DS184),#REF!,0),MATCH('Respuestas de formulario 1.1'!EN$1,#REF!,0)))</f>
        <v/>
      </c>
      <c r="EO184" s="56" t="str">
        <f t="array" ref="EO184">IF(DT184="","", INDEX(#REF!,MATCH(CONCATENATE('Respuestas de formulario 1.1'!$B184,DT184),#REF!,0),MATCH('Respuestas de formulario 1.1'!EO$1,#REF!,0)))</f>
        <v/>
      </c>
      <c r="EP184" s="45" t="str">
        <f t="array" ref="EP184">IF(DU184="","", INDEX(#REF!,MATCH(CONCATENATE('Respuestas de formulario 1.1'!$B184,DU184),#REF!,0),MATCH('Respuestas de formulario 1.1'!EP$1,#REF!,0)))</f>
        <v/>
      </c>
      <c r="EQ184" s="45" t="str">
        <f t="array" ref="EQ184">IF(DP184="","", INDEX(#REF!,MATCH(CONCATENATE('Respuestas de formulario 1.1'!$B184,DP184),#REF!,0),MATCH('Respuestas de formulario 1.1'!EQ$1,#REF!,0)))</f>
        <v/>
      </c>
      <c r="ER184" s="56" t="str">
        <f t="array" ref="ER184">IF(DQ184="","", INDEX(#REF!,MATCH(CONCATENATE('Respuestas de formulario 1.1'!$B184,DQ184),#REF!,0),MATCH('Respuestas de formulario 1.1'!ER$1,#REF!,0)))</f>
        <v/>
      </c>
      <c r="ES184" s="56" t="str">
        <f t="array" ref="ES184">IF(DR184="","", INDEX(#REF!,MATCH(CONCATENATE('Respuestas de formulario 1.1'!$B184,DR184),#REF!,0),MATCH('Respuestas de formulario 1.1'!ES$1,#REF!,0)))</f>
        <v/>
      </c>
      <c r="ET184" s="56" t="str">
        <f t="array" ref="ET184">IF(DS184="","", INDEX(#REF!,MATCH(CONCATENATE('Respuestas de formulario 1.1'!$B184,DS184),#REF!,0),MATCH('Respuestas de formulario 1.1'!ET$1,#REF!,0)))</f>
        <v/>
      </c>
      <c r="EU184" s="56" t="str">
        <f t="array" ref="EU184">IF(DT184="","", INDEX(#REF!,MATCH(CONCATENATE('Respuestas de formulario 1.1'!$B184,DT184),#REF!,0),MATCH('Respuestas de formulario 1.1'!EU$1,#REF!,0)))</f>
        <v/>
      </c>
      <c r="EV184" s="56" t="str">
        <f t="array" ref="EV184">IF(DU184="","", INDEX(#REF!,MATCH(CONCATENATE('Respuestas de formulario 1.1'!$B184,DU184),#REF!,0),MATCH('Respuestas de formulario 1.1'!EV$1,#REF!,0)))</f>
        <v/>
      </c>
      <c r="EW184" s="45" t="str">
        <f t="array" ref="EW184">IF(DV184="","", INDEX(#REF!,MATCH(CONCATENATE('Respuestas de formulario 1.1'!$B184,DV184),#REF!,0),MATCH('Respuestas de formulario 1.1'!EW$1,#REF!,0)))</f>
        <v/>
      </c>
      <c r="EX184" s="45" t="str">
        <f t="array" ref="EX184">IF($DQ184="","", INDEX(#REF!,MATCH(CONCATENATE('Respuestas de formulario 1.1'!$B184,$DQ184),#REF!,0),MATCH('Respuestas de formulario 1.1'!EX$1,#REF!,0)))</f>
        <v/>
      </c>
      <c r="EY184" s="56" t="str">
        <f t="array" ref="EY184">IF($DQ184="","", INDEX(#REF!,MATCH(CONCATENATE('Respuestas de formulario 1.1'!$B184,$DQ184),#REF!,0),MATCH('Respuestas de formulario 1.1'!EY$1,#REF!,0)))</f>
        <v/>
      </c>
      <c r="EZ184" s="56" t="str">
        <f t="array" ref="EZ184">IF($DQ184="","", INDEX(#REF!,MATCH(CONCATENATE('Respuestas de formulario 1.1'!$B184,$DQ184),#REF!,0),MATCH('Respuestas de formulario 1.1'!EZ$1,#REF!,0)))</f>
        <v/>
      </c>
      <c r="FA184" s="56" t="str">
        <f t="array" ref="FA184">IF($DQ184="","", INDEX(#REF!,MATCH(CONCATENATE('Respuestas de formulario 1.1'!$B184,$DQ184),#REF!,0),MATCH('Respuestas de formulario 1.1'!FA$1,#REF!,0)))</f>
        <v/>
      </c>
      <c r="FB184" s="56" t="str">
        <f t="array" ref="FB184">IF($DQ184="","", INDEX(#REF!,MATCH(CONCATENATE('Respuestas de formulario 1.1'!$B184,$DQ184),#REF!,0),MATCH('Respuestas de formulario 1.1'!FB$1,#REF!,0)))</f>
        <v/>
      </c>
      <c r="FC184" s="56" t="str">
        <f t="array" ref="FC184">IF($DQ184="","", INDEX(#REF!,MATCH(CONCATENATE('Respuestas de formulario 1.1'!$B184,$DQ184),#REF!,0),MATCH('Respuestas de formulario 1.1'!FC$1,#REF!,0)))</f>
        <v/>
      </c>
      <c r="FD184" s="45" t="str">
        <f t="array" ref="FD184">IF($DQ184="","", INDEX(#REF!,MATCH(CONCATENATE('Respuestas de formulario 1.1'!$B184,$DQ184),#REF!,0),MATCH('Respuestas de formulario 1.1'!FD$1,#REF!,0)))</f>
        <v/>
      </c>
      <c r="FE184" s="45" t="str">
        <f t="array" ref="FE184">IF($DR184="","", INDEX(#REF!,MATCH(CONCATENATE(#REF!,$DR184),#REF!,0),MATCH(#REF!,#REF!,0)))</f>
        <v/>
      </c>
      <c r="FF184" s="56" t="str">
        <f t="array" ref="FF184">IF($DR184="","", INDEX(#REF!,MATCH(CONCATENATE(#REF!,$DR184),#REF!,0),MATCH(#REF!,#REF!,0)))</f>
        <v/>
      </c>
      <c r="FG184" s="56" t="str">
        <f t="array" ref="FG184">IF($DR184="","", INDEX(#REF!,MATCH(CONCATENATE(#REF!,$DR184),#REF!,0),MATCH(#REF!,#REF!,0)))</f>
        <v/>
      </c>
      <c r="FH184" s="56" t="str">
        <f t="array" ref="FH184">IF($DR184="","", INDEX(#REF!,MATCH(CONCATENATE(#REF!,$DR184),#REF!,0),MATCH(#REF!,#REF!,0)))</f>
        <v/>
      </c>
      <c r="FI184" s="56" t="str">
        <f t="array" ref="FI184">IF($DR184="","", INDEX(#REF!,MATCH(CONCATENATE(#REF!,$DR184),#REF!,0),MATCH(#REF!,#REF!,0)))</f>
        <v/>
      </c>
      <c r="FJ184" s="56" t="str">
        <f t="array" ref="FJ184">IF($DR184="","", INDEX(#REF!,MATCH(CONCATENATE(#REF!,$DR184),#REF!,0),MATCH(#REF!,#REF!,0)))</f>
        <v/>
      </c>
      <c r="FK184" s="45" t="str">
        <f t="array" ref="FK184">IF($DR184="","", INDEX(#REF!,MATCH(CONCATENATE(#REF!,$DR184),#REF!,0),MATCH(#REF!,#REF!,0)))</f>
        <v/>
      </c>
      <c r="FL184" s="45" t="str">
        <f t="array" ref="FL184">IF($DT184="","", INDEX(#REF!,MATCH(CONCATENATE('Respuestas de formulario 1.1'!$B184,$DS184),#REF!,0),MATCH('Respuestas de formulario 1.1'!FL$1,#REF!,0)))</f>
        <v/>
      </c>
      <c r="FM184" s="56" t="str">
        <f t="array" ref="FM184">IF($DT184="","", INDEX(#REF!,MATCH(CONCATENATE('Respuestas de formulario 1.1'!$B184,$DS184),#REF!,0),MATCH('Respuestas de formulario 1.1'!FM$1,#REF!,0)))</f>
        <v/>
      </c>
      <c r="FN184" s="56" t="str">
        <f t="array" ref="FN184">IF($DT184="","", INDEX(#REF!,MATCH(CONCATENATE('Respuestas de formulario 1.1'!$B184,$DS184),#REF!,0),MATCH('Respuestas de formulario 1.1'!FN$1,#REF!,0)))</f>
        <v/>
      </c>
      <c r="FO184" s="56" t="str">
        <f t="array" ref="FO184">IF($DT184="","", INDEX(#REF!,MATCH(CONCATENATE('Respuestas de formulario 1.1'!$B184,$DS184),#REF!,0),MATCH('Respuestas de formulario 1.1'!FO$1,#REF!,0)))</f>
        <v/>
      </c>
      <c r="FP184" s="56" t="str">
        <f t="array" ref="FP184">IF($DT184="","", INDEX(#REF!,MATCH(CONCATENATE('Respuestas de formulario 1.1'!$B184,$DS184),#REF!,0),MATCH('Respuestas de formulario 1.1'!FP$1,#REF!,0)))</f>
        <v/>
      </c>
      <c r="FQ184" s="56" t="str">
        <f t="array" ref="FQ184">IF($DT184="","", INDEX(#REF!,MATCH(CONCATENATE('Respuestas de formulario 1.1'!$B184,$DS184),#REF!,0),MATCH('Respuestas de formulario 1.1'!FQ$1,#REF!,0)))</f>
        <v/>
      </c>
      <c r="FR184" s="45" t="str">
        <f t="array" ref="FR184">IF($DT184="","", INDEX(#REF!,MATCH(CONCATENATE('Respuestas de formulario 1.1'!$B184,$DS184),#REF!,0),MATCH('Respuestas de formulario 1.1'!FR$1,#REF!,0)))</f>
        <v/>
      </c>
      <c r="FS184" s="45" t="str">
        <f t="array" ref="FS184">IF($DU184="","", INDEX(#REF!,MATCH(CONCATENATE('Respuestas de formulario 1.1'!$B184,$DT184),#REF!,0),MATCH('Respuestas de formulario 1.1'!FS$1,#REF!,0)))</f>
        <v/>
      </c>
      <c r="FT184" s="56" t="str">
        <f t="array" ref="FT184">IF($DU184="","", INDEX(#REF!,MATCH(CONCATENATE('Respuestas de formulario 1.1'!$B184,$DT184),#REF!,0),MATCH('Respuestas de formulario 1.1'!FT$1,#REF!,0)))</f>
        <v/>
      </c>
      <c r="FU184" s="56" t="str">
        <f t="array" ref="FU184">IF($DU184="","", INDEX(#REF!,MATCH(CONCATENATE('Respuestas de formulario 1.1'!$B184,$DT184),#REF!,0),MATCH('Respuestas de formulario 1.1'!FU$1,#REF!,0)))</f>
        <v/>
      </c>
      <c r="FV184" s="56" t="str">
        <f t="array" ref="FV184">IF($DU184="","", INDEX(#REF!,MATCH(CONCATENATE('Respuestas de formulario 1.1'!$B184,$DT184),#REF!,0),MATCH('Respuestas de formulario 1.1'!FV$1,#REF!,0)))</f>
        <v/>
      </c>
      <c r="FW184" s="56" t="str">
        <f t="array" ref="FW184">IF($DU184="","", INDEX(#REF!,MATCH(CONCATENATE('Respuestas de formulario 1.1'!$B184,$DT184),#REF!,0),MATCH('Respuestas de formulario 1.1'!FW$1,#REF!,0)))</f>
        <v/>
      </c>
      <c r="FX184" s="56" t="str">
        <f t="array" ref="FX184">IF($DU184="","", INDEX(#REF!,MATCH(CONCATENATE('Respuestas de formulario 1.1'!$B184,$DT184),#REF!,0),MATCH('Respuestas de formulario 1.1'!FX$1,#REF!,0)))</f>
        <v/>
      </c>
      <c r="FY184" s="45" t="str">
        <f t="array" ref="FY184">IF($DU184="","", INDEX(#REF!,MATCH(CONCATENATE('Respuestas de formulario 1.1'!$B184,$DT184),#REF!,0),MATCH('Respuestas de formulario 1.1'!FY$1,#REF!,0)))</f>
        <v/>
      </c>
      <c r="FZ184" s="3" t="s">
        <v>2860</v>
      </c>
      <c r="GA184" s="1" t="s">
        <v>6006</v>
      </c>
      <c r="GB184" s="5" t="s">
        <v>6007</v>
      </c>
      <c r="GC184" s="4" t="str">
        <f>HYPERLINK("https://drive.google.com/file/d/1V84SP9U_vnrJV-NVPDhTQ_EjC0iGoyeE/view?usp=drivesdk","GALICIA TREJO SOFIA Formato de reinscripción y pago 2022-2")</f>
        <v>GALICIA TREJO SOFIA Formato de reinscripción y pago 2022-2</v>
      </c>
      <c r="GD184" s="1" t="s">
        <v>6008</v>
      </c>
      <c r="GE184" s="1"/>
      <c r="GF184" s="1"/>
      <c r="GG184" s="1"/>
      <c r="GH184" s="1"/>
      <c r="GI184" s="1" t="s">
        <v>6009</v>
      </c>
      <c r="GJ184" s="5" t="s">
        <v>6010</v>
      </c>
      <c r="GK184" s="5" t="str">
        <f>HYPERLINK("https://drive.google.com/file/d/1W-9NMsyYG0gvNvv-nBX1ToyBWhOXzIeV/view?usp=drivesdk","GALICIA TREJO SOFIA Formato de reinscripción y pago 2022-2")</f>
        <v>GALICIA TREJO SOFIA Formato de reinscripción y pago 2022-2</v>
      </c>
      <c r="GL184" s="1" t="s">
        <v>6011</v>
      </c>
    </row>
    <row r="185" spans="1:194" ht="38.25" x14ac:dyDescent="0.2">
      <c r="A185" s="2">
        <v>45139.492375381946</v>
      </c>
      <c r="B185" s="1" t="s">
        <v>2752</v>
      </c>
      <c r="C185" s="1" t="s">
        <v>304</v>
      </c>
      <c r="D185" s="1" t="s">
        <v>1791</v>
      </c>
      <c r="E185" s="1" t="s">
        <v>2358</v>
      </c>
      <c r="F185" s="1" t="s">
        <v>262</v>
      </c>
      <c r="G185" s="5" t="s">
        <v>6012</v>
      </c>
      <c r="H185" s="41">
        <v>38762</v>
      </c>
      <c r="I185" s="1">
        <v>17</v>
      </c>
      <c r="J185" s="1">
        <v>5578501962</v>
      </c>
      <c r="K185" s="1">
        <v>5578501962</v>
      </c>
      <c r="L185" s="1" t="s">
        <v>2753</v>
      </c>
      <c r="M185" s="1">
        <v>21309060570542</v>
      </c>
      <c r="N185" s="1" t="s">
        <v>1108</v>
      </c>
      <c r="O185" s="1" t="s">
        <v>225</v>
      </c>
      <c r="P185" s="1" t="s">
        <v>226</v>
      </c>
      <c r="Q185" s="1" t="s">
        <v>315</v>
      </c>
      <c r="R185" s="1" t="s">
        <v>236</v>
      </c>
      <c r="S185" s="1" t="s">
        <v>228</v>
      </c>
      <c r="T185" s="1" t="s">
        <v>229</v>
      </c>
      <c r="U185" s="1" t="s">
        <v>249</v>
      </c>
      <c r="V185" s="1" t="s">
        <v>228</v>
      </c>
      <c r="W185" s="1" t="s">
        <v>6013</v>
      </c>
      <c r="X185" s="1" t="s">
        <v>249</v>
      </c>
      <c r="Y185" s="1" t="s">
        <v>6014</v>
      </c>
      <c r="Z185" s="1" t="s">
        <v>240</v>
      </c>
      <c r="AA185" s="44" t="s">
        <v>654</v>
      </c>
      <c r="AB185" s="1" t="s">
        <v>6015</v>
      </c>
      <c r="AC185" s="1" t="s">
        <v>1097</v>
      </c>
      <c r="AD185" s="1" t="s">
        <v>6016</v>
      </c>
      <c r="AE185" s="1" t="s">
        <v>6017</v>
      </c>
      <c r="AF185" s="1"/>
      <c r="AG185" s="1"/>
      <c r="AH185" s="5" t="s">
        <v>6018</v>
      </c>
      <c r="AI185" s="1">
        <v>5579886317</v>
      </c>
      <c r="AJ185" s="1">
        <v>5579886317</v>
      </c>
      <c r="AK185" s="1"/>
      <c r="AL185" s="1" t="s">
        <v>390</v>
      </c>
      <c r="AM185" s="1" t="s">
        <v>382</v>
      </c>
      <c r="AN185" s="1" t="s">
        <v>6019</v>
      </c>
      <c r="AO185" s="1" t="s">
        <v>650</v>
      </c>
      <c r="AP185" s="1"/>
      <c r="AQ185" s="1" t="s">
        <v>1696</v>
      </c>
      <c r="AR185" s="42">
        <v>0.5</v>
      </c>
      <c r="AS185" s="42">
        <v>0.33333333333575865</v>
      </c>
      <c r="AT185" s="1">
        <v>5548568547</v>
      </c>
      <c r="AU185" s="1">
        <v>5548568547</v>
      </c>
      <c r="AV185" s="1"/>
      <c r="AW185" s="5" t="s">
        <v>6020</v>
      </c>
      <c r="AX185" s="1" t="s">
        <v>382</v>
      </c>
      <c r="AY185" s="1" t="s">
        <v>2580</v>
      </c>
      <c r="AZ185" s="1" t="s">
        <v>6021</v>
      </c>
      <c r="BA185" s="1" t="s">
        <v>279</v>
      </c>
      <c r="BB185" s="1">
        <v>60</v>
      </c>
      <c r="BC185" s="1" t="s">
        <v>320</v>
      </c>
      <c r="BD185" s="43">
        <v>0</v>
      </c>
      <c r="BE185" s="43">
        <v>0</v>
      </c>
      <c r="BF185" s="1">
        <v>5554759756</v>
      </c>
      <c r="BG185" s="1">
        <v>5554759756</v>
      </c>
      <c r="BH185" s="1"/>
      <c r="BI185" s="5" t="s">
        <v>6022</v>
      </c>
      <c r="BJ185" s="1" t="s">
        <v>236</v>
      </c>
      <c r="BL185" s="1">
        <v>1.66</v>
      </c>
      <c r="BM185" s="1">
        <v>56</v>
      </c>
      <c r="BN185" s="1" t="s">
        <v>228</v>
      </c>
      <c r="BO185" s="1" t="s">
        <v>228</v>
      </c>
      <c r="BQ185" s="1" t="s">
        <v>228</v>
      </c>
      <c r="BR185" s="1" t="s">
        <v>237</v>
      </c>
      <c r="BS185" s="1" t="s">
        <v>236</v>
      </c>
      <c r="BT185" s="1" t="s">
        <v>457</v>
      </c>
      <c r="BU185" s="1" t="s">
        <v>228</v>
      </c>
      <c r="BW185" s="1" t="s">
        <v>238</v>
      </c>
      <c r="BX185" s="1">
        <v>20</v>
      </c>
      <c r="BY185" s="1">
        <v>21</v>
      </c>
      <c r="BZ185" s="1" t="s">
        <v>284</v>
      </c>
      <c r="CA185" s="1" t="s">
        <v>652</v>
      </c>
      <c r="CB185" s="1" t="s">
        <v>240</v>
      </c>
      <c r="CC185" s="1" t="s">
        <v>274</v>
      </c>
      <c r="CD185" s="1">
        <v>2500</v>
      </c>
      <c r="CE185" s="1">
        <v>3000</v>
      </c>
      <c r="CF185" s="1" t="s">
        <v>236</v>
      </c>
      <c r="CG185" s="1" t="s">
        <v>242</v>
      </c>
      <c r="CH185" s="1" t="s">
        <v>243</v>
      </c>
      <c r="CI185" s="1" t="s">
        <v>243</v>
      </c>
      <c r="CJ185" s="1" t="s">
        <v>2848</v>
      </c>
      <c r="CL185" s="5" t="s">
        <v>6023</v>
      </c>
      <c r="CM185" s="1">
        <v>39028508552</v>
      </c>
      <c r="CN185" s="1" t="s">
        <v>228</v>
      </c>
      <c r="CQ185" s="42">
        <v>8.3333333335758653E-2</v>
      </c>
      <c r="CR185" s="42">
        <v>0.39583333333575865</v>
      </c>
      <c r="CT185" s="45" t="str">
        <f t="array" ref="CT185">IFERROR(INDEX(#REF!,MATCH('Respuestas de formulario 1.1'!$B185,#REF!,0),MATCH('Respuestas de formulario 1.1'!CT$1,#REF!,0)),"")</f>
        <v/>
      </c>
      <c r="CU185" s="56" t="str">
        <f t="array" ref="CU185">IFERROR(INDEX(#REF!,MATCH('Respuestas de formulario 1.1'!$B185,#REF!,0),MATCH('Respuestas de formulario 1.1'!CU$1,#REF!,0)),"")</f>
        <v/>
      </c>
      <c r="CV185" s="56" t="str">
        <f t="array" ref="CV185">IFERROR(INDEX(#REF!,MATCH('Respuestas de formulario 1.1'!$B185,#REF!,0),MATCH('Respuestas de formulario 1.1'!CV$1,#REF!,0)),"")</f>
        <v/>
      </c>
      <c r="CW185" s="56" t="str">
        <f t="array" ref="CW185">IFERROR(INDEX(#REF!,MATCH('Respuestas de formulario 1.1'!$B185,#REF!,0),MATCH('Respuestas de formulario 1.1'!CW$1,#REF!,0)),"")</f>
        <v/>
      </c>
      <c r="CX185" s="56" t="str">
        <f t="array" ref="CX185">IFERROR(INDEX(#REF!,MATCH('Respuestas de formulario 1.1'!$B185,#REF!,0),MATCH('Respuestas de formulario 1.1'!CX$1,#REF!,0)),"")</f>
        <v/>
      </c>
      <c r="CY185" s="56" t="str">
        <f t="array" ref="CY185">IFERROR(INDEX(#REF!,MATCH('Respuestas de formulario 1.1'!$B185,#REF!,0),MATCH('Respuestas de formulario 1.1'!CY$1,#REF!,0)),"")</f>
        <v/>
      </c>
      <c r="CZ185" s="57" t="str">
        <f t="array" ref="CZ185">IFERROR(INDEX(#REF!,MATCH('Respuestas de formulario 1.1'!$B185,#REF!,0),MATCH('Respuestas de formulario 1.1'!CZ$1,#REF!,0)),"")</f>
        <v/>
      </c>
      <c r="DA185" s="45" t="e">
        <f t="array" ref="DA185">INDEX(#REF!,MATCH('Respuestas de formulario 1.1'!$B185,#REF!,0),MATCH('Respuestas de formulario 1.1'!DA$1,#REF!,0))</f>
        <v>#REF!</v>
      </c>
      <c r="DB185" s="45" t="e">
        <f t="array" ref="DB185">INDEX(#REF!,MATCH('Respuestas de formulario 1.1'!$B185,#REF!,0),MATCH('Respuestas de formulario 1.1'!DB$1,#REF!,0))</f>
        <v>#REF!</v>
      </c>
      <c r="DC185" s="45" t="e">
        <f t="array" ref="DC185">INDEX(#REF!,MATCH('Respuestas de formulario 1.1'!$B185,#REF!,0),MATCH('Respuestas de formulario 1.1'!DC$1,#REF!,0))</f>
        <v>#REF!</v>
      </c>
      <c r="DD185" s="45" t="e">
        <f t="array" ref="DD185">INDEX(#REF!,MATCH('Respuestas de formulario 1.1'!$B185,#REF!,0),MATCH('Respuestas de formulario 1.1'!DD$1,#REF!,0))</f>
        <v>#REF!</v>
      </c>
      <c r="DE185" s="45" t="e">
        <f t="array" ref="DE185">INDEX(#REF!,MATCH('Respuestas de formulario 1.1'!$B185,#REF!,0),MATCH('Respuestas de formulario 1.1'!DE$1,#REF!,0))</f>
        <v>#REF!</v>
      </c>
      <c r="DF185" s="45" t="e">
        <f t="array" ref="DF185">INDEX(#REF!,MATCH('Respuestas de formulario 1.1'!$B185,#REF!,0),MATCH('Respuestas de formulario 1.1'!DF$1,#REF!,0))</f>
        <v>#REF!</v>
      </c>
      <c r="DG185" s="45" t="e">
        <f t="array" ref="DG185">INDEX(#REF!,MATCH('Respuestas de formulario 1.1'!$B185,#REF!,0),MATCH('Respuestas de formulario 1.1'!DG$1,#REF!,0))</f>
        <v>#REF!</v>
      </c>
      <c r="DH185" s="45" t="e">
        <f t="array" ref="DH185">INDEX(#REF!,MATCH('Respuestas de formulario 1.1'!$B185,#REF!,0),MATCH('Respuestas de formulario 1.1'!DH$1,#REF!,0))</f>
        <v>#REF!</v>
      </c>
      <c r="DI185" s="48" t="e">
        <f>VLOOKUP(CONCATENATE($DF185," TUTO ",$DC185),#REF!,3,0)</f>
        <v>#REF!</v>
      </c>
      <c r="DJ185" s="48" t="e">
        <f t="array" ref="DJ185">IF('Respuestas de formulario 1.1'!A185="","",INDEX(#REF!,MATCH('Respuestas de formulario 1.1'!B185,#REF!,0),MATCH('Respuestas de formulario 1.1'!$DH$1,#REF!,0)))</f>
        <v>#REF!</v>
      </c>
      <c r="DK185" s="52" t="str">
        <f>CONCATENATE("http://doc.google.com/uc?id=",MID('Respuestas de formulario 1.1'!G185,34,33))</f>
        <v>http://doc.google.com/uc?id=1C_s1qo8uLNkefOUjKG8Cp-wiVKJMbT8x</v>
      </c>
      <c r="DL185" s="49" t="str">
        <f>CONCATENATE("http://doc.google.com/uc?id=",MID('Respuestas de formulario 1.1'!AH185,34,33))</f>
        <v>http://doc.google.com/uc?id=1jPz5dJciSr2DDFAOHx0yDXcsn-FTyM35</v>
      </c>
      <c r="DM185" s="50" t="str">
        <f>CONCATENATE("http://doc.google.com/uc?id=",MID('Respuestas de formulario 1.1'!AW185,34,33))</f>
        <v>http://doc.google.com/uc?id=19u-YYZRnb7zuSXO1T2YdCkPI1qyusYk0</v>
      </c>
      <c r="DN185" s="53" t="str">
        <f>CONCATENATE("http://doc.google.com/uc?id=",MID('Respuestas de formulario 1.1'!$BI185,34,33))</f>
        <v>http://doc.google.com/uc?id=1_Tt4DgJ3GFmJNAvCVH0awKkrDTd8vI4u</v>
      </c>
      <c r="DO185" s="45" t="str">
        <f>IFERROR(VLOOKUP(CONCATENATE('Respuestas de formulario 1.1'!$B185,MID('Respuestas de formulario 1.1'!DO$1,2,1)),#REF!,12,0),"")</f>
        <v/>
      </c>
      <c r="DP185" s="45" t="str">
        <f>IFERROR(VLOOKUP(CONCATENATE('Respuestas de formulario 1.1'!$B185,MID('Respuestas de formulario 1.1'!DP$1,2,1)),#REF!,12,0),"")</f>
        <v/>
      </c>
      <c r="DQ185" s="45" t="str">
        <f>IFERROR(VLOOKUP(CONCATENATE('Respuestas de formulario 1.1'!$B185,MID('Respuestas de formulario 1.1'!DQ$1,2,1)),#REF!,12,0),"")</f>
        <v/>
      </c>
      <c r="DR185" s="45" t="str">
        <f>IFERROR(VLOOKUP(CONCATENATE('Respuestas de formulario 1.1'!$B185,MID('Respuestas de formulario 1.1'!DR$1,2,1)),#REF!,12,0),"")</f>
        <v/>
      </c>
      <c r="DS185" s="45" t="str">
        <f>IFERROR(VLOOKUP(CONCATENATE('Respuestas de formulario 1.1'!$B185,MID('Respuestas de formulario 1.1'!DS$1,2,1)),#REF!,12,0),"")</f>
        <v/>
      </c>
      <c r="DT185" s="45" t="str">
        <f>IFERROR(VLOOKUP(CONCATENATE('Respuestas de formulario 1.1'!$B185,MID('Respuestas de formulario 1.1'!DT$1,2,1)),#REF!,12,0),"")</f>
        <v/>
      </c>
      <c r="DU185" s="45" t="str">
        <f>IFERROR(VLOOKUP(CONCATENATE('Respuestas de formulario 1.1'!$B185,MID('Respuestas de formulario 1.1'!DU$1,2,1)),#REF!,12,0),"")</f>
        <v/>
      </c>
      <c r="DV185" s="45" t="str">
        <f>IFERROR(VLOOKUP(CONCATENATE('Respuestas de formulario 1.1'!$B185,MID('Respuestas de formulario 1.1'!DV$1,2,1)),#REF!,12,0),"")</f>
        <v/>
      </c>
      <c r="DW185" s="45" t="str">
        <f>IFERROR(VLOOKUP(CONCATENATE('Respuestas de formulario 1.1'!$B185,MID('Respuestas de formulario 1.1'!DW$1,2,1)),#REF!,12,0),"")</f>
        <v/>
      </c>
      <c r="DX185" s="45" t="str">
        <f>IFERROR(VLOOKUP(CONCATENATE('Respuestas de formulario 1.1'!$B185,MID('Respuestas de formulario 1.1'!DX$1,2,1)),#REF!,12,0),"")</f>
        <v/>
      </c>
      <c r="DY185" s="45" t="str">
        <f>IFERROR(VLOOKUP(CONCATENATE('Respuestas de formulario 1.1'!$B185,MID('Respuestas de formulario 1.1'!DY$1,2,1)),#REF!,12,0),"")</f>
        <v/>
      </c>
      <c r="DZ185" s="45" t="str">
        <f>IFERROR(VLOOKUP(CONCATENATE('Respuestas de formulario 1.1'!$B185,MID('Respuestas de formulario 1.1'!DZ$1,2,1)),#REF!,12,0),"")</f>
        <v/>
      </c>
      <c r="EA185" s="45" t="str">
        <f>IFERROR(VLOOKUP(CONCATENATE('Respuestas de formulario 1.1'!$B185,MID('Respuestas de formulario 1.1'!EA$1,2,1)),#REF!,12,0),"")</f>
        <v/>
      </c>
      <c r="EB185" s="45" t="str">
        <f>IFERROR(VLOOKUP(CONCATENATE('Respuestas de formulario 1.1'!$B185,MID('Respuestas de formulario 1.1'!EB$1,2,1)),#REF!,12,0),"")</f>
        <v/>
      </c>
      <c r="EC185" s="45" t="str">
        <f>IFERROR(VLOOKUP(CONCATENATE('Respuestas de formulario 1.1'!$B185,MID('Respuestas de formulario 1.1'!EC$1,2,1)),#REF!,12,0),"")</f>
        <v/>
      </c>
      <c r="ED185" s="45" t="str">
        <f>IFERROR(VLOOKUP(CONCATENATE('Respuestas de formulario 1.1'!$B185,MID('Respuestas de formulario 1.1'!ED$1,2,1)),#REF!,12,0),"")</f>
        <v/>
      </c>
      <c r="EE185" s="45" t="str">
        <f>IFERROR(VLOOKUP(CONCATENATE('Respuestas de formulario 1.1'!$B185,MID('Respuestas de formulario 1.1'!EE$1,2,1)),#REF!,12,0),"")</f>
        <v/>
      </c>
      <c r="EF185" s="45" t="str">
        <f>IFERROR(VLOOKUP(CONCATENATE('Respuestas de formulario 1.1'!$B185,MID('Respuestas de formulario 1.1'!EF$1,2,1)),#REF!,12,0),"")</f>
        <v/>
      </c>
      <c r="EG185" s="45" t="str">
        <f>IFERROR(VLOOKUP(CONCATENATE('Respuestas de formulario 1.1'!$B185,MID('Respuestas de formulario 1.1'!EG$1,2,1)),#REF!,12,0),"")</f>
        <v/>
      </c>
      <c r="EH185" s="45" t="str">
        <f>IFERROR(VLOOKUP(CONCATENATE('Respuestas de formulario 1.1'!$B185,MID('Respuestas de formulario 1.1'!EH$1,2,1)),#REF!,12,0),"")</f>
        <v/>
      </c>
      <c r="EI185" s="45" t="str">
        <f>IFERROR(VLOOKUP(CONCATENATE('Respuestas de formulario 1.1'!$B185,MID('Respuestas de formulario 1.1'!EI$1,2,1)),#REF!,12,0),"")</f>
        <v/>
      </c>
      <c r="EJ185" s="45" t="str">
        <f t="array" ref="EJ185">IF(DO185="","", INDEX(#REF!,MATCH(CONCATENATE('Respuestas de formulario 1.1'!$B185,DO185),#REF!,0),MATCH('Respuestas de formulario 1.1'!EJ$1,#REF!,0)))</f>
        <v/>
      </c>
      <c r="EK185" s="56" t="str">
        <f t="array" ref="EK185">IF(DP185="","", INDEX(#REF!,MATCH(CONCATENATE('Respuestas de formulario 1.1'!$B185,DP185),#REF!,0),MATCH('Respuestas de formulario 1.1'!EK$1,#REF!,0)))</f>
        <v/>
      </c>
      <c r="EL185" s="56" t="str">
        <f t="array" ref="EL185">IF(DQ185="","", INDEX(#REF!,MATCH(CONCATENATE('Respuestas de formulario 1.1'!$B185,DQ185),#REF!,0),MATCH('Respuestas de formulario 1.1'!EL$1,#REF!,0)))</f>
        <v/>
      </c>
      <c r="EM185" s="56" t="str">
        <f t="array" ref="EM185">IF(DR185="","", INDEX(#REF!,MATCH(CONCATENATE('Respuestas de formulario 1.1'!$B185,DR185),#REF!,0),MATCH('Respuestas de formulario 1.1'!EM$1,#REF!,0)))</f>
        <v/>
      </c>
      <c r="EN185" s="56" t="str">
        <f t="array" ref="EN185">IF(DS185="","", INDEX(#REF!,MATCH(CONCATENATE('Respuestas de formulario 1.1'!$B185,DS185),#REF!,0),MATCH('Respuestas de formulario 1.1'!EN$1,#REF!,0)))</f>
        <v/>
      </c>
      <c r="EO185" s="56" t="str">
        <f t="array" ref="EO185">IF(DT185="","", INDEX(#REF!,MATCH(CONCATENATE('Respuestas de formulario 1.1'!$B185,DT185),#REF!,0),MATCH('Respuestas de formulario 1.1'!EO$1,#REF!,0)))</f>
        <v/>
      </c>
      <c r="EP185" s="45" t="str">
        <f t="array" ref="EP185">IF(DU185="","", INDEX(#REF!,MATCH(CONCATENATE('Respuestas de formulario 1.1'!$B185,DU185),#REF!,0),MATCH('Respuestas de formulario 1.1'!EP$1,#REF!,0)))</f>
        <v/>
      </c>
      <c r="EQ185" s="45" t="str">
        <f t="array" ref="EQ185">IF(DP185="","", INDEX(#REF!,MATCH(CONCATENATE('Respuestas de formulario 1.1'!$B185,DP185),#REF!,0),MATCH('Respuestas de formulario 1.1'!EQ$1,#REF!,0)))</f>
        <v/>
      </c>
      <c r="ER185" s="56" t="str">
        <f t="array" ref="ER185">IF(DQ185="","", INDEX(#REF!,MATCH(CONCATENATE('Respuestas de formulario 1.1'!$B185,DQ185),#REF!,0),MATCH('Respuestas de formulario 1.1'!ER$1,#REF!,0)))</f>
        <v/>
      </c>
      <c r="ES185" s="56" t="str">
        <f t="array" ref="ES185">IF(DR185="","", INDEX(#REF!,MATCH(CONCATENATE('Respuestas de formulario 1.1'!$B185,DR185),#REF!,0),MATCH('Respuestas de formulario 1.1'!ES$1,#REF!,0)))</f>
        <v/>
      </c>
      <c r="ET185" s="56" t="str">
        <f t="array" ref="ET185">IF(DS185="","", INDEX(#REF!,MATCH(CONCATENATE('Respuestas de formulario 1.1'!$B185,DS185),#REF!,0),MATCH('Respuestas de formulario 1.1'!ET$1,#REF!,0)))</f>
        <v/>
      </c>
      <c r="EU185" s="56" t="str">
        <f t="array" ref="EU185">IF(DT185="","", INDEX(#REF!,MATCH(CONCATENATE('Respuestas de formulario 1.1'!$B185,DT185),#REF!,0),MATCH('Respuestas de formulario 1.1'!EU$1,#REF!,0)))</f>
        <v/>
      </c>
      <c r="EV185" s="56" t="str">
        <f t="array" ref="EV185">IF(DU185="","", INDEX(#REF!,MATCH(CONCATENATE('Respuestas de formulario 1.1'!$B185,DU185),#REF!,0),MATCH('Respuestas de formulario 1.1'!EV$1,#REF!,0)))</f>
        <v/>
      </c>
      <c r="EW185" s="45" t="str">
        <f t="array" ref="EW185">IF(DV185="","", INDEX(#REF!,MATCH(CONCATENATE('Respuestas de formulario 1.1'!$B185,DV185),#REF!,0),MATCH('Respuestas de formulario 1.1'!EW$1,#REF!,0)))</f>
        <v/>
      </c>
      <c r="EX185" s="45" t="str">
        <f t="array" ref="EX185">IF($DQ185="","", INDEX(#REF!,MATCH(CONCATENATE('Respuestas de formulario 1.1'!$B185,$DQ185),#REF!,0),MATCH('Respuestas de formulario 1.1'!EX$1,#REF!,0)))</f>
        <v/>
      </c>
      <c r="EY185" s="56" t="str">
        <f t="array" ref="EY185">IF($DQ185="","", INDEX(#REF!,MATCH(CONCATENATE('Respuestas de formulario 1.1'!$B185,$DQ185),#REF!,0),MATCH('Respuestas de formulario 1.1'!EY$1,#REF!,0)))</f>
        <v/>
      </c>
      <c r="EZ185" s="56" t="str">
        <f t="array" ref="EZ185">IF($DQ185="","", INDEX(#REF!,MATCH(CONCATENATE('Respuestas de formulario 1.1'!$B185,$DQ185),#REF!,0),MATCH('Respuestas de formulario 1.1'!EZ$1,#REF!,0)))</f>
        <v/>
      </c>
      <c r="FA185" s="56" t="str">
        <f t="array" ref="FA185">IF($DQ185="","", INDEX(#REF!,MATCH(CONCATENATE('Respuestas de formulario 1.1'!$B185,$DQ185),#REF!,0),MATCH('Respuestas de formulario 1.1'!FA$1,#REF!,0)))</f>
        <v/>
      </c>
      <c r="FB185" s="56" t="str">
        <f t="array" ref="FB185">IF($DQ185="","", INDEX(#REF!,MATCH(CONCATENATE('Respuestas de formulario 1.1'!$B185,$DQ185),#REF!,0),MATCH('Respuestas de formulario 1.1'!FB$1,#REF!,0)))</f>
        <v/>
      </c>
      <c r="FC185" s="56" t="str">
        <f t="array" ref="FC185">IF($DQ185="","", INDEX(#REF!,MATCH(CONCATENATE('Respuestas de formulario 1.1'!$B185,$DQ185),#REF!,0),MATCH('Respuestas de formulario 1.1'!FC$1,#REF!,0)))</f>
        <v/>
      </c>
      <c r="FD185" s="45" t="str">
        <f t="array" ref="FD185">IF($DQ185="","", INDEX(#REF!,MATCH(CONCATENATE('Respuestas de formulario 1.1'!$B185,$DQ185),#REF!,0),MATCH('Respuestas de formulario 1.1'!FD$1,#REF!,0)))</f>
        <v/>
      </c>
      <c r="FE185" s="45" t="str">
        <f t="array" ref="FE185">IF($DR185="","", INDEX(#REF!,MATCH(CONCATENATE(#REF!,$DR185),#REF!,0),MATCH(#REF!,#REF!,0)))</f>
        <v/>
      </c>
      <c r="FF185" s="56" t="str">
        <f t="array" ref="FF185">IF($DR185="","", INDEX(#REF!,MATCH(CONCATENATE(#REF!,$DR185),#REF!,0),MATCH(#REF!,#REF!,0)))</f>
        <v/>
      </c>
      <c r="FG185" s="56" t="str">
        <f t="array" ref="FG185">IF($DR185="","", INDEX(#REF!,MATCH(CONCATENATE(#REF!,$DR185),#REF!,0),MATCH(#REF!,#REF!,0)))</f>
        <v/>
      </c>
      <c r="FH185" s="56" t="str">
        <f t="array" ref="FH185">IF($DR185="","", INDEX(#REF!,MATCH(CONCATENATE(#REF!,$DR185),#REF!,0),MATCH(#REF!,#REF!,0)))</f>
        <v/>
      </c>
      <c r="FI185" s="56" t="str">
        <f t="array" ref="FI185">IF($DR185="","", INDEX(#REF!,MATCH(CONCATENATE(#REF!,$DR185),#REF!,0),MATCH(#REF!,#REF!,0)))</f>
        <v/>
      </c>
      <c r="FJ185" s="56" t="str">
        <f t="array" ref="FJ185">IF($DR185="","", INDEX(#REF!,MATCH(CONCATENATE(#REF!,$DR185),#REF!,0),MATCH(#REF!,#REF!,0)))</f>
        <v/>
      </c>
      <c r="FK185" s="45" t="str">
        <f t="array" ref="FK185">IF($DR185="","", INDEX(#REF!,MATCH(CONCATENATE(#REF!,$DR185),#REF!,0),MATCH(#REF!,#REF!,0)))</f>
        <v/>
      </c>
      <c r="FL185" s="45" t="str">
        <f t="array" ref="FL185">IF($DT185="","", INDEX(#REF!,MATCH(CONCATENATE('Respuestas de formulario 1.1'!$B185,$DS185),#REF!,0),MATCH('Respuestas de formulario 1.1'!FL$1,#REF!,0)))</f>
        <v/>
      </c>
      <c r="FM185" s="56" t="str">
        <f t="array" ref="FM185">IF($DT185="","", INDEX(#REF!,MATCH(CONCATENATE('Respuestas de formulario 1.1'!$B185,$DS185),#REF!,0),MATCH('Respuestas de formulario 1.1'!FM$1,#REF!,0)))</f>
        <v/>
      </c>
      <c r="FN185" s="56" t="str">
        <f t="array" ref="FN185">IF($DT185="","", INDEX(#REF!,MATCH(CONCATENATE('Respuestas de formulario 1.1'!$B185,$DS185),#REF!,0),MATCH('Respuestas de formulario 1.1'!FN$1,#REF!,0)))</f>
        <v/>
      </c>
      <c r="FO185" s="56" t="str">
        <f t="array" ref="FO185">IF($DT185="","", INDEX(#REF!,MATCH(CONCATENATE('Respuestas de formulario 1.1'!$B185,$DS185),#REF!,0),MATCH('Respuestas de formulario 1.1'!FO$1,#REF!,0)))</f>
        <v/>
      </c>
      <c r="FP185" s="56" t="str">
        <f t="array" ref="FP185">IF($DT185="","", INDEX(#REF!,MATCH(CONCATENATE('Respuestas de formulario 1.1'!$B185,$DS185),#REF!,0),MATCH('Respuestas de formulario 1.1'!FP$1,#REF!,0)))</f>
        <v/>
      </c>
      <c r="FQ185" s="56" t="str">
        <f t="array" ref="FQ185">IF($DT185="","", INDEX(#REF!,MATCH(CONCATENATE('Respuestas de formulario 1.1'!$B185,$DS185),#REF!,0),MATCH('Respuestas de formulario 1.1'!FQ$1,#REF!,0)))</f>
        <v/>
      </c>
      <c r="FR185" s="45" t="str">
        <f t="array" ref="FR185">IF($DT185="","", INDEX(#REF!,MATCH(CONCATENATE('Respuestas de formulario 1.1'!$B185,$DS185),#REF!,0),MATCH('Respuestas de formulario 1.1'!FR$1,#REF!,0)))</f>
        <v/>
      </c>
      <c r="FS185" s="45" t="str">
        <f t="array" ref="FS185">IF($DU185="","", INDEX(#REF!,MATCH(CONCATENATE('Respuestas de formulario 1.1'!$B185,$DT185),#REF!,0),MATCH('Respuestas de formulario 1.1'!FS$1,#REF!,0)))</f>
        <v/>
      </c>
      <c r="FT185" s="56" t="str">
        <f t="array" ref="FT185">IF($DU185="","", INDEX(#REF!,MATCH(CONCATENATE('Respuestas de formulario 1.1'!$B185,$DT185),#REF!,0),MATCH('Respuestas de formulario 1.1'!FT$1,#REF!,0)))</f>
        <v/>
      </c>
      <c r="FU185" s="56" t="str">
        <f t="array" ref="FU185">IF($DU185="","", INDEX(#REF!,MATCH(CONCATENATE('Respuestas de formulario 1.1'!$B185,$DT185),#REF!,0),MATCH('Respuestas de formulario 1.1'!FU$1,#REF!,0)))</f>
        <v/>
      </c>
      <c r="FV185" s="56" t="str">
        <f t="array" ref="FV185">IF($DU185="","", INDEX(#REF!,MATCH(CONCATENATE('Respuestas de formulario 1.1'!$B185,$DT185),#REF!,0),MATCH('Respuestas de formulario 1.1'!FV$1,#REF!,0)))</f>
        <v/>
      </c>
      <c r="FW185" s="56" t="str">
        <f t="array" ref="FW185">IF($DU185="","", INDEX(#REF!,MATCH(CONCATENATE('Respuestas de formulario 1.1'!$B185,$DT185),#REF!,0),MATCH('Respuestas de formulario 1.1'!FW$1,#REF!,0)))</f>
        <v/>
      </c>
      <c r="FX185" s="56" t="str">
        <f t="array" ref="FX185">IF($DU185="","", INDEX(#REF!,MATCH(CONCATENATE('Respuestas de formulario 1.1'!$B185,$DT185),#REF!,0),MATCH('Respuestas de formulario 1.1'!FX$1,#REF!,0)))</f>
        <v/>
      </c>
      <c r="FY185" s="45" t="str">
        <f t="array" ref="FY185">IF($DU185="","", INDEX(#REF!,MATCH(CONCATENATE('Respuestas de formulario 1.1'!$B185,$DT185),#REF!,0),MATCH('Respuestas de formulario 1.1'!FY$1,#REF!,0)))</f>
        <v/>
      </c>
      <c r="FZ185" s="3" t="s">
        <v>2860</v>
      </c>
      <c r="GA185" s="1" t="s">
        <v>6024</v>
      </c>
      <c r="GB185" s="5" t="s">
        <v>6025</v>
      </c>
      <c r="GC185" s="4" t="str">
        <f>HYPERLINK("https://drive.google.com/file/d/1TKmPe0ZQIuracZHNoHjIp4IX9JlSODMq/view?usp=drivesdk","GARCIA NAVARRO ANGEL RAUL Formato de reinscripción y pago 2022-2")</f>
        <v>GARCIA NAVARRO ANGEL RAUL Formato de reinscripción y pago 2022-2</v>
      </c>
      <c r="GD185" s="1" t="s">
        <v>6026</v>
      </c>
      <c r="GE185" s="1"/>
      <c r="GF185" s="1"/>
      <c r="GG185" s="1"/>
      <c r="GH185" s="1"/>
      <c r="GI185" s="1" t="s">
        <v>6027</v>
      </c>
      <c r="GJ185" s="5" t="s">
        <v>6028</v>
      </c>
      <c r="GK185" s="5" t="str">
        <f>HYPERLINK("https://drive.google.com/file/d/1rGUjjM5ox-KUhMnbCoCE5GSikS4MwulH/view?usp=drivesdk","GARCIA NAVARRO ANGEL RAUL Formato de reinscripción y pago 2022-2")</f>
        <v>GARCIA NAVARRO ANGEL RAUL Formato de reinscripción y pago 2022-2</v>
      </c>
      <c r="GL185" s="1" t="s">
        <v>6029</v>
      </c>
    </row>
    <row r="186" spans="1:194" ht="38.25" x14ac:dyDescent="0.2">
      <c r="A186" s="2">
        <v>45139.492524027781</v>
      </c>
      <c r="B186" s="1" t="s">
        <v>75</v>
      </c>
      <c r="C186" s="1" t="s">
        <v>351</v>
      </c>
      <c r="D186" s="1" t="s">
        <v>853</v>
      </c>
      <c r="E186" s="1" t="s">
        <v>2038</v>
      </c>
      <c r="F186" s="1" t="s">
        <v>262</v>
      </c>
      <c r="G186" s="5" t="s">
        <v>6030</v>
      </c>
      <c r="H186" s="41">
        <v>39092</v>
      </c>
      <c r="I186" s="1">
        <v>16</v>
      </c>
      <c r="J186" s="1">
        <v>5621290187</v>
      </c>
      <c r="K186" s="1">
        <v>5621290187</v>
      </c>
      <c r="L186" s="1" t="s">
        <v>2039</v>
      </c>
      <c r="M186" s="1">
        <v>22309060570963</v>
      </c>
      <c r="N186" s="1" t="s">
        <v>562</v>
      </c>
      <c r="O186" s="1" t="s">
        <v>225</v>
      </c>
      <c r="P186" s="1" t="s">
        <v>278</v>
      </c>
      <c r="Q186" s="1" t="s">
        <v>315</v>
      </c>
      <c r="R186" s="1" t="s">
        <v>236</v>
      </c>
      <c r="S186" s="1" t="s">
        <v>228</v>
      </c>
      <c r="T186" s="1" t="s">
        <v>229</v>
      </c>
      <c r="U186" s="1" t="s">
        <v>249</v>
      </c>
      <c r="V186" s="1" t="s">
        <v>228</v>
      </c>
      <c r="W186" s="1" t="s">
        <v>6031</v>
      </c>
      <c r="X186" s="1" t="s">
        <v>249</v>
      </c>
      <c r="Y186" s="1" t="s">
        <v>1886</v>
      </c>
      <c r="Z186" s="1" t="s">
        <v>240</v>
      </c>
      <c r="AA186" s="44" t="s">
        <v>676</v>
      </c>
      <c r="AB186" s="1">
        <v>22</v>
      </c>
      <c r="AC186" s="1" t="s">
        <v>472</v>
      </c>
      <c r="AD186" s="1" t="s">
        <v>6032</v>
      </c>
      <c r="AE186" s="1" t="s">
        <v>6033</v>
      </c>
      <c r="AF186" s="1" t="s">
        <v>435</v>
      </c>
      <c r="AG186" s="1">
        <v>43</v>
      </c>
      <c r="AH186" s="5" t="s">
        <v>6034</v>
      </c>
      <c r="AI186" s="1">
        <v>5639417724</v>
      </c>
      <c r="AJ186" s="1">
        <v>5639417724</v>
      </c>
      <c r="AK186" s="1" t="s">
        <v>2040</v>
      </c>
      <c r="AL186" s="1" t="s">
        <v>351</v>
      </c>
      <c r="AM186" s="1" t="s">
        <v>600</v>
      </c>
      <c r="AN186" s="1" t="s">
        <v>2041</v>
      </c>
      <c r="AO186" s="1" t="s">
        <v>435</v>
      </c>
      <c r="AP186" s="1">
        <v>43</v>
      </c>
      <c r="AQ186" s="1" t="s">
        <v>1059</v>
      </c>
      <c r="AR186" s="42">
        <v>0.29166666666424135</v>
      </c>
      <c r="AS186" s="42">
        <v>0.79166666666424135</v>
      </c>
      <c r="AT186" s="1">
        <v>5639417724</v>
      </c>
      <c r="AU186" s="1">
        <v>5639417724</v>
      </c>
      <c r="AV186" s="1" t="s">
        <v>2040</v>
      </c>
      <c r="AW186" s="5" t="s">
        <v>6035</v>
      </c>
      <c r="AX186" s="1" t="s">
        <v>351</v>
      </c>
      <c r="AY186" s="1" t="s">
        <v>600</v>
      </c>
      <c r="AZ186" s="1" t="s">
        <v>2041</v>
      </c>
      <c r="BA186" s="1" t="s">
        <v>435</v>
      </c>
      <c r="BB186" s="1">
        <v>43</v>
      </c>
      <c r="BC186" s="1" t="s">
        <v>1059</v>
      </c>
      <c r="BD186" s="43">
        <v>0.29166666666424135</v>
      </c>
      <c r="BE186" s="43">
        <v>0.79166666666424135</v>
      </c>
      <c r="BF186" s="1">
        <v>5639417724</v>
      </c>
      <c r="BG186" s="1">
        <v>5639417724</v>
      </c>
      <c r="BH186" s="1" t="s">
        <v>2040</v>
      </c>
      <c r="BI186" s="5" t="s">
        <v>6036</v>
      </c>
      <c r="BJ186" s="1" t="s">
        <v>236</v>
      </c>
      <c r="BL186" s="1">
        <v>165</v>
      </c>
      <c r="BM186" s="1">
        <v>62</v>
      </c>
      <c r="BN186" s="1" t="s">
        <v>236</v>
      </c>
      <c r="BO186" s="1" t="s">
        <v>228</v>
      </c>
      <c r="BQ186" s="1" t="s">
        <v>228</v>
      </c>
      <c r="BR186" s="1" t="s">
        <v>237</v>
      </c>
      <c r="BS186" s="1" t="s">
        <v>236</v>
      </c>
      <c r="BT186" s="1" t="s">
        <v>271</v>
      </c>
      <c r="BU186" s="1" t="s">
        <v>228</v>
      </c>
      <c r="BW186" s="1" t="s">
        <v>238</v>
      </c>
      <c r="BX186" s="1">
        <v>90</v>
      </c>
      <c r="BY186" s="1">
        <v>210</v>
      </c>
      <c r="BZ186" s="1" t="s">
        <v>478</v>
      </c>
      <c r="CA186" s="1" t="s">
        <v>343</v>
      </c>
      <c r="CB186" s="1" t="s">
        <v>240</v>
      </c>
      <c r="CC186" s="1" t="s">
        <v>274</v>
      </c>
      <c r="CD186" s="1">
        <v>1500</v>
      </c>
      <c r="CE186" s="1">
        <v>3500</v>
      </c>
      <c r="CF186" s="1" t="s">
        <v>236</v>
      </c>
      <c r="CG186" s="1" t="s">
        <v>242</v>
      </c>
      <c r="CH186" s="1" t="s">
        <v>243</v>
      </c>
      <c r="CI186" s="1" t="s">
        <v>243</v>
      </c>
      <c r="CJ186" s="1" t="s">
        <v>2848</v>
      </c>
      <c r="CL186" s="5" t="s">
        <v>6037</v>
      </c>
      <c r="CM186" s="1">
        <v>20220770422</v>
      </c>
      <c r="CN186" s="1" t="s">
        <v>228</v>
      </c>
      <c r="CQ186" s="42">
        <v>0.29166666666424135</v>
      </c>
      <c r="CR186" s="42">
        <v>0.79166666666424135</v>
      </c>
      <c r="CT186" s="45" t="str">
        <f t="array" ref="CT186">IFERROR(INDEX(#REF!,MATCH('Respuestas de formulario 1.1'!$B186,#REF!,0),MATCH('Respuestas de formulario 1.1'!CT$1,#REF!,0)),"")</f>
        <v/>
      </c>
      <c r="CU186" s="56" t="str">
        <f t="array" ref="CU186">IFERROR(INDEX(#REF!,MATCH('Respuestas de formulario 1.1'!$B186,#REF!,0),MATCH('Respuestas de formulario 1.1'!CU$1,#REF!,0)),"")</f>
        <v/>
      </c>
      <c r="CV186" s="56" t="str">
        <f t="array" ref="CV186">IFERROR(INDEX(#REF!,MATCH('Respuestas de formulario 1.1'!$B186,#REF!,0),MATCH('Respuestas de formulario 1.1'!CV$1,#REF!,0)),"")</f>
        <v/>
      </c>
      <c r="CW186" s="56" t="str">
        <f t="array" ref="CW186">IFERROR(INDEX(#REF!,MATCH('Respuestas de formulario 1.1'!$B186,#REF!,0),MATCH('Respuestas de formulario 1.1'!CW$1,#REF!,0)),"")</f>
        <v/>
      </c>
      <c r="CX186" s="56" t="str">
        <f t="array" ref="CX186">IFERROR(INDEX(#REF!,MATCH('Respuestas de formulario 1.1'!$B186,#REF!,0),MATCH('Respuestas de formulario 1.1'!CX$1,#REF!,0)),"")</f>
        <v/>
      </c>
      <c r="CY186" s="56" t="str">
        <f t="array" ref="CY186">IFERROR(INDEX(#REF!,MATCH('Respuestas de formulario 1.1'!$B186,#REF!,0),MATCH('Respuestas de formulario 1.1'!CY$1,#REF!,0)),"")</f>
        <v/>
      </c>
      <c r="CZ186" s="57" t="str">
        <f t="array" ref="CZ186">IFERROR(INDEX(#REF!,MATCH('Respuestas de formulario 1.1'!$B186,#REF!,0),MATCH('Respuestas de formulario 1.1'!CZ$1,#REF!,0)),"")</f>
        <v/>
      </c>
      <c r="DA186" s="45" t="e">
        <f t="array" ref="DA186">INDEX(#REF!,MATCH('Respuestas de formulario 1.1'!$B186,#REF!,0),MATCH('Respuestas de formulario 1.1'!DA$1,#REF!,0))</f>
        <v>#REF!</v>
      </c>
      <c r="DB186" s="45" t="e">
        <f t="array" ref="DB186">INDEX(#REF!,MATCH('Respuestas de formulario 1.1'!$B186,#REF!,0),MATCH('Respuestas de formulario 1.1'!DB$1,#REF!,0))</f>
        <v>#REF!</v>
      </c>
      <c r="DC186" s="45" t="e">
        <f t="array" ref="DC186">INDEX(#REF!,MATCH('Respuestas de formulario 1.1'!$B186,#REF!,0),MATCH('Respuestas de formulario 1.1'!DC$1,#REF!,0))</f>
        <v>#REF!</v>
      </c>
      <c r="DD186" s="45" t="e">
        <f t="array" ref="DD186">INDEX(#REF!,MATCH('Respuestas de formulario 1.1'!$B186,#REF!,0),MATCH('Respuestas de formulario 1.1'!DD$1,#REF!,0))</f>
        <v>#REF!</v>
      </c>
      <c r="DE186" s="45" t="e">
        <f t="array" ref="DE186">INDEX(#REF!,MATCH('Respuestas de formulario 1.1'!$B186,#REF!,0),MATCH('Respuestas de formulario 1.1'!DE$1,#REF!,0))</f>
        <v>#REF!</v>
      </c>
      <c r="DF186" s="45" t="e">
        <f t="array" ref="DF186">INDEX(#REF!,MATCH('Respuestas de formulario 1.1'!$B186,#REF!,0),MATCH('Respuestas de formulario 1.1'!DF$1,#REF!,0))</f>
        <v>#REF!</v>
      </c>
      <c r="DG186" s="45" t="e">
        <f t="array" ref="DG186">INDEX(#REF!,MATCH('Respuestas de formulario 1.1'!$B186,#REF!,0),MATCH('Respuestas de formulario 1.1'!DG$1,#REF!,0))</f>
        <v>#REF!</v>
      </c>
      <c r="DH186" s="45" t="e">
        <f t="array" ref="DH186">INDEX(#REF!,MATCH('Respuestas de formulario 1.1'!$B186,#REF!,0),MATCH('Respuestas de formulario 1.1'!DH$1,#REF!,0))</f>
        <v>#REF!</v>
      </c>
      <c r="DI186" s="48" t="e">
        <f>VLOOKUP(CONCATENATE($DF186," TUTO ",$DC186),#REF!,3,0)</f>
        <v>#REF!</v>
      </c>
      <c r="DJ186" s="48" t="e">
        <f t="array" ref="DJ186">IF('Respuestas de formulario 1.1'!A186="","",INDEX(#REF!,MATCH('Respuestas de formulario 1.1'!B186,#REF!,0),MATCH('Respuestas de formulario 1.1'!$DH$1,#REF!,0)))</f>
        <v>#REF!</v>
      </c>
      <c r="DK186" s="52" t="str">
        <f>CONCATENATE("http://doc.google.com/uc?id=",MID('Respuestas de formulario 1.1'!G186,34,33))</f>
        <v>http://doc.google.com/uc?id=1aWWJz-F1eVhjQNvjC6EQD_IUNWL3m8pK</v>
      </c>
      <c r="DL186" s="49" t="str">
        <f>CONCATENATE("http://doc.google.com/uc?id=",MID('Respuestas de formulario 1.1'!AH186,34,33))</f>
        <v>http://doc.google.com/uc?id=1e6qUrozoNKC0ysxwE6GPDMpGwFPVCMdN</v>
      </c>
      <c r="DM186" s="50" t="str">
        <f>CONCATENATE("http://doc.google.com/uc?id=",MID('Respuestas de formulario 1.1'!AW186,34,33))</f>
        <v>http://doc.google.com/uc?id=13XxZugSpqudZhLDVElBVEOlW-DncppeO</v>
      </c>
      <c r="DN186" s="53" t="str">
        <f>CONCATENATE("http://doc.google.com/uc?id=",MID('Respuestas de formulario 1.1'!$BI186,34,33))</f>
        <v>http://doc.google.com/uc?id=1NKQ4n3gPfcV83UANopLFpktA2vfzNpaz</v>
      </c>
      <c r="DO186" s="45" t="str">
        <f>IFERROR(VLOOKUP(CONCATENATE('Respuestas de formulario 1.1'!$B186,MID('Respuestas de formulario 1.1'!DO$1,2,1)),#REF!,12,0),"")</f>
        <v/>
      </c>
      <c r="DP186" s="45" t="str">
        <f>IFERROR(VLOOKUP(CONCATENATE('Respuestas de formulario 1.1'!$B186,MID('Respuestas de formulario 1.1'!DP$1,2,1)),#REF!,12,0),"")</f>
        <v/>
      </c>
      <c r="DQ186" s="45" t="str">
        <f>IFERROR(VLOOKUP(CONCATENATE('Respuestas de formulario 1.1'!$B186,MID('Respuestas de formulario 1.1'!DQ$1,2,1)),#REF!,12,0),"")</f>
        <v/>
      </c>
      <c r="DR186" s="45" t="str">
        <f>IFERROR(VLOOKUP(CONCATENATE('Respuestas de formulario 1.1'!$B186,MID('Respuestas de formulario 1.1'!DR$1,2,1)),#REF!,12,0),"")</f>
        <v/>
      </c>
      <c r="DS186" s="45" t="str">
        <f>IFERROR(VLOOKUP(CONCATENATE('Respuestas de formulario 1.1'!$B186,MID('Respuestas de formulario 1.1'!DS$1,2,1)),#REF!,12,0),"")</f>
        <v/>
      </c>
      <c r="DT186" s="45" t="str">
        <f>IFERROR(VLOOKUP(CONCATENATE('Respuestas de formulario 1.1'!$B186,MID('Respuestas de formulario 1.1'!DT$1,2,1)),#REF!,12,0),"")</f>
        <v/>
      </c>
      <c r="DU186" s="45" t="str">
        <f>IFERROR(VLOOKUP(CONCATENATE('Respuestas de formulario 1.1'!$B186,MID('Respuestas de formulario 1.1'!DU$1,2,1)),#REF!,12,0),"")</f>
        <v/>
      </c>
      <c r="DV186" s="45" t="str">
        <f>IFERROR(VLOOKUP(CONCATENATE('Respuestas de formulario 1.1'!$B186,MID('Respuestas de formulario 1.1'!DV$1,2,1)),#REF!,12,0),"")</f>
        <v/>
      </c>
      <c r="DW186" s="45" t="str">
        <f>IFERROR(VLOOKUP(CONCATENATE('Respuestas de formulario 1.1'!$B186,MID('Respuestas de formulario 1.1'!DW$1,2,1)),#REF!,12,0),"")</f>
        <v/>
      </c>
      <c r="DX186" s="45" t="str">
        <f>IFERROR(VLOOKUP(CONCATENATE('Respuestas de formulario 1.1'!$B186,MID('Respuestas de formulario 1.1'!DX$1,2,1)),#REF!,12,0),"")</f>
        <v/>
      </c>
      <c r="DY186" s="45" t="str">
        <f>IFERROR(VLOOKUP(CONCATENATE('Respuestas de formulario 1.1'!$B186,MID('Respuestas de formulario 1.1'!DY$1,2,1)),#REF!,12,0),"")</f>
        <v/>
      </c>
      <c r="DZ186" s="45" t="str">
        <f>IFERROR(VLOOKUP(CONCATENATE('Respuestas de formulario 1.1'!$B186,MID('Respuestas de formulario 1.1'!DZ$1,2,1)),#REF!,12,0),"")</f>
        <v/>
      </c>
      <c r="EA186" s="45" t="str">
        <f>IFERROR(VLOOKUP(CONCATENATE('Respuestas de formulario 1.1'!$B186,MID('Respuestas de formulario 1.1'!EA$1,2,1)),#REF!,12,0),"")</f>
        <v/>
      </c>
      <c r="EB186" s="45" t="str">
        <f>IFERROR(VLOOKUP(CONCATENATE('Respuestas de formulario 1.1'!$B186,MID('Respuestas de formulario 1.1'!EB$1,2,1)),#REF!,12,0),"")</f>
        <v/>
      </c>
      <c r="EC186" s="45" t="str">
        <f>IFERROR(VLOOKUP(CONCATENATE('Respuestas de formulario 1.1'!$B186,MID('Respuestas de formulario 1.1'!EC$1,2,1)),#REF!,12,0),"")</f>
        <v/>
      </c>
      <c r="ED186" s="45" t="str">
        <f>IFERROR(VLOOKUP(CONCATENATE('Respuestas de formulario 1.1'!$B186,MID('Respuestas de formulario 1.1'!ED$1,2,1)),#REF!,12,0),"")</f>
        <v/>
      </c>
      <c r="EE186" s="45" t="str">
        <f>IFERROR(VLOOKUP(CONCATENATE('Respuestas de formulario 1.1'!$B186,MID('Respuestas de formulario 1.1'!EE$1,2,1)),#REF!,12,0),"")</f>
        <v/>
      </c>
      <c r="EF186" s="45" t="str">
        <f>IFERROR(VLOOKUP(CONCATENATE('Respuestas de formulario 1.1'!$B186,MID('Respuestas de formulario 1.1'!EF$1,2,1)),#REF!,12,0),"")</f>
        <v/>
      </c>
      <c r="EG186" s="45" t="str">
        <f>IFERROR(VLOOKUP(CONCATENATE('Respuestas de formulario 1.1'!$B186,MID('Respuestas de formulario 1.1'!EG$1,2,1)),#REF!,12,0),"")</f>
        <v/>
      </c>
      <c r="EH186" s="45" t="str">
        <f>IFERROR(VLOOKUP(CONCATENATE('Respuestas de formulario 1.1'!$B186,MID('Respuestas de formulario 1.1'!EH$1,2,1)),#REF!,12,0),"")</f>
        <v/>
      </c>
      <c r="EI186" s="45" t="str">
        <f>IFERROR(VLOOKUP(CONCATENATE('Respuestas de formulario 1.1'!$B186,MID('Respuestas de formulario 1.1'!EI$1,2,1)),#REF!,12,0),"")</f>
        <v/>
      </c>
      <c r="EJ186" s="45" t="str">
        <f t="array" ref="EJ186">IF(DO186="","", INDEX(#REF!,MATCH(CONCATENATE('Respuestas de formulario 1.1'!$B186,DO186),#REF!,0),MATCH('Respuestas de formulario 1.1'!EJ$1,#REF!,0)))</f>
        <v/>
      </c>
      <c r="EK186" s="56" t="str">
        <f t="array" ref="EK186">IF(DP186="","", INDEX(#REF!,MATCH(CONCATENATE('Respuestas de formulario 1.1'!$B186,DP186),#REF!,0),MATCH('Respuestas de formulario 1.1'!EK$1,#REF!,0)))</f>
        <v/>
      </c>
      <c r="EL186" s="56" t="str">
        <f t="array" ref="EL186">IF(DQ186="","", INDEX(#REF!,MATCH(CONCATENATE('Respuestas de formulario 1.1'!$B186,DQ186),#REF!,0),MATCH('Respuestas de formulario 1.1'!EL$1,#REF!,0)))</f>
        <v/>
      </c>
      <c r="EM186" s="56" t="str">
        <f t="array" ref="EM186">IF(DR186="","", INDEX(#REF!,MATCH(CONCATENATE('Respuestas de formulario 1.1'!$B186,DR186),#REF!,0),MATCH('Respuestas de formulario 1.1'!EM$1,#REF!,0)))</f>
        <v/>
      </c>
      <c r="EN186" s="56" t="str">
        <f t="array" ref="EN186">IF(DS186="","", INDEX(#REF!,MATCH(CONCATENATE('Respuestas de formulario 1.1'!$B186,DS186),#REF!,0),MATCH('Respuestas de formulario 1.1'!EN$1,#REF!,0)))</f>
        <v/>
      </c>
      <c r="EO186" s="56" t="str">
        <f t="array" ref="EO186">IF(DT186="","", INDEX(#REF!,MATCH(CONCATENATE('Respuestas de formulario 1.1'!$B186,DT186),#REF!,0),MATCH('Respuestas de formulario 1.1'!EO$1,#REF!,0)))</f>
        <v/>
      </c>
      <c r="EP186" s="45" t="str">
        <f t="array" ref="EP186">IF(DU186="","", INDEX(#REF!,MATCH(CONCATENATE('Respuestas de formulario 1.1'!$B186,DU186),#REF!,0),MATCH('Respuestas de formulario 1.1'!EP$1,#REF!,0)))</f>
        <v/>
      </c>
      <c r="EQ186" s="45" t="str">
        <f t="array" ref="EQ186">IF(DP186="","", INDEX(#REF!,MATCH(CONCATENATE('Respuestas de formulario 1.1'!$B186,DP186),#REF!,0),MATCH('Respuestas de formulario 1.1'!EQ$1,#REF!,0)))</f>
        <v/>
      </c>
      <c r="ER186" s="56" t="str">
        <f t="array" ref="ER186">IF(DQ186="","", INDEX(#REF!,MATCH(CONCATENATE('Respuestas de formulario 1.1'!$B186,DQ186),#REF!,0),MATCH('Respuestas de formulario 1.1'!ER$1,#REF!,0)))</f>
        <v/>
      </c>
      <c r="ES186" s="56" t="str">
        <f t="array" ref="ES186">IF(DR186="","", INDEX(#REF!,MATCH(CONCATENATE('Respuestas de formulario 1.1'!$B186,DR186),#REF!,0),MATCH('Respuestas de formulario 1.1'!ES$1,#REF!,0)))</f>
        <v/>
      </c>
      <c r="ET186" s="56" t="str">
        <f t="array" ref="ET186">IF(DS186="","", INDEX(#REF!,MATCH(CONCATENATE('Respuestas de formulario 1.1'!$B186,DS186),#REF!,0),MATCH('Respuestas de formulario 1.1'!ET$1,#REF!,0)))</f>
        <v/>
      </c>
      <c r="EU186" s="56" t="str">
        <f t="array" ref="EU186">IF(DT186="","", INDEX(#REF!,MATCH(CONCATENATE('Respuestas de formulario 1.1'!$B186,DT186),#REF!,0),MATCH('Respuestas de formulario 1.1'!EU$1,#REF!,0)))</f>
        <v/>
      </c>
      <c r="EV186" s="56" t="str">
        <f t="array" ref="EV186">IF(DU186="","", INDEX(#REF!,MATCH(CONCATENATE('Respuestas de formulario 1.1'!$B186,DU186),#REF!,0),MATCH('Respuestas de formulario 1.1'!EV$1,#REF!,0)))</f>
        <v/>
      </c>
      <c r="EW186" s="45" t="str">
        <f t="array" ref="EW186">IF(DV186="","", INDEX(#REF!,MATCH(CONCATENATE('Respuestas de formulario 1.1'!$B186,DV186),#REF!,0),MATCH('Respuestas de formulario 1.1'!EW$1,#REF!,0)))</f>
        <v/>
      </c>
      <c r="EX186" s="45" t="str">
        <f t="array" ref="EX186">IF($DQ186="","", INDEX(#REF!,MATCH(CONCATENATE('Respuestas de formulario 1.1'!$B186,$DQ186),#REF!,0),MATCH('Respuestas de formulario 1.1'!EX$1,#REF!,0)))</f>
        <v/>
      </c>
      <c r="EY186" s="56" t="str">
        <f t="array" ref="EY186">IF($DQ186="","", INDEX(#REF!,MATCH(CONCATENATE('Respuestas de formulario 1.1'!$B186,$DQ186),#REF!,0),MATCH('Respuestas de formulario 1.1'!EY$1,#REF!,0)))</f>
        <v/>
      </c>
      <c r="EZ186" s="56" t="str">
        <f t="array" ref="EZ186">IF($DQ186="","", INDEX(#REF!,MATCH(CONCATENATE('Respuestas de formulario 1.1'!$B186,$DQ186),#REF!,0),MATCH('Respuestas de formulario 1.1'!EZ$1,#REF!,0)))</f>
        <v/>
      </c>
      <c r="FA186" s="56" t="str">
        <f t="array" ref="FA186">IF($DQ186="","", INDEX(#REF!,MATCH(CONCATENATE('Respuestas de formulario 1.1'!$B186,$DQ186),#REF!,0),MATCH('Respuestas de formulario 1.1'!FA$1,#REF!,0)))</f>
        <v/>
      </c>
      <c r="FB186" s="56" t="str">
        <f t="array" ref="FB186">IF($DQ186="","", INDEX(#REF!,MATCH(CONCATENATE('Respuestas de formulario 1.1'!$B186,$DQ186),#REF!,0),MATCH('Respuestas de formulario 1.1'!FB$1,#REF!,0)))</f>
        <v/>
      </c>
      <c r="FC186" s="56" t="str">
        <f t="array" ref="FC186">IF($DQ186="","", INDEX(#REF!,MATCH(CONCATENATE('Respuestas de formulario 1.1'!$B186,$DQ186),#REF!,0),MATCH('Respuestas de formulario 1.1'!FC$1,#REF!,0)))</f>
        <v/>
      </c>
      <c r="FD186" s="45" t="str">
        <f t="array" ref="FD186">IF($DQ186="","", INDEX(#REF!,MATCH(CONCATENATE('Respuestas de formulario 1.1'!$B186,$DQ186),#REF!,0),MATCH('Respuestas de formulario 1.1'!FD$1,#REF!,0)))</f>
        <v/>
      </c>
      <c r="FE186" s="45" t="str">
        <f t="array" ref="FE186">IF($DR186="","", INDEX(#REF!,MATCH(CONCATENATE(#REF!,$DR186),#REF!,0),MATCH(#REF!,#REF!,0)))</f>
        <v/>
      </c>
      <c r="FF186" s="56" t="str">
        <f t="array" ref="FF186">IF($DR186="","", INDEX(#REF!,MATCH(CONCATENATE(#REF!,$DR186),#REF!,0),MATCH(#REF!,#REF!,0)))</f>
        <v/>
      </c>
      <c r="FG186" s="56" t="str">
        <f t="array" ref="FG186">IF($DR186="","", INDEX(#REF!,MATCH(CONCATENATE(#REF!,$DR186),#REF!,0),MATCH(#REF!,#REF!,0)))</f>
        <v/>
      </c>
      <c r="FH186" s="56" t="str">
        <f t="array" ref="FH186">IF($DR186="","", INDEX(#REF!,MATCH(CONCATENATE(#REF!,$DR186),#REF!,0),MATCH(#REF!,#REF!,0)))</f>
        <v/>
      </c>
      <c r="FI186" s="56" t="str">
        <f t="array" ref="FI186">IF($DR186="","", INDEX(#REF!,MATCH(CONCATENATE(#REF!,$DR186),#REF!,0),MATCH(#REF!,#REF!,0)))</f>
        <v/>
      </c>
      <c r="FJ186" s="56" t="str">
        <f t="array" ref="FJ186">IF($DR186="","", INDEX(#REF!,MATCH(CONCATENATE(#REF!,$DR186),#REF!,0),MATCH(#REF!,#REF!,0)))</f>
        <v/>
      </c>
      <c r="FK186" s="45" t="str">
        <f t="array" ref="FK186">IF($DR186="","", INDEX(#REF!,MATCH(CONCATENATE(#REF!,$DR186),#REF!,0),MATCH(#REF!,#REF!,0)))</f>
        <v/>
      </c>
      <c r="FL186" s="45" t="str">
        <f t="array" ref="FL186">IF($DT186="","", INDEX(#REF!,MATCH(CONCATENATE('Respuestas de formulario 1.1'!$B186,$DS186),#REF!,0),MATCH('Respuestas de formulario 1.1'!FL$1,#REF!,0)))</f>
        <v/>
      </c>
      <c r="FM186" s="56" t="str">
        <f t="array" ref="FM186">IF($DT186="","", INDEX(#REF!,MATCH(CONCATENATE('Respuestas de formulario 1.1'!$B186,$DS186),#REF!,0),MATCH('Respuestas de formulario 1.1'!FM$1,#REF!,0)))</f>
        <v/>
      </c>
      <c r="FN186" s="56" t="str">
        <f t="array" ref="FN186">IF($DT186="","", INDEX(#REF!,MATCH(CONCATENATE('Respuestas de formulario 1.1'!$B186,$DS186),#REF!,0),MATCH('Respuestas de formulario 1.1'!FN$1,#REF!,0)))</f>
        <v/>
      </c>
      <c r="FO186" s="56" t="str">
        <f t="array" ref="FO186">IF($DT186="","", INDEX(#REF!,MATCH(CONCATENATE('Respuestas de formulario 1.1'!$B186,$DS186),#REF!,0),MATCH('Respuestas de formulario 1.1'!FO$1,#REF!,0)))</f>
        <v/>
      </c>
      <c r="FP186" s="56" t="str">
        <f t="array" ref="FP186">IF($DT186="","", INDEX(#REF!,MATCH(CONCATENATE('Respuestas de formulario 1.1'!$B186,$DS186),#REF!,0),MATCH('Respuestas de formulario 1.1'!FP$1,#REF!,0)))</f>
        <v/>
      </c>
      <c r="FQ186" s="56" t="str">
        <f t="array" ref="FQ186">IF($DT186="","", INDEX(#REF!,MATCH(CONCATENATE('Respuestas de formulario 1.1'!$B186,$DS186),#REF!,0),MATCH('Respuestas de formulario 1.1'!FQ$1,#REF!,0)))</f>
        <v/>
      </c>
      <c r="FR186" s="45" t="str">
        <f t="array" ref="FR186">IF($DT186="","", INDEX(#REF!,MATCH(CONCATENATE('Respuestas de formulario 1.1'!$B186,$DS186),#REF!,0),MATCH('Respuestas de formulario 1.1'!FR$1,#REF!,0)))</f>
        <v/>
      </c>
      <c r="FS186" s="45" t="str">
        <f t="array" ref="FS186">IF($DU186="","", INDEX(#REF!,MATCH(CONCATENATE('Respuestas de formulario 1.1'!$B186,$DT186),#REF!,0),MATCH('Respuestas de formulario 1.1'!FS$1,#REF!,0)))</f>
        <v/>
      </c>
      <c r="FT186" s="56" t="str">
        <f t="array" ref="FT186">IF($DU186="","", INDEX(#REF!,MATCH(CONCATENATE('Respuestas de formulario 1.1'!$B186,$DT186),#REF!,0),MATCH('Respuestas de formulario 1.1'!FT$1,#REF!,0)))</f>
        <v/>
      </c>
      <c r="FU186" s="56" t="str">
        <f t="array" ref="FU186">IF($DU186="","", INDEX(#REF!,MATCH(CONCATENATE('Respuestas de formulario 1.1'!$B186,$DT186),#REF!,0),MATCH('Respuestas de formulario 1.1'!FU$1,#REF!,0)))</f>
        <v/>
      </c>
      <c r="FV186" s="56" t="str">
        <f t="array" ref="FV186">IF($DU186="","", INDEX(#REF!,MATCH(CONCATENATE('Respuestas de formulario 1.1'!$B186,$DT186),#REF!,0),MATCH('Respuestas de formulario 1.1'!FV$1,#REF!,0)))</f>
        <v/>
      </c>
      <c r="FW186" s="56" t="str">
        <f t="array" ref="FW186">IF($DU186="","", INDEX(#REF!,MATCH(CONCATENATE('Respuestas de formulario 1.1'!$B186,$DT186),#REF!,0),MATCH('Respuestas de formulario 1.1'!FW$1,#REF!,0)))</f>
        <v/>
      </c>
      <c r="FX186" s="56" t="str">
        <f t="array" ref="FX186">IF($DU186="","", INDEX(#REF!,MATCH(CONCATENATE('Respuestas de formulario 1.1'!$B186,$DT186),#REF!,0),MATCH('Respuestas de formulario 1.1'!FX$1,#REF!,0)))</f>
        <v/>
      </c>
      <c r="FY186" s="45" t="str">
        <f t="array" ref="FY186">IF($DU186="","", INDEX(#REF!,MATCH(CONCATENATE('Respuestas de formulario 1.1'!$B186,$DT186),#REF!,0),MATCH('Respuestas de formulario 1.1'!FY$1,#REF!,0)))</f>
        <v/>
      </c>
      <c r="FZ186" s="3" t="s">
        <v>2860</v>
      </c>
      <c r="GA186" s="1" t="s">
        <v>6038</v>
      </c>
      <c r="GB186" s="5" t="s">
        <v>6039</v>
      </c>
      <c r="GC186" s="4" t="str">
        <f>HYPERLINK("https://drive.google.com/file/d/1l36LDtPy7A7yLs7c2RAaFcnoTL5lGLBe/view?usp=drivesdk","VARGAS  RIVERA  CHRISTIAN ALEXANDER  Formato de reinscripción y pago 2022-2")</f>
        <v>VARGAS  RIVERA  CHRISTIAN ALEXANDER  Formato de reinscripción y pago 2022-2</v>
      </c>
      <c r="GD186" s="1" t="s">
        <v>6040</v>
      </c>
      <c r="GE186" s="1"/>
      <c r="GF186" s="1"/>
      <c r="GG186" s="1"/>
      <c r="GH186" s="1"/>
      <c r="GI186" s="1" t="s">
        <v>6041</v>
      </c>
      <c r="GJ186" s="5" t="s">
        <v>6042</v>
      </c>
      <c r="GK186" s="5" t="str">
        <f>HYPERLINK("https://drive.google.com/file/d/131DYGLqDyad1hRqRnlIHchWeK1DXMI0I/view?usp=drivesdk","VARGAS  RIVERA  CHRISTIAN ALEXANDER  Formato de reinscripción y pago 2022-2")</f>
        <v>VARGAS  RIVERA  CHRISTIAN ALEXANDER  Formato de reinscripción y pago 2022-2</v>
      </c>
      <c r="GL186" s="1" t="s">
        <v>6043</v>
      </c>
    </row>
    <row r="187" spans="1:194" ht="38.25" x14ac:dyDescent="0.2">
      <c r="A187" s="2">
        <v>45141.664609074069</v>
      </c>
      <c r="B187" s="1" t="s">
        <v>2449</v>
      </c>
      <c r="C187" s="1" t="s">
        <v>2330</v>
      </c>
      <c r="D187" s="1" t="s">
        <v>1130</v>
      </c>
      <c r="E187" s="1" t="s">
        <v>1252</v>
      </c>
      <c r="F187" s="1" t="s">
        <v>262</v>
      </c>
      <c r="G187" s="5" t="s">
        <v>6044</v>
      </c>
      <c r="H187" s="41">
        <v>38882</v>
      </c>
      <c r="I187" s="1">
        <v>17</v>
      </c>
      <c r="J187" s="1">
        <v>5575286405</v>
      </c>
      <c r="K187" s="1">
        <v>438</v>
      </c>
      <c r="L187" s="1" t="s">
        <v>2450</v>
      </c>
      <c r="M187" s="1">
        <v>21309060570522</v>
      </c>
      <c r="N187" s="1" t="s">
        <v>1108</v>
      </c>
      <c r="O187" s="1" t="s">
        <v>225</v>
      </c>
      <c r="P187" s="1" t="s">
        <v>278</v>
      </c>
      <c r="Q187" s="1" t="s">
        <v>315</v>
      </c>
      <c r="R187" s="1" t="s">
        <v>236</v>
      </c>
      <c r="S187" s="1" t="s">
        <v>236</v>
      </c>
      <c r="T187" s="1" t="s">
        <v>229</v>
      </c>
      <c r="U187" s="1" t="s">
        <v>264</v>
      </c>
      <c r="V187" s="1" t="s">
        <v>228</v>
      </c>
      <c r="W187" s="1" t="s">
        <v>6045</v>
      </c>
      <c r="X187" s="1" t="s">
        <v>264</v>
      </c>
      <c r="Y187" s="1" t="s">
        <v>2515</v>
      </c>
      <c r="Z187" s="1" t="s">
        <v>231</v>
      </c>
      <c r="AA187" s="1">
        <v>57710</v>
      </c>
      <c r="AB187" s="1">
        <v>438</v>
      </c>
      <c r="AC187" s="1" t="s">
        <v>713</v>
      </c>
      <c r="AD187" s="1" t="s">
        <v>6046</v>
      </c>
      <c r="AE187" s="1" t="s">
        <v>6047</v>
      </c>
      <c r="AF187" s="1" t="s">
        <v>445</v>
      </c>
      <c r="AG187" s="1">
        <v>58</v>
      </c>
      <c r="AH187" s="5" t="s">
        <v>6048</v>
      </c>
      <c r="AI187" s="1">
        <v>5549472161</v>
      </c>
      <c r="AJ187" s="1">
        <v>5511084265</v>
      </c>
      <c r="AK187" s="1" t="s">
        <v>2451</v>
      </c>
      <c r="AL187" s="1" t="s">
        <v>1130</v>
      </c>
      <c r="AM187" s="1" t="s">
        <v>1549</v>
      </c>
      <c r="AN187" s="1" t="s">
        <v>6049</v>
      </c>
      <c r="AO187" s="1" t="s">
        <v>445</v>
      </c>
      <c r="AP187" s="1">
        <v>58</v>
      </c>
      <c r="AQ187" s="1" t="s">
        <v>663</v>
      </c>
      <c r="AR187" s="42">
        <v>0.33333333333575865</v>
      </c>
      <c r="AS187" s="42">
        <v>0.39583333333575865</v>
      </c>
      <c r="AT187" s="1">
        <v>5549472161</v>
      </c>
      <c r="AU187" s="1">
        <v>5511084265</v>
      </c>
      <c r="AV187" s="1" t="s">
        <v>2451</v>
      </c>
      <c r="AW187" s="5" t="s">
        <v>6050</v>
      </c>
      <c r="AX187" s="1" t="s">
        <v>1130</v>
      </c>
      <c r="AY187" s="1" t="s">
        <v>1549</v>
      </c>
      <c r="AZ187" s="1" t="s">
        <v>6049</v>
      </c>
      <c r="BA187" s="1" t="s">
        <v>445</v>
      </c>
      <c r="BB187" s="1">
        <v>58</v>
      </c>
      <c r="BC187" s="1" t="s">
        <v>663</v>
      </c>
      <c r="BD187" s="43">
        <v>0.33333333333575865</v>
      </c>
      <c r="BE187" s="43">
        <v>0.33333333333575865</v>
      </c>
      <c r="BF187" s="1">
        <v>5549472161</v>
      </c>
      <c r="BG187" s="1">
        <v>5511084265</v>
      </c>
      <c r="BH187" s="1" t="s">
        <v>2451</v>
      </c>
      <c r="BI187" s="5" t="s">
        <v>6051</v>
      </c>
      <c r="BJ187" s="1" t="s">
        <v>236</v>
      </c>
      <c r="BL187" s="1">
        <v>170</v>
      </c>
      <c r="BM187" s="1">
        <v>52</v>
      </c>
      <c r="BN187" s="1" t="s">
        <v>228</v>
      </c>
      <c r="BO187" s="1" t="s">
        <v>228</v>
      </c>
      <c r="BQ187" s="1" t="s">
        <v>228</v>
      </c>
      <c r="BR187" s="1" t="s">
        <v>237</v>
      </c>
      <c r="BS187" s="1" t="s">
        <v>228</v>
      </c>
      <c r="BT187" s="1" t="s">
        <v>237</v>
      </c>
      <c r="BU187" s="1" t="s">
        <v>236</v>
      </c>
      <c r="BW187" s="1" t="s">
        <v>238</v>
      </c>
      <c r="BX187" s="1">
        <v>60</v>
      </c>
      <c r="BY187" s="1">
        <v>175</v>
      </c>
      <c r="BZ187" s="1" t="s">
        <v>253</v>
      </c>
      <c r="CA187" s="1" t="s">
        <v>384</v>
      </c>
      <c r="CB187" s="1" t="s">
        <v>240</v>
      </c>
      <c r="CC187" s="1" t="s">
        <v>1697</v>
      </c>
      <c r="CD187" s="1">
        <v>1000</v>
      </c>
      <c r="CE187" s="1">
        <v>500</v>
      </c>
      <c r="CF187" s="1" t="s">
        <v>236</v>
      </c>
      <c r="CG187" s="1" t="s">
        <v>242</v>
      </c>
      <c r="CH187" s="1" t="s">
        <v>243</v>
      </c>
      <c r="CI187" s="1" t="s">
        <v>243</v>
      </c>
      <c r="CJ187" s="1" t="s">
        <v>2848</v>
      </c>
      <c r="CL187" s="5" t="s">
        <v>6052</v>
      </c>
      <c r="CM187" s="44" t="s">
        <v>2452</v>
      </c>
      <c r="CN187" s="1" t="s">
        <v>228</v>
      </c>
      <c r="CQ187" s="42">
        <v>0.33333333333575865</v>
      </c>
      <c r="CR187" s="42">
        <v>0.39583333333575865</v>
      </c>
      <c r="CT187" s="45" t="str">
        <f t="array" ref="CT187">IFERROR(INDEX(#REF!,MATCH('Respuestas de formulario 1.1'!$B187,#REF!,0),MATCH('Respuestas de formulario 1.1'!CT$1,#REF!,0)),"")</f>
        <v/>
      </c>
      <c r="CU187" s="56" t="str">
        <f t="array" ref="CU187">IFERROR(INDEX(#REF!,MATCH('Respuestas de formulario 1.1'!$B187,#REF!,0),MATCH('Respuestas de formulario 1.1'!CU$1,#REF!,0)),"")</f>
        <v/>
      </c>
      <c r="CV187" s="56" t="str">
        <f t="array" ref="CV187">IFERROR(INDEX(#REF!,MATCH('Respuestas de formulario 1.1'!$B187,#REF!,0),MATCH('Respuestas de formulario 1.1'!CV$1,#REF!,0)),"")</f>
        <v/>
      </c>
      <c r="CW187" s="56" t="str">
        <f t="array" ref="CW187">IFERROR(INDEX(#REF!,MATCH('Respuestas de formulario 1.1'!$B187,#REF!,0),MATCH('Respuestas de formulario 1.1'!CW$1,#REF!,0)),"")</f>
        <v/>
      </c>
      <c r="CX187" s="56" t="str">
        <f t="array" ref="CX187">IFERROR(INDEX(#REF!,MATCH('Respuestas de formulario 1.1'!$B187,#REF!,0),MATCH('Respuestas de formulario 1.1'!CX$1,#REF!,0)),"")</f>
        <v/>
      </c>
      <c r="CY187" s="56" t="str">
        <f t="array" ref="CY187">IFERROR(INDEX(#REF!,MATCH('Respuestas de formulario 1.1'!$B187,#REF!,0),MATCH('Respuestas de formulario 1.1'!CY$1,#REF!,0)),"")</f>
        <v/>
      </c>
      <c r="CZ187" s="57" t="str">
        <f t="array" ref="CZ187">IFERROR(INDEX(#REF!,MATCH('Respuestas de formulario 1.1'!$B187,#REF!,0),MATCH('Respuestas de formulario 1.1'!CZ$1,#REF!,0)),"")</f>
        <v/>
      </c>
      <c r="DA187" s="45" t="e">
        <f t="array" ref="DA187">INDEX(#REF!,MATCH('Respuestas de formulario 1.1'!$B187,#REF!,0),MATCH('Respuestas de formulario 1.1'!DA$1,#REF!,0))</f>
        <v>#REF!</v>
      </c>
      <c r="DB187" s="45" t="e">
        <f t="array" ref="DB187">INDEX(#REF!,MATCH('Respuestas de formulario 1.1'!$B187,#REF!,0),MATCH('Respuestas de formulario 1.1'!DB$1,#REF!,0))</f>
        <v>#REF!</v>
      </c>
      <c r="DC187" s="45" t="e">
        <f t="array" ref="DC187">INDEX(#REF!,MATCH('Respuestas de formulario 1.1'!$B187,#REF!,0),MATCH('Respuestas de formulario 1.1'!DC$1,#REF!,0))</f>
        <v>#REF!</v>
      </c>
      <c r="DD187" s="45" t="e">
        <f t="array" ref="DD187">INDEX(#REF!,MATCH('Respuestas de formulario 1.1'!$B187,#REF!,0),MATCH('Respuestas de formulario 1.1'!DD$1,#REF!,0))</f>
        <v>#REF!</v>
      </c>
      <c r="DE187" s="45" t="e">
        <f t="array" ref="DE187">INDEX(#REF!,MATCH('Respuestas de formulario 1.1'!$B187,#REF!,0),MATCH('Respuestas de formulario 1.1'!DE$1,#REF!,0))</f>
        <v>#REF!</v>
      </c>
      <c r="DF187" s="45" t="e">
        <f t="array" ref="DF187">INDEX(#REF!,MATCH('Respuestas de formulario 1.1'!$B187,#REF!,0),MATCH('Respuestas de formulario 1.1'!DF$1,#REF!,0))</f>
        <v>#REF!</v>
      </c>
      <c r="DG187" s="45" t="e">
        <f t="array" ref="DG187">INDEX(#REF!,MATCH('Respuestas de formulario 1.1'!$B187,#REF!,0),MATCH('Respuestas de formulario 1.1'!DG$1,#REF!,0))</f>
        <v>#REF!</v>
      </c>
      <c r="DH187" s="45" t="e">
        <f t="array" ref="DH187">INDEX(#REF!,MATCH('Respuestas de formulario 1.1'!$B187,#REF!,0),MATCH('Respuestas de formulario 1.1'!DH$1,#REF!,0))</f>
        <v>#REF!</v>
      </c>
      <c r="DI187" s="48" t="e">
        <f>VLOOKUP(CONCATENATE($DF187," TUTO ",$DC187),#REF!,3,0)</f>
        <v>#REF!</v>
      </c>
      <c r="DJ187" s="48" t="e">
        <f t="array" ref="DJ187">IF('Respuestas de formulario 1.1'!A187="","",INDEX(#REF!,MATCH('Respuestas de formulario 1.1'!B187,#REF!,0),MATCH('Respuestas de formulario 1.1'!$DH$1,#REF!,0)))</f>
        <v>#REF!</v>
      </c>
      <c r="DK187" s="52" t="str">
        <f>CONCATENATE("http://doc.google.com/uc?id=",MID('Respuestas de formulario 1.1'!G187,34,33))</f>
        <v>http://doc.google.com/uc?id=1f6aCBdrSHYXhzeZAdvJayaw5FCSKbi4n</v>
      </c>
      <c r="DL187" s="49" t="str">
        <f>CONCATENATE("http://doc.google.com/uc?id=",MID('Respuestas de formulario 1.1'!AH187,34,33))</f>
        <v>http://doc.google.com/uc?id=1f0GycFX8knsL5Qt-e-ks6ACY9Ox2bj2s</v>
      </c>
      <c r="DM187" s="50" t="str">
        <f>CONCATENATE("http://doc.google.com/uc?id=",MID('Respuestas de formulario 1.1'!AW187,34,33))</f>
        <v>http://doc.google.com/uc?id=1V7EhtHGrX65HMG085Vve7KKzIEMWYUje</v>
      </c>
      <c r="DN187" s="53" t="str">
        <f>CONCATENATE("http://doc.google.com/uc?id=",MID('Respuestas de formulario 1.1'!$BI187,34,33))</f>
        <v>http://doc.google.com/uc?id=1WBSCOSte_YV1Efnh0mdniCc8ax0JJp3j</v>
      </c>
      <c r="DO187" s="45" t="str">
        <f>IFERROR(VLOOKUP(CONCATENATE('Respuestas de formulario 1.1'!$B187,MID('Respuestas de formulario 1.1'!DO$1,2,1)),#REF!,12,0),"")</f>
        <v/>
      </c>
      <c r="DP187" s="45" t="str">
        <f>IFERROR(VLOOKUP(CONCATENATE('Respuestas de formulario 1.1'!$B187,MID('Respuestas de formulario 1.1'!DP$1,2,1)),#REF!,12,0),"")</f>
        <v/>
      </c>
      <c r="DQ187" s="45" t="str">
        <f>IFERROR(VLOOKUP(CONCATENATE('Respuestas de formulario 1.1'!$B187,MID('Respuestas de formulario 1.1'!DQ$1,2,1)),#REF!,12,0),"")</f>
        <v/>
      </c>
      <c r="DR187" s="45" t="str">
        <f>IFERROR(VLOOKUP(CONCATENATE('Respuestas de formulario 1.1'!$B187,MID('Respuestas de formulario 1.1'!DR$1,2,1)),#REF!,12,0),"")</f>
        <v/>
      </c>
      <c r="DS187" s="45" t="str">
        <f>IFERROR(VLOOKUP(CONCATENATE('Respuestas de formulario 1.1'!$B187,MID('Respuestas de formulario 1.1'!DS$1,2,1)),#REF!,12,0),"")</f>
        <v/>
      </c>
      <c r="DT187" s="45" t="str">
        <f>IFERROR(VLOOKUP(CONCATENATE('Respuestas de formulario 1.1'!$B187,MID('Respuestas de formulario 1.1'!DT$1,2,1)),#REF!,12,0),"")</f>
        <v/>
      </c>
      <c r="DU187" s="45" t="str">
        <f>IFERROR(VLOOKUP(CONCATENATE('Respuestas de formulario 1.1'!$B187,MID('Respuestas de formulario 1.1'!DU$1,2,1)),#REF!,12,0),"")</f>
        <v/>
      </c>
      <c r="DV187" s="45" t="str">
        <f>IFERROR(VLOOKUP(CONCATENATE('Respuestas de formulario 1.1'!$B187,MID('Respuestas de formulario 1.1'!DV$1,2,1)),#REF!,12,0),"")</f>
        <v/>
      </c>
      <c r="DW187" s="45" t="str">
        <f>IFERROR(VLOOKUP(CONCATENATE('Respuestas de formulario 1.1'!$B187,MID('Respuestas de formulario 1.1'!DW$1,2,1)),#REF!,12,0),"")</f>
        <v/>
      </c>
      <c r="DX187" s="45" t="str">
        <f>IFERROR(VLOOKUP(CONCATENATE('Respuestas de formulario 1.1'!$B187,MID('Respuestas de formulario 1.1'!DX$1,2,1)),#REF!,12,0),"")</f>
        <v/>
      </c>
      <c r="DY187" s="45" t="str">
        <f>IFERROR(VLOOKUP(CONCATENATE('Respuestas de formulario 1.1'!$B187,MID('Respuestas de formulario 1.1'!DY$1,2,1)),#REF!,12,0),"")</f>
        <v/>
      </c>
      <c r="DZ187" s="45" t="str">
        <f>IFERROR(VLOOKUP(CONCATENATE('Respuestas de formulario 1.1'!$B187,MID('Respuestas de formulario 1.1'!DZ$1,2,1)),#REF!,12,0),"")</f>
        <v/>
      </c>
      <c r="EA187" s="45" t="str">
        <f>IFERROR(VLOOKUP(CONCATENATE('Respuestas de formulario 1.1'!$B187,MID('Respuestas de formulario 1.1'!EA$1,2,1)),#REF!,12,0),"")</f>
        <v/>
      </c>
      <c r="EB187" s="45" t="str">
        <f>IFERROR(VLOOKUP(CONCATENATE('Respuestas de formulario 1.1'!$B187,MID('Respuestas de formulario 1.1'!EB$1,2,1)),#REF!,12,0),"")</f>
        <v/>
      </c>
      <c r="EC187" s="45" t="str">
        <f>IFERROR(VLOOKUP(CONCATENATE('Respuestas de formulario 1.1'!$B187,MID('Respuestas de formulario 1.1'!EC$1,2,1)),#REF!,12,0),"")</f>
        <v/>
      </c>
      <c r="ED187" s="45" t="str">
        <f>IFERROR(VLOOKUP(CONCATENATE('Respuestas de formulario 1.1'!$B187,MID('Respuestas de formulario 1.1'!ED$1,2,1)),#REF!,12,0),"")</f>
        <v/>
      </c>
      <c r="EE187" s="45" t="str">
        <f>IFERROR(VLOOKUP(CONCATENATE('Respuestas de formulario 1.1'!$B187,MID('Respuestas de formulario 1.1'!EE$1,2,1)),#REF!,12,0),"")</f>
        <v/>
      </c>
      <c r="EF187" s="45" t="str">
        <f>IFERROR(VLOOKUP(CONCATENATE('Respuestas de formulario 1.1'!$B187,MID('Respuestas de formulario 1.1'!EF$1,2,1)),#REF!,12,0),"")</f>
        <v/>
      </c>
      <c r="EG187" s="45" t="str">
        <f>IFERROR(VLOOKUP(CONCATENATE('Respuestas de formulario 1.1'!$B187,MID('Respuestas de formulario 1.1'!EG$1,2,1)),#REF!,12,0),"")</f>
        <v/>
      </c>
      <c r="EH187" s="45" t="str">
        <f>IFERROR(VLOOKUP(CONCATENATE('Respuestas de formulario 1.1'!$B187,MID('Respuestas de formulario 1.1'!EH$1,2,1)),#REF!,12,0),"")</f>
        <v/>
      </c>
      <c r="EI187" s="45" t="str">
        <f>IFERROR(VLOOKUP(CONCATENATE('Respuestas de formulario 1.1'!$B187,MID('Respuestas de formulario 1.1'!EI$1,2,1)),#REF!,12,0),"")</f>
        <v/>
      </c>
      <c r="EJ187" s="45" t="str">
        <f t="array" ref="EJ187">IF(DO187="","", INDEX(#REF!,MATCH(CONCATENATE('Respuestas de formulario 1.1'!$B187,DO187),#REF!,0),MATCH('Respuestas de formulario 1.1'!EJ$1,#REF!,0)))</f>
        <v/>
      </c>
      <c r="EK187" s="56" t="str">
        <f t="array" ref="EK187">IF(DP187="","", INDEX(#REF!,MATCH(CONCATENATE('Respuestas de formulario 1.1'!$B187,DP187),#REF!,0),MATCH('Respuestas de formulario 1.1'!EK$1,#REF!,0)))</f>
        <v/>
      </c>
      <c r="EL187" s="56" t="str">
        <f t="array" ref="EL187">IF(DQ187="","", INDEX(#REF!,MATCH(CONCATENATE('Respuestas de formulario 1.1'!$B187,DQ187),#REF!,0),MATCH('Respuestas de formulario 1.1'!EL$1,#REF!,0)))</f>
        <v/>
      </c>
      <c r="EM187" s="56" t="str">
        <f t="array" ref="EM187">IF(DR187="","", INDEX(#REF!,MATCH(CONCATENATE('Respuestas de formulario 1.1'!$B187,DR187),#REF!,0),MATCH('Respuestas de formulario 1.1'!EM$1,#REF!,0)))</f>
        <v/>
      </c>
      <c r="EN187" s="56" t="str">
        <f t="array" ref="EN187">IF(DS187="","", INDEX(#REF!,MATCH(CONCATENATE('Respuestas de formulario 1.1'!$B187,DS187),#REF!,0),MATCH('Respuestas de formulario 1.1'!EN$1,#REF!,0)))</f>
        <v/>
      </c>
      <c r="EO187" s="56" t="str">
        <f t="array" ref="EO187">IF(DT187="","", INDEX(#REF!,MATCH(CONCATENATE('Respuestas de formulario 1.1'!$B187,DT187),#REF!,0),MATCH('Respuestas de formulario 1.1'!EO$1,#REF!,0)))</f>
        <v/>
      </c>
      <c r="EP187" s="45" t="str">
        <f t="array" ref="EP187">IF(DU187="","", INDEX(#REF!,MATCH(CONCATENATE('Respuestas de formulario 1.1'!$B187,DU187),#REF!,0),MATCH('Respuestas de formulario 1.1'!EP$1,#REF!,0)))</f>
        <v/>
      </c>
      <c r="EQ187" s="45" t="str">
        <f t="array" ref="EQ187">IF(DP187="","", INDEX(#REF!,MATCH(CONCATENATE('Respuestas de formulario 1.1'!$B187,DP187),#REF!,0),MATCH('Respuestas de formulario 1.1'!EQ$1,#REF!,0)))</f>
        <v/>
      </c>
      <c r="ER187" s="56" t="str">
        <f t="array" ref="ER187">IF(DQ187="","", INDEX(#REF!,MATCH(CONCATENATE('Respuestas de formulario 1.1'!$B187,DQ187),#REF!,0),MATCH('Respuestas de formulario 1.1'!ER$1,#REF!,0)))</f>
        <v/>
      </c>
      <c r="ES187" s="56" t="str">
        <f t="array" ref="ES187">IF(DR187="","", INDEX(#REF!,MATCH(CONCATENATE('Respuestas de formulario 1.1'!$B187,DR187),#REF!,0),MATCH('Respuestas de formulario 1.1'!ES$1,#REF!,0)))</f>
        <v/>
      </c>
      <c r="ET187" s="56" t="str">
        <f t="array" ref="ET187">IF(DS187="","", INDEX(#REF!,MATCH(CONCATENATE('Respuestas de formulario 1.1'!$B187,DS187),#REF!,0),MATCH('Respuestas de formulario 1.1'!ET$1,#REF!,0)))</f>
        <v/>
      </c>
      <c r="EU187" s="56" t="str">
        <f t="array" ref="EU187">IF(DT187="","", INDEX(#REF!,MATCH(CONCATENATE('Respuestas de formulario 1.1'!$B187,DT187),#REF!,0),MATCH('Respuestas de formulario 1.1'!EU$1,#REF!,0)))</f>
        <v/>
      </c>
      <c r="EV187" s="56" t="str">
        <f t="array" ref="EV187">IF(DU187="","", INDEX(#REF!,MATCH(CONCATENATE('Respuestas de formulario 1.1'!$B187,DU187),#REF!,0),MATCH('Respuestas de formulario 1.1'!EV$1,#REF!,0)))</f>
        <v/>
      </c>
      <c r="EW187" s="45" t="str">
        <f t="array" ref="EW187">IF(DV187="","", INDEX(#REF!,MATCH(CONCATENATE('Respuestas de formulario 1.1'!$B187,DV187),#REF!,0),MATCH('Respuestas de formulario 1.1'!EW$1,#REF!,0)))</f>
        <v/>
      </c>
      <c r="EX187" s="45" t="str">
        <f t="array" ref="EX187">IF($DQ187="","", INDEX(#REF!,MATCH(CONCATENATE('Respuestas de formulario 1.1'!$B187,$DQ187),#REF!,0),MATCH('Respuestas de formulario 1.1'!EX$1,#REF!,0)))</f>
        <v/>
      </c>
      <c r="EY187" s="56" t="str">
        <f t="array" ref="EY187">IF($DQ187="","", INDEX(#REF!,MATCH(CONCATENATE('Respuestas de formulario 1.1'!$B187,$DQ187),#REF!,0),MATCH('Respuestas de formulario 1.1'!EY$1,#REF!,0)))</f>
        <v/>
      </c>
      <c r="EZ187" s="56" t="str">
        <f t="array" ref="EZ187">IF($DQ187="","", INDEX(#REF!,MATCH(CONCATENATE('Respuestas de formulario 1.1'!$B187,$DQ187),#REF!,0),MATCH('Respuestas de formulario 1.1'!EZ$1,#REF!,0)))</f>
        <v/>
      </c>
      <c r="FA187" s="56" t="str">
        <f t="array" ref="FA187">IF($DQ187="","", INDEX(#REF!,MATCH(CONCATENATE('Respuestas de formulario 1.1'!$B187,$DQ187),#REF!,0),MATCH('Respuestas de formulario 1.1'!FA$1,#REF!,0)))</f>
        <v/>
      </c>
      <c r="FB187" s="56" t="str">
        <f t="array" ref="FB187">IF($DQ187="","", INDEX(#REF!,MATCH(CONCATENATE('Respuestas de formulario 1.1'!$B187,$DQ187),#REF!,0),MATCH('Respuestas de formulario 1.1'!FB$1,#REF!,0)))</f>
        <v/>
      </c>
      <c r="FC187" s="56" t="str">
        <f t="array" ref="FC187">IF($DQ187="","", INDEX(#REF!,MATCH(CONCATENATE('Respuestas de formulario 1.1'!$B187,$DQ187),#REF!,0),MATCH('Respuestas de formulario 1.1'!FC$1,#REF!,0)))</f>
        <v/>
      </c>
      <c r="FD187" s="45" t="str">
        <f t="array" ref="FD187">IF($DQ187="","", INDEX(#REF!,MATCH(CONCATENATE('Respuestas de formulario 1.1'!$B187,$DQ187),#REF!,0),MATCH('Respuestas de formulario 1.1'!FD$1,#REF!,0)))</f>
        <v/>
      </c>
      <c r="FE187" s="45" t="str">
        <f t="array" ref="FE187">IF($DR187="","", INDEX(#REF!,MATCH(CONCATENATE(#REF!,$DR187),#REF!,0),MATCH(#REF!,#REF!,0)))</f>
        <v/>
      </c>
      <c r="FF187" s="56" t="str">
        <f t="array" ref="FF187">IF($DR187="","", INDEX(#REF!,MATCH(CONCATENATE(#REF!,$DR187),#REF!,0),MATCH(#REF!,#REF!,0)))</f>
        <v/>
      </c>
      <c r="FG187" s="56" t="str">
        <f t="array" ref="FG187">IF($DR187="","", INDEX(#REF!,MATCH(CONCATENATE(#REF!,$DR187),#REF!,0),MATCH(#REF!,#REF!,0)))</f>
        <v/>
      </c>
      <c r="FH187" s="56" t="str">
        <f t="array" ref="FH187">IF($DR187="","", INDEX(#REF!,MATCH(CONCATENATE(#REF!,$DR187),#REF!,0),MATCH(#REF!,#REF!,0)))</f>
        <v/>
      </c>
      <c r="FI187" s="56" t="str">
        <f t="array" ref="FI187">IF($DR187="","", INDEX(#REF!,MATCH(CONCATENATE(#REF!,$DR187),#REF!,0),MATCH(#REF!,#REF!,0)))</f>
        <v/>
      </c>
      <c r="FJ187" s="56" t="str">
        <f t="array" ref="FJ187">IF($DR187="","", INDEX(#REF!,MATCH(CONCATENATE(#REF!,$DR187),#REF!,0),MATCH(#REF!,#REF!,0)))</f>
        <v/>
      </c>
      <c r="FK187" s="45" t="str">
        <f t="array" ref="FK187">IF($DR187="","", INDEX(#REF!,MATCH(CONCATENATE(#REF!,$DR187),#REF!,0),MATCH(#REF!,#REF!,0)))</f>
        <v/>
      </c>
      <c r="FL187" s="45" t="str">
        <f t="array" ref="FL187">IF($DT187="","", INDEX(#REF!,MATCH(CONCATENATE('Respuestas de formulario 1.1'!$B187,$DS187),#REF!,0),MATCH('Respuestas de formulario 1.1'!FL$1,#REF!,0)))</f>
        <v/>
      </c>
      <c r="FM187" s="56" t="str">
        <f t="array" ref="FM187">IF($DT187="","", INDEX(#REF!,MATCH(CONCATENATE('Respuestas de formulario 1.1'!$B187,$DS187),#REF!,0),MATCH('Respuestas de formulario 1.1'!FM$1,#REF!,0)))</f>
        <v/>
      </c>
      <c r="FN187" s="56" t="str">
        <f t="array" ref="FN187">IF($DT187="","", INDEX(#REF!,MATCH(CONCATENATE('Respuestas de formulario 1.1'!$B187,$DS187),#REF!,0),MATCH('Respuestas de formulario 1.1'!FN$1,#REF!,0)))</f>
        <v/>
      </c>
      <c r="FO187" s="56" t="str">
        <f t="array" ref="FO187">IF($DT187="","", INDEX(#REF!,MATCH(CONCATENATE('Respuestas de formulario 1.1'!$B187,$DS187),#REF!,0),MATCH('Respuestas de formulario 1.1'!FO$1,#REF!,0)))</f>
        <v/>
      </c>
      <c r="FP187" s="56" t="str">
        <f t="array" ref="FP187">IF($DT187="","", INDEX(#REF!,MATCH(CONCATENATE('Respuestas de formulario 1.1'!$B187,$DS187),#REF!,0),MATCH('Respuestas de formulario 1.1'!FP$1,#REF!,0)))</f>
        <v/>
      </c>
      <c r="FQ187" s="56" t="str">
        <f t="array" ref="FQ187">IF($DT187="","", INDEX(#REF!,MATCH(CONCATENATE('Respuestas de formulario 1.1'!$B187,$DS187),#REF!,0),MATCH('Respuestas de formulario 1.1'!FQ$1,#REF!,0)))</f>
        <v/>
      </c>
      <c r="FR187" s="45" t="str">
        <f t="array" ref="FR187">IF($DT187="","", INDEX(#REF!,MATCH(CONCATENATE('Respuestas de formulario 1.1'!$B187,$DS187),#REF!,0),MATCH('Respuestas de formulario 1.1'!FR$1,#REF!,0)))</f>
        <v/>
      </c>
      <c r="FS187" s="45" t="str">
        <f t="array" ref="FS187">IF($DU187="","", INDEX(#REF!,MATCH(CONCATENATE('Respuestas de formulario 1.1'!$B187,$DT187),#REF!,0),MATCH('Respuestas de formulario 1.1'!FS$1,#REF!,0)))</f>
        <v/>
      </c>
      <c r="FT187" s="56" t="str">
        <f t="array" ref="FT187">IF($DU187="","", INDEX(#REF!,MATCH(CONCATENATE('Respuestas de formulario 1.1'!$B187,$DT187),#REF!,0),MATCH('Respuestas de formulario 1.1'!FT$1,#REF!,0)))</f>
        <v/>
      </c>
      <c r="FU187" s="56" t="str">
        <f t="array" ref="FU187">IF($DU187="","", INDEX(#REF!,MATCH(CONCATENATE('Respuestas de formulario 1.1'!$B187,$DT187),#REF!,0),MATCH('Respuestas de formulario 1.1'!FU$1,#REF!,0)))</f>
        <v/>
      </c>
      <c r="FV187" s="56" t="str">
        <f t="array" ref="FV187">IF($DU187="","", INDEX(#REF!,MATCH(CONCATENATE('Respuestas de formulario 1.1'!$B187,$DT187),#REF!,0),MATCH('Respuestas de formulario 1.1'!FV$1,#REF!,0)))</f>
        <v/>
      </c>
      <c r="FW187" s="56" t="str">
        <f t="array" ref="FW187">IF($DU187="","", INDEX(#REF!,MATCH(CONCATENATE('Respuestas de formulario 1.1'!$B187,$DT187),#REF!,0),MATCH('Respuestas de formulario 1.1'!FW$1,#REF!,0)))</f>
        <v/>
      </c>
      <c r="FX187" s="56" t="str">
        <f t="array" ref="FX187">IF($DU187="","", INDEX(#REF!,MATCH(CONCATENATE('Respuestas de formulario 1.1'!$B187,$DT187),#REF!,0),MATCH('Respuestas de formulario 1.1'!FX$1,#REF!,0)))</f>
        <v/>
      </c>
      <c r="FY187" s="45" t="str">
        <f t="array" ref="FY187">IF($DU187="","", INDEX(#REF!,MATCH(CONCATENATE('Respuestas de formulario 1.1'!$B187,$DT187),#REF!,0),MATCH('Respuestas de formulario 1.1'!FY$1,#REF!,0)))</f>
        <v/>
      </c>
      <c r="FZ187" s="3" t="s">
        <v>2860</v>
      </c>
      <c r="GA187" s="1" t="s">
        <v>6053</v>
      </c>
      <c r="GB187" s="5" t="s">
        <v>6054</v>
      </c>
      <c r="GC187" s="4" t="str">
        <f>HYPERLINK("https://drive.google.com/file/d/1_0CUXlzOIOlWuE-QQKYMd7dyfOf_RXki/view?usp=drivesdk","ELIAS PANTOJA  ALEJANDRO  Formato de reinscripción y pago 2022-2")</f>
        <v>ELIAS PANTOJA  ALEJANDRO  Formato de reinscripción y pago 2022-2</v>
      </c>
      <c r="GD187" s="1" t="s">
        <v>6055</v>
      </c>
      <c r="GE187" s="1"/>
      <c r="GF187" s="1"/>
      <c r="GG187" s="1"/>
      <c r="GH187" s="1"/>
      <c r="GI187" s="1" t="s">
        <v>6056</v>
      </c>
      <c r="GJ187" s="5" t="s">
        <v>6057</v>
      </c>
      <c r="GK187" s="5" t="str">
        <f>HYPERLINK("https://drive.google.com/file/d/1b5eBOh1PYdgY6FwQFcu3aER_602epD1L/view?usp=drivesdk","ELIAS  PANTOJA ALEJANDRO  Formato de reinscripción y pago 2022-2")</f>
        <v>ELIAS  PANTOJA ALEJANDRO  Formato de reinscripción y pago 2022-2</v>
      </c>
      <c r="GL187" s="1" t="s">
        <v>6058</v>
      </c>
    </row>
    <row r="188" spans="1:194" ht="38.25" x14ac:dyDescent="0.2">
      <c r="A188" s="2">
        <v>45139.494795185186</v>
      </c>
      <c r="B188" s="1" t="s">
        <v>2376</v>
      </c>
      <c r="C188" s="1" t="s">
        <v>788</v>
      </c>
      <c r="D188" s="1" t="s">
        <v>1430</v>
      </c>
      <c r="E188" s="1" t="s">
        <v>2377</v>
      </c>
      <c r="F188" s="1" t="s">
        <v>223</v>
      </c>
      <c r="G188" s="5" t="s">
        <v>6059</v>
      </c>
      <c r="H188" s="41">
        <v>39010</v>
      </c>
      <c r="I188" s="1">
        <v>16</v>
      </c>
      <c r="J188" s="1">
        <v>5623708561</v>
      </c>
      <c r="K188" s="1">
        <v>5522378869</v>
      </c>
      <c r="L188" s="1" t="s">
        <v>2378</v>
      </c>
      <c r="M188" s="1">
        <v>21309060570746</v>
      </c>
      <c r="N188" s="1" t="s">
        <v>1108</v>
      </c>
      <c r="O188" s="1" t="s">
        <v>225</v>
      </c>
      <c r="P188" s="1" t="s">
        <v>278</v>
      </c>
      <c r="Q188" s="1" t="s">
        <v>248</v>
      </c>
      <c r="R188" s="1" t="s">
        <v>236</v>
      </c>
      <c r="S188" s="1" t="s">
        <v>228</v>
      </c>
      <c r="T188" s="1" t="s">
        <v>229</v>
      </c>
      <c r="U188" s="1" t="s">
        <v>264</v>
      </c>
      <c r="V188" s="1" t="s">
        <v>228</v>
      </c>
      <c r="W188" s="1" t="s">
        <v>6060</v>
      </c>
      <c r="X188" s="1" t="s">
        <v>264</v>
      </c>
      <c r="Y188" s="1" t="s">
        <v>2515</v>
      </c>
      <c r="Z188" s="1" t="s">
        <v>231</v>
      </c>
      <c r="AA188" s="1">
        <v>57710</v>
      </c>
      <c r="AB188" s="1">
        <v>346</v>
      </c>
      <c r="AC188" s="1" t="s">
        <v>6061</v>
      </c>
      <c r="AD188" s="1" t="s">
        <v>6062</v>
      </c>
      <c r="AE188" s="1" t="s">
        <v>2379</v>
      </c>
      <c r="AF188" s="1" t="s">
        <v>580</v>
      </c>
      <c r="AG188" s="1">
        <v>51</v>
      </c>
      <c r="AH188" s="5" t="s">
        <v>6063</v>
      </c>
      <c r="AI188" s="1">
        <v>5550642302</v>
      </c>
      <c r="AJ188" s="1">
        <v>5522378869</v>
      </c>
      <c r="AK188" s="1" t="s">
        <v>6064</v>
      </c>
      <c r="AL188" s="1" t="s">
        <v>788</v>
      </c>
      <c r="AM188" s="1" t="s">
        <v>853</v>
      </c>
      <c r="AN188" s="1" t="s">
        <v>2390</v>
      </c>
      <c r="AO188" s="1" t="s">
        <v>291</v>
      </c>
      <c r="AP188" s="1">
        <v>58</v>
      </c>
      <c r="AQ188" s="1" t="s">
        <v>512</v>
      </c>
      <c r="AR188" s="42">
        <v>0.33333333333575865</v>
      </c>
      <c r="AS188" s="42">
        <v>0.20833333333575865</v>
      </c>
      <c r="AT188" s="1">
        <v>5550642302</v>
      </c>
      <c r="AU188" s="1">
        <v>5550642302</v>
      </c>
      <c r="AV188" s="1" t="s">
        <v>6065</v>
      </c>
      <c r="AW188" s="5" t="s">
        <v>6066</v>
      </c>
      <c r="AX188" s="1" t="s">
        <v>788</v>
      </c>
      <c r="AY188" s="1" t="s">
        <v>1430</v>
      </c>
      <c r="AZ188" s="1" t="s">
        <v>2380</v>
      </c>
      <c r="BA188" s="1" t="s">
        <v>488</v>
      </c>
      <c r="BB188" s="1">
        <v>24</v>
      </c>
      <c r="BC188" s="1" t="s">
        <v>2448</v>
      </c>
      <c r="BD188" s="43">
        <v>0.29166666666424135</v>
      </c>
      <c r="BE188" s="43">
        <v>6.25E-2</v>
      </c>
      <c r="BF188" s="1">
        <v>5526867083</v>
      </c>
      <c r="BG188" s="1">
        <v>5526867083</v>
      </c>
      <c r="BH188" s="1" t="s">
        <v>6067</v>
      </c>
      <c r="BI188" s="5" t="s">
        <v>6068</v>
      </c>
      <c r="BJ188" s="1" t="s">
        <v>236</v>
      </c>
      <c r="BL188" s="1">
        <v>1.6</v>
      </c>
      <c r="BM188" s="1">
        <v>65</v>
      </c>
      <c r="BN188" s="1" t="s">
        <v>236</v>
      </c>
      <c r="BO188" s="1" t="s">
        <v>228</v>
      </c>
      <c r="BQ188" s="1" t="s">
        <v>228</v>
      </c>
      <c r="BR188" s="1" t="s">
        <v>237</v>
      </c>
      <c r="BS188" s="1" t="s">
        <v>228</v>
      </c>
      <c r="BT188" s="1" t="s">
        <v>237</v>
      </c>
      <c r="BU188" s="1" t="s">
        <v>228</v>
      </c>
      <c r="BW188" s="1" t="s">
        <v>238</v>
      </c>
      <c r="BX188" s="1">
        <v>60</v>
      </c>
      <c r="BY188" s="1">
        <v>250</v>
      </c>
      <c r="BZ188" s="1" t="s">
        <v>1348</v>
      </c>
      <c r="CA188" s="1" t="s">
        <v>273</v>
      </c>
      <c r="CB188" s="1" t="s">
        <v>240</v>
      </c>
      <c r="CC188" s="1" t="s">
        <v>2235</v>
      </c>
      <c r="CD188" s="1">
        <v>300</v>
      </c>
      <c r="CE188" s="1">
        <v>1800</v>
      </c>
      <c r="CF188" s="1" t="s">
        <v>236</v>
      </c>
      <c r="CG188" s="1" t="s">
        <v>323</v>
      </c>
      <c r="CH188" s="1" t="s">
        <v>243</v>
      </c>
      <c r="CI188" s="1" t="s">
        <v>243</v>
      </c>
      <c r="CJ188" s="1" t="s">
        <v>2848</v>
      </c>
      <c r="CL188" s="5" t="s">
        <v>6069</v>
      </c>
      <c r="CM188" s="1">
        <v>15210666754</v>
      </c>
      <c r="CN188" s="1" t="s">
        <v>228</v>
      </c>
      <c r="CQ188" s="42">
        <v>0.33333333333575865</v>
      </c>
      <c r="CR188" s="42">
        <v>4.1666666664241347E-2</v>
      </c>
      <c r="CT188" s="45" t="str">
        <f t="array" ref="CT188">IFERROR(INDEX(#REF!,MATCH('Respuestas de formulario 1.1'!$B188,#REF!,0),MATCH('Respuestas de formulario 1.1'!CT$1,#REF!,0)),"")</f>
        <v/>
      </c>
      <c r="CU188" s="56" t="str">
        <f t="array" ref="CU188">IFERROR(INDEX(#REF!,MATCH('Respuestas de formulario 1.1'!$B188,#REF!,0),MATCH('Respuestas de formulario 1.1'!CU$1,#REF!,0)),"")</f>
        <v/>
      </c>
      <c r="CV188" s="56" t="str">
        <f t="array" ref="CV188">IFERROR(INDEX(#REF!,MATCH('Respuestas de formulario 1.1'!$B188,#REF!,0),MATCH('Respuestas de formulario 1.1'!CV$1,#REF!,0)),"")</f>
        <v/>
      </c>
      <c r="CW188" s="56" t="str">
        <f t="array" ref="CW188">IFERROR(INDEX(#REF!,MATCH('Respuestas de formulario 1.1'!$B188,#REF!,0),MATCH('Respuestas de formulario 1.1'!CW$1,#REF!,0)),"")</f>
        <v/>
      </c>
      <c r="CX188" s="56" t="str">
        <f t="array" ref="CX188">IFERROR(INDEX(#REF!,MATCH('Respuestas de formulario 1.1'!$B188,#REF!,0),MATCH('Respuestas de formulario 1.1'!CX$1,#REF!,0)),"")</f>
        <v/>
      </c>
      <c r="CY188" s="56" t="str">
        <f t="array" ref="CY188">IFERROR(INDEX(#REF!,MATCH('Respuestas de formulario 1.1'!$B188,#REF!,0),MATCH('Respuestas de formulario 1.1'!CY$1,#REF!,0)),"")</f>
        <v/>
      </c>
      <c r="CZ188" s="57" t="str">
        <f t="array" ref="CZ188">IFERROR(INDEX(#REF!,MATCH('Respuestas de formulario 1.1'!$B188,#REF!,0),MATCH('Respuestas de formulario 1.1'!CZ$1,#REF!,0)),"")</f>
        <v/>
      </c>
      <c r="DA188" s="45" t="e">
        <f t="array" ref="DA188">INDEX(#REF!,MATCH('Respuestas de formulario 1.1'!$B188,#REF!,0),MATCH('Respuestas de formulario 1.1'!DA$1,#REF!,0))</f>
        <v>#REF!</v>
      </c>
      <c r="DB188" s="45" t="e">
        <f t="array" ref="DB188">INDEX(#REF!,MATCH('Respuestas de formulario 1.1'!$B188,#REF!,0),MATCH('Respuestas de formulario 1.1'!DB$1,#REF!,0))</f>
        <v>#REF!</v>
      </c>
      <c r="DC188" s="45" t="e">
        <f t="array" ref="DC188">INDEX(#REF!,MATCH('Respuestas de formulario 1.1'!$B188,#REF!,0),MATCH('Respuestas de formulario 1.1'!DC$1,#REF!,0))</f>
        <v>#REF!</v>
      </c>
      <c r="DD188" s="45" t="e">
        <f t="array" ref="DD188">INDEX(#REF!,MATCH('Respuestas de formulario 1.1'!$B188,#REF!,0),MATCH('Respuestas de formulario 1.1'!DD$1,#REF!,0))</f>
        <v>#REF!</v>
      </c>
      <c r="DE188" s="45" t="e">
        <f t="array" ref="DE188">INDEX(#REF!,MATCH('Respuestas de formulario 1.1'!$B188,#REF!,0),MATCH('Respuestas de formulario 1.1'!DE$1,#REF!,0))</f>
        <v>#REF!</v>
      </c>
      <c r="DF188" s="45" t="e">
        <f t="array" ref="DF188">INDEX(#REF!,MATCH('Respuestas de formulario 1.1'!$B188,#REF!,0),MATCH('Respuestas de formulario 1.1'!DF$1,#REF!,0))</f>
        <v>#REF!</v>
      </c>
      <c r="DG188" s="45" t="e">
        <f t="array" ref="DG188">INDEX(#REF!,MATCH('Respuestas de formulario 1.1'!$B188,#REF!,0),MATCH('Respuestas de formulario 1.1'!DG$1,#REF!,0))</f>
        <v>#REF!</v>
      </c>
      <c r="DH188" s="45" t="e">
        <f t="array" ref="DH188">INDEX(#REF!,MATCH('Respuestas de formulario 1.1'!$B188,#REF!,0),MATCH('Respuestas de formulario 1.1'!DH$1,#REF!,0))</f>
        <v>#REF!</v>
      </c>
      <c r="DI188" s="48" t="e">
        <f>VLOOKUP(CONCATENATE($DF188," TUTO ",$DC188),#REF!,3,0)</f>
        <v>#REF!</v>
      </c>
      <c r="DJ188" s="48" t="e">
        <f t="array" ref="DJ188">IF('Respuestas de formulario 1.1'!A188="","",INDEX(#REF!,MATCH('Respuestas de formulario 1.1'!B188,#REF!,0),MATCH('Respuestas de formulario 1.1'!$DH$1,#REF!,0)))</f>
        <v>#REF!</v>
      </c>
      <c r="DK188" s="52" t="str">
        <f>CONCATENATE("http://doc.google.com/uc?id=",MID('Respuestas de formulario 1.1'!G188,34,33))</f>
        <v>http://doc.google.com/uc?id=1JqOMUPPdYWtt-IhnNvADSW8-gWNY9JRo</v>
      </c>
      <c r="DL188" s="49" t="str">
        <f>CONCATENATE("http://doc.google.com/uc?id=",MID('Respuestas de formulario 1.1'!AH188,34,33))</f>
        <v>http://doc.google.com/uc?id=1twFDqfXuVXKiafb5BTE7P0vsCMo5OENL</v>
      </c>
      <c r="DM188" s="50" t="str">
        <f>CONCATENATE("http://doc.google.com/uc?id=",MID('Respuestas de formulario 1.1'!AW188,34,33))</f>
        <v>http://doc.google.com/uc?id=1OualOwrSJkgfsNAwJ--n1EndiPhzVNaM</v>
      </c>
      <c r="DN188" s="53" t="str">
        <f>CONCATENATE("http://doc.google.com/uc?id=",MID('Respuestas de formulario 1.1'!$BI188,34,33))</f>
        <v>http://doc.google.com/uc?id=18-DYuD7nUbC6AD3eEbmdms2gFEAt6i7U</v>
      </c>
      <c r="DO188" s="45" t="str">
        <f>IFERROR(VLOOKUP(CONCATENATE('Respuestas de formulario 1.1'!$B188,MID('Respuestas de formulario 1.1'!DO$1,2,1)),#REF!,12,0),"")</f>
        <v/>
      </c>
      <c r="DP188" s="45" t="str">
        <f>IFERROR(VLOOKUP(CONCATENATE('Respuestas de formulario 1.1'!$B188,MID('Respuestas de formulario 1.1'!DP$1,2,1)),#REF!,12,0),"")</f>
        <v/>
      </c>
      <c r="DQ188" s="45" t="str">
        <f>IFERROR(VLOOKUP(CONCATENATE('Respuestas de formulario 1.1'!$B188,MID('Respuestas de formulario 1.1'!DQ$1,2,1)),#REF!,12,0),"")</f>
        <v/>
      </c>
      <c r="DR188" s="45" t="str">
        <f>IFERROR(VLOOKUP(CONCATENATE('Respuestas de formulario 1.1'!$B188,MID('Respuestas de formulario 1.1'!DR$1,2,1)),#REF!,12,0),"")</f>
        <v/>
      </c>
      <c r="DS188" s="45" t="str">
        <f>IFERROR(VLOOKUP(CONCATENATE('Respuestas de formulario 1.1'!$B188,MID('Respuestas de formulario 1.1'!DS$1,2,1)),#REF!,12,0),"")</f>
        <v/>
      </c>
      <c r="DT188" s="45" t="str">
        <f>IFERROR(VLOOKUP(CONCATENATE('Respuestas de formulario 1.1'!$B188,MID('Respuestas de formulario 1.1'!DT$1,2,1)),#REF!,12,0),"")</f>
        <v/>
      </c>
      <c r="DU188" s="45" t="str">
        <f>IFERROR(VLOOKUP(CONCATENATE('Respuestas de formulario 1.1'!$B188,MID('Respuestas de formulario 1.1'!DU$1,2,1)),#REF!,12,0),"")</f>
        <v/>
      </c>
      <c r="DV188" s="45" t="str">
        <f>IFERROR(VLOOKUP(CONCATENATE('Respuestas de formulario 1.1'!$B188,MID('Respuestas de formulario 1.1'!DV$1,2,1)),#REF!,12,0),"")</f>
        <v/>
      </c>
      <c r="DW188" s="45" t="str">
        <f>IFERROR(VLOOKUP(CONCATENATE('Respuestas de formulario 1.1'!$B188,MID('Respuestas de formulario 1.1'!DW$1,2,1)),#REF!,12,0),"")</f>
        <v/>
      </c>
      <c r="DX188" s="45" t="str">
        <f>IFERROR(VLOOKUP(CONCATENATE('Respuestas de formulario 1.1'!$B188,MID('Respuestas de formulario 1.1'!DX$1,2,1)),#REF!,12,0),"")</f>
        <v/>
      </c>
      <c r="DY188" s="45" t="str">
        <f>IFERROR(VLOOKUP(CONCATENATE('Respuestas de formulario 1.1'!$B188,MID('Respuestas de formulario 1.1'!DY$1,2,1)),#REF!,12,0),"")</f>
        <v/>
      </c>
      <c r="DZ188" s="45" t="str">
        <f>IFERROR(VLOOKUP(CONCATENATE('Respuestas de formulario 1.1'!$B188,MID('Respuestas de formulario 1.1'!DZ$1,2,1)),#REF!,12,0),"")</f>
        <v/>
      </c>
      <c r="EA188" s="45" t="str">
        <f>IFERROR(VLOOKUP(CONCATENATE('Respuestas de formulario 1.1'!$B188,MID('Respuestas de formulario 1.1'!EA$1,2,1)),#REF!,12,0),"")</f>
        <v/>
      </c>
      <c r="EB188" s="45" t="str">
        <f>IFERROR(VLOOKUP(CONCATENATE('Respuestas de formulario 1.1'!$B188,MID('Respuestas de formulario 1.1'!EB$1,2,1)),#REF!,12,0),"")</f>
        <v/>
      </c>
      <c r="EC188" s="45" t="str">
        <f>IFERROR(VLOOKUP(CONCATENATE('Respuestas de formulario 1.1'!$B188,MID('Respuestas de formulario 1.1'!EC$1,2,1)),#REF!,12,0),"")</f>
        <v/>
      </c>
      <c r="ED188" s="45" t="str">
        <f>IFERROR(VLOOKUP(CONCATENATE('Respuestas de formulario 1.1'!$B188,MID('Respuestas de formulario 1.1'!ED$1,2,1)),#REF!,12,0),"")</f>
        <v/>
      </c>
      <c r="EE188" s="45" t="str">
        <f>IFERROR(VLOOKUP(CONCATENATE('Respuestas de formulario 1.1'!$B188,MID('Respuestas de formulario 1.1'!EE$1,2,1)),#REF!,12,0),"")</f>
        <v/>
      </c>
      <c r="EF188" s="45" t="str">
        <f>IFERROR(VLOOKUP(CONCATENATE('Respuestas de formulario 1.1'!$B188,MID('Respuestas de formulario 1.1'!EF$1,2,1)),#REF!,12,0),"")</f>
        <v/>
      </c>
      <c r="EG188" s="45" t="str">
        <f>IFERROR(VLOOKUP(CONCATENATE('Respuestas de formulario 1.1'!$B188,MID('Respuestas de formulario 1.1'!EG$1,2,1)),#REF!,12,0),"")</f>
        <v/>
      </c>
      <c r="EH188" s="45" t="str">
        <f>IFERROR(VLOOKUP(CONCATENATE('Respuestas de formulario 1.1'!$B188,MID('Respuestas de formulario 1.1'!EH$1,2,1)),#REF!,12,0),"")</f>
        <v/>
      </c>
      <c r="EI188" s="45" t="str">
        <f>IFERROR(VLOOKUP(CONCATENATE('Respuestas de formulario 1.1'!$B188,MID('Respuestas de formulario 1.1'!EI$1,2,1)),#REF!,12,0),"")</f>
        <v/>
      </c>
      <c r="EJ188" s="45" t="str">
        <f t="array" ref="EJ188">IF(DO188="","", INDEX(#REF!,MATCH(CONCATENATE('Respuestas de formulario 1.1'!$B188,DO188),#REF!,0),MATCH('Respuestas de formulario 1.1'!EJ$1,#REF!,0)))</f>
        <v/>
      </c>
      <c r="EK188" s="56" t="str">
        <f t="array" ref="EK188">IF(DP188="","", INDEX(#REF!,MATCH(CONCATENATE('Respuestas de formulario 1.1'!$B188,DP188),#REF!,0),MATCH('Respuestas de formulario 1.1'!EK$1,#REF!,0)))</f>
        <v/>
      </c>
      <c r="EL188" s="56" t="str">
        <f t="array" ref="EL188">IF(DQ188="","", INDEX(#REF!,MATCH(CONCATENATE('Respuestas de formulario 1.1'!$B188,DQ188),#REF!,0),MATCH('Respuestas de formulario 1.1'!EL$1,#REF!,0)))</f>
        <v/>
      </c>
      <c r="EM188" s="56" t="str">
        <f t="array" ref="EM188">IF(DR188="","", INDEX(#REF!,MATCH(CONCATENATE('Respuestas de formulario 1.1'!$B188,DR188),#REF!,0),MATCH('Respuestas de formulario 1.1'!EM$1,#REF!,0)))</f>
        <v/>
      </c>
      <c r="EN188" s="56" t="str">
        <f t="array" ref="EN188">IF(DS188="","", INDEX(#REF!,MATCH(CONCATENATE('Respuestas de formulario 1.1'!$B188,DS188),#REF!,0),MATCH('Respuestas de formulario 1.1'!EN$1,#REF!,0)))</f>
        <v/>
      </c>
      <c r="EO188" s="56" t="str">
        <f t="array" ref="EO188">IF(DT188="","", INDEX(#REF!,MATCH(CONCATENATE('Respuestas de formulario 1.1'!$B188,DT188),#REF!,0),MATCH('Respuestas de formulario 1.1'!EO$1,#REF!,0)))</f>
        <v/>
      </c>
      <c r="EP188" s="45" t="str">
        <f t="array" ref="EP188">IF(DU188="","", INDEX(#REF!,MATCH(CONCATENATE('Respuestas de formulario 1.1'!$B188,DU188),#REF!,0),MATCH('Respuestas de formulario 1.1'!EP$1,#REF!,0)))</f>
        <v/>
      </c>
      <c r="EQ188" s="45" t="str">
        <f t="array" ref="EQ188">IF(DP188="","", INDEX(#REF!,MATCH(CONCATENATE('Respuestas de formulario 1.1'!$B188,DP188),#REF!,0),MATCH('Respuestas de formulario 1.1'!EQ$1,#REF!,0)))</f>
        <v/>
      </c>
      <c r="ER188" s="56" t="str">
        <f t="array" ref="ER188">IF(DQ188="","", INDEX(#REF!,MATCH(CONCATENATE('Respuestas de formulario 1.1'!$B188,DQ188),#REF!,0),MATCH('Respuestas de formulario 1.1'!ER$1,#REF!,0)))</f>
        <v/>
      </c>
      <c r="ES188" s="56" t="str">
        <f t="array" ref="ES188">IF(DR188="","", INDEX(#REF!,MATCH(CONCATENATE('Respuestas de formulario 1.1'!$B188,DR188),#REF!,0),MATCH('Respuestas de formulario 1.1'!ES$1,#REF!,0)))</f>
        <v/>
      </c>
      <c r="ET188" s="56" t="str">
        <f t="array" ref="ET188">IF(DS188="","", INDEX(#REF!,MATCH(CONCATENATE('Respuestas de formulario 1.1'!$B188,DS188),#REF!,0),MATCH('Respuestas de formulario 1.1'!ET$1,#REF!,0)))</f>
        <v/>
      </c>
      <c r="EU188" s="56" t="str">
        <f t="array" ref="EU188">IF(DT188="","", INDEX(#REF!,MATCH(CONCATENATE('Respuestas de formulario 1.1'!$B188,DT188),#REF!,0),MATCH('Respuestas de formulario 1.1'!EU$1,#REF!,0)))</f>
        <v/>
      </c>
      <c r="EV188" s="56" t="str">
        <f t="array" ref="EV188">IF(DU188="","", INDEX(#REF!,MATCH(CONCATENATE('Respuestas de formulario 1.1'!$B188,DU188),#REF!,0),MATCH('Respuestas de formulario 1.1'!EV$1,#REF!,0)))</f>
        <v/>
      </c>
      <c r="EW188" s="45" t="str">
        <f t="array" ref="EW188">IF(DV188="","", INDEX(#REF!,MATCH(CONCATENATE('Respuestas de formulario 1.1'!$B188,DV188),#REF!,0),MATCH('Respuestas de formulario 1.1'!EW$1,#REF!,0)))</f>
        <v/>
      </c>
      <c r="EX188" s="45" t="str">
        <f t="array" ref="EX188">IF($DQ188="","", INDEX(#REF!,MATCH(CONCATENATE('Respuestas de formulario 1.1'!$B188,$DQ188),#REF!,0),MATCH('Respuestas de formulario 1.1'!EX$1,#REF!,0)))</f>
        <v/>
      </c>
      <c r="EY188" s="56" t="str">
        <f t="array" ref="EY188">IF($DQ188="","", INDEX(#REF!,MATCH(CONCATENATE('Respuestas de formulario 1.1'!$B188,$DQ188),#REF!,0),MATCH('Respuestas de formulario 1.1'!EY$1,#REF!,0)))</f>
        <v/>
      </c>
      <c r="EZ188" s="56" t="str">
        <f t="array" ref="EZ188">IF($DQ188="","", INDEX(#REF!,MATCH(CONCATENATE('Respuestas de formulario 1.1'!$B188,$DQ188),#REF!,0),MATCH('Respuestas de formulario 1.1'!EZ$1,#REF!,0)))</f>
        <v/>
      </c>
      <c r="FA188" s="56" t="str">
        <f t="array" ref="FA188">IF($DQ188="","", INDEX(#REF!,MATCH(CONCATENATE('Respuestas de formulario 1.1'!$B188,$DQ188),#REF!,0),MATCH('Respuestas de formulario 1.1'!FA$1,#REF!,0)))</f>
        <v/>
      </c>
      <c r="FB188" s="56" t="str">
        <f t="array" ref="FB188">IF($DQ188="","", INDEX(#REF!,MATCH(CONCATENATE('Respuestas de formulario 1.1'!$B188,$DQ188),#REF!,0),MATCH('Respuestas de formulario 1.1'!FB$1,#REF!,0)))</f>
        <v/>
      </c>
      <c r="FC188" s="56" t="str">
        <f t="array" ref="FC188">IF($DQ188="","", INDEX(#REF!,MATCH(CONCATENATE('Respuestas de formulario 1.1'!$B188,$DQ188),#REF!,0),MATCH('Respuestas de formulario 1.1'!FC$1,#REF!,0)))</f>
        <v/>
      </c>
      <c r="FD188" s="45" t="str">
        <f t="array" ref="FD188">IF($DQ188="","", INDEX(#REF!,MATCH(CONCATENATE('Respuestas de formulario 1.1'!$B188,$DQ188),#REF!,0),MATCH('Respuestas de formulario 1.1'!FD$1,#REF!,0)))</f>
        <v/>
      </c>
      <c r="FE188" s="45" t="str">
        <f t="array" ref="FE188">IF($DR188="","", INDEX(#REF!,MATCH(CONCATENATE(#REF!,$DR188),#REF!,0),MATCH(#REF!,#REF!,0)))</f>
        <v/>
      </c>
      <c r="FF188" s="56" t="str">
        <f t="array" ref="FF188">IF($DR188="","", INDEX(#REF!,MATCH(CONCATENATE(#REF!,$DR188),#REF!,0),MATCH(#REF!,#REF!,0)))</f>
        <v/>
      </c>
      <c r="FG188" s="56" t="str">
        <f t="array" ref="FG188">IF($DR188="","", INDEX(#REF!,MATCH(CONCATENATE(#REF!,$DR188),#REF!,0),MATCH(#REF!,#REF!,0)))</f>
        <v/>
      </c>
      <c r="FH188" s="56" t="str">
        <f t="array" ref="FH188">IF($DR188="","", INDEX(#REF!,MATCH(CONCATENATE(#REF!,$DR188),#REF!,0),MATCH(#REF!,#REF!,0)))</f>
        <v/>
      </c>
      <c r="FI188" s="56" t="str">
        <f t="array" ref="FI188">IF($DR188="","", INDEX(#REF!,MATCH(CONCATENATE(#REF!,$DR188),#REF!,0),MATCH(#REF!,#REF!,0)))</f>
        <v/>
      </c>
      <c r="FJ188" s="56" t="str">
        <f t="array" ref="FJ188">IF($DR188="","", INDEX(#REF!,MATCH(CONCATENATE(#REF!,$DR188),#REF!,0),MATCH(#REF!,#REF!,0)))</f>
        <v/>
      </c>
      <c r="FK188" s="45" t="str">
        <f t="array" ref="FK188">IF($DR188="","", INDEX(#REF!,MATCH(CONCATENATE(#REF!,$DR188),#REF!,0),MATCH(#REF!,#REF!,0)))</f>
        <v/>
      </c>
      <c r="FL188" s="45" t="str">
        <f t="array" ref="FL188">IF($DT188="","", INDEX(#REF!,MATCH(CONCATENATE('Respuestas de formulario 1.1'!$B188,$DS188),#REF!,0),MATCH('Respuestas de formulario 1.1'!FL$1,#REF!,0)))</f>
        <v/>
      </c>
      <c r="FM188" s="56" t="str">
        <f t="array" ref="FM188">IF($DT188="","", INDEX(#REF!,MATCH(CONCATENATE('Respuestas de formulario 1.1'!$B188,$DS188),#REF!,0),MATCH('Respuestas de formulario 1.1'!FM$1,#REF!,0)))</f>
        <v/>
      </c>
      <c r="FN188" s="56" t="str">
        <f t="array" ref="FN188">IF($DT188="","", INDEX(#REF!,MATCH(CONCATENATE('Respuestas de formulario 1.1'!$B188,$DS188),#REF!,0),MATCH('Respuestas de formulario 1.1'!FN$1,#REF!,0)))</f>
        <v/>
      </c>
      <c r="FO188" s="56" t="str">
        <f t="array" ref="FO188">IF($DT188="","", INDEX(#REF!,MATCH(CONCATENATE('Respuestas de formulario 1.1'!$B188,$DS188),#REF!,0),MATCH('Respuestas de formulario 1.1'!FO$1,#REF!,0)))</f>
        <v/>
      </c>
      <c r="FP188" s="56" t="str">
        <f t="array" ref="FP188">IF($DT188="","", INDEX(#REF!,MATCH(CONCATENATE('Respuestas de formulario 1.1'!$B188,$DS188),#REF!,0),MATCH('Respuestas de formulario 1.1'!FP$1,#REF!,0)))</f>
        <v/>
      </c>
      <c r="FQ188" s="56" t="str">
        <f t="array" ref="FQ188">IF($DT188="","", INDEX(#REF!,MATCH(CONCATENATE('Respuestas de formulario 1.1'!$B188,$DS188),#REF!,0),MATCH('Respuestas de formulario 1.1'!FQ$1,#REF!,0)))</f>
        <v/>
      </c>
      <c r="FR188" s="45" t="str">
        <f t="array" ref="FR188">IF($DT188="","", INDEX(#REF!,MATCH(CONCATENATE('Respuestas de formulario 1.1'!$B188,$DS188),#REF!,0),MATCH('Respuestas de formulario 1.1'!FR$1,#REF!,0)))</f>
        <v/>
      </c>
      <c r="FS188" s="45" t="str">
        <f t="array" ref="FS188">IF($DU188="","", INDEX(#REF!,MATCH(CONCATENATE('Respuestas de formulario 1.1'!$B188,$DT188),#REF!,0),MATCH('Respuestas de formulario 1.1'!FS$1,#REF!,0)))</f>
        <v/>
      </c>
      <c r="FT188" s="56" t="str">
        <f t="array" ref="FT188">IF($DU188="","", INDEX(#REF!,MATCH(CONCATENATE('Respuestas de formulario 1.1'!$B188,$DT188),#REF!,0),MATCH('Respuestas de formulario 1.1'!FT$1,#REF!,0)))</f>
        <v/>
      </c>
      <c r="FU188" s="56" t="str">
        <f t="array" ref="FU188">IF($DU188="","", INDEX(#REF!,MATCH(CONCATENATE('Respuestas de formulario 1.1'!$B188,$DT188),#REF!,0),MATCH('Respuestas de formulario 1.1'!FU$1,#REF!,0)))</f>
        <v/>
      </c>
      <c r="FV188" s="56" t="str">
        <f t="array" ref="FV188">IF($DU188="","", INDEX(#REF!,MATCH(CONCATENATE('Respuestas de formulario 1.1'!$B188,$DT188),#REF!,0),MATCH('Respuestas de formulario 1.1'!FV$1,#REF!,0)))</f>
        <v/>
      </c>
      <c r="FW188" s="56" t="str">
        <f t="array" ref="FW188">IF($DU188="","", INDEX(#REF!,MATCH(CONCATENATE('Respuestas de formulario 1.1'!$B188,$DT188),#REF!,0),MATCH('Respuestas de formulario 1.1'!FW$1,#REF!,0)))</f>
        <v/>
      </c>
      <c r="FX188" s="56" t="str">
        <f t="array" ref="FX188">IF($DU188="","", INDEX(#REF!,MATCH(CONCATENATE('Respuestas de formulario 1.1'!$B188,$DT188),#REF!,0),MATCH('Respuestas de formulario 1.1'!FX$1,#REF!,0)))</f>
        <v/>
      </c>
      <c r="FY188" s="45" t="str">
        <f t="array" ref="FY188">IF($DU188="","", INDEX(#REF!,MATCH(CONCATENATE('Respuestas de formulario 1.1'!$B188,$DT188),#REF!,0),MATCH('Respuestas de formulario 1.1'!FY$1,#REF!,0)))</f>
        <v/>
      </c>
      <c r="FZ188" s="3" t="s">
        <v>2860</v>
      </c>
      <c r="GA188" s="1" t="s">
        <v>6070</v>
      </c>
      <c r="GB188" s="5" t="s">
        <v>6071</v>
      </c>
      <c r="GC188" s="4" t="str">
        <f>HYPERLINK("https://drive.google.com/file/d/19DU4pPCc4NhBNug1zVsLNOg0VXX3Vgwf/view?usp=drivesdk","SANTIAGO  CONTRERAS  KAREN ITZEL  Formato de reinscripción y pago 2022-2")</f>
        <v>SANTIAGO  CONTRERAS  KAREN ITZEL  Formato de reinscripción y pago 2022-2</v>
      </c>
      <c r="GD188" s="1" t="s">
        <v>6072</v>
      </c>
      <c r="GE188" s="1"/>
      <c r="GF188" s="1"/>
      <c r="GG188" s="1"/>
      <c r="GH188" s="1"/>
      <c r="GI188" s="1" t="s">
        <v>6073</v>
      </c>
      <c r="GJ188" s="5" t="s">
        <v>6074</v>
      </c>
      <c r="GK188" s="5" t="str">
        <f>HYPERLINK("https://drive.google.com/file/d/1oa-GrQXLXj_lKceWjVX02oWhiGoN_I2L/view?usp=drivesdk","SANTIAGO  CONTRERAS  KAREN ITZEL  Formato de reinscripción y pago 2022-2")</f>
        <v>SANTIAGO  CONTRERAS  KAREN ITZEL  Formato de reinscripción y pago 2022-2</v>
      </c>
      <c r="GL188" s="1" t="s">
        <v>6075</v>
      </c>
    </row>
    <row r="189" spans="1:194" ht="38.25" x14ac:dyDescent="0.2">
      <c r="A189" s="2">
        <v>45139.496507928241</v>
      </c>
      <c r="B189" s="1" t="s">
        <v>1925</v>
      </c>
      <c r="C189" s="1" t="s">
        <v>326</v>
      </c>
      <c r="D189" s="1" t="s">
        <v>1119</v>
      </c>
      <c r="E189" s="1" t="s">
        <v>857</v>
      </c>
      <c r="F189" s="1" t="s">
        <v>262</v>
      </c>
      <c r="G189" s="5" t="s">
        <v>6076</v>
      </c>
      <c r="H189" s="41">
        <v>27824</v>
      </c>
      <c r="I189" s="1">
        <v>47</v>
      </c>
      <c r="J189" s="1">
        <v>5562302725</v>
      </c>
      <c r="K189" s="1">
        <v>5522312985</v>
      </c>
      <c r="L189" s="1" t="s">
        <v>1926</v>
      </c>
      <c r="M189" s="1">
        <v>21309060570708</v>
      </c>
      <c r="N189" s="1" t="s">
        <v>1108</v>
      </c>
      <c r="O189" s="1" t="s">
        <v>247</v>
      </c>
      <c r="P189" s="1" t="s">
        <v>226</v>
      </c>
      <c r="Q189" s="1" t="s">
        <v>227</v>
      </c>
      <c r="R189" s="1" t="s">
        <v>236</v>
      </c>
      <c r="S189" s="1" t="s">
        <v>236</v>
      </c>
      <c r="T189" s="1" t="s">
        <v>411</v>
      </c>
      <c r="U189" s="1" t="s">
        <v>249</v>
      </c>
      <c r="V189" s="1" t="s">
        <v>228</v>
      </c>
      <c r="W189" s="1" t="s">
        <v>6077</v>
      </c>
      <c r="X189" s="1" t="s">
        <v>249</v>
      </c>
      <c r="Y189" s="1" t="s">
        <v>1928</v>
      </c>
      <c r="Z189" s="1" t="s">
        <v>240</v>
      </c>
      <c r="AA189" s="44" t="s">
        <v>711</v>
      </c>
      <c r="AB189" s="1">
        <v>160</v>
      </c>
      <c r="AC189" s="1">
        <v>30</v>
      </c>
      <c r="AD189" s="1" t="s">
        <v>6078</v>
      </c>
      <c r="AE189" s="1" t="s">
        <v>6079</v>
      </c>
      <c r="AF189" s="1" t="s">
        <v>435</v>
      </c>
      <c r="AG189" s="1">
        <v>72</v>
      </c>
      <c r="AH189" s="5" t="s">
        <v>6080</v>
      </c>
      <c r="AI189" s="1">
        <v>5511762763</v>
      </c>
      <c r="AJ189" s="1">
        <v>5522312985</v>
      </c>
      <c r="AK189" s="1" t="s">
        <v>6081</v>
      </c>
      <c r="AL189" s="1" t="s">
        <v>1119</v>
      </c>
      <c r="AM189" s="1" t="s">
        <v>585</v>
      </c>
      <c r="AN189" s="1" t="s">
        <v>1439</v>
      </c>
      <c r="AO189" s="1" t="s">
        <v>265</v>
      </c>
      <c r="AP189" s="1">
        <v>65</v>
      </c>
      <c r="AQ189" s="1" t="s">
        <v>328</v>
      </c>
      <c r="AR189" s="42">
        <v>0.29166666666424135</v>
      </c>
      <c r="AS189" s="42">
        <v>0.70833333333575865</v>
      </c>
      <c r="AT189" s="1">
        <v>5514179145</v>
      </c>
      <c r="AU189" s="1">
        <v>5522312985</v>
      </c>
      <c r="AV189" s="1" t="s">
        <v>6081</v>
      </c>
      <c r="AW189" s="5" t="s">
        <v>6082</v>
      </c>
      <c r="AX189" s="1" t="s">
        <v>326</v>
      </c>
      <c r="AY189" s="1" t="s">
        <v>268</v>
      </c>
      <c r="AZ189" s="1" t="s">
        <v>922</v>
      </c>
      <c r="BA189" s="1" t="s">
        <v>1019</v>
      </c>
      <c r="BB189" s="1">
        <v>19</v>
      </c>
      <c r="BC189" s="1" t="s">
        <v>303</v>
      </c>
      <c r="BD189" s="43">
        <v>0.29166666666424135</v>
      </c>
      <c r="BE189" s="43">
        <v>0.58333333333575865</v>
      </c>
      <c r="BF189" s="1">
        <v>5528472767</v>
      </c>
      <c r="BG189" s="1">
        <v>5522312985</v>
      </c>
      <c r="BH189" s="1" t="s">
        <v>6083</v>
      </c>
      <c r="BI189" s="5" t="s">
        <v>6084</v>
      </c>
      <c r="BJ189" s="1" t="s">
        <v>228</v>
      </c>
      <c r="BK189" s="1" t="s">
        <v>1927</v>
      </c>
      <c r="BL189" s="1">
        <v>163</v>
      </c>
      <c r="BM189" s="1">
        <v>78</v>
      </c>
      <c r="BN189" s="1" t="s">
        <v>236</v>
      </c>
      <c r="BO189" s="1" t="s">
        <v>228</v>
      </c>
      <c r="BQ189" s="1" t="s">
        <v>228</v>
      </c>
      <c r="BR189" s="1" t="s">
        <v>237</v>
      </c>
      <c r="BS189" s="1" t="s">
        <v>228</v>
      </c>
      <c r="BT189" s="1" t="s">
        <v>237</v>
      </c>
      <c r="BU189" s="1" t="s">
        <v>228</v>
      </c>
      <c r="BW189" s="1" t="s">
        <v>272</v>
      </c>
      <c r="BX189" s="1">
        <v>300</v>
      </c>
      <c r="BY189" s="1">
        <v>40</v>
      </c>
      <c r="BZ189" s="1" t="s">
        <v>478</v>
      </c>
      <c r="CA189" s="1" t="s">
        <v>343</v>
      </c>
      <c r="CB189" s="1" t="s">
        <v>240</v>
      </c>
      <c r="CC189" s="1" t="s">
        <v>322</v>
      </c>
      <c r="CD189" s="1">
        <v>500</v>
      </c>
      <c r="CE189" s="1">
        <v>500</v>
      </c>
      <c r="CF189" s="1" t="s">
        <v>236</v>
      </c>
      <c r="CG189" s="1" t="s">
        <v>256</v>
      </c>
      <c r="CH189" s="1" t="s">
        <v>243</v>
      </c>
      <c r="CI189" s="1" t="s">
        <v>243</v>
      </c>
      <c r="CJ189" s="1" t="s">
        <v>2848</v>
      </c>
      <c r="CL189" s="5" t="s">
        <v>6085</v>
      </c>
      <c r="CM189" s="1">
        <v>45917617164</v>
      </c>
      <c r="CN189" s="1" t="s">
        <v>228</v>
      </c>
      <c r="CQ189" s="42">
        <v>0.29166666666424135</v>
      </c>
      <c r="CR189" s="42">
        <v>0.70833333333575865</v>
      </c>
      <c r="CT189" s="45" t="str">
        <f t="array" ref="CT189">IFERROR(INDEX(#REF!,MATCH('Respuestas de formulario 1.1'!$B189,#REF!,0),MATCH('Respuestas de formulario 1.1'!CT$1,#REF!,0)),"")</f>
        <v/>
      </c>
      <c r="CU189" s="56" t="str">
        <f t="array" ref="CU189">IFERROR(INDEX(#REF!,MATCH('Respuestas de formulario 1.1'!$B189,#REF!,0),MATCH('Respuestas de formulario 1.1'!CU$1,#REF!,0)),"")</f>
        <v/>
      </c>
      <c r="CV189" s="56" t="str">
        <f t="array" ref="CV189">IFERROR(INDEX(#REF!,MATCH('Respuestas de formulario 1.1'!$B189,#REF!,0),MATCH('Respuestas de formulario 1.1'!CV$1,#REF!,0)),"")</f>
        <v/>
      </c>
      <c r="CW189" s="56" t="str">
        <f t="array" ref="CW189">IFERROR(INDEX(#REF!,MATCH('Respuestas de formulario 1.1'!$B189,#REF!,0),MATCH('Respuestas de formulario 1.1'!CW$1,#REF!,0)),"")</f>
        <v/>
      </c>
      <c r="CX189" s="56" t="str">
        <f t="array" ref="CX189">IFERROR(INDEX(#REF!,MATCH('Respuestas de formulario 1.1'!$B189,#REF!,0),MATCH('Respuestas de formulario 1.1'!CX$1,#REF!,0)),"")</f>
        <v/>
      </c>
      <c r="CY189" s="56" t="str">
        <f t="array" ref="CY189">IFERROR(INDEX(#REF!,MATCH('Respuestas de formulario 1.1'!$B189,#REF!,0),MATCH('Respuestas de formulario 1.1'!CY$1,#REF!,0)),"")</f>
        <v/>
      </c>
      <c r="CZ189" s="57" t="str">
        <f t="array" ref="CZ189">IFERROR(INDEX(#REF!,MATCH('Respuestas de formulario 1.1'!$B189,#REF!,0),MATCH('Respuestas de formulario 1.1'!CZ$1,#REF!,0)),"")</f>
        <v/>
      </c>
      <c r="DA189" s="45" t="e">
        <f t="array" ref="DA189">INDEX(#REF!,MATCH('Respuestas de formulario 1.1'!$B189,#REF!,0),MATCH('Respuestas de formulario 1.1'!DA$1,#REF!,0))</f>
        <v>#REF!</v>
      </c>
      <c r="DB189" s="45" t="e">
        <f t="array" ref="DB189">INDEX(#REF!,MATCH('Respuestas de formulario 1.1'!$B189,#REF!,0),MATCH('Respuestas de formulario 1.1'!DB$1,#REF!,0))</f>
        <v>#REF!</v>
      </c>
      <c r="DC189" s="45" t="e">
        <f t="array" ref="DC189">INDEX(#REF!,MATCH('Respuestas de formulario 1.1'!$B189,#REF!,0),MATCH('Respuestas de formulario 1.1'!DC$1,#REF!,0))</f>
        <v>#REF!</v>
      </c>
      <c r="DD189" s="45" t="e">
        <f t="array" ref="DD189">INDEX(#REF!,MATCH('Respuestas de formulario 1.1'!$B189,#REF!,0),MATCH('Respuestas de formulario 1.1'!DD$1,#REF!,0))</f>
        <v>#REF!</v>
      </c>
      <c r="DE189" s="45" t="e">
        <f t="array" ref="DE189">INDEX(#REF!,MATCH('Respuestas de formulario 1.1'!$B189,#REF!,0),MATCH('Respuestas de formulario 1.1'!DE$1,#REF!,0))</f>
        <v>#REF!</v>
      </c>
      <c r="DF189" s="45" t="e">
        <f t="array" ref="DF189">INDEX(#REF!,MATCH('Respuestas de formulario 1.1'!$B189,#REF!,0),MATCH('Respuestas de formulario 1.1'!DF$1,#REF!,0))</f>
        <v>#REF!</v>
      </c>
      <c r="DG189" s="45" t="e">
        <f t="array" ref="DG189">INDEX(#REF!,MATCH('Respuestas de formulario 1.1'!$B189,#REF!,0),MATCH('Respuestas de formulario 1.1'!DG$1,#REF!,0))</f>
        <v>#REF!</v>
      </c>
      <c r="DH189" s="45" t="e">
        <f t="array" ref="DH189">INDEX(#REF!,MATCH('Respuestas de formulario 1.1'!$B189,#REF!,0),MATCH('Respuestas de formulario 1.1'!DH$1,#REF!,0))</f>
        <v>#REF!</v>
      </c>
      <c r="DI189" s="48" t="e">
        <f>VLOOKUP(CONCATENATE($DF189," TUTO ",$DC189),#REF!,3,0)</f>
        <v>#REF!</v>
      </c>
      <c r="DJ189" s="48" t="e">
        <f t="array" ref="DJ189">IF('Respuestas de formulario 1.1'!A189="","",INDEX(#REF!,MATCH('Respuestas de formulario 1.1'!B189,#REF!,0),MATCH('Respuestas de formulario 1.1'!$DH$1,#REF!,0)))</f>
        <v>#REF!</v>
      </c>
      <c r="DK189" s="52" t="str">
        <f>CONCATENATE("http://doc.google.com/uc?id=",MID('Respuestas de formulario 1.1'!G189,34,33))</f>
        <v>http://doc.google.com/uc?id=1QHg7mtA7RQDUHlSa-ghGY2zZYUx6L8aN</v>
      </c>
      <c r="DL189" s="49" t="str">
        <f>CONCATENATE("http://doc.google.com/uc?id=",MID('Respuestas de formulario 1.1'!AH189,34,33))</f>
        <v>http://doc.google.com/uc?id=1Flya9i5yBDeaDB73VrFTjg5tCxwKAyPv</v>
      </c>
      <c r="DM189" s="50" t="str">
        <f>CONCATENATE("http://doc.google.com/uc?id=",MID('Respuestas de formulario 1.1'!AW189,34,33))</f>
        <v>http://doc.google.com/uc?id=1aYcrOU0t5AHIn-U1ujPStjsAjtGeI-mq</v>
      </c>
      <c r="DN189" s="53" t="str">
        <f>CONCATENATE("http://doc.google.com/uc?id=",MID('Respuestas de formulario 1.1'!$BI189,34,33))</f>
        <v>http://doc.google.com/uc?id=1-X6ja3EtXgc4Y6AGiX2ho5jc6L3jAjob</v>
      </c>
      <c r="DO189" s="45" t="str">
        <f>IFERROR(VLOOKUP(CONCATENATE('Respuestas de formulario 1.1'!$B189,MID('Respuestas de formulario 1.1'!DO$1,2,1)),#REF!,12,0),"")</f>
        <v/>
      </c>
      <c r="DP189" s="45" t="str">
        <f>IFERROR(VLOOKUP(CONCATENATE('Respuestas de formulario 1.1'!$B189,MID('Respuestas de formulario 1.1'!DP$1,2,1)),#REF!,12,0),"")</f>
        <v/>
      </c>
      <c r="DQ189" s="45" t="str">
        <f>IFERROR(VLOOKUP(CONCATENATE('Respuestas de formulario 1.1'!$B189,MID('Respuestas de formulario 1.1'!DQ$1,2,1)),#REF!,12,0),"")</f>
        <v/>
      </c>
      <c r="DR189" s="45" t="str">
        <f>IFERROR(VLOOKUP(CONCATENATE('Respuestas de formulario 1.1'!$B189,MID('Respuestas de formulario 1.1'!DR$1,2,1)),#REF!,12,0),"")</f>
        <v/>
      </c>
      <c r="DS189" s="45" t="str">
        <f>IFERROR(VLOOKUP(CONCATENATE('Respuestas de formulario 1.1'!$B189,MID('Respuestas de formulario 1.1'!DS$1,2,1)),#REF!,12,0),"")</f>
        <v/>
      </c>
      <c r="DT189" s="45" t="str">
        <f>IFERROR(VLOOKUP(CONCATENATE('Respuestas de formulario 1.1'!$B189,MID('Respuestas de formulario 1.1'!DT$1,2,1)),#REF!,12,0),"")</f>
        <v/>
      </c>
      <c r="DU189" s="45" t="str">
        <f>IFERROR(VLOOKUP(CONCATENATE('Respuestas de formulario 1.1'!$B189,MID('Respuestas de formulario 1.1'!DU$1,2,1)),#REF!,12,0),"")</f>
        <v/>
      </c>
      <c r="DV189" s="45" t="str">
        <f>IFERROR(VLOOKUP(CONCATENATE('Respuestas de formulario 1.1'!$B189,MID('Respuestas de formulario 1.1'!DV$1,2,1)),#REF!,12,0),"")</f>
        <v/>
      </c>
      <c r="DW189" s="45" t="str">
        <f>IFERROR(VLOOKUP(CONCATENATE('Respuestas de formulario 1.1'!$B189,MID('Respuestas de formulario 1.1'!DW$1,2,1)),#REF!,12,0),"")</f>
        <v/>
      </c>
      <c r="DX189" s="45" t="str">
        <f>IFERROR(VLOOKUP(CONCATENATE('Respuestas de formulario 1.1'!$B189,MID('Respuestas de formulario 1.1'!DX$1,2,1)),#REF!,12,0),"")</f>
        <v/>
      </c>
      <c r="DY189" s="45" t="str">
        <f>IFERROR(VLOOKUP(CONCATENATE('Respuestas de formulario 1.1'!$B189,MID('Respuestas de formulario 1.1'!DY$1,2,1)),#REF!,12,0),"")</f>
        <v/>
      </c>
      <c r="DZ189" s="45" t="str">
        <f>IFERROR(VLOOKUP(CONCATENATE('Respuestas de formulario 1.1'!$B189,MID('Respuestas de formulario 1.1'!DZ$1,2,1)),#REF!,12,0),"")</f>
        <v/>
      </c>
      <c r="EA189" s="45" t="str">
        <f>IFERROR(VLOOKUP(CONCATENATE('Respuestas de formulario 1.1'!$B189,MID('Respuestas de formulario 1.1'!EA$1,2,1)),#REF!,12,0),"")</f>
        <v/>
      </c>
      <c r="EB189" s="45" t="str">
        <f>IFERROR(VLOOKUP(CONCATENATE('Respuestas de formulario 1.1'!$B189,MID('Respuestas de formulario 1.1'!EB$1,2,1)),#REF!,12,0),"")</f>
        <v/>
      </c>
      <c r="EC189" s="45" t="str">
        <f>IFERROR(VLOOKUP(CONCATENATE('Respuestas de formulario 1.1'!$B189,MID('Respuestas de formulario 1.1'!EC$1,2,1)),#REF!,12,0),"")</f>
        <v/>
      </c>
      <c r="ED189" s="45" t="str">
        <f>IFERROR(VLOOKUP(CONCATENATE('Respuestas de formulario 1.1'!$B189,MID('Respuestas de formulario 1.1'!ED$1,2,1)),#REF!,12,0),"")</f>
        <v/>
      </c>
      <c r="EE189" s="45" t="str">
        <f>IFERROR(VLOOKUP(CONCATENATE('Respuestas de formulario 1.1'!$B189,MID('Respuestas de formulario 1.1'!EE$1,2,1)),#REF!,12,0),"")</f>
        <v/>
      </c>
      <c r="EF189" s="45" t="str">
        <f>IFERROR(VLOOKUP(CONCATENATE('Respuestas de formulario 1.1'!$B189,MID('Respuestas de formulario 1.1'!EF$1,2,1)),#REF!,12,0),"")</f>
        <v/>
      </c>
      <c r="EG189" s="45" t="str">
        <f>IFERROR(VLOOKUP(CONCATENATE('Respuestas de formulario 1.1'!$B189,MID('Respuestas de formulario 1.1'!EG$1,2,1)),#REF!,12,0),"")</f>
        <v/>
      </c>
      <c r="EH189" s="45" t="str">
        <f>IFERROR(VLOOKUP(CONCATENATE('Respuestas de formulario 1.1'!$B189,MID('Respuestas de formulario 1.1'!EH$1,2,1)),#REF!,12,0),"")</f>
        <v/>
      </c>
      <c r="EI189" s="45" t="str">
        <f>IFERROR(VLOOKUP(CONCATENATE('Respuestas de formulario 1.1'!$B189,MID('Respuestas de formulario 1.1'!EI$1,2,1)),#REF!,12,0),"")</f>
        <v/>
      </c>
      <c r="EJ189" s="45" t="str">
        <f t="array" ref="EJ189">IF(DO189="","", INDEX(#REF!,MATCH(CONCATENATE('Respuestas de formulario 1.1'!$B189,DO189),#REF!,0),MATCH('Respuestas de formulario 1.1'!EJ$1,#REF!,0)))</f>
        <v/>
      </c>
      <c r="EK189" s="56" t="str">
        <f t="array" ref="EK189">IF(DP189="","", INDEX(#REF!,MATCH(CONCATENATE('Respuestas de formulario 1.1'!$B189,DP189),#REF!,0),MATCH('Respuestas de formulario 1.1'!EK$1,#REF!,0)))</f>
        <v/>
      </c>
      <c r="EL189" s="56" t="str">
        <f t="array" ref="EL189">IF(DQ189="","", INDEX(#REF!,MATCH(CONCATENATE('Respuestas de formulario 1.1'!$B189,DQ189),#REF!,0),MATCH('Respuestas de formulario 1.1'!EL$1,#REF!,0)))</f>
        <v/>
      </c>
      <c r="EM189" s="56" t="str">
        <f t="array" ref="EM189">IF(DR189="","", INDEX(#REF!,MATCH(CONCATENATE('Respuestas de formulario 1.1'!$B189,DR189),#REF!,0),MATCH('Respuestas de formulario 1.1'!EM$1,#REF!,0)))</f>
        <v/>
      </c>
      <c r="EN189" s="56" t="str">
        <f t="array" ref="EN189">IF(DS189="","", INDEX(#REF!,MATCH(CONCATENATE('Respuestas de formulario 1.1'!$B189,DS189),#REF!,0),MATCH('Respuestas de formulario 1.1'!EN$1,#REF!,0)))</f>
        <v/>
      </c>
      <c r="EO189" s="56" t="str">
        <f t="array" ref="EO189">IF(DT189="","", INDEX(#REF!,MATCH(CONCATENATE('Respuestas de formulario 1.1'!$B189,DT189),#REF!,0),MATCH('Respuestas de formulario 1.1'!EO$1,#REF!,0)))</f>
        <v/>
      </c>
      <c r="EP189" s="45" t="str">
        <f t="array" ref="EP189">IF(DU189="","", INDEX(#REF!,MATCH(CONCATENATE('Respuestas de formulario 1.1'!$B189,DU189),#REF!,0),MATCH('Respuestas de formulario 1.1'!EP$1,#REF!,0)))</f>
        <v/>
      </c>
      <c r="EQ189" s="45" t="str">
        <f t="array" ref="EQ189">IF(DP189="","", INDEX(#REF!,MATCH(CONCATENATE('Respuestas de formulario 1.1'!$B189,DP189),#REF!,0),MATCH('Respuestas de formulario 1.1'!EQ$1,#REF!,0)))</f>
        <v/>
      </c>
      <c r="ER189" s="56" t="str">
        <f t="array" ref="ER189">IF(DQ189="","", INDEX(#REF!,MATCH(CONCATENATE('Respuestas de formulario 1.1'!$B189,DQ189),#REF!,0),MATCH('Respuestas de formulario 1.1'!ER$1,#REF!,0)))</f>
        <v/>
      </c>
      <c r="ES189" s="56" t="str">
        <f t="array" ref="ES189">IF(DR189="","", INDEX(#REF!,MATCH(CONCATENATE('Respuestas de formulario 1.1'!$B189,DR189),#REF!,0),MATCH('Respuestas de formulario 1.1'!ES$1,#REF!,0)))</f>
        <v/>
      </c>
      <c r="ET189" s="56" t="str">
        <f t="array" ref="ET189">IF(DS189="","", INDEX(#REF!,MATCH(CONCATENATE('Respuestas de formulario 1.1'!$B189,DS189),#REF!,0),MATCH('Respuestas de formulario 1.1'!ET$1,#REF!,0)))</f>
        <v/>
      </c>
      <c r="EU189" s="56" t="str">
        <f t="array" ref="EU189">IF(DT189="","", INDEX(#REF!,MATCH(CONCATENATE('Respuestas de formulario 1.1'!$B189,DT189),#REF!,0),MATCH('Respuestas de formulario 1.1'!EU$1,#REF!,0)))</f>
        <v/>
      </c>
      <c r="EV189" s="56" t="str">
        <f t="array" ref="EV189">IF(DU189="","", INDEX(#REF!,MATCH(CONCATENATE('Respuestas de formulario 1.1'!$B189,DU189),#REF!,0),MATCH('Respuestas de formulario 1.1'!EV$1,#REF!,0)))</f>
        <v/>
      </c>
      <c r="EW189" s="45" t="str">
        <f t="array" ref="EW189">IF(DV189="","", INDEX(#REF!,MATCH(CONCATENATE('Respuestas de formulario 1.1'!$B189,DV189),#REF!,0),MATCH('Respuestas de formulario 1.1'!EW$1,#REF!,0)))</f>
        <v/>
      </c>
      <c r="EX189" s="45" t="str">
        <f t="array" ref="EX189">IF($DQ189="","", INDEX(#REF!,MATCH(CONCATENATE('Respuestas de formulario 1.1'!$B189,$DQ189),#REF!,0),MATCH('Respuestas de formulario 1.1'!EX$1,#REF!,0)))</f>
        <v/>
      </c>
      <c r="EY189" s="56" t="str">
        <f t="array" ref="EY189">IF($DQ189="","", INDEX(#REF!,MATCH(CONCATENATE('Respuestas de formulario 1.1'!$B189,$DQ189),#REF!,0),MATCH('Respuestas de formulario 1.1'!EY$1,#REF!,0)))</f>
        <v/>
      </c>
      <c r="EZ189" s="56" t="str">
        <f t="array" ref="EZ189">IF($DQ189="","", INDEX(#REF!,MATCH(CONCATENATE('Respuestas de formulario 1.1'!$B189,$DQ189),#REF!,0),MATCH('Respuestas de formulario 1.1'!EZ$1,#REF!,0)))</f>
        <v/>
      </c>
      <c r="FA189" s="56" t="str">
        <f t="array" ref="FA189">IF($DQ189="","", INDEX(#REF!,MATCH(CONCATENATE('Respuestas de formulario 1.1'!$B189,$DQ189),#REF!,0),MATCH('Respuestas de formulario 1.1'!FA$1,#REF!,0)))</f>
        <v/>
      </c>
      <c r="FB189" s="56" t="str">
        <f t="array" ref="FB189">IF($DQ189="","", INDEX(#REF!,MATCH(CONCATENATE('Respuestas de formulario 1.1'!$B189,$DQ189),#REF!,0),MATCH('Respuestas de formulario 1.1'!FB$1,#REF!,0)))</f>
        <v/>
      </c>
      <c r="FC189" s="56" t="str">
        <f t="array" ref="FC189">IF($DQ189="","", INDEX(#REF!,MATCH(CONCATENATE('Respuestas de formulario 1.1'!$B189,$DQ189),#REF!,0),MATCH('Respuestas de formulario 1.1'!FC$1,#REF!,0)))</f>
        <v/>
      </c>
      <c r="FD189" s="45" t="str">
        <f t="array" ref="FD189">IF($DQ189="","", INDEX(#REF!,MATCH(CONCATENATE('Respuestas de formulario 1.1'!$B189,$DQ189),#REF!,0),MATCH('Respuestas de formulario 1.1'!FD$1,#REF!,0)))</f>
        <v/>
      </c>
      <c r="FE189" s="45" t="str">
        <f t="array" ref="FE189">IF($DR189="","", INDEX(#REF!,MATCH(CONCATENATE(#REF!,$DR189),#REF!,0),MATCH(#REF!,#REF!,0)))</f>
        <v/>
      </c>
      <c r="FF189" s="56" t="str">
        <f t="array" ref="FF189">IF($DR189="","", INDEX(#REF!,MATCH(CONCATENATE(#REF!,$DR189),#REF!,0),MATCH(#REF!,#REF!,0)))</f>
        <v/>
      </c>
      <c r="FG189" s="56" t="str">
        <f t="array" ref="FG189">IF($DR189="","", INDEX(#REF!,MATCH(CONCATENATE(#REF!,$DR189),#REF!,0),MATCH(#REF!,#REF!,0)))</f>
        <v/>
      </c>
      <c r="FH189" s="56" t="str">
        <f t="array" ref="FH189">IF($DR189="","", INDEX(#REF!,MATCH(CONCATENATE(#REF!,$DR189),#REF!,0),MATCH(#REF!,#REF!,0)))</f>
        <v/>
      </c>
      <c r="FI189" s="56" t="str">
        <f t="array" ref="FI189">IF($DR189="","", INDEX(#REF!,MATCH(CONCATENATE(#REF!,$DR189),#REF!,0),MATCH(#REF!,#REF!,0)))</f>
        <v/>
      </c>
      <c r="FJ189" s="56" t="str">
        <f t="array" ref="FJ189">IF($DR189="","", INDEX(#REF!,MATCH(CONCATENATE(#REF!,$DR189),#REF!,0),MATCH(#REF!,#REF!,0)))</f>
        <v/>
      </c>
      <c r="FK189" s="45" t="str">
        <f t="array" ref="FK189">IF($DR189="","", INDEX(#REF!,MATCH(CONCATENATE(#REF!,$DR189),#REF!,0),MATCH(#REF!,#REF!,0)))</f>
        <v/>
      </c>
      <c r="FL189" s="45" t="str">
        <f t="array" ref="FL189">IF($DT189="","", INDEX(#REF!,MATCH(CONCATENATE('Respuestas de formulario 1.1'!$B189,$DS189),#REF!,0),MATCH('Respuestas de formulario 1.1'!FL$1,#REF!,0)))</f>
        <v/>
      </c>
      <c r="FM189" s="56" t="str">
        <f t="array" ref="FM189">IF($DT189="","", INDEX(#REF!,MATCH(CONCATENATE('Respuestas de formulario 1.1'!$B189,$DS189),#REF!,0),MATCH('Respuestas de formulario 1.1'!FM$1,#REF!,0)))</f>
        <v/>
      </c>
      <c r="FN189" s="56" t="str">
        <f t="array" ref="FN189">IF($DT189="","", INDEX(#REF!,MATCH(CONCATENATE('Respuestas de formulario 1.1'!$B189,$DS189),#REF!,0),MATCH('Respuestas de formulario 1.1'!FN$1,#REF!,0)))</f>
        <v/>
      </c>
      <c r="FO189" s="56" t="str">
        <f t="array" ref="FO189">IF($DT189="","", INDEX(#REF!,MATCH(CONCATENATE('Respuestas de formulario 1.1'!$B189,$DS189),#REF!,0),MATCH('Respuestas de formulario 1.1'!FO$1,#REF!,0)))</f>
        <v/>
      </c>
      <c r="FP189" s="56" t="str">
        <f t="array" ref="FP189">IF($DT189="","", INDEX(#REF!,MATCH(CONCATENATE('Respuestas de formulario 1.1'!$B189,$DS189),#REF!,0),MATCH('Respuestas de formulario 1.1'!FP$1,#REF!,0)))</f>
        <v/>
      </c>
      <c r="FQ189" s="56" t="str">
        <f t="array" ref="FQ189">IF($DT189="","", INDEX(#REF!,MATCH(CONCATENATE('Respuestas de formulario 1.1'!$B189,$DS189),#REF!,0),MATCH('Respuestas de formulario 1.1'!FQ$1,#REF!,0)))</f>
        <v/>
      </c>
      <c r="FR189" s="45" t="str">
        <f t="array" ref="FR189">IF($DT189="","", INDEX(#REF!,MATCH(CONCATENATE('Respuestas de formulario 1.1'!$B189,$DS189),#REF!,0),MATCH('Respuestas de formulario 1.1'!FR$1,#REF!,0)))</f>
        <v/>
      </c>
      <c r="FS189" s="45" t="str">
        <f t="array" ref="FS189">IF($DU189="","", INDEX(#REF!,MATCH(CONCATENATE('Respuestas de formulario 1.1'!$B189,$DT189),#REF!,0),MATCH('Respuestas de formulario 1.1'!FS$1,#REF!,0)))</f>
        <v/>
      </c>
      <c r="FT189" s="56" t="str">
        <f t="array" ref="FT189">IF($DU189="","", INDEX(#REF!,MATCH(CONCATENATE('Respuestas de formulario 1.1'!$B189,$DT189),#REF!,0),MATCH('Respuestas de formulario 1.1'!FT$1,#REF!,0)))</f>
        <v/>
      </c>
      <c r="FU189" s="56" t="str">
        <f t="array" ref="FU189">IF($DU189="","", INDEX(#REF!,MATCH(CONCATENATE('Respuestas de formulario 1.1'!$B189,$DT189),#REF!,0),MATCH('Respuestas de formulario 1.1'!FU$1,#REF!,0)))</f>
        <v/>
      </c>
      <c r="FV189" s="56" t="str">
        <f t="array" ref="FV189">IF($DU189="","", INDEX(#REF!,MATCH(CONCATENATE('Respuestas de formulario 1.1'!$B189,$DT189),#REF!,0),MATCH('Respuestas de formulario 1.1'!FV$1,#REF!,0)))</f>
        <v/>
      </c>
      <c r="FW189" s="56" t="str">
        <f t="array" ref="FW189">IF($DU189="","", INDEX(#REF!,MATCH(CONCATENATE('Respuestas de formulario 1.1'!$B189,$DT189),#REF!,0),MATCH('Respuestas de formulario 1.1'!FW$1,#REF!,0)))</f>
        <v/>
      </c>
      <c r="FX189" s="56" t="str">
        <f t="array" ref="FX189">IF($DU189="","", INDEX(#REF!,MATCH(CONCATENATE('Respuestas de formulario 1.1'!$B189,$DT189),#REF!,0),MATCH('Respuestas de formulario 1.1'!FX$1,#REF!,0)))</f>
        <v/>
      </c>
      <c r="FY189" s="45" t="str">
        <f t="array" ref="FY189">IF($DU189="","", INDEX(#REF!,MATCH(CONCATENATE('Respuestas de formulario 1.1'!$B189,$DT189),#REF!,0),MATCH('Respuestas de formulario 1.1'!FY$1,#REF!,0)))</f>
        <v/>
      </c>
      <c r="FZ189" s="3" t="s">
        <v>2860</v>
      </c>
      <c r="GA189" s="1" t="s">
        <v>6086</v>
      </c>
      <c r="GB189" s="5" t="s">
        <v>6087</v>
      </c>
      <c r="GC189" s="4" t="str">
        <f>HYPERLINK("https://drive.google.com/file/d/1l9_bqt1MAWF-HQE_WCg1Z7_sbpMSWHIj/view?usp=drivesdk","RAMOS VERA MIGUEL ANGEL Formato de reinscripción y pago 2022-2")</f>
        <v>RAMOS VERA MIGUEL ANGEL Formato de reinscripción y pago 2022-2</v>
      </c>
      <c r="GD189" s="1" t="s">
        <v>6088</v>
      </c>
      <c r="GE189" s="1"/>
      <c r="GF189" s="1"/>
      <c r="GG189" s="1"/>
      <c r="GH189" s="1"/>
      <c r="GI189" s="1" t="s">
        <v>6089</v>
      </c>
      <c r="GJ189" s="5" t="s">
        <v>6090</v>
      </c>
      <c r="GK189" s="5" t="str">
        <f>HYPERLINK("https://drive.google.com/file/d/1LtXcicL2pddrpIoZFGPSI4sFqbgy8D9_/view?usp=drivesdk","RAMOS VERA MIGUEL ANGEL Formato de reinscripción y pago 2022-2")</f>
        <v>RAMOS VERA MIGUEL ANGEL Formato de reinscripción y pago 2022-2</v>
      </c>
      <c r="GL189" s="1" t="s">
        <v>6091</v>
      </c>
    </row>
    <row r="190" spans="1:194" ht="38.25" x14ac:dyDescent="0.2">
      <c r="A190" s="2">
        <v>45139.496563900466</v>
      </c>
      <c r="B190" s="1" t="s">
        <v>2586</v>
      </c>
      <c r="C190" s="1" t="s">
        <v>2327</v>
      </c>
      <c r="D190" s="1" t="s">
        <v>244</v>
      </c>
      <c r="E190" s="1" t="s">
        <v>2587</v>
      </c>
      <c r="F190" s="1" t="s">
        <v>223</v>
      </c>
      <c r="G190" s="5" t="s">
        <v>6092</v>
      </c>
      <c r="H190" s="41">
        <v>39227</v>
      </c>
      <c r="I190" s="1">
        <v>16</v>
      </c>
      <c r="J190" s="1">
        <v>5545642765</v>
      </c>
      <c r="K190" s="1">
        <v>5572291493</v>
      </c>
      <c r="L190" s="1" t="s">
        <v>2588</v>
      </c>
      <c r="M190" s="1">
        <v>22309060570788</v>
      </c>
      <c r="N190" s="1" t="s">
        <v>562</v>
      </c>
      <c r="O190" s="1" t="s">
        <v>247</v>
      </c>
      <c r="P190" s="1" t="s">
        <v>226</v>
      </c>
      <c r="Q190" s="1" t="s">
        <v>263</v>
      </c>
      <c r="R190" s="1" t="s">
        <v>236</v>
      </c>
      <c r="S190" s="1" t="s">
        <v>236</v>
      </c>
      <c r="T190" s="1" t="s">
        <v>411</v>
      </c>
      <c r="U190" s="1" t="s">
        <v>264</v>
      </c>
      <c r="V190" s="1" t="s">
        <v>228</v>
      </c>
      <c r="W190" s="1" t="s">
        <v>6093</v>
      </c>
      <c r="X190" s="1" t="s">
        <v>264</v>
      </c>
      <c r="Y190" s="1" t="s">
        <v>2521</v>
      </c>
      <c r="Z190" s="1" t="s">
        <v>231</v>
      </c>
      <c r="AA190" s="1">
        <v>57730</v>
      </c>
      <c r="AB190" s="1">
        <v>170</v>
      </c>
      <c r="AC190" s="1">
        <v>1</v>
      </c>
      <c r="AD190" s="1" t="s">
        <v>6094</v>
      </c>
      <c r="AE190" s="1" t="s">
        <v>6095</v>
      </c>
      <c r="AF190" s="1" t="s">
        <v>461</v>
      </c>
      <c r="AG190" s="1">
        <v>39</v>
      </c>
      <c r="AH190" s="5" t="s">
        <v>6096</v>
      </c>
      <c r="AI190" s="1">
        <v>5572291493</v>
      </c>
      <c r="AJ190" s="1">
        <v>5572291493</v>
      </c>
      <c r="AK190" s="1" t="s">
        <v>6097</v>
      </c>
      <c r="AL190" s="1" t="s">
        <v>2327</v>
      </c>
      <c r="AM190" s="1" t="s">
        <v>525</v>
      </c>
      <c r="AN190" s="1" t="s">
        <v>2589</v>
      </c>
      <c r="AO190" s="1" t="s">
        <v>420</v>
      </c>
      <c r="AP190" s="1">
        <v>41</v>
      </c>
      <c r="AQ190" s="1" t="s">
        <v>1466</v>
      </c>
      <c r="AR190" s="42">
        <v>0.375</v>
      </c>
      <c r="AS190" s="42">
        <v>0.27083333333575865</v>
      </c>
      <c r="AT190" s="1">
        <v>5514393073</v>
      </c>
      <c r="AU190" s="1">
        <v>5514393073</v>
      </c>
      <c r="AV190" s="1" t="s">
        <v>2590</v>
      </c>
      <c r="AW190" s="5" t="s">
        <v>6098</v>
      </c>
      <c r="AX190" s="1" t="s">
        <v>2327</v>
      </c>
      <c r="AY190" s="1" t="s">
        <v>244</v>
      </c>
      <c r="AZ190" s="1" t="s">
        <v>6099</v>
      </c>
      <c r="BA190" s="1" t="s">
        <v>758</v>
      </c>
      <c r="BB190" s="1">
        <v>18</v>
      </c>
      <c r="BC190" s="1" t="s">
        <v>303</v>
      </c>
      <c r="BD190" s="43">
        <v>0.29166666666424135</v>
      </c>
      <c r="BE190" s="43">
        <v>4.1666666664241347E-2</v>
      </c>
      <c r="BF190" s="1">
        <v>5539130490</v>
      </c>
      <c r="BG190" s="1">
        <v>5539130490</v>
      </c>
      <c r="BH190" s="1" t="s">
        <v>6100</v>
      </c>
      <c r="BI190" s="5" t="s">
        <v>6101</v>
      </c>
      <c r="BJ190" s="1" t="s">
        <v>236</v>
      </c>
      <c r="BL190" s="1">
        <v>160</v>
      </c>
      <c r="BM190" s="1">
        <v>63</v>
      </c>
      <c r="BN190" s="1" t="s">
        <v>236</v>
      </c>
      <c r="BO190" s="1" t="s">
        <v>228</v>
      </c>
      <c r="BQ190" s="1" t="s">
        <v>236</v>
      </c>
      <c r="BR190" s="1" t="s">
        <v>387</v>
      </c>
      <c r="BS190" s="1" t="s">
        <v>236</v>
      </c>
      <c r="BT190" s="1" t="s">
        <v>457</v>
      </c>
      <c r="BU190" s="1" t="s">
        <v>236</v>
      </c>
      <c r="BW190" s="1" t="s">
        <v>238</v>
      </c>
      <c r="BX190" s="1">
        <v>90</v>
      </c>
      <c r="BY190" s="1">
        <v>200</v>
      </c>
      <c r="BZ190" s="1" t="s">
        <v>1553</v>
      </c>
      <c r="CA190" s="1" t="s">
        <v>384</v>
      </c>
      <c r="CB190" s="1" t="s">
        <v>864</v>
      </c>
      <c r="CC190" s="1" t="s">
        <v>255</v>
      </c>
      <c r="CD190" s="1">
        <v>2000</v>
      </c>
      <c r="CE190" s="1">
        <v>1500</v>
      </c>
      <c r="CF190" s="1" t="s">
        <v>236</v>
      </c>
      <c r="CG190" s="1" t="s">
        <v>242</v>
      </c>
      <c r="CH190" s="1" t="s">
        <v>243</v>
      </c>
      <c r="CI190" s="1" t="s">
        <v>243</v>
      </c>
      <c r="CJ190" s="1" t="s">
        <v>2848</v>
      </c>
      <c r="CL190" s="5" t="s">
        <v>6102</v>
      </c>
      <c r="CM190" s="1">
        <v>21220716340</v>
      </c>
      <c r="CN190" s="1" t="s">
        <v>236</v>
      </c>
      <c r="CO190" s="1" t="s">
        <v>2696</v>
      </c>
      <c r="CP190" s="1" t="s">
        <v>2774</v>
      </c>
      <c r="CQ190" s="42">
        <v>0.25</v>
      </c>
      <c r="CR190" s="42">
        <v>0.45833333333575865</v>
      </c>
      <c r="CT190" s="45" t="str">
        <f t="array" ref="CT190">IFERROR(INDEX(#REF!,MATCH('Respuestas de formulario 1.1'!$B190,#REF!,0),MATCH('Respuestas de formulario 1.1'!CT$1,#REF!,0)),"")</f>
        <v/>
      </c>
      <c r="CU190" s="56" t="str">
        <f t="array" ref="CU190">IFERROR(INDEX(#REF!,MATCH('Respuestas de formulario 1.1'!$B190,#REF!,0),MATCH('Respuestas de formulario 1.1'!CU$1,#REF!,0)),"")</f>
        <v/>
      </c>
      <c r="CV190" s="56" t="str">
        <f t="array" ref="CV190">IFERROR(INDEX(#REF!,MATCH('Respuestas de formulario 1.1'!$B190,#REF!,0),MATCH('Respuestas de formulario 1.1'!CV$1,#REF!,0)),"")</f>
        <v/>
      </c>
      <c r="CW190" s="56" t="str">
        <f t="array" ref="CW190">IFERROR(INDEX(#REF!,MATCH('Respuestas de formulario 1.1'!$B190,#REF!,0),MATCH('Respuestas de formulario 1.1'!CW$1,#REF!,0)),"")</f>
        <v/>
      </c>
      <c r="CX190" s="56" t="str">
        <f t="array" ref="CX190">IFERROR(INDEX(#REF!,MATCH('Respuestas de formulario 1.1'!$B190,#REF!,0),MATCH('Respuestas de formulario 1.1'!CX$1,#REF!,0)),"")</f>
        <v/>
      </c>
      <c r="CY190" s="56" t="str">
        <f t="array" ref="CY190">IFERROR(INDEX(#REF!,MATCH('Respuestas de formulario 1.1'!$B190,#REF!,0),MATCH('Respuestas de formulario 1.1'!CY$1,#REF!,0)),"")</f>
        <v/>
      </c>
      <c r="CZ190" s="57" t="str">
        <f t="array" ref="CZ190">IFERROR(INDEX(#REF!,MATCH('Respuestas de formulario 1.1'!$B190,#REF!,0),MATCH('Respuestas de formulario 1.1'!CZ$1,#REF!,0)),"")</f>
        <v/>
      </c>
      <c r="DA190" s="45" t="e">
        <f t="array" ref="DA190">INDEX(#REF!,MATCH('Respuestas de formulario 1.1'!$B190,#REF!,0),MATCH('Respuestas de formulario 1.1'!DA$1,#REF!,0))</f>
        <v>#REF!</v>
      </c>
      <c r="DB190" s="45" t="e">
        <f t="array" ref="DB190">INDEX(#REF!,MATCH('Respuestas de formulario 1.1'!$B190,#REF!,0),MATCH('Respuestas de formulario 1.1'!DB$1,#REF!,0))</f>
        <v>#REF!</v>
      </c>
      <c r="DC190" s="45" t="e">
        <f t="array" ref="DC190">INDEX(#REF!,MATCH('Respuestas de formulario 1.1'!$B190,#REF!,0),MATCH('Respuestas de formulario 1.1'!DC$1,#REF!,0))</f>
        <v>#REF!</v>
      </c>
      <c r="DD190" s="45" t="e">
        <f t="array" ref="DD190">INDEX(#REF!,MATCH('Respuestas de formulario 1.1'!$B190,#REF!,0),MATCH('Respuestas de formulario 1.1'!DD$1,#REF!,0))</f>
        <v>#REF!</v>
      </c>
      <c r="DE190" s="45" t="e">
        <f t="array" ref="DE190">INDEX(#REF!,MATCH('Respuestas de formulario 1.1'!$B190,#REF!,0),MATCH('Respuestas de formulario 1.1'!DE$1,#REF!,0))</f>
        <v>#REF!</v>
      </c>
      <c r="DF190" s="45" t="e">
        <f t="array" ref="DF190">INDEX(#REF!,MATCH('Respuestas de formulario 1.1'!$B190,#REF!,0),MATCH('Respuestas de formulario 1.1'!DF$1,#REF!,0))</f>
        <v>#REF!</v>
      </c>
      <c r="DG190" s="45" t="e">
        <f t="array" ref="DG190">INDEX(#REF!,MATCH('Respuestas de formulario 1.1'!$B190,#REF!,0),MATCH('Respuestas de formulario 1.1'!DG$1,#REF!,0))</f>
        <v>#REF!</v>
      </c>
      <c r="DH190" s="45" t="e">
        <f t="array" ref="DH190">INDEX(#REF!,MATCH('Respuestas de formulario 1.1'!$B190,#REF!,0),MATCH('Respuestas de formulario 1.1'!DH$1,#REF!,0))</f>
        <v>#REF!</v>
      </c>
      <c r="DI190" s="48" t="e">
        <f>VLOOKUP(CONCATENATE($DF190," TUTO ",$DC190),#REF!,3,0)</f>
        <v>#REF!</v>
      </c>
      <c r="DJ190" s="48" t="e">
        <f t="array" ref="DJ190">IF('Respuestas de formulario 1.1'!A190="","",INDEX(#REF!,MATCH('Respuestas de formulario 1.1'!B190,#REF!,0),MATCH('Respuestas de formulario 1.1'!$DH$1,#REF!,0)))</f>
        <v>#REF!</v>
      </c>
      <c r="DK190" s="52" t="str">
        <f>CONCATENATE("http://doc.google.com/uc?id=",MID('Respuestas de formulario 1.1'!G190,34,33))</f>
        <v>http://doc.google.com/uc?id=1UsA1AY_CJERZHOpSB5uYlYbN_77pbpkm</v>
      </c>
      <c r="DL190" s="49" t="str">
        <f>CONCATENATE("http://doc.google.com/uc?id=",MID('Respuestas de formulario 1.1'!AH190,34,33))</f>
        <v>http://doc.google.com/uc?id=1wHHrwiYdX9JJj0RPl5ft5pbcB-r6B_E1</v>
      </c>
      <c r="DM190" s="50" t="str">
        <f>CONCATENATE("http://doc.google.com/uc?id=",MID('Respuestas de formulario 1.1'!AW190,34,33))</f>
        <v>http://doc.google.com/uc?id=140t4hGXv4IKVud7_aWLh4VeYTLRr9ao0</v>
      </c>
      <c r="DN190" s="53" t="str">
        <f>CONCATENATE("http://doc.google.com/uc?id=",MID('Respuestas de formulario 1.1'!$BI190,34,33))</f>
        <v>http://doc.google.com/uc?id=1Zoj-Ww8tzfKS_i3vkxMONw4KFiy0Cb3H</v>
      </c>
      <c r="DO190" s="45" t="str">
        <f>IFERROR(VLOOKUP(CONCATENATE('Respuestas de formulario 1.1'!$B190,MID('Respuestas de formulario 1.1'!DO$1,2,1)),#REF!,12,0),"")</f>
        <v/>
      </c>
      <c r="DP190" s="45" t="str">
        <f>IFERROR(VLOOKUP(CONCATENATE('Respuestas de formulario 1.1'!$B190,MID('Respuestas de formulario 1.1'!DP$1,2,1)),#REF!,12,0),"")</f>
        <v/>
      </c>
      <c r="DQ190" s="45" t="str">
        <f>IFERROR(VLOOKUP(CONCATENATE('Respuestas de formulario 1.1'!$B190,MID('Respuestas de formulario 1.1'!DQ$1,2,1)),#REF!,12,0),"")</f>
        <v/>
      </c>
      <c r="DR190" s="45" t="str">
        <f>IFERROR(VLOOKUP(CONCATENATE('Respuestas de formulario 1.1'!$B190,MID('Respuestas de formulario 1.1'!DR$1,2,1)),#REF!,12,0),"")</f>
        <v/>
      </c>
      <c r="DS190" s="45" t="str">
        <f>IFERROR(VLOOKUP(CONCATENATE('Respuestas de formulario 1.1'!$B190,MID('Respuestas de formulario 1.1'!DS$1,2,1)),#REF!,12,0),"")</f>
        <v/>
      </c>
      <c r="DT190" s="45" t="str">
        <f>IFERROR(VLOOKUP(CONCATENATE('Respuestas de formulario 1.1'!$B190,MID('Respuestas de formulario 1.1'!DT$1,2,1)),#REF!,12,0),"")</f>
        <v/>
      </c>
      <c r="DU190" s="45" t="str">
        <f>IFERROR(VLOOKUP(CONCATENATE('Respuestas de formulario 1.1'!$B190,MID('Respuestas de formulario 1.1'!DU$1,2,1)),#REF!,12,0),"")</f>
        <v/>
      </c>
      <c r="DV190" s="45" t="str">
        <f>IFERROR(VLOOKUP(CONCATENATE('Respuestas de formulario 1.1'!$B190,MID('Respuestas de formulario 1.1'!DV$1,2,1)),#REF!,12,0),"")</f>
        <v/>
      </c>
      <c r="DW190" s="45" t="str">
        <f>IFERROR(VLOOKUP(CONCATENATE('Respuestas de formulario 1.1'!$B190,MID('Respuestas de formulario 1.1'!DW$1,2,1)),#REF!,12,0),"")</f>
        <v/>
      </c>
      <c r="DX190" s="45" t="str">
        <f>IFERROR(VLOOKUP(CONCATENATE('Respuestas de formulario 1.1'!$B190,MID('Respuestas de formulario 1.1'!DX$1,2,1)),#REF!,12,0),"")</f>
        <v/>
      </c>
      <c r="DY190" s="45" t="str">
        <f>IFERROR(VLOOKUP(CONCATENATE('Respuestas de formulario 1.1'!$B190,MID('Respuestas de formulario 1.1'!DY$1,2,1)),#REF!,12,0),"")</f>
        <v/>
      </c>
      <c r="DZ190" s="45" t="str">
        <f>IFERROR(VLOOKUP(CONCATENATE('Respuestas de formulario 1.1'!$B190,MID('Respuestas de formulario 1.1'!DZ$1,2,1)),#REF!,12,0),"")</f>
        <v/>
      </c>
      <c r="EA190" s="45" t="str">
        <f>IFERROR(VLOOKUP(CONCATENATE('Respuestas de formulario 1.1'!$B190,MID('Respuestas de formulario 1.1'!EA$1,2,1)),#REF!,12,0),"")</f>
        <v/>
      </c>
      <c r="EB190" s="45" t="str">
        <f>IFERROR(VLOOKUP(CONCATENATE('Respuestas de formulario 1.1'!$B190,MID('Respuestas de formulario 1.1'!EB$1,2,1)),#REF!,12,0),"")</f>
        <v/>
      </c>
      <c r="EC190" s="45" t="str">
        <f>IFERROR(VLOOKUP(CONCATENATE('Respuestas de formulario 1.1'!$B190,MID('Respuestas de formulario 1.1'!EC$1,2,1)),#REF!,12,0),"")</f>
        <v/>
      </c>
      <c r="ED190" s="45" t="str">
        <f>IFERROR(VLOOKUP(CONCATENATE('Respuestas de formulario 1.1'!$B190,MID('Respuestas de formulario 1.1'!ED$1,2,1)),#REF!,12,0),"")</f>
        <v/>
      </c>
      <c r="EE190" s="45" t="str">
        <f>IFERROR(VLOOKUP(CONCATENATE('Respuestas de formulario 1.1'!$B190,MID('Respuestas de formulario 1.1'!EE$1,2,1)),#REF!,12,0),"")</f>
        <v/>
      </c>
      <c r="EF190" s="45" t="str">
        <f>IFERROR(VLOOKUP(CONCATENATE('Respuestas de formulario 1.1'!$B190,MID('Respuestas de formulario 1.1'!EF$1,2,1)),#REF!,12,0),"")</f>
        <v/>
      </c>
      <c r="EG190" s="45" t="str">
        <f>IFERROR(VLOOKUP(CONCATENATE('Respuestas de formulario 1.1'!$B190,MID('Respuestas de formulario 1.1'!EG$1,2,1)),#REF!,12,0),"")</f>
        <v/>
      </c>
      <c r="EH190" s="45" t="str">
        <f>IFERROR(VLOOKUP(CONCATENATE('Respuestas de formulario 1.1'!$B190,MID('Respuestas de formulario 1.1'!EH$1,2,1)),#REF!,12,0),"")</f>
        <v/>
      </c>
      <c r="EI190" s="45" t="str">
        <f>IFERROR(VLOOKUP(CONCATENATE('Respuestas de formulario 1.1'!$B190,MID('Respuestas de formulario 1.1'!EI$1,2,1)),#REF!,12,0),"")</f>
        <v/>
      </c>
      <c r="EJ190" s="45" t="str">
        <f t="array" ref="EJ190">IF(DO190="","", INDEX(#REF!,MATCH(CONCATENATE('Respuestas de formulario 1.1'!$B190,DO190),#REF!,0),MATCH('Respuestas de formulario 1.1'!EJ$1,#REF!,0)))</f>
        <v/>
      </c>
      <c r="EK190" s="56" t="str">
        <f t="array" ref="EK190">IF(DP190="","", INDEX(#REF!,MATCH(CONCATENATE('Respuestas de formulario 1.1'!$B190,DP190),#REF!,0),MATCH('Respuestas de formulario 1.1'!EK$1,#REF!,0)))</f>
        <v/>
      </c>
      <c r="EL190" s="56" t="str">
        <f t="array" ref="EL190">IF(DQ190="","", INDEX(#REF!,MATCH(CONCATENATE('Respuestas de formulario 1.1'!$B190,DQ190),#REF!,0),MATCH('Respuestas de formulario 1.1'!EL$1,#REF!,0)))</f>
        <v/>
      </c>
      <c r="EM190" s="56" t="str">
        <f t="array" ref="EM190">IF(DR190="","", INDEX(#REF!,MATCH(CONCATENATE('Respuestas de formulario 1.1'!$B190,DR190),#REF!,0),MATCH('Respuestas de formulario 1.1'!EM$1,#REF!,0)))</f>
        <v/>
      </c>
      <c r="EN190" s="56" t="str">
        <f t="array" ref="EN190">IF(DS190="","", INDEX(#REF!,MATCH(CONCATENATE('Respuestas de formulario 1.1'!$B190,DS190),#REF!,0),MATCH('Respuestas de formulario 1.1'!EN$1,#REF!,0)))</f>
        <v/>
      </c>
      <c r="EO190" s="56" t="str">
        <f t="array" ref="EO190">IF(DT190="","", INDEX(#REF!,MATCH(CONCATENATE('Respuestas de formulario 1.1'!$B190,DT190),#REF!,0),MATCH('Respuestas de formulario 1.1'!EO$1,#REF!,0)))</f>
        <v/>
      </c>
      <c r="EP190" s="45" t="str">
        <f t="array" ref="EP190">IF(DU190="","", INDEX(#REF!,MATCH(CONCATENATE('Respuestas de formulario 1.1'!$B190,DU190),#REF!,0),MATCH('Respuestas de formulario 1.1'!EP$1,#REF!,0)))</f>
        <v/>
      </c>
      <c r="EQ190" s="45" t="str">
        <f t="array" ref="EQ190">IF(DP190="","", INDEX(#REF!,MATCH(CONCATENATE('Respuestas de formulario 1.1'!$B190,DP190),#REF!,0),MATCH('Respuestas de formulario 1.1'!EQ$1,#REF!,0)))</f>
        <v/>
      </c>
      <c r="ER190" s="56" t="str">
        <f t="array" ref="ER190">IF(DQ190="","", INDEX(#REF!,MATCH(CONCATENATE('Respuestas de formulario 1.1'!$B190,DQ190),#REF!,0),MATCH('Respuestas de formulario 1.1'!ER$1,#REF!,0)))</f>
        <v/>
      </c>
      <c r="ES190" s="56" t="str">
        <f t="array" ref="ES190">IF(DR190="","", INDEX(#REF!,MATCH(CONCATENATE('Respuestas de formulario 1.1'!$B190,DR190),#REF!,0),MATCH('Respuestas de formulario 1.1'!ES$1,#REF!,0)))</f>
        <v/>
      </c>
      <c r="ET190" s="56" t="str">
        <f t="array" ref="ET190">IF(DS190="","", INDEX(#REF!,MATCH(CONCATENATE('Respuestas de formulario 1.1'!$B190,DS190),#REF!,0),MATCH('Respuestas de formulario 1.1'!ET$1,#REF!,0)))</f>
        <v/>
      </c>
      <c r="EU190" s="56" t="str">
        <f t="array" ref="EU190">IF(DT190="","", INDEX(#REF!,MATCH(CONCATENATE('Respuestas de formulario 1.1'!$B190,DT190),#REF!,0),MATCH('Respuestas de formulario 1.1'!EU$1,#REF!,0)))</f>
        <v/>
      </c>
      <c r="EV190" s="56" t="str">
        <f t="array" ref="EV190">IF(DU190="","", INDEX(#REF!,MATCH(CONCATENATE('Respuestas de formulario 1.1'!$B190,DU190),#REF!,0),MATCH('Respuestas de formulario 1.1'!EV$1,#REF!,0)))</f>
        <v/>
      </c>
      <c r="EW190" s="45" t="str">
        <f t="array" ref="EW190">IF(DV190="","", INDEX(#REF!,MATCH(CONCATENATE('Respuestas de formulario 1.1'!$B190,DV190),#REF!,0),MATCH('Respuestas de formulario 1.1'!EW$1,#REF!,0)))</f>
        <v/>
      </c>
      <c r="EX190" s="45" t="str">
        <f t="array" ref="EX190">IF($DQ190="","", INDEX(#REF!,MATCH(CONCATENATE('Respuestas de formulario 1.1'!$B190,$DQ190),#REF!,0),MATCH('Respuestas de formulario 1.1'!EX$1,#REF!,0)))</f>
        <v/>
      </c>
      <c r="EY190" s="56" t="str">
        <f t="array" ref="EY190">IF($DQ190="","", INDEX(#REF!,MATCH(CONCATENATE('Respuestas de formulario 1.1'!$B190,$DQ190),#REF!,0),MATCH('Respuestas de formulario 1.1'!EY$1,#REF!,0)))</f>
        <v/>
      </c>
      <c r="EZ190" s="56" t="str">
        <f t="array" ref="EZ190">IF($DQ190="","", INDEX(#REF!,MATCH(CONCATENATE('Respuestas de formulario 1.1'!$B190,$DQ190),#REF!,0),MATCH('Respuestas de formulario 1.1'!EZ$1,#REF!,0)))</f>
        <v/>
      </c>
      <c r="FA190" s="56" t="str">
        <f t="array" ref="FA190">IF($DQ190="","", INDEX(#REF!,MATCH(CONCATENATE('Respuestas de formulario 1.1'!$B190,$DQ190),#REF!,0),MATCH('Respuestas de formulario 1.1'!FA$1,#REF!,0)))</f>
        <v/>
      </c>
      <c r="FB190" s="56" t="str">
        <f t="array" ref="FB190">IF($DQ190="","", INDEX(#REF!,MATCH(CONCATENATE('Respuestas de formulario 1.1'!$B190,$DQ190),#REF!,0),MATCH('Respuestas de formulario 1.1'!FB$1,#REF!,0)))</f>
        <v/>
      </c>
      <c r="FC190" s="56" t="str">
        <f t="array" ref="FC190">IF($DQ190="","", INDEX(#REF!,MATCH(CONCATENATE('Respuestas de formulario 1.1'!$B190,$DQ190),#REF!,0),MATCH('Respuestas de formulario 1.1'!FC$1,#REF!,0)))</f>
        <v/>
      </c>
      <c r="FD190" s="45" t="str">
        <f t="array" ref="FD190">IF($DQ190="","", INDEX(#REF!,MATCH(CONCATENATE('Respuestas de formulario 1.1'!$B190,$DQ190),#REF!,0),MATCH('Respuestas de formulario 1.1'!FD$1,#REF!,0)))</f>
        <v/>
      </c>
      <c r="FE190" s="45" t="str">
        <f t="array" ref="FE190">IF($DR190="","", INDEX(#REF!,MATCH(CONCATENATE(#REF!,$DR190),#REF!,0),MATCH(#REF!,#REF!,0)))</f>
        <v/>
      </c>
      <c r="FF190" s="56" t="str">
        <f t="array" ref="FF190">IF($DR190="","", INDEX(#REF!,MATCH(CONCATENATE(#REF!,$DR190),#REF!,0),MATCH(#REF!,#REF!,0)))</f>
        <v/>
      </c>
      <c r="FG190" s="56" t="str">
        <f t="array" ref="FG190">IF($DR190="","", INDEX(#REF!,MATCH(CONCATENATE(#REF!,$DR190),#REF!,0),MATCH(#REF!,#REF!,0)))</f>
        <v/>
      </c>
      <c r="FH190" s="56" t="str">
        <f t="array" ref="FH190">IF($DR190="","", INDEX(#REF!,MATCH(CONCATENATE(#REF!,$DR190),#REF!,0),MATCH(#REF!,#REF!,0)))</f>
        <v/>
      </c>
      <c r="FI190" s="56" t="str">
        <f t="array" ref="FI190">IF($DR190="","", INDEX(#REF!,MATCH(CONCATENATE(#REF!,$DR190),#REF!,0),MATCH(#REF!,#REF!,0)))</f>
        <v/>
      </c>
      <c r="FJ190" s="56" t="str">
        <f t="array" ref="FJ190">IF($DR190="","", INDEX(#REF!,MATCH(CONCATENATE(#REF!,$DR190),#REF!,0),MATCH(#REF!,#REF!,0)))</f>
        <v/>
      </c>
      <c r="FK190" s="45" t="str">
        <f t="array" ref="FK190">IF($DR190="","", INDEX(#REF!,MATCH(CONCATENATE(#REF!,$DR190),#REF!,0),MATCH(#REF!,#REF!,0)))</f>
        <v/>
      </c>
      <c r="FL190" s="45" t="str">
        <f t="array" ref="FL190">IF($DT190="","", INDEX(#REF!,MATCH(CONCATENATE('Respuestas de formulario 1.1'!$B190,$DS190),#REF!,0),MATCH('Respuestas de formulario 1.1'!FL$1,#REF!,0)))</f>
        <v/>
      </c>
      <c r="FM190" s="56" t="str">
        <f t="array" ref="FM190">IF($DT190="","", INDEX(#REF!,MATCH(CONCATENATE('Respuestas de formulario 1.1'!$B190,$DS190),#REF!,0),MATCH('Respuestas de formulario 1.1'!FM$1,#REF!,0)))</f>
        <v/>
      </c>
      <c r="FN190" s="56" t="str">
        <f t="array" ref="FN190">IF($DT190="","", INDEX(#REF!,MATCH(CONCATENATE('Respuestas de formulario 1.1'!$B190,$DS190),#REF!,0),MATCH('Respuestas de formulario 1.1'!FN$1,#REF!,0)))</f>
        <v/>
      </c>
      <c r="FO190" s="56" t="str">
        <f t="array" ref="FO190">IF($DT190="","", INDEX(#REF!,MATCH(CONCATENATE('Respuestas de formulario 1.1'!$B190,$DS190),#REF!,0),MATCH('Respuestas de formulario 1.1'!FO$1,#REF!,0)))</f>
        <v/>
      </c>
      <c r="FP190" s="56" t="str">
        <f t="array" ref="FP190">IF($DT190="","", INDEX(#REF!,MATCH(CONCATENATE('Respuestas de formulario 1.1'!$B190,$DS190),#REF!,0),MATCH('Respuestas de formulario 1.1'!FP$1,#REF!,0)))</f>
        <v/>
      </c>
      <c r="FQ190" s="56" t="str">
        <f t="array" ref="FQ190">IF($DT190="","", INDEX(#REF!,MATCH(CONCATENATE('Respuestas de formulario 1.1'!$B190,$DS190),#REF!,0),MATCH('Respuestas de formulario 1.1'!FQ$1,#REF!,0)))</f>
        <v/>
      </c>
      <c r="FR190" s="45" t="str">
        <f t="array" ref="FR190">IF($DT190="","", INDEX(#REF!,MATCH(CONCATENATE('Respuestas de formulario 1.1'!$B190,$DS190),#REF!,0),MATCH('Respuestas de formulario 1.1'!FR$1,#REF!,0)))</f>
        <v/>
      </c>
      <c r="FS190" s="45" t="str">
        <f t="array" ref="FS190">IF($DU190="","", INDEX(#REF!,MATCH(CONCATENATE('Respuestas de formulario 1.1'!$B190,$DT190),#REF!,0),MATCH('Respuestas de formulario 1.1'!FS$1,#REF!,0)))</f>
        <v/>
      </c>
      <c r="FT190" s="56" t="str">
        <f t="array" ref="FT190">IF($DU190="","", INDEX(#REF!,MATCH(CONCATENATE('Respuestas de formulario 1.1'!$B190,$DT190),#REF!,0),MATCH('Respuestas de formulario 1.1'!FT$1,#REF!,0)))</f>
        <v/>
      </c>
      <c r="FU190" s="56" t="str">
        <f t="array" ref="FU190">IF($DU190="","", INDEX(#REF!,MATCH(CONCATENATE('Respuestas de formulario 1.1'!$B190,$DT190),#REF!,0),MATCH('Respuestas de formulario 1.1'!FU$1,#REF!,0)))</f>
        <v/>
      </c>
      <c r="FV190" s="56" t="str">
        <f t="array" ref="FV190">IF($DU190="","", INDEX(#REF!,MATCH(CONCATENATE('Respuestas de formulario 1.1'!$B190,$DT190),#REF!,0),MATCH('Respuestas de formulario 1.1'!FV$1,#REF!,0)))</f>
        <v/>
      </c>
      <c r="FW190" s="56" t="str">
        <f t="array" ref="FW190">IF($DU190="","", INDEX(#REF!,MATCH(CONCATENATE('Respuestas de formulario 1.1'!$B190,$DT190),#REF!,0),MATCH('Respuestas de formulario 1.1'!FW$1,#REF!,0)))</f>
        <v/>
      </c>
      <c r="FX190" s="56" t="str">
        <f t="array" ref="FX190">IF($DU190="","", INDEX(#REF!,MATCH(CONCATENATE('Respuestas de formulario 1.1'!$B190,$DT190),#REF!,0),MATCH('Respuestas de formulario 1.1'!FX$1,#REF!,0)))</f>
        <v/>
      </c>
      <c r="FY190" s="45" t="str">
        <f t="array" ref="FY190">IF($DU190="","", INDEX(#REF!,MATCH(CONCATENATE('Respuestas de formulario 1.1'!$B190,$DT190),#REF!,0),MATCH('Respuestas de formulario 1.1'!FY$1,#REF!,0)))</f>
        <v/>
      </c>
      <c r="FZ190" s="3" t="s">
        <v>2860</v>
      </c>
      <c r="GL190" s="1"/>
    </row>
    <row r="191" spans="1:194" ht="38.25" x14ac:dyDescent="0.2">
      <c r="A191" s="2">
        <v>45139.862072187505</v>
      </c>
      <c r="B191" s="1" t="s">
        <v>915</v>
      </c>
      <c r="C191" s="1" t="s">
        <v>916</v>
      </c>
      <c r="D191" s="1" t="s">
        <v>1438</v>
      </c>
      <c r="E191" s="1" t="s">
        <v>917</v>
      </c>
      <c r="F191" s="1" t="s">
        <v>223</v>
      </c>
      <c r="G191" s="5" t="s">
        <v>6103</v>
      </c>
      <c r="H191" s="41">
        <v>39414</v>
      </c>
      <c r="I191" s="1">
        <v>15</v>
      </c>
      <c r="J191" s="1">
        <v>5613944063</v>
      </c>
      <c r="K191" s="1">
        <v>5610105656</v>
      </c>
      <c r="L191" s="1" t="s">
        <v>918</v>
      </c>
      <c r="M191" s="1">
        <v>22309060570130</v>
      </c>
      <c r="N191" s="1" t="s">
        <v>562</v>
      </c>
      <c r="O191" s="1" t="s">
        <v>247</v>
      </c>
      <c r="P191" s="1" t="s">
        <v>226</v>
      </c>
      <c r="Q191" s="1" t="s">
        <v>263</v>
      </c>
      <c r="R191" s="1" t="s">
        <v>236</v>
      </c>
      <c r="S191" s="1" t="s">
        <v>228</v>
      </c>
      <c r="T191" s="1" t="s">
        <v>229</v>
      </c>
      <c r="U191" s="1" t="s">
        <v>264</v>
      </c>
      <c r="V191" s="1" t="s">
        <v>228</v>
      </c>
      <c r="W191" s="1" t="s">
        <v>2312</v>
      </c>
      <c r="X191" s="1" t="s">
        <v>264</v>
      </c>
      <c r="Y191" s="1" t="s">
        <v>1793</v>
      </c>
      <c r="Z191" s="1" t="s">
        <v>231</v>
      </c>
      <c r="AA191" s="1">
        <v>57930</v>
      </c>
      <c r="AB191" s="1">
        <v>136</v>
      </c>
      <c r="AC191" s="1">
        <v>2</v>
      </c>
      <c r="AD191" s="1" t="s">
        <v>6104</v>
      </c>
      <c r="AE191" s="1" t="s">
        <v>6105</v>
      </c>
      <c r="AF191" s="1" t="s">
        <v>461</v>
      </c>
      <c r="AG191" s="1">
        <v>31</v>
      </c>
      <c r="AH191" s="5" t="s">
        <v>6106</v>
      </c>
      <c r="AI191" s="1">
        <v>5610105656</v>
      </c>
      <c r="AJ191" s="1">
        <v>5610105656</v>
      </c>
      <c r="AK191" s="1" t="s">
        <v>919</v>
      </c>
      <c r="AL191" s="1" t="s">
        <v>916</v>
      </c>
      <c r="AM191" s="1" t="s">
        <v>727</v>
      </c>
      <c r="AN191" s="1" t="s">
        <v>6107</v>
      </c>
      <c r="AO191" s="1" t="s">
        <v>291</v>
      </c>
      <c r="AP191" s="1">
        <v>40</v>
      </c>
      <c r="AQ191" s="1" t="s">
        <v>2529</v>
      </c>
      <c r="AR191" s="42">
        <v>0.33333333333575865</v>
      </c>
      <c r="AS191" s="42">
        <v>4.1666666664241347E-2</v>
      </c>
      <c r="AT191" s="1">
        <v>5620852178</v>
      </c>
      <c r="AU191" s="1">
        <v>5620852178</v>
      </c>
      <c r="AV191" s="1" t="s">
        <v>6108</v>
      </c>
      <c r="AW191" s="5" t="s">
        <v>6109</v>
      </c>
      <c r="AX191" s="1" t="s">
        <v>1438</v>
      </c>
      <c r="AY191" s="1" t="s">
        <v>1603</v>
      </c>
      <c r="AZ191" s="1" t="s">
        <v>6110</v>
      </c>
      <c r="BA191" s="1" t="s">
        <v>461</v>
      </c>
      <c r="BB191" s="1">
        <v>31</v>
      </c>
      <c r="BC191" s="1" t="s">
        <v>1501</v>
      </c>
      <c r="BD191" s="43">
        <v>0.33333333333575865</v>
      </c>
      <c r="BE191" s="43">
        <v>0.20833333333575865</v>
      </c>
      <c r="BF191" s="1">
        <v>5610105656</v>
      </c>
      <c r="BG191" s="1">
        <v>5610105656</v>
      </c>
      <c r="BH191" s="1" t="s">
        <v>919</v>
      </c>
      <c r="BI191" s="5" t="s">
        <v>6111</v>
      </c>
      <c r="BJ191" s="1" t="s">
        <v>236</v>
      </c>
      <c r="BL191" s="1">
        <v>152</v>
      </c>
      <c r="BM191" s="1">
        <v>65</v>
      </c>
      <c r="BN191" s="1" t="s">
        <v>236</v>
      </c>
      <c r="BO191" s="1" t="s">
        <v>228</v>
      </c>
      <c r="BQ191" s="1" t="s">
        <v>228</v>
      </c>
      <c r="BR191" s="1" t="s">
        <v>237</v>
      </c>
      <c r="BS191" s="1" t="s">
        <v>228</v>
      </c>
      <c r="BT191" s="1" t="s">
        <v>237</v>
      </c>
      <c r="BU191" s="1" t="s">
        <v>228</v>
      </c>
      <c r="BW191" s="1" t="s">
        <v>272</v>
      </c>
      <c r="BX191" s="1">
        <v>50</v>
      </c>
      <c r="BY191" s="1">
        <v>400</v>
      </c>
      <c r="BZ191" s="1" t="s">
        <v>1399</v>
      </c>
      <c r="CA191" s="1" t="s">
        <v>254</v>
      </c>
      <c r="CB191" s="1" t="s">
        <v>240</v>
      </c>
      <c r="CC191" s="1" t="s">
        <v>300</v>
      </c>
      <c r="CD191" s="1">
        <v>1000</v>
      </c>
      <c r="CE191" s="1">
        <v>1500</v>
      </c>
      <c r="CF191" s="1" t="s">
        <v>236</v>
      </c>
      <c r="CG191" s="1" t="s">
        <v>242</v>
      </c>
      <c r="CH191" s="1" t="s">
        <v>243</v>
      </c>
      <c r="CI191" s="1" t="s">
        <v>243</v>
      </c>
      <c r="CJ191" s="1" t="s">
        <v>2848</v>
      </c>
      <c r="CL191" s="5" t="s">
        <v>6112</v>
      </c>
      <c r="CM191" s="44" t="s">
        <v>920</v>
      </c>
      <c r="CN191" s="1" t="s">
        <v>228</v>
      </c>
      <c r="CQ191" s="42">
        <v>0.33333333333575865</v>
      </c>
      <c r="CR191" s="42">
        <v>0.20833333333575865</v>
      </c>
      <c r="CT191" s="45" t="str">
        <f t="array" ref="CT191">IFERROR(INDEX(#REF!,MATCH('Respuestas de formulario 1.1'!$B191,#REF!,0),MATCH('Respuestas de formulario 1.1'!CT$1,#REF!,0)),"")</f>
        <v/>
      </c>
      <c r="CU191" s="56" t="str">
        <f t="array" ref="CU191">IFERROR(INDEX(#REF!,MATCH('Respuestas de formulario 1.1'!$B191,#REF!,0),MATCH('Respuestas de formulario 1.1'!CU$1,#REF!,0)),"")</f>
        <v/>
      </c>
      <c r="CV191" s="56" t="str">
        <f t="array" ref="CV191">IFERROR(INDEX(#REF!,MATCH('Respuestas de formulario 1.1'!$B191,#REF!,0),MATCH('Respuestas de formulario 1.1'!CV$1,#REF!,0)),"")</f>
        <v/>
      </c>
      <c r="CW191" s="56" t="str">
        <f t="array" ref="CW191">IFERROR(INDEX(#REF!,MATCH('Respuestas de formulario 1.1'!$B191,#REF!,0),MATCH('Respuestas de formulario 1.1'!CW$1,#REF!,0)),"")</f>
        <v/>
      </c>
      <c r="CX191" s="56" t="str">
        <f t="array" ref="CX191">IFERROR(INDEX(#REF!,MATCH('Respuestas de formulario 1.1'!$B191,#REF!,0),MATCH('Respuestas de formulario 1.1'!CX$1,#REF!,0)),"")</f>
        <v/>
      </c>
      <c r="CY191" s="56" t="str">
        <f t="array" ref="CY191">IFERROR(INDEX(#REF!,MATCH('Respuestas de formulario 1.1'!$B191,#REF!,0),MATCH('Respuestas de formulario 1.1'!CY$1,#REF!,0)),"")</f>
        <v/>
      </c>
      <c r="CZ191" s="57" t="str">
        <f t="array" ref="CZ191">IFERROR(INDEX(#REF!,MATCH('Respuestas de formulario 1.1'!$B191,#REF!,0),MATCH('Respuestas de formulario 1.1'!CZ$1,#REF!,0)),"")</f>
        <v/>
      </c>
      <c r="DA191" s="45" t="e">
        <f t="array" ref="DA191">INDEX(#REF!,MATCH('Respuestas de formulario 1.1'!$B191,#REF!,0),MATCH('Respuestas de formulario 1.1'!DA$1,#REF!,0))</f>
        <v>#REF!</v>
      </c>
      <c r="DB191" s="45" t="e">
        <f t="array" ref="DB191">INDEX(#REF!,MATCH('Respuestas de formulario 1.1'!$B191,#REF!,0),MATCH('Respuestas de formulario 1.1'!DB$1,#REF!,0))</f>
        <v>#REF!</v>
      </c>
      <c r="DC191" s="45" t="e">
        <f t="array" ref="DC191">INDEX(#REF!,MATCH('Respuestas de formulario 1.1'!$B191,#REF!,0),MATCH('Respuestas de formulario 1.1'!DC$1,#REF!,0))</f>
        <v>#REF!</v>
      </c>
      <c r="DD191" s="45" t="e">
        <f t="array" ref="DD191">INDEX(#REF!,MATCH('Respuestas de formulario 1.1'!$B191,#REF!,0),MATCH('Respuestas de formulario 1.1'!DD$1,#REF!,0))</f>
        <v>#REF!</v>
      </c>
      <c r="DE191" s="45" t="e">
        <f t="array" ref="DE191">INDEX(#REF!,MATCH('Respuestas de formulario 1.1'!$B191,#REF!,0),MATCH('Respuestas de formulario 1.1'!DE$1,#REF!,0))</f>
        <v>#REF!</v>
      </c>
      <c r="DF191" s="45" t="e">
        <f t="array" ref="DF191">INDEX(#REF!,MATCH('Respuestas de formulario 1.1'!$B191,#REF!,0),MATCH('Respuestas de formulario 1.1'!DF$1,#REF!,0))</f>
        <v>#REF!</v>
      </c>
      <c r="DG191" s="45" t="e">
        <f t="array" ref="DG191">INDEX(#REF!,MATCH('Respuestas de formulario 1.1'!$B191,#REF!,0),MATCH('Respuestas de formulario 1.1'!DG$1,#REF!,0))</f>
        <v>#REF!</v>
      </c>
      <c r="DH191" s="45" t="e">
        <f t="array" ref="DH191">INDEX(#REF!,MATCH('Respuestas de formulario 1.1'!$B191,#REF!,0),MATCH('Respuestas de formulario 1.1'!DH$1,#REF!,0))</f>
        <v>#REF!</v>
      </c>
      <c r="DI191" s="48" t="e">
        <f>VLOOKUP(CONCATENATE($DF191," TUTO ",$DC191),#REF!,3,0)</f>
        <v>#REF!</v>
      </c>
      <c r="DJ191" s="48" t="e">
        <f t="array" ref="DJ191">IF('Respuestas de formulario 1.1'!A191="","",INDEX(#REF!,MATCH('Respuestas de formulario 1.1'!B191,#REF!,0),MATCH('Respuestas de formulario 1.1'!$DH$1,#REF!,0)))</f>
        <v>#REF!</v>
      </c>
      <c r="DK191" s="52" t="str">
        <f>CONCATENATE("http://doc.google.com/uc?id=",MID('Respuestas de formulario 1.1'!G191,34,33))</f>
        <v>http://doc.google.com/uc?id=11FuaWzIp-ux-IBuVMK9xTjSkKG7MgsnJ</v>
      </c>
      <c r="DL191" s="49" t="str">
        <f>CONCATENATE("http://doc.google.com/uc?id=",MID('Respuestas de formulario 1.1'!AH191,34,33))</f>
        <v>http://doc.google.com/uc?id=1JVdXiyEJeNOR8oKf-9WFZGUKgCVvBLiW</v>
      </c>
      <c r="DM191" s="50" t="str">
        <f>CONCATENATE("http://doc.google.com/uc?id=",MID('Respuestas de formulario 1.1'!AW191,34,33))</f>
        <v>http://doc.google.com/uc?id=1O1pJM_qoL1b2UDb7zzzSvrkd86Ui_0FI</v>
      </c>
      <c r="DN191" s="53" t="str">
        <f>CONCATENATE("http://doc.google.com/uc?id=",MID('Respuestas de formulario 1.1'!$BI191,34,33))</f>
        <v>http://doc.google.com/uc?id=1n6r_N3O6zwjFpi99fQ7SLj43X2NFJBGw</v>
      </c>
      <c r="DO191" s="45" t="str">
        <f>IFERROR(VLOOKUP(CONCATENATE('Respuestas de formulario 1.1'!$B191,MID('Respuestas de formulario 1.1'!DO$1,2,1)),#REF!,12,0),"")</f>
        <v/>
      </c>
      <c r="DP191" s="45" t="str">
        <f>IFERROR(VLOOKUP(CONCATENATE('Respuestas de formulario 1.1'!$B191,MID('Respuestas de formulario 1.1'!DP$1,2,1)),#REF!,12,0),"")</f>
        <v/>
      </c>
      <c r="DQ191" s="45" t="str">
        <f>IFERROR(VLOOKUP(CONCATENATE('Respuestas de formulario 1.1'!$B191,MID('Respuestas de formulario 1.1'!DQ$1,2,1)),#REF!,12,0),"")</f>
        <v/>
      </c>
      <c r="DR191" s="45" t="str">
        <f>IFERROR(VLOOKUP(CONCATENATE('Respuestas de formulario 1.1'!$B191,MID('Respuestas de formulario 1.1'!DR$1,2,1)),#REF!,12,0),"")</f>
        <v/>
      </c>
      <c r="DS191" s="45" t="str">
        <f>IFERROR(VLOOKUP(CONCATENATE('Respuestas de formulario 1.1'!$B191,MID('Respuestas de formulario 1.1'!DS$1,2,1)),#REF!,12,0),"")</f>
        <v/>
      </c>
      <c r="DT191" s="45" t="str">
        <f>IFERROR(VLOOKUP(CONCATENATE('Respuestas de formulario 1.1'!$B191,MID('Respuestas de formulario 1.1'!DT$1,2,1)),#REF!,12,0),"")</f>
        <v/>
      </c>
      <c r="DU191" s="45" t="str">
        <f>IFERROR(VLOOKUP(CONCATENATE('Respuestas de formulario 1.1'!$B191,MID('Respuestas de formulario 1.1'!DU$1,2,1)),#REF!,12,0),"")</f>
        <v/>
      </c>
      <c r="DV191" s="45" t="str">
        <f>IFERROR(VLOOKUP(CONCATENATE('Respuestas de formulario 1.1'!$B191,MID('Respuestas de formulario 1.1'!DV$1,2,1)),#REF!,12,0),"")</f>
        <v/>
      </c>
      <c r="DW191" s="45" t="str">
        <f>IFERROR(VLOOKUP(CONCATENATE('Respuestas de formulario 1.1'!$B191,MID('Respuestas de formulario 1.1'!DW$1,2,1)),#REF!,12,0),"")</f>
        <v/>
      </c>
      <c r="DX191" s="45" t="str">
        <f>IFERROR(VLOOKUP(CONCATENATE('Respuestas de formulario 1.1'!$B191,MID('Respuestas de formulario 1.1'!DX$1,2,1)),#REF!,12,0),"")</f>
        <v/>
      </c>
      <c r="DY191" s="45" t="str">
        <f>IFERROR(VLOOKUP(CONCATENATE('Respuestas de formulario 1.1'!$B191,MID('Respuestas de formulario 1.1'!DY$1,2,1)),#REF!,12,0),"")</f>
        <v/>
      </c>
      <c r="DZ191" s="45" t="str">
        <f>IFERROR(VLOOKUP(CONCATENATE('Respuestas de formulario 1.1'!$B191,MID('Respuestas de formulario 1.1'!DZ$1,2,1)),#REF!,12,0),"")</f>
        <v/>
      </c>
      <c r="EA191" s="45" t="str">
        <f>IFERROR(VLOOKUP(CONCATENATE('Respuestas de formulario 1.1'!$B191,MID('Respuestas de formulario 1.1'!EA$1,2,1)),#REF!,12,0),"")</f>
        <v/>
      </c>
      <c r="EB191" s="45" t="str">
        <f>IFERROR(VLOOKUP(CONCATENATE('Respuestas de formulario 1.1'!$B191,MID('Respuestas de formulario 1.1'!EB$1,2,1)),#REF!,12,0),"")</f>
        <v/>
      </c>
      <c r="EC191" s="45" t="str">
        <f>IFERROR(VLOOKUP(CONCATENATE('Respuestas de formulario 1.1'!$B191,MID('Respuestas de formulario 1.1'!EC$1,2,1)),#REF!,12,0),"")</f>
        <v/>
      </c>
      <c r="ED191" s="45" t="str">
        <f>IFERROR(VLOOKUP(CONCATENATE('Respuestas de formulario 1.1'!$B191,MID('Respuestas de formulario 1.1'!ED$1,2,1)),#REF!,12,0),"")</f>
        <v/>
      </c>
      <c r="EE191" s="45" t="str">
        <f>IFERROR(VLOOKUP(CONCATENATE('Respuestas de formulario 1.1'!$B191,MID('Respuestas de formulario 1.1'!EE$1,2,1)),#REF!,12,0),"")</f>
        <v/>
      </c>
      <c r="EF191" s="45" t="str">
        <f>IFERROR(VLOOKUP(CONCATENATE('Respuestas de formulario 1.1'!$B191,MID('Respuestas de formulario 1.1'!EF$1,2,1)),#REF!,12,0),"")</f>
        <v/>
      </c>
      <c r="EG191" s="45" t="str">
        <f>IFERROR(VLOOKUP(CONCATENATE('Respuestas de formulario 1.1'!$B191,MID('Respuestas de formulario 1.1'!EG$1,2,1)),#REF!,12,0),"")</f>
        <v/>
      </c>
      <c r="EH191" s="45" t="str">
        <f>IFERROR(VLOOKUP(CONCATENATE('Respuestas de formulario 1.1'!$B191,MID('Respuestas de formulario 1.1'!EH$1,2,1)),#REF!,12,0),"")</f>
        <v/>
      </c>
      <c r="EI191" s="45" t="str">
        <f>IFERROR(VLOOKUP(CONCATENATE('Respuestas de formulario 1.1'!$B191,MID('Respuestas de formulario 1.1'!EI$1,2,1)),#REF!,12,0),"")</f>
        <v/>
      </c>
      <c r="EJ191" s="45" t="str">
        <f t="array" ref="EJ191">IF(DO191="","", INDEX(#REF!,MATCH(CONCATENATE('Respuestas de formulario 1.1'!$B191,DO191),#REF!,0),MATCH('Respuestas de formulario 1.1'!EJ$1,#REF!,0)))</f>
        <v/>
      </c>
      <c r="EK191" s="56" t="str">
        <f t="array" ref="EK191">IF(DP191="","", INDEX(#REF!,MATCH(CONCATENATE('Respuestas de formulario 1.1'!$B191,DP191),#REF!,0),MATCH('Respuestas de formulario 1.1'!EK$1,#REF!,0)))</f>
        <v/>
      </c>
      <c r="EL191" s="56" t="str">
        <f t="array" ref="EL191">IF(DQ191="","", INDEX(#REF!,MATCH(CONCATENATE('Respuestas de formulario 1.1'!$B191,DQ191),#REF!,0),MATCH('Respuestas de formulario 1.1'!EL$1,#REF!,0)))</f>
        <v/>
      </c>
      <c r="EM191" s="56" t="str">
        <f t="array" ref="EM191">IF(DR191="","", INDEX(#REF!,MATCH(CONCATENATE('Respuestas de formulario 1.1'!$B191,DR191),#REF!,0),MATCH('Respuestas de formulario 1.1'!EM$1,#REF!,0)))</f>
        <v/>
      </c>
      <c r="EN191" s="56" t="str">
        <f t="array" ref="EN191">IF(DS191="","", INDEX(#REF!,MATCH(CONCATENATE('Respuestas de formulario 1.1'!$B191,DS191),#REF!,0),MATCH('Respuestas de formulario 1.1'!EN$1,#REF!,0)))</f>
        <v/>
      </c>
      <c r="EO191" s="56" t="str">
        <f t="array" ref="EO191">IF(DT191="","", INDEX(#REF!,MATCH(CONCATENATE('Respuestas de formulario 1.1'!$B191,DT191),#REF!,0),MATCH('Respuestas de formulario 1.1'!EO$1,#REF!,0)))</f>
        <v/>
      </c>
      <c r="EP191" s="45" t="str">
        <f t="array" ref="EP191">IF(DU191="","", INDEX(#REF!,MATCH(CONCATENATE('Respuestas de formulario 1.1'!$B191,DU191),#REF!,0),MATCH('Respuestas de formulario 1.1'!EP$1,#REF!,0)))</f>
        <v/>
      </c>
      <c r="EQ191" s="45" t="str">
        <f t="array" ref="EQ191">IF(DP191="","", INDEX(#REF!,MATCH(CONCATENATE('Respuestas de formulario 1.1'!$B191,DP191),#REF!,0),MATCH('Respuestas de formulario 1.1'!EQ$1,#REF!,0)))</f>
        <v/>
      </c>
      <c r="ER191" s="56" t="str">
        <f t="array" ref="ER191">IF(DQ191="","", INDEX(#REF!,MATCH(CONCATENATE('Respuestas de formulario 1.1'!$B191,DQ191),#REF!,0),MATCH('Respuestas de formulario 1.1'!ER$1,#REF!,0)))</f>
        <v/>
      </c>
      <c r="ES191" s="56" t="str">
        <f t="array" ref="ES191">IF(DR191="","", INDEX(#REF!,MATCH(CONCATENATE('Respuestas de formulario 1.1'!$B191,DR191),#REF!,0),MATCH('Respuestas de formulario 1.1'!ES$1,#REF!,0)))</f>
        <v/>
      </c>
      <c r="ET191" s="56" t="str">
        <f t="array" ref="ET191">IF(DS191="","", INDEX(#REF!,MATCH(CONCATENATE('Respuestas de formulario 1.1'!$B191,DS191),#REF!,0),MATCH('Respuestas de formulario 1.1'!ET$1,#REF!,0)))</f>
        <v/>
      </c>
      <c r="EU191" s="56" t="str">
        <f t="array" ref="EU191">IF(DT191="","", INDEX(#REF!,MATCH(CONCATENATE('Respuestas de formulario 1.1'!$B191,DT191),#REF!,0),MATCH('Respuestas de formulario 1.1'!EU$1,#REF!,0)))</f>
        <v/>
      </c>
      <c r="EV191" s="56" t="str">
        <f t="array" ref="EV191">IF(DU191="","", INDEX(#REF!,MATCH(CONCATENATE('Respuestas de formulario 1.1'!$B191,DU191),#REF!,0),MATCH('Respuestas de formulario 1.1'!EV$1,#REF!,0)))</f>
        <v/>
      </c>
      <c r="EW191" s="45" t="str">
        <f t="array" ref="EW191">IF(DV191="","", INDEX(#REF!,MATCH(CONCATENATE('Respuestas de formulario 1.1'!$B191,DV191),#REF!,0),MATCH('Respuestas de formulario 1.1'!EW$1,#REF!,0)))</f>
        <v/>
      </c>
      <c r="EX191" s="45" t="str">
        <f t="array" ref="EX191">IF($DQ191="","", INDEX(#REF!,MATCH(CONCATENATE('Respuestas de formulario 1.1'!$B191,$DQ191),#REF!,0),MATCH('Respuestas de formulario 1.1'!EX$1,#REF!,0)))</f>
        <v/>
      </c>
      <c r="EY191" s="56" t="str">
        <f t="array" ref="EY191">IF($DQ191="","", INDEX(#REF!,MATCH(CONCATENATE('Respuestas de formulario 1.1'!$B191,$DQ191),#REF!,0),MATCH('Respuestas de formulario 1.1'!EY$1,#REF!,0)))</f>
        <v/>
      </c>
      <c r="EZ191" s="56" t="str">
        <f t="array" ref="EZ191">IF($DQ191="","", INDEX(#REF!,MATCH(CONCATENATE('Respuestas de formulario 1.1'!$B191,$DQ191),#REF!,0),MATCH('Respuestas de formulario 1.1'!EZ$1,#REF!,0)))</f>
        <v/>
      </c>
      <c r="FA191" s="56" t="str">
        <f t="array" ref="FA191">IF($DQ191="","", INDEX(#REF!,MATCH(CONCATENATE('Respuestas de formulario 1.1'!$B191,$DQ191),#REF!,0),MATCH('Respuestas de formulario 1.1'!FA$1,#REF!,0)))</f>
        <v/>
      </c>
      <c r="FB191" s="56" t="str">
        <f t="array" ref="FB191">IF($DQ191="","", INDEX(#REF!,MATCH(CONCATENATE('Respuestas de formulario 1.1'!$B191,$DQ191),#REF!,0),MATCH('Respuestas de formulario 1.1'!FB$1,#REF!,0)))</f>
        <v/>
      </c>
      <c r="FC191" s="56" t="str">
        <f t="array" ref="FC191">IF($DQ191="","", INDEX(#REF!,MATCH(CONCATENATE('Respuestas de formulario 1.1'!$B191,$DQ191),#REF!,0),MATCH('Respuestas de formulario 1.1'!FC$1,#REF!,0)))</f>
        <v/>
      </c>
      <c r="FD191" s="45" t="str">
        <f t="array" ref="FD191">IF($DQ191="","", INDEX(#REF!,MATCH(CONCATENATE('Respuestas de formulario 1.1'!$B191,$DQ191),#REF!,0),MATCH('Respuestas de formulario 1.1'!FD$1,#REF!,0)))</f>
        <v/>
      </c>
      <c r="FE191" s="45" t="str">
        <f t="array" ref="FE191">IF($DR191="","", INDEX(#REF!,MATCH(CONCATENATE(#REF!,$DR191),#REF!,0),MATCH(#REF!,#REF!,0)))</f>
        <v/>
      </c>
      <c r="FF191" s="56" t="str">
        <f t="array" ref="FF191">IF($DR191="","", INDEX(#REF!,MATCH(CONCATENATE(#REF!,$DR191),#REF!,0),MATCH(#REF!,#REF!,0)))</f>
        <v/>
      </c>
      <c r="FG191" s="56" t="str">
        <f t="array" ref="FG191">IF($DR191="","", INDEX(#REF!,MATCH(CONCATENATE(#REF!,$DR191),#REF!,0),MATCH(#REF!,#REF!,0)))</f>
        <v/>
      </c>
      <c r="FH191" s="56" t="str">
        <f t="array" ref="FH191">IF($DR191="","", INDEX(#REF!,MATCH(CONCATENATE(#REF!,$DR191),#REF!,0),MATCH(#REF!,#REF!,0)))</f>
        <v/>
      </c>
      <c r="FI191" s="56" t="str">
        <f t="array" ref="FI191">IF($DR191="","", INDEX(#REF!,MATCH(CONCATENATE(#REF!,$DR191),#REF!,0),MATCH(#REF!,#REF!,0)))</f>
        <v/>
      </c>
      <c r="FJ191" s="56" t="str">
        <f t="array" ref="FJ191">IF($DR191="","", INDEX(#REF!,MATCH(CONCATENATE(#REF!,$DR191),#REF!,0),MATCH(#REF!,#REF!,0)))</f>
        <v/>
      </c>
      <c r="FK191" s="45" t="str">
        <f t="array" ref="FK191">IF($DR191="","", INDEX(#REF!,MATCH(CONCATENATE(#REF!,$DR191),#REF!,0),MATCH(#REF!,#REF!,0)))</f>
        <v/>
      </c>
      <c r="FL191" s="45" t="str">
        <f t="array" ref="FL191">IF($DT191="","", INDEX(#REF!,MATCH(CONCATENATE('Respuestas de formulario 1.1'!$B191,$DS191),#REF!,0),MATCH('Respuestas de formulario 1.1'!FL$1,#REF!,0)))</f>
        <v/>
      </c>
      <c r="FM191" s="56" t="str">
        <f t="array" ref="FM191">IF($DT191="","", INDEX(#REF!,MATCH(CONCATENATE('Respuestas de formulario 1.1'!$B191,$DS191),#REF!,0),MATCH('Respuestas de formulario 1.1'!FM$1,#REF!,0)))</f>
        <v/>
      </c>
      <c r="FN191" s="56" t="str">
        <f t="array" ref="FN191">IF($DT191="","", INDEX(#REF!,MATCH(CONCATENATE('Respuestas de formulario 1.1'!$B191,$DS191),#REF!,0),MATCH('Respuestas de formulario 1.1'!FN$1,#REF!,0)))</f>
        <v/>
      </c>
      <c r="FO191" s="56" t="str">
        <f t="array" ref="FO191">IF($DT191="","", INDEX(#REF!,MATCH(CONCATENATE('Respuestas de formulario 1.1'!$B191,$DS191),#REF!,0),MATCH('Respuestas de formulario 1.1'!FO$1,#REF!,0)))</f>
        <v/>
      </c>
      <c r="FP191" s="56" t="str">
        <f t="array" ref="FP191">IF($DT191="","", INDEX(#REF!,MATCH(CONCATENATE('Respuestas de formulario 1.1'!$B191,$DS191),#REF!,0),MATCH('Respuestas de formulario 1.1'!FP$1,#REF!,0)))</f>
        <v/>
      </c>
      <c r="FQ191" s="56" t="str">
        <f t="array" ref="FQ191">IF($DT191="","", INDEX(#REF!,MATCH(CONCATENATE('Respuestas de formulario 1.1'!$B191,$DS191),#REF!,0),MATCH('Respuestas de formulario 1.1'!FQ$1,#REF!,0)))</f>
        <v/>
      </c>
      <c r="FR191" s="45" t="str">
        <f t="array" ref="FR191">IF($DT191="","", INDEX(#REF!,MATCH(CONCATENATE('Respuestas de formulario 1.1'!$B191,$DS191),#REF!,0),MATCH('Respuestas de formulario 1.1'!FR$1,#REF!,0)))</f>
        <v/>
      </c>
      <c r="FS191" s="45" t="str">
        <f t="array" ref="FS191">IF($DU191="","", INDEX(#REF!,MATCH(CONCATENATE('Respuestas de formulario 1.1'!$B191,$DT191),#REF!,0),MATCH('Respuestas de formulario 1.1'!FS$1,#REF!,0)))</f>
        <v/>
      </c>
      <c r="FT191" s="56" t="str">
        <f t="array" ref="FT191">IF($DU191="","", INDEX(#REF!,MATCH(CONCATENATE('Respuestas de formulario 1.1'!$B191,$DT191),#REF!,0),MATCH('Respuestas de formulario 1.1'!FT$1,#REF!,0)))</f>
        <v/>
      </c>
      <c r="FU191" s="56" t="str">
        <f t="array" ref="FU191">IF($DU191="","", INDEX(#REF!,MATCH(CONCATENATE('Respuestas de formulario 1.1'!$B191,$DT191),#REF!,0),MATCH('Respuestas de formulario 1.1'!FU$1,#REF!,0)))</f>
        <v/>
      </c>
      <c r="FV191" s="56" t="str">
        <f t="array" ref="FV191">IF($DU191="","", INDEX(#REF!,MATCH(CONCATENATE('Respuestas de formulario 1.1'!$B191,$DT191),#REF!,0),MATCH('Respuestas de formulario 1.1'!FV$1,#REF!,0)))</f>
        <v/>
      </c>
      <c r="FW191" s="56" t="str">
        <f t="array" ref="FW191">IF($DU191="","", INDEX(#REF!,MATCH(CONCATENATE('Respuestas de formulario 1.1'!$B191,$DT191),#REF!,0),MATCH('Respuestas de formulario 1.1'!FW$1,#REF!,0)))</f>
        <v/>
      </c>
      <c r="FX191" s="56" t="str">
        <f t="array" ref="FX191">IF($DU191="","", INDEX(#REF!,MATCH(CONCATENATE('Respuestas de formulario 1.1'!$B191,$DT191),#REF!,0),MATCH('Respuestas de formulario 1.1'!FX$1,#REF!,0)))</f>
        <v/>
      </c>
      <c r="FY191" s="45" t="str">
        <f t="array" ref="FY191">IF($DU191="","", INDEX(#REF!,MATCH(CONCATENATE('Respuestas de formulario 1.1'!$B191,$DT191),#REF!,0),MATCH('Respuestas de formulario 1.1'!FY$1,#REF!,0)))</f>
        <v/>
      </c>
      <c r="FZ191" s="3" t="s">
        <v>2860</v>
      </c>
      <c r="GA191" s="1" t="s">
        <v>6113</v>
      </c>
      <c r="GB191" s="5" t="s">
        <v>6114</v>
      </c>
      <c r="GC191" s="4" t="str">
        <f>HYPERLINK("https://drive.google.com/file/d/1DLTEZGnG8gCRd7Om51r7BM5fu0BCoOwx/view?usp=drivesdk","DIOSDADO  CUEVAS  ZOE DANAE  Formato de reinscripción y pago 2022-2")</f>
        <v>DIOSDADO  CUEVAS  ZOE DANAE  Formato de reinscripción y pago 2022-2</v>
      </c>
      <c r="GD191" s="1" t="s">
        <v>6115</v>
      </c>
      <c r="GE191" s="1"/>
      <c r="GF191" s="1"/>
      <c r="GG191" s="1"/>
      <c r="GH191" s="1"/>
      <c r="GI191" s="1" t="s">
        <v>6116</v>
      </c>
      <c r="GJ191" s="5" t="s">
        <v>6117</v>
      </c>
      <c r="GK191" s="5" t="str">
        <f>HYPERLINK("https://drive.google.com/file/d/19uMZ6RXc9NKmRbchg7Oj7ZP8EPCo4dHO/view?usp=drivesdk","DIOSDADO  CUEVAS  ZOE DANAE  Formato de reinscripción y pago 2022-2")</f>
        <v>DIOSDADO  CUEVAS  ZOE DANAE  Formato de reinscripción y pago 2022-2</v>
      </c>
      <c r="GL191" s="1" t="s">
        <v>6118</v>
      </c>
    </row>
    <row r="192" spans="1:194" ht="38.25" x14ac:dyDescent="0.2">
      <c r="A192" s="2">
        <v>45139.497295462963</v>
      </c>
      <c r="B192" s="1" t="s">
        <v>1207</v>
      </c>
      <c r="C192" s="1" t="s">
        <v>244</v>
      </c>
      <c r="D192" s="1" t="s">
        <v>1208</v>
      </c>
      <c r="E192" s="1" t="s">
        <v>1209</v>
      </c>
      <c r="F192" s="1" t="s">
        <v>223</v>
      </c>
      <c r="G192" s="5" t="s">
        <v>6119</v>
      </c>
      <c r="H192" s="41">
        <v>38762</v>
      </c>
      <c r="I192" s="1">
        <v>17</v>
      </c>
      <c r="J192" s="1">
        <v>5521043633</v>
      </c>
      <c r="K192" s="1">
        <v>5545903725</v>
      </c>
      <c r="L192" s="1" t="s">
        <v>1210</v>
      </c>
      <c r="M192" s="1">
        <v>21309060570396</v>
      </c>
      <c r="N192" s="1" t="s">
        <v>1108</v>
      </c>
      <c r="O192" s="1" t="s">
        <v>247</v>
      </c>
      <c r="P192" s="1" t="s">
        <v>226</v>
      </c>
      <c r="Q192" s="1" t="s">
        <v>227</v>
      </c>
      <c r="R192" s="1" t="s">
        <v>236</v>
      </c>
      <c r="S192" s="1" t="s">
        <v>228</v>
      </c>
      <c r="T192" s="1" t="s">
        <v>411</v>
      </c>
      <c r="U192" s="1" t="s">
        <v>289</v>
      </c>
      <c r="V192" s="1" t="s">
        <v>228</v>
      </c>
      <c r="W192" s="1" t="s">
        <v>6120</v>
      </c>
      <c r="X192" s="1" t="s">
        <v>289</v>
      </c>
      <c r="Y192" s="1" t="s">
        <v>1217</v>
      </c>
      <c r="Z192" s="1" t="s">
        <v>231</v>
      </c>
      <c r="AA192" s="1">
        <v>56568</v>
      </c>
      <c r="AB192" s="1" t="s">
        <v>2371</v>
      </c>
      <c r="AC192" s="1" t="s">
        <v>1002</v>
      </c>
      <c r="AD192" s="1" t="s">
        <v>6121</v>
      </c>
      <c r="AE192" s="1" t="s">
        <v>6122</v>
      </c>
      <c r="AF192" s="1" t="s">
        <v>580</v>
      </c>
      <c r="AG192" s="1">
        <v>39</v>
      </c>
      <c r="AH192" s="5" t="s">
        <v>6123</v>
      </c>
      <c r="AI192" s="1">
        <v>5571451193</v>
      </c>
      <c r="AJ192" s="1">
        <v>5545903725</v>
      </c>
      <c r="AK192" s="1" t="s">
        <v>1213</v>
      </c>
      <c r="AL192" s="1" t="s">
        <v>392</v>
      </c>
      <c r="AM192" s="1" t="s">
        <v>1214</v>
      </c>
      <c r="AN192" s="1" t="s">
        <v>1215</v>
      </c>
      <c r="AO192" s="1" t="s">
        <v>420</v>
      </c>
      <c r="AP192" s="1">
        <v>35</v>
      </c>
      <c r="AQ192" s="1" t="s">
        <v>842</v>
      </c>
      <c r="AR192" s="42">
        <v>0.375</v>
      </c>
      <c r="AS192" s="42">
        <v>0.375</v>
      </c>
      <c r="AT192" s="1">
        <v>5545902725</v>
      </c>
      <c r="AU192" s="1">
        <v>5571451193</v>
      </c>
      <c r="AV192" s="1" t="s">
        <v>1216</v>
      </c>
      <c r="AW192" s="5" t="s">
        <v>6124</v>
      </c>
      <c r="AX192" s="1" t="s">
        <v>392</v>
      </c>
      <c r="AY192" s="1" t="s">
        <v>1214</v>
      </c>
      <c r="AZ192" s="1" t="s">
        <v>6125</v>
      </c>
      <c r="BA192" s="1" t="s">
        <v>453</v>
      </c>
      <c r="BB192" s="1">
        <v>34</v>
      </c>
      <c r="BC192" s="1" t="s">
        <v>2150</v>
      </c>
      <c r="BD192" s="43">
        <v>0.54166666666424135</v>
      </c>
      <c r="BE192" s="43">
        <v>0.875</v>
      </c>
      <c r="BF192" s="1">
        <v>5538229001</v>
      </c>
      <c r="BG192" s="1">
        <v>5545903725</v>
      </c>
      <c r="BH192" s="1" t="s">
        <v>1211</v>
      </c>
      <c r="BI192" s="5" t="s">
        <v>6126</v>
      </c>
      <c r="BJ192" s="1" t="s">
        <v>236</v>
      </c>
      <c r="BL192" s="1">
        <v>1.61</v>
      </c>
      <c r="BM192" s="1">
        <v>63</v>
      </c>
      <c r="BN192" s="1" t="s">
        <v>236</v>
      </c>
      <c r="BO192" s="1" t="s">
        <v>228</v>
      </c>
      <c r="BQ192" s="1" t="s">
        <v>228</v>
      </c>
      <c r="BR192" s="1" t="s">
        <v>237</v>
      </c>
      <c r="BS192" s="1" t="s">
        <v>236</v>
      </c>
      <c r="BT192" s="1" t="s">
        <v>462</v>
      </c>
      <c r="BU192" s="1" t="s">
        <v>228</v>
      </c>
      <c r="BW192" s="1" t="s">
        <v>272</v>
      </c>
      <c r="BX192" s="1">
        <v>85</v>
      </c>
      <c r="BY192" s="1">
        <v>46</v>
      </c>
      <c r="BZ192" s="1" t="s">
        <v>6127</v>
      </c>
      <c r="CA192" s="1" t="s">
        <v>343</v>
      </c>
      <c r="CB192" s="1" t="s">
        <v>240</v>
      </c>
      <c r="CC192" s="1" t="s">
        <v>300</v>
      </c>
      <c r="CD192" s="1">
        <v>1000</v>
      </c>
      <c r="CE192" s="1">
        <v>1300</v>
      </c>
      <c r="CF192" s="1" t="s">
        <v>236</v>
      </c>
      <c r="CG192" s="1" t="s">
        <v>242</v>
      </c>
      <c r="CH192" s="1" t="s">
        <v>243</v>
      </c>
      <c r="CI192" s="1" t="s">
        <v>243</v>
      </c>
      <c r="CJ192" s="1" t="s">
        <v>2848</v>
      </c>
      <c r="CL192" s="5" t="s">
        <v>6128</v>
      </c>
      <c r="CM192" s="1">
        <v>57210660213</v>
      </c>
      <c r="CN192" s="1" t="s">
        <v>228</v>
      </c>
      <c r="CQ192" s="42">
        <v>0.33333333333575865</v>
      </c>
      <c r="CR192" s="42">
        <v>0.66666666666424135</v>
      </c>
      <c r="CT192" s="45" t="str">
        <f t="array" ref="CT192">IFERROR(INDEX(#REF!,MATCH('Respuestas de formulario 1.1'!$B192,#REF!,0),MATCH('Respuestas de formulario 1.1'!CT$1,#REF!,0)),"")</f>
        <v/>
      </c>
      <c r="CU192" s="56" t="str">
        <f t="array" ref="CU192">IFERROR(INDEX(#REF!,MATCH('Respuestas de formulario 1.1'!$B192,#REF!,0),MATCH('Respuestas de formulario 1.1'!CU$1,#REF!,0)),"")</f>
        <v/>
      </c>
      <c r="CV192" s="56" t="str">
        <f t="array" ref="CV192">IFERROR(INDEX(#REF!,MATCH('Respuestas de formulario 1.1'!$B192,#REF!,0),MATCH('Respuestas de formulario 1.1'!CV$1,#REF!,0)),"")</f>
        <v/>
      </c>
      <c r="CW192" s="56" t="str">
        <f t="array" ref="CW192">IFERROR(INDEX(#REF!,MATCH('Respuestas de formulario 1.1'!$B192,#REF!,0),MATCH('Respuestas de formulario 1.1'!CW$1,#REF!,0)),"")</f>
        <v/>
      </c>
      <c r="CX192" s="56" t="str">
        <f t="array" ref="CX192">IFERROR(INDEX(#REF!,MATCH('Respuestas de formulario 1.1'!$B192,#REF!,0),MATCH('Respuestas de formulario 1.1'!CX$1,#REF!,0)),"")</f>
        <v/>
      </c>
      <c r="CY192" s="56" t="str">
        <f t="array" ref="CY192">IFERROR(INDEX(#REF!,MATCH('Respuestas de formulario 1.1'!$B192,#REF!,0),MATCH('Respuestas de formulario 1.1'!CY$1,#REF!,0)),"")</f>
        <v/>
      </c>
      <c r="CZ192" s="57" t="str">
        <f t="array" ref="CZ192">IFERROR(INDEX(#REF!,MATCH('Respuestas de formulario 1.1'!$B192,#REF!,0),MATCH('Respuestas de formulario 1.1'!CZ$1,#REF!,0)),"")</f>
        <v/>
      </c>
      <c r="DA192" s="45" t="e">
        <f t="array" ref="DA192">INDEX(#REF!,MATCH('Respuestas de formulario 1.1'!$B192,#REF!,0),MATCH('Respuestas de formulario 1.1'!DA$1,#REF!,0))</f>
        <v>#REF!</v>
      </c>
      <c r="DB192" s="45" t="e">
        <f t="array" ref="DB192">INDEX(#REF!,MATCH('Respuestas de formulario 1.1'!$B192,#REF!,0),MATCH('Respuestas de formulario 1.1'!DB$1,#REF!,0))</f>
        <v>#REF!</v>
      </c>
      <c r="DC192" s="45" t="e">
        <f t="array" ref="DC192">INDEX(#REF!,MATCH('Respuestas de formulario 1.1'!$B192,#REF!,0),MATCH('Respuestas de formulario 1.1'!DC$1,#REF!,0))</f>
        <v>#REF!</v>
      </c>
      <c r="DD192" s="45" t="e">
        <f t="array" ref="DD192">INDEX(#REF!,MATCH('Respuestas de formulario 1.1'!$B192,#REF!,0),MATCH('Respuestas de formulario 1.1'!DD$1,#REF!,0))</f>
        <v>#REF!</v>
      </c>
      <c r="DE192" s="45" t="e">
        <f t="array" ref="DE192">INDEX(#REF!,MATCH('Respuestas de formulario 1.1'!$B192,#REF!,0),MATCH('Respuestas de formulario 1.1'!DE$1,#REF!,0))</f>
        <v>#REF!</v>
      </c>
      <c r="DF192" s="45" t="e">
        <f t="array" ref="DF192">INDEX(#REF!,MATCH('Respuestas de formulario 1.1'!$B192,#REF!,0),MATCH('Respuestas de formulario 1.1'!DF$1,#REF!,0))</f>
        <v>#REF!</v>
      </c>
      <c r="DG192" s="45" t="e">
        <f t="array" ref="DG192">INDEX(#REF!,MATCH('Respuestas de formulario 1.1'!$B192,#REF!,0),MATCH('Respuestas de formulario 1.1'!DG$1,#REF!,0))</f>
        <v>#REF!</v>
      </c>
      <c r="DH192" s="45" t="e">
        <f t="array" ref="DH192">INDEX(#REF!,MATCH('Respuestas de formulario 1.1'!$B192,#REF!,0),MATCH('Respuestas de formulario 1.1'!DH$1,#REF!,0))</f>
        <v>#REF!</v>
      </c>
      <c r="DI192" s="48" t="e">
        <f>VLOOKUP(CONCATENATE($DF192," TUTO ",$DC192),#REF!,3,0)</f>
        <v>#REF!</v>
      </c>
      <c r="DJ192" s="48" t="e">
        <f t="array" ref="DJ192">IF('Respuestas de formulario 1.1'!A192="","",INDEX(#REF!,MATCH('Respuestas de formulario 1.1'!B192,#REF!,0),MATCH('Respuestas de formulario 1.1'!$DH$1,#REF!,0)))</f>
        <v>#REF!</v>
      </c>
      <c r="DK192" s="52" t="str">
        <f>CONCATENATE("http://doc.google.com/uc?id=",MID('Respuestas de formulario 1.1'!G192,34,33))</f>
        <v>http://doc.google.com/uc?id=1Qsr_i6s6tkTcim98S5HeePNI84EZdV1w</v>
      </c>
      <c r="DL192" s="49" t="str">
        <f>CONCATENATE("http://doc.google.com/uc?id=",MID('Respuestas de formulario 1.1'!AH192,34,33))</f>
        <v>http://doc.google.com/uc?id=1zdvWwhxv96gen994cTTa4wTQCMzI30kn</v>
      </c>
      <c r="DM192" s="50" t="str">
        <f>CONCATENATE("http://doc.google.com/uc?id=",MID('Respuestas de formulario 1.1'!AW192,34,33))</f>
        <v>http://doc.google.com/uc?id=1W2iOy5gbi02HHiJEnBuhfeGdAhYvDUXH</v>
      </c>
      <c r="DN192" s="53" t="str">
        <f>CONCATENATE("http://doc.google.com/uc?id=",MID('Respuestas de formulario 1.1'!$BI192,34,33))</f>
        <v>http://doc.google.com/uc?id=1qilbczuAOdVhst2bWS1yaHSAm4MRnHqM</v>
      </c>
      <c r="DO192" s="45" t="str">
        <f>IFERROR(VLOOKUP(CONCATENATE('Respuestas de formulario 1.1'!$B192,MID('Respuestas de formulario 1.1'!DO$1,2,1)),#REF!,12,0),"")</f>
        <v/>
      </c>
      <c r="DP192" s="45" t="str">
        <f>IFERROR(VLOOKUP(CONCATENATE('Respuestas de formulario 1.1'!$B192,MID('Respuestas de formulario 1.1'!DP$1,2,1)),#REF!,12,0),"")</f>
        <v/>
      </c>
      <c r="DQ192" s="45" t="str">
        <f>IFERROR(VLOOKUP(CONCATENATE('Respuestas de formulario 1.1'!$B192,MID('Respuestas de formulario 1.1'!DQ$1,2,1)),#REF!,12,0),"")</f>
        <v/>
      </c>
      <c r="DR192" s="45" t="str">
        <f>IFERROR(VLOOKUP(CONCATENATE('Respuestas de formulario 1.1'!$B192,MID('Respuestas de formulario 1.1'!DR$1,2,1)),#REF!,12,0),"")</f>
        <v/>
      </c>
      <c r="DS192" s="45" t="str">
        <f>IFERROR(VLOOKUP(CONCATENATE('Respuestas de formulario 1.1'!$B192,MID('Respuestas de formulario 1.1'!DS$1,2,1)),#REF!,12,0),"")</f>
        <v/>
      </c>
      <c r="DT192" s="45" t="str">
        <f>IFERROR(VLOOKUP(CONCATENATE('Respuestas de formulario 1.1'!$B192,MID('Respuestas de formulario 1.1'!DT$1,2,1)),#REF!,12,0),"")</f>
        <v/>
      </c>
      <c r="DU192" s="45" t="str">
        <f>IFERROR(VLOOKUP(CONCATENATE('Respuestas de formulario 1.1'!$B192,MID('Respuestas de formulario 1.1'!DU$1,2,1)),#REF!,12,0),"")</f>
        <v/>
      </c>
      <c r="DV192" s="45" t="str">
        <f>IFERROR(VLOOKUP(CONCATENATE('Respuestas de formulario 1.1'!$B192,MID('Respuestas de formulario 1.1'!DV$1,2,1)),#REF!,12,0),"")</f>
        <v/>
      </c>
      <c r="DW192" s="45" t="str">
        <f>IFERROR(VLOOKUP(CONCATENATE('Respuestas de formulario 1.1'!$B192,MID('Respuestas de formulario 1.1'!DW$1,2,1)),#REF!,12,0),"")</f>
        <v/>
      </c>
      <c r="DX192" s="45" t="str">
        <f>IFERROR(VLOOKUP(CONCATENATE('Respuestas de formulario 1.1'!$B192,MID('Respuestas de formulario 1.1'!DX$1,2,1)),#REF!,12,0),"")</f>
        <v/>
      </c>
      <c r="DY192" s="45" t="str">
        <f>IFERROR(VLOOKUP(CONCATENATE('Respuestas de formulario 1.1'!$B192,MID('Respuestas de formulario 1.1'!DY$1,2,1)),#REF!,12,0),"")</f>
        <v/>
      </c>
      <c r="DZ192" s="45" t="str">
        <f>IFERROR(VLOOKUP(CONCATENATE('Respuestas de formulario 1.1'!$B192,MID('Respuestas de formulario 1.1'!DZ$1,2,1)),#REF!,12,0),"")</f>
        <v/>
      </c>
      <c r="EA192" s="45" t="str">
        <f>IFERROR(VLOOKUP(CONCATENATE('Respuestas de formulario 1.1'!$B192,MID('Respuestas de formulario 1.1'!EA$1,2,1)),#REF!,12,0),"")</f>
        <v/>
      </c>
      <c r="EB192" s="45" t="str">
        <f>IFERROR(VLOOKUP(CONCATENATE('Respuestas de formulario 1.1'!$B192,MID('Respuestas de formulario 1.1'!EB$1,2,1)),#REF!,12,0),"")</f>
        <v/>
      </c>
      <c r="EC192" s="45" t="str">
        <f>IFERROR(VLOOKUP(CONCATENATE('Respuestas de formulario 1.1'!$B192,MID('Respuestas de formulario 1.1'!EC$1,2,1)),#REF!,12,0),"")</f>
        <v/>
      </c>
      <c r="ED192" s="45" t="str">
        <f>IFERROR(VLOOKUP(CONCATENATE('Respuestas de formulario 1.1'!$B192,MID('Respuestas de formulario 1.1'!ED$1,2,1)),#REF!,12,0),"")</f>
        <v/>
      </c>
      <c r="EE192" s="45" t="str">
        <f>IFERROR(VLOOKUP(CONCATENATE('Respuestas de formulario 1.1'!$B192,MID('Respuestas de formulario 1.1'!EE$1,2,1)),#REF!,12,0),"")</f>
        <v/>
      </c>
      <c r="EF192" s="45" t="str">
        <f>IFERROR(VLOOKUP(CONCATENATE('Respuestas de formulario 1.1'!$B192,MID('Respuestas de formulario 1.1'!EF$1,2,1)),#REF!,12,0),"")</f>
        <v/>
      </c>
      <c r="EG192" s="45" t="str">
        <f>IFERROR(VLOOKUP(CONCATENATE('Respuestas de formulario 1.1'!$B192,MID('Respuestas de formulario 1.1'!EG$1,2,1)),#REF!,12,0),"")</f>
        <v/>
      </c>
      <c r="EH192" s="45" t="str">
        <f>IFERROR(VLOOKUP(CONCATENATE('Respuestas de formulario 1.1'!$B192,MID('Respuestas de formulario 1.1'!EH$1,2,1)),#REF!,12,0),"")</f>
        <v/>
      </c>
      <c r="EI192" s="45" t="str">
        <f>IFERROR(VLOOKUP(CONCATENATE('Respuestas de formulario 1.1'!$B192,MID('Respuestas de formulario 1.1'!EI$1,2,1)),#REF!,12,0),"")</f>
        <v/>
      </c>
      <c r="EJ192" s="45" t="str">
        <f t="array" ref="EJ192">IF(DO192="","", INDEX(#REF!,MATCH(CONCATENATE('Respuestas de formulario 1.1'!$B192,DO192),#REF!,0),MATCH('Respuestas de formulario 1.1'!EJ$1,#REF!,0)))</f>
        <v/>
      </c>
      <c r="EK192" s="56" t="str">
        <f t="array" ref="EK192">IF(DP192="","", INDEX(#REF!,MATCH(CONCATENATE('Respuestas de formulario 1.1'!$B192,DP192),#REF!,0),MATCH('Respuestas de formulario 1.1'!EK$1,#REF!,0)))</f>
        <v/>
      </c>
      <c r="EL192" s="56" t="str">
        <f t="array" ref="EL192">IF(DQ192="","", INDEX(#REF!,MATCH(CONCATENATE('Respuestas de formulario 1.1'!$B192,DQ192),#REF!,0),MATCH('Respuestas de formulario 1.1'!EL$1,#REF!,0)))</f>
        <v/>
      </c>
      <c r="EM192" s="56" t="str">
        <f t="array" ref="EM192">IF(DR192="","", INDEX(#REF!,MATCH(CONCATENATE('Respuestas de formulario 1.1'!$B192,DR192),#REF!,0),MATCH('Respuestas de formulario 1.1'!EM$1,#REF!,0)))</f>
        <v/>
      </c>
      <c r="EN192" s="56" t="str">
        <f t="array" ref="EN192">IF(DS192="","", INDEX(#REF!,MATCH(CONCATENATE('Respuestas de formulario 1.1'!$B192,DS192),#REF!,0),MATCH('Respuestas de formulario 1.1'!EN$1,#REF!,0)))</f>
        <v/>
      </c>
      <c r="EO192" s="56" t="str">
        <f t="array" ref="EO192">IF(DT192="","", INDEX(#REF!,MATCH(CONCATENATE('Respuestas de formulario 1.1'!$B192,DT192),#REF!,0),MATCH('Respuestas de formulario 1.1'!EO$1,#REF!,0)))</f>
        <v/>
      </c>
      <c r="EP192" s="45" t="str">
        <f t="array" ref="EP192">IF(DU192="","", INDEX(#REF!,MATCH(CONCATENATE('Respuestas de formulario 1.1'!$B192,DU192),#REF!,0),MATCH('Respuestas de formulario 1.1'!EP$1,#REF!,0)))</f>
        <v/>
      </c>
      <c r="EQ192" s="45" t="str">
        <f t="array" ref="EQ192">IF(DP192="","", INDEX(#REF!,MATCH(CONCATENATE('Respuestas de formulario 1.1'!$B192,DP192),#REF!,0),MATCH('Respuestas de formulario 1.1'!EQ$1,#REF!,0)))</f>
        <v/>
      </c>
      <c r="ER192" s="56" t="str">
        <f t="array" ref="ER192">IF(DQ192="","", INDEX(#REF!,MATCH(CONCATENATE('Respuestas de formulario 1.1'!$B192,DQ192),#REF!,0),MATCH('Respuestas de formulario 1.1'!ER$1,#REF!,0)))</f>
        <v/>
      </c>
      <c r="ES192" s="56" t="str">
        <f t="array" ref="ES192">IF(DR192="","", INDEX(#REF!,MATCH(CONCATENATE('Respuestas de formulario 1.1'!$B192,DR192),#REF!,0),MATCH('Respuestas de formulario 1.1'!ES$1,#REF!,0)))</f>
        <v/>
      </c>
      <c r="ET192" s="56" t="str">
        <f t="array" ref="ET192">IF(DS192="","", INDEX(#REF!,MATCH(CONCATENATE('Respuestas de formulario 1.1'!$B192,DS192),#REF!,0),MATCH('Respuestas de formulario 1.1'!ET$1,#REF!,0)))</f>
        <v/>
      </c>
      <c r="EU192" s="56" t="str">
        <f t="array" ref="EU192">IF(DT192="","", INDEX(#REF!,MATCH(CONCATENATE('Respuestas de formulario 1.1'!$B192,DT192),#REF!,0),MATCH('Respuestas de formulario 1.1'!EU$1,#REF!,0)))</f>
        <v/>
      </c>
      <c r="EV192" s="56" t="str">
        <f t="array" ref="EV192">IF(DU192="","", INDEX(#REF!,MATCH(CONCATENATE('Respuestas de formulario 1.1'!$B192,DU192),#REF!,0),MATCH('Respuestas de formulario 1.1'!EV$1,#REF!,0)))</f>
        <v/>
      </c>
      <c r="EW192" s="45" t="str">
        <f t="array" ref="EW192">IF(DV192="","", INDEX(#REF!,MATCH(CONCATENATE('Respuestas de formulario 1.1'!$B192,DV192),#REF!,0),MATCH('Respuestas de formulario 1.1'!EW$1,#REF!,0)))</f>
        <v/>
      </c>
      <c r="EX192" s="45" t="str">
        <f t="array" ref="EX192">IF($DQ192="","", INDEX(#REF!,MATCH(CONCATENATE('Respuestas de formulario 1.1'!$B192,$DQ192),#REF!,0),MATCH('Respuestas de formulario 1.1'!EX$1,#REF!,0)))</f>
        <v/>
      </c>
      <c r="EY192" s="56" t="str">
        <f t="array" ref="EY192">IF($DQ192="","", INDEX(#REF!,MATCH(CONCATENATE('Respuestas de formulario 1.1'!$B192,$DQ192),#REF!,0),MATCH('Respuestas de formulario 1.1'!EY$1,#REF!,0)))</f>
        <v/>
      </c>
      <c r="EZ192" s="56" t="str">
        <f t="array" ref="EZ192">IF($DQ192="","", INDEX(#REF!,MATCH(CONCATENATE('Respuestas de formulario 1.1'!$B192,$DQ192),#REF!,0),MATCH('Respuestas de formulario 1.1'!EZ$1,#REF!,0)))</f>
        <v/>
      </c>
      <c r="FA192" s="56" t="str">
        <f t="array" ref="FA192">IF($DQ192="","", INDEX(#REF!,MATCH(CONCATENATE('Respuestas de formulario 1.1'!$B192,$DQ192),#REF!,0),MATCH('Respuestas de formulario 1.1'!FA$1,#REF!,0)))</f>
        <v/>
      </c>
      <c r="FB192" s="56" t="str">
        <f t="array" ref="FB192">IF($DQ192="","", INDEX(#REF!,MATCH(CONCATENATE('Respuestas de formulario 1.1'!$B192,$DQ192),#REF!,0),MATCH('Respuestas de formulario 1.1'!FB$1,#REF!,0)))</f>
        <v/>
      </c>
      <c r="FC192" s="56" t="str">
        <f t="array" ref="FC192">IF($DQ192="","", INDEX(#REF!,MATCH(CONCATENATE('Respuestas de formulario 1.1'!$B192,$DQ192),#REF!,0),MATCH('Respuestas de formulario 1.1'!FC$1,#REF!,0)))</f>
        <v/>
      </c>
      <c r="FD192" s="45" t="str">
        <f t="array" ref="FD192">IF($DQ192="","", INDEX(#REF!,MATCH(CONCATENATE('Respuestas de formulario 1.1'!$B192,$DQ192),#REF!,0),MATCH('Respuestas de formulario 1.1'!FD$1,#REF!,0)))</f>
        <v/>
      </c>
      <c r="FE192" s="45" t="str">
        <f t="array" ref="FE192">IF($DR192="","", INDEX(#REF!,MATCH(CONCATENATE(#REF!,$DR192),#REF!,0),MATCH(#REF!,#REF!,0)))</f>
        <v/>
      </c>
      <c r="FF192" s="56" t="str">
        <f t="array" ref="FF192">IF($DR192="","", INDEX(#REF!,MATCH(CONCATENATE(#REF!,$DR192),#REF!,0),MATCH(#REF!,#REF!,0)))</f>
        <v/>
      </c>
      <c r="FG192" s="56" t="str">
        <f t="array" ref="FG192">IF($DR192="","", INDEX(#REF!,MATCH(CONCATENATE(#REF!,$DR192),#REF!,0),MATCH(#REF!,#REF!,0)))</f>
        <v/>
      </c>
      <c r="FH192" s="56" t="str">
        <f t="array" ref="FH192">IF($DR192="","", INDEX(#REF!,MATCH(CONCATENATE(#REF!,$DR192),#REF!,0),MATCH(#REF!,#REF!,0)))</f>
        <v/>
      </c>
      <c r="FI192" s="56" t="str">
        <f t="array" ref="FI192">IF($DR192="","", INDEX(#REF!,MATCH(CONCATENATE(#REF!,$DR192),#REF!,0),MATCH(#REF!,#REF!,0)))</f>
        <v/>
      </c>
      <c r="FJ192" s="56" t="str">
        <f t="array" ref="FJ192">IF($DR192="","", INDEX(#REF!,MATCH(CONCATENATE(#REF!,$DR192),#REF!,0),MATCH(#REF!,#REF!,0)))</f>
        <v/>
      </c>
      <c r="FK192" s="45" t="str">
        <f t="array" ref="FK192">IF($DR192="","", INDEX(#REF!,MATCH(CONCATENATE(#REF!,$DR192),#REF!,0),MATCH(#REF!,#REF!,0)))</f>
        <v/>
      </c>
      <c r="FL192" s="45" t="str">
        <f t="array" ref="FL192">IF($DT192="","", INDEX(#REF!,MATCH(CONCATENATE('Respuestas de formulario 1.1'!$B192,$DS192),#REF!,0),MATCH('Respuestas de formulario 1.1'!FL$1,#REF!,0)))</f>
        <v/>
      </c>
      <c r="FM192" s="56" t="str">
        <f t="array" ref="FM192">IF($DT192="","", INDEX(#REF!,MATCH(CONCATENATE('Respuestas de formulario 1.1'!$B192,$DS192),#REF!,0),MATCH('Respuestas de formulario 1.1'!FM$1,#REF!,0)))</f>
        <v/>
      </c>
      <c r="FN192" s="56" t="str">
        <f t="array" ref="FN192">IF($DT192="","", INDEX(#REF!,MATCH(CONCATENATE('Respuestas de formulario 1.1'!$B192,$DS192),#REF!,0),MATCH('Respuestas de formulario 1.1'!FN$1,#REF!,0)))</f>
        <v/>
      </c>
      <c r="FO192" s="56" t="str">
        <f t="array" ref="FO192">IF($DT192="","", INDEX(#REF!,MATCH(CONCATENATE('Respuestas de formulario 1.1'!$B192,$DS192),#REF!,0),MATCH('Respuestas de formulario 1.1'!FO$1,#REF!,0)))</f>
        <v/>
      </c>
      <c r="FP192" s="56" t="str">
        <f t="array" ref="FP192">IF($DT192="","", INDEX(#REF!,MATCH(CONCATENATE('Respuestas de formulario 1.1'!$B192,$DS192),#REF!,0),MATCH('Respuestas de formulario 1.1'!FP$1,#REF!,0)))</f>
        <v/>
      </c>
      <c r="FQ192" s="56" t="str">
        <f t="array" ref="FQ192">IF($DT192="","", INDEX(#REF!,MATCH(CONCATENATE('Respuestas de formulario 1.1'!$B192,$DS192),#REF!,0),MATCH('Respuestas de formulario 1.1'!FQ$1,#REF!,0)))</f>
        <v/>
      </c>
      <c r="FR192" s="45" t="str">
        <f t="array" ref="FR192">IF($DT192="","", INDEX(#REF!,MATCH(CONCATENATE('Respuestas de formulario 1.1'!$B192,$DS192),#REF!,0),MATCH('Respuestas de formulario 1.1'!FR$1,#REF!,0)))</f>
        <v/>
      </c>
      <c r="FS192" s="45" t="str">
        <f t="array" ref="FS192">IF($DU192="","", INDEX(#REF!,MATCH(CONCATENATE('Respuestas de formulario 1.1'!$B192,$DT192),#REF!,0),MATCH('Respuestas de formulario 1.1'!FS$1,#REF!,0)))</f>
        <v/>
      </c>
      <c r="FT192" s="56" t="str">
        <f t="array" ref="FT192">IF($DU192="","", INDEX(#REF!,MATCH(CONCATENATE('Respuestas de formulario 1.1'!$B192,$DT192),#REF!,0),MATCH('Respuestas de formulario 1.1'!FT$1,#REF!,0)))</f>
        <v/>
      </c>
      <c r="FU192" s="56" t="str">
        <f t="array" ref="FU192">IF($DU192="","", INDEX(#REF!,MATCH(CONCATENATE('Respuestas de formulario 1.1'!$B192,$DT192),#REF!,0),MATCH('Respuestas de formulario 1.1'!FU$1,#REF!,0)))</f>
        <v/>
      </c>
      <c r="FV192" s="56" t="str">
        <f t="array" ref="FV192">IF($DU192="","", INDEX(#REF!,MATCH(CONCATENATE('Respuestas de formulario 1.1'!$B192,$DT192),#REF!,0),MATCH('Respuestas de formulario 1.1'!FV$1,#REF!,0)))</f>
        <v/>
      </c>
      <c r="FW192" s="56" t="str">
        <f t="array" ref="FW192">IF($DU192="","", INDEX(#REF!,MATCH(CONCATENATE('Respuestas de formulario 1.1'!$B192,$DT192),#REF!,0),MATCH('Respuestas de formulario 1.1'!FW$1,#REF!,0)))</f>
        <v/>
      </c>
      <c r="FX192" s="56" t="str">
        <f t="array" ref="FX192">IF($DU192="","", INDEX(#REF!,MATCH(CONCATENATE('Respuestas de formulario 1.1'!$B192,$DT192),#REF!,0),MATCH('Respuestas de formulario 1.1'!FX$1,#REF!,0)))</f>
        <v/>
      </c>
      <c r="FY192" s="45" t="str">
        <f t="array" ref="FY192">IF($DU192="","", INDEX(#REF!,MATCH(CONCATENATE('Respuestas de formulario 1.1'!$B192,$DT192),#REF!,0),MATCH('Respuestas de formulario 1.1'!FY$1,#REF!,0)))</f>
        <v/>
      </c>
      <c r="FZ192" s="3" t="s">
        <v>2860</v>
      </c>
      <c r="GA192" s="1" t="s">
        <v>6129</v>
      </c>
      <c r="GB192" s="5" t="s">
        <v>6130</v>
      </c>
      <c r="GC192" s="4" t="str">
        <f>HYPERLINK("https://drive.google.com/file/d/12ccDsrq_cmtcPk6oBT2ExTzcRXCym7l-/view?usp=drivesdk","HERNANDEZ SALGADO  CYNTHIA ITZEL  Formato de reinscripción y pago 2022-2")</f>
        <v>HERNANDEZ SALGADO  CYNTHIA ITZEL  Formato de reinscripción y pago 2022-2</v>
      </c>
      <c r="GD192" s="1" t="s">
        <v>6131</v>
      </c>
      <c r="GE192" s="1"/>
      <c r="GF192" s="1"/>
      <c r="GG192" s="1"/>
      <c r="GH192" s="1"/>
      <c r="GI192" s="1" t="s">
        <v>6132</v>
      </c>
      <c r="GJ192" s="5" t="s">
        <v>6133</v>
      </c>
      <c r="GK192" s="5" t="str">
        <f>HYPERLINK("https://drive.google.com/file/d/1GHO6uPC6W2AA9KQ3S5elldOOAy8LNVLk/view?usp=drivesdk","HERNANDEZ SALGADO  CYNTHIA ITZEL  Formato de reinscripción y pago 2022-2")</f>
        <v>HERNANDEZ SALGADO  CYNTHIA ITZEL  Formato de reinscripción y pago 2022-2</v>
      </c>
      <c r="GL192" s="1" t="s">
        <v>6134</v>
      </c>
    </row>
    <row r="193" spans="1:194" ht="38.25" x14ac:dyDescent="0.2">
      <c r="A193" s="2">
        <v>45139.499268981483</v>
      </c>
      <c r="B193" s="1" t="s">
        <v>2677</v>
      </c>
      <c r="C193" s="1" t="s">
        <v>2472</v>
      </c>
      <c r="D193" s="1" t="s">
        <v>433</v>
      </c>
      <c r="E193" s="1" t="s">
        <v>2678</v>
      </c>
      <c r="F193" s="1" t="s">
        <v>223</v>
      </c>
      <c r="G193" s="5" t="s">
        <v>6135</v>
      </c>
      <c r="H193" s="41">
        <v>39332</v>
      </c>
      <c r="I193" s="1">
        <v>15</v>
      </c>
      <c r="J193" s="1">
        <v>5567764651</v>
      </c>
      <c r="K193" s="1">
        <v>5516510066</v>
      </c>
      <c r="L193" s="1" t="s">
        <v>2679</v>
      </c>
      <c r="M193" s="1">
        <v>22309060570236</v>
      </c>
      <c r="N193" s="1" t="s">
        <v>562</v>
      </c>
      <c r="O193" s="1" t="s">
        <v>225</v>
      </c>
      <c r="P193" s="1" t="s">
        <v>314</v>
      </c>
      <c r="Q193" s="1" t="s">
        <v>248</v>
      </c>
      <c r="R193" s="1" t="s">
        <v>236</v>
      </c>
      <c r="S193" s="1" t="s">
        <v>228</v>
      </c>
      <c r="T193" s="1" t="s">
        <v>229</v>
      </c>
      <c r="U193" s="1" t="s">
        <v>264</v>
      </c>
      <c r="V193" s="1" t="s">
        <v>228</v>
      </c>
      <c r="W193" s="1" t="s">
        <v>6136</v>
      </c>
      <c r="X193" s="1" t="s">
        <v>264</v>
      </c>
      <c r="Y193" s="44" t="s">
        <v>424</v>
      </c>
      <c r="Z193" s="1" t="s">
        <v>231</v>
      </c>
      <c r="AA193" s="1">
        <v>57500</v>
      </c>
      <c r="AB193" s="1">
        <v>178</v>
      </c>
      <c r="AC193" s="1" t="s">
        <v>2219</v>
      </c>
      <c r="AD193" s="1" t="s">
        <v>6137</v>
      </c>
      <c r="AE193" s="1" t="s">
        <v>6138</v>
      </c>
      <c r="AF193" s="1" t="s">
        <v>265</v>
      </c>
      <c r="AG193" s="1">
        <v>47</v>
      </c>
      <c r="AH193" s="5" t="s">
        <v>6139</v>
      </c>
      <c r="AI193" s="1">
        <v>5516510066</v>
      </c>
      <c r="AJ193" s="1">
        <v>5516510066</v>
      </c>
      <c r="AK193" s="1" t="s">
        <v>6140</v>
      </c>
      <c r="AL193" s="1" t="s">
        <v>2472</v>
      </c>
      <c r="AM193" s="1" t="s">
        <v>433</v>
      </c>
      <c r="AN193" s="1" t="s">
        <v>6141</v>
      </c>
      <c r="AO193" s="1" t="s">
        <v>586</v>
      </c>
      <c r="AP193" s="1">
        <v>25</v>
      </c>
      <c r="AQ193" s="1" t="s">
        <v>267</v>
      </c>
      <c r="AR193" s="42">
        <v>0.375</v>
      </c>
      <c r="AS193" s="42">
        <v>0.875</v>
      </c>
      <c r="AT193" s="1">
        <v>5633645789</v>
      </c>
      <c r="AU193" s="1">
        <v>5633645789</v>
      </c>
      <c r="AV193" s="1" t="s">
        <v>6142</v>
      </c>
      <c r="AW193" s="5" t="s">
        <v>6143</v>
      </c>
      <c r="AX193" s="1" t="s">
        <v>2472</v>
      </c>
      <c r="AY193" s="1" t="s">
        <v>433</v>
      </c>
      <c r="AZ193" s="1" t="s">
        <v>6144</v>
      </c>
      <c r="BA193" s="1" t="s">
        <v>586</v>
      </c>
      <c r="BB193" s="1">
        <v>18</v>
      </c>
      <c r="BC193" s="1" t="s">
        <v>303</v>
      </c>
      <c r="BD193" s="43">
        <v>0.5</v>
      </c>
      <c r="BE193" s="43">
        <v>1.1666666666642413</v>
      </c>
      <c r="BF193" s="1">
        <v>5576674651</v>
      </c>
      <c r="BG193" s="1">
        <v>5576674651</v>
      </c>
      <c r="BH193" s="1" t="s">
        <v>6145</v>
      </c>
      <c r="BI193" s="5" t="s">
        <v>6146</v>
      </c>
      <c r="BJ193" s="1" t="s">
        <v>236</v>
      </c>
      <c r="BL193" s="1">
        <v>1.6</v>
      </c>
      <c r="BM193" s="1">
        <v>76</v>
      </c>
      <c r="BN193" s="1" t="s">
        <v>228</v>
      </c>
      <c r="BO193" s="1" t="s">
        <v>228</v>
      </c>
      <c r="BP193" s="1" t="s">
        <v>228</v>
      </c>
      <c r="BQ193" s="1" t="s">
        <v>228</v>
      </c>
      <c r="BR193" s="1" t="s">
        <v>237</v>
      </c>
      <c r="BS193" s="1" t="s">
        <v>236</v>
      </c>
      <c r="BT193" s="1" t="s">
        <v>457</v>
      </c>
      <c r="BU193" s="1" t="s">
        <v>228</v>
      </c>
      <c r="BW193" s="1" t="s">
        <v>238</v>
      </c>
      <c r="BX193" s="1">
        <v>1</v>
      </c>
      <c r="BY193" s="1">
        <v>100</v>
      </c>
      <c r="BZ193" s="1" t="s">
        <v>253</v>
      </c>
      <c r="CA193" s="1" t="s">
        <v>2788</v>
      </c>
      <c r="CB193" s="1" t="s">
        <v>240</v>
      </c>
      <c r="CC193" s="1" t="s">
        <v>459</v>
      </c>
      <c r="CD193" s="1">
        <v>1000</v>
      </c>
      <c r="CE193" s="1">
        <v>1800</v>
      </c>
      <c r="CF193" s="1" t="s">
        <v>228</v>
      </c>
      <c r="CG193" s="1" t="s">
        <v>2718</v>
      </c>
      <c r="CH193" s="1" t="s">
        <v>243</v>
      </c>
      <c r="CI193" s="1" t="s">
        <v>243</v>
      </c>
      <c r="CJ193" s="1" t="s">
        <v>2848</v>
      </c>
      <c r="CL193" s="5" t="s">
        <v>6147</v>
      </c>
      <c r="CM193" s="44" t="s">
        <v>2680</v>
      </c>
      <c r="CN193" s="1" t="s">
        <v>228</v>
      </c>
      <c r="CQ193" s="42">
        <v>0.33333333333575865</v>
      </c>
      <c r="CR193" s="42">
        <v>0.25</v>
      </c>
      <c r="CT193" s="45" t="str">
        <f t="array" ref="CT193">IFERROR(INDEX(#REF!,MATCH('Respuestas de formulario 1.1'!$B193,#REF!,0),MATCH('Respuestas de formulario 1.1'!CT$1,#REF!,0)),"")</f>
        <v/>
      </c>
      <c r="CU193" s="56" t="str">
        <f t="array" ref="CU193">IFERROR(INDEX(#REF!,MATCH('Respuestas de formulario 1.1'!$B193,#REF!,0),MATCH('Respuestas de formulario 1.1'!CU$1,#REF!,0)),"")</f>
        <v/>
      </c>
      <c r="CV193" s="56" t="str">
        <f t="array" ref="CV193">IFERROR(INDEX(#REF!,MATCH('Respuestas de formulario 1.1'!$B193,#REF!,0),MATCH('Respuestas de formulario 1.1'!CV$1,#REF!,0)),"")</f>
        <v/>
      </c>
      <c r="CW193" s="56" t="str">
        <f t="array" ref="CW193">IFERROR(INDEX(#REF!,MATCH('Respuestas de formulario 1.1'!$B193,#REF!,0),MATCH('Respuestas de formulario 1.1'!CW$1,#REF!,0)),"")</f>
        <v/>
      </c>
      <c r="CX193" s="56" t="str">
        <f t="array" ref="CX193">IFERROR(INDEX(#REF!,MATCH('Respuestas de formulario 1.1'!$B193,#REF!,0),MATCH('Respuestas de formulario 1.1'!CX$1,#REF!,0)),"")</f>
        <v/>
      </c>
      <c r="CY193" s="56" t="str">
        <f t="array" ref="CY193">IFERROR(INDEX(#REF!,MATCH('Respuestas de formulario 1.1'!$B193,#REF!,0),MATCH('Respuestas de formulario 1.1'!CY$1,#REF!,0)),"")</f>
        <v/>
      </c>
      <c r="CZ193" s="57" t="str">
        <f t="array" ref="CZ193">IFERROR(INDEX(#REF!,MATCH('Respuestas de formulario 1.1'!$B193,#REF!,0),MATCH('Respuestas de formulario 1.1'!CZ$1,#REF!,0)),"")</f>
        <v/>
      </c>
      <c r="DA193" s="45" t="e">
        <f t="array" ref="DA193">INDEX(#REF!,MATCH('Respuestas de formulario 1.1'!$B193,#REF!,0),MATCH('Respuestas de formulario 1.1'!DA$1,#REF!,0))</f>
        <v>#REF!</v>
      </c>
      <c r="DB193" s="45" t="e">
        <f t="array" ref="DB193">INDEX(#REF!,MATCH('Respuestas de formulario 1.1'!$B193,#REF!,0),MATCH('Respuestas de formulario 1.1'!DB$1,#REF!,0))</f>
        <v>#REF!</v>
      </c>
      <c r="DC193" s="45" t="e">
        <f t="array" ref="DC193">INDEX(#REF!,MATCH('Respuestas de formulario 1.1'!$B193,#REF!,0),MATCH('Respuestas de formulario 1.1'!DC$1,#REF!,0))</f>
        <v>#REF!</v>
      </c>
      <c r="DD193" s="45" t="e">
        <f t="array" ref="DD193">INDEX(#REF!,MATCH('Respuestas de formulario 1.1'!$B193,#REF!,0),MATCH('Respuestas de formulario 1.1'!DD$1,#REF!,0))</f>
        <v>#REF!</v>
      </c>
      <c r="DE193" s="45" t="e">
        <f t="array" ref="DE193">INDEX(#REF!,MATCH('Respuestas de formulario 1.1'!$B193,#REF!,0),MATCH('Respuestas de formulario 1.1'!DE$1,#REF!,0))</f>
        <v>#REF!</v>
      </c>
      <c r="DF193" s="45" t="e">
        <f t="array" ref="DF193">INDEX(#REF!,MATCH('Respuestas de formulario 1.1'!$B193,#REF!,0),MATCH('Respuestas de formulario 1.1'!DF$1,#REF!,0))</f>
        <v>#REF!</v>
      </c>
      <c r="DG193" s="45" t="e">
        <f t="array" ref="DG193">INDEX(#REF!,MATCH('Respuestas de formulario 1.1'!$B193,#REF!,0),MATCH('Respuestas de formulario 1.1'!DG$1,#REF!,0))</f>
        <v>#REF!</v>
      </c>
      <c r="DH193" s="45" t="e">
        <f t="array" ref="DH193">INDEX(#REF!,MATCH('Respuestas de formulario 1.1'!$B193,#REF!,0),MATCH('Respuestas de formulario 1.1'!DH$1,#REF!,0))</f>
        <v>#REF!</v>
      </c>
      <c r="DI193" s="48" t="e">
        <f>VLOOKUP(CONCATENATE($DF193," TUTO ",$DC193),#REF!,3,0)</f>
        <v>#REF!</v>
      </c>
      <c r="DJ193" s="48" t="e">
        <f t="array" ref="DJ193">IF('Respuestas de formulario 1.1'!A193="","",INDEX(#REF!,MATCH('Respuestas de formulario 1.1'!B193,#REF!,0),MATCH('Respuestas de formulario 1.1'!$DH$1,#REF!,0)))</f>
        <v>#REF!</v>
      </c>
      <c r="DK193" s="52" t="str">
        <f>CONCATENATE("http://doc.google.com/uc?id=",MID('Respuestas de formulario 1.1'!G193,34,33))</f>
        <v>http://doc.google.com/uc?id=1XNJqfLhDUR_FH16s1Cqh85sjoqC4Xy3o</v>
      </c>
      <c r="DL193" s="49" t="str">
        <f>CONCATENATE("http://doc.google.com/uc?id=",MID('Respuestas de formulario 1.1'!AH193,34,33))</f>
        <v>http://doc.google.com/uc?id=15P5mu9xbYVaMWZVAugYhkpLamsF6IvLU</v>
      </c>
      <c r="DM193" s="50" t="str">
        <f>CONCATENATE("http://doc.google.com/uc?id=",MID('Respuestas de formulario 1.1'!AW193,34,33))</f>
        <v>http://doc.google.com/uc?id=1mYkcHyaRBjZXoaBim4Jl4J90EtnAr_PY</v>
      </c>
      <c r="DN193" s="53" t="str">
        <f>CONCATENATE("http://doc.google.com/uc?id=",MID('Respuestas de formulario 1.1'!$BI193,34,33))</f>
        <v>http://doc.google.com/uc?id=1ge_qAy2hC2a4YNw1CgKe2Vhl-yjEnv0d</v>
      </c>
      <c r="DO193" s="45" t="str">
        <f>IFERROR(VLOOKUP(CONCATENATE('Respuestas de formulario 1.1'!$B193,MID('Respuestas de formulario 1.1'!DO$1,2,1)),#REF!,12,0),"")</f>
        <v/>
      </c>
      <c r="DP193" s="45" t="str">
        <f>IFERROR(VLOOKUP(CONCATENATE('Respuestas de formulario 1.1'!$B193,MID('Respuestas de formulario 1.1'!DP$1,2,1)),#REF!,12,0),"")</f>
        <v/>
      </c>
      <c r="DQ193" s="45" t="str">
        <f>IFERROR(VLOOKUP(CONCATENATE('Respuestas de formulario 1.1'!$B193,MID('Respuestas de formulario 1.1'!DQ$1,2,1)),#REF!,12,0),"")</f>
        <v/>
      </c>
      <c r="DR193" s="45" t="str">
        <f>IFERROR(VLOOKUP(CONCATENATE('Respuestas de formulario 1.1'!$B193,MID('Respuestas de formulario 1.1'!DR$1,2,1)),#REF!,12,0),"")</f>
        <v/>
      </c>
      <c r="DS193" s="45" t="str">
        <f>IFERROR(VLOOKUP(CONCATENATE('Respuestas de formulario 1.1'!$B193,MID('Respuestas de formulario 1.1'!DS$1,2,1)),#REF!,12,0),"")</f>
        <v/>
      </c>
      <c r="DT193" s="45" t="str">
        <f>IFERROR(VLOOKUP(CONCATENATE('Respuestas de formulario 1.1'!$B193,MID('Respuestas de formulario 1.1'!DT$1,2,1)),#REF!,12,0),"")</f>
        <v/>
      </c>
      <c r="DU193" s="45" t="str">
        <f>IFERROR(VLOOKUP(CONCATENATE('Respuestas de formulario 1.1'!$B193,MID('Respuestas de formulario 1.1'!DU$1,2,1)),#REF!,12,0),"")</f>
        <v/>
      </c>
      <c r="DV193" s="45" t="str">
        <f>IFERROR(VLOOKUP(CONCATENATE('Respuestas de formulario 1.1'!$B193,MID('Respuestas de formulario 1.1'!DV$1,2,1)),#REF!,12,0),"")</f>
        <v/>
      </c>
      <c r="DW193" s="45" t="str">
        <f>IFERROR(VLOOKUP(CONCATENATE('Respuestas de formulario 1.1'!$B193,MID('Respuestas de formulario 1.1'!DW$1,2,1)),#REF!,12,0),"")</f>
        <v/>
      </c>
      <c r="DX193" s="45" t="str">
        <f>IFERROR(VLOOKUP(CONCATENATE('Respuestas de formulario 1.1'!$B193,MID('Respuestas de formulario 1.1'!DX$1,2,1)),#REF!,12,0),"")</f>
        <v/>
      </c>
      <c r="DY193" s="45" t="str">
        <f>IFERROR(VLOOKUP(CONCATENATE('Respuestas de formulario 1.1'!$B193,MID('Respuestas de formulario 1.1'!DY$1,2,1)),#REF!,12,0),"")</f>
        <v/>
      </c>
      <c r="DZ193" s="45" t="str">
        <f>IFERROR(VLOOKUP(CONCATENATE('Respuestas de formulario 1.1'!$B193,MID('Respuestas de formulario 1.1'!DZ$1,2,1)),#REF!,12,0),"")</f>
        <v/>
      </c>
      <c r="EA193" s="45" t="str">
        <f>IFERROR(VLOOKUP(CONCATENATE('Respuestas de formulario 1.1'!$B193,MID('Respuestas de formulario 1.1'!EA$1,2,1)),#REF!,12,0),"")</f>
        <v/>
      </c>
      <c r="EB193" s="45" t="str">
        <f>IFERROR(VLOOKUP(CONCATENATE('Respuestas de formulario 1.1'!$B193,MID('Respuestas de formulario 1.1'!EB$1,2,1)),#REF!,12,0),"")</f>
        <v/>
      </c>
      <c r="EC193" s="45" t="str">
        <f>IFERROR(VLOOKUP(CONCATENATE('Respuestas de formulario 1.1'!$B193,MID('Respuestas de formulario 1.1'!EC$1,2,1)),#REF!,12,0),"")</f>
        <v/>
      </c>
      <c r="ED193" s="45" t="str">
        <f>IFERROR(VLOOKUP(CONCATENATE('Respuestas de formulario 1.1'!$B193,MID('Respuestas de formulario 1.1'!ED$1,2,1)),#REF!,12,0),"")</f>
        <v/>
      </c>
      <c r="EE193" s="45" t="str">
        <f>IFERROR(VLOOKUP(CONCATENATE('Respuestas de formulario 1.1'!$B193,MID('Respuestas de formulario 1.1'!EE$1,2,1)),#REF!,12,0),"")</f>
        <v/>
      </c>
      <c r="EF193" s="45" t="str">
        <f>IFERROR(VLOOKUP(CONCATENATE('Respuestas de formulario 1.1'!$B193,MID('Respuestas de formulario 1.1'!EF$1,2,1)),#REF!,12,0),"")</f>
        <v/>
      </c>
      <c r="EG193" s="45" t="str">
        <f>IFERROR(VLOOKUP(CONCATENATE('Respuestas de formulario 1.1'!$B193,MID('Respuestas de formulario 1.1'!EG$1,2,1)),#REF!,12,0),"")</f>
        <v/>
      </c>
      <c r="EH193" s="45" t="str">
        <f>IFERROR(VLOOKUP(CONCATENATE('Respuestas de formulario 1.1'!$B193,MID('Respuestas de formulario 1.1'!EH$1,2,1)),#REF!,12,0),"")</f>
        <v/>
      </c>
      <c r="EI193" s="45" t="str">
        <f>IFERROR(VLOOKUP(CONCATENATE('Respuestas de formulario 1.1'!$B193,MID('Respuestas de formulario 1.1'!EI$1,2,1)),#REF!,12,0),"")</f>
        <v/>
      </c>
      <c r="EJ193" s="45" t="str">
        <f t="array" ref="EJ193">IF(DO193="","", INDEX(#REF!,MATCH(CONCATENATE('Respuestas de formulario 1.1'!$B193,DO193),#REF!,0),MATCH('Respuestas de formulario 1.1'!EJ$1,#REF!,0)))</f>
        <v/>
      </c>
      <c r="EK193" s="56" t="str">
        <f t="array" ref="EK193">IF(DP193="","", INDEX(#REF!,MATCH(CONCATENATE('Respuestas de formulario 1.1'!$B193,DP193),#REF!,0),MATCH('Respuestas de formulario 1.1'!EK$1,#REF!,0)))</f>
        <v/>
      </c>
      <c r="EL193" s="56" t="str">
        <f t="array" ref="EL193">IF(DQ193="","", INDEX(#REF!,MATCH(CONCATENATE('Respuestas de formulario 1.1'!$B193,DQ193),#REF!,0),MATCH('Respuestas de formulario 1.1'!EL$1,#REF!,0)))</f>
        <v/>
      </c>
      <c r="EM193" s="56" t="str">
        <f t="array" ref="EM193">IF(DR193="","", INDEX(#REF!,MATCH(CONCATENATE('Respuestas de formulario 1.1'!$B193,DR193),#REF!,0),MATCH('Respuestas de formulario 1.1'!EM$1,#REF!,0)))</f>
        <v/>
      </c>
      <c r="EN193" s="56" t="str">
        <f t="array" ref="EN193">IF(DS193="","", INDEX(#REF!,MATCH(CONCATENATE('Respuestas de formulario 1.1'!$B193,DS193),#REF!,0),MATCH('Respuestas de formulario 1.1'!EN$1,#REF!,0)))</f>
        <v/>
      </c>
      <c r="EO193" s="56" t="str">
        <f t="array" ref="EO193">IF(DT193="","", INDEX(#REF!,MATCH(CONCATENATE('Respuestas de formulario 1.1'!$B193,DT193),#REF!,0),MATCH('Respuestas de formulario 1.1'!EO$1,#REF!,0)))</f>
        <v/>
      </c>
      <c r="EP193" s="45" t="str">
        <f t="array" ref="EP193">IF(DU193="","", INDEX(#REF!,MATCH(CONCATENATE('Respuestas de formulario 1.1'!$B193,DU193),#REF!,0),MATCH('Respuestas de formulario 1.1'!EP$1,#REF!,0)))</f>
        <v/>
      </c>
      <c r="EQ193" s="45" t="str">
        <f t="array" ref="EQ193">IF(DP193="","", INDEX(#REF!,MATCH(CONCATENATE('Respuestas de formulario 1.1'!$B193,DP193),#REF!,0),MATCH('Respuestas de formulario 1.1'!EQ$1,#REF!,0)))</f>
        <v/>
      </c>
      <c r="ER193" s="56" t="str">
        <f t="array" ref="ER193">IF(DQ193="","", INDEX(#REF!,MATCH(CONCATENATE('Respuestas de formulario 1.1'!$B193,DQ193),#REF!,0),MATCH('Respuestas de formulario 1.1'!ER$1,#REF!,0)))</f>
        <v/>
      </c>
      <c r="ES193" s="56" t="str">
        <f t="array" ref="ES193">IF(DR193="","", INDEX(#REF!,MATCH(CONCATENATE('Respuestas de formulario 1.1'!$B193,DR193),#REF!,0),MATCH('Respuestas de formulario 1.1'!ES$1,#REF!,0)))</f>
        <v/>
      </c>
      <c r="ET193" s="56" t="str">
        <f t="array" ref="ET193">IF(DS193="","", INDEX(#REF!,MATCH(CONCATENATE('Respuestas de formulario 1.1'!$B193,DS193),#REF!,0),MATCH('Respuestas de formulario 1.1'!ET$1,#REF!,0)))</f>
        <v/>
      </c>
      <c r="EU193" s="56" t="str">
        <f t="array" ref="EU193">IF(DT193="","", INDEX(#REF!,MATCH(CONCATENATE('Respuestas de formulario 1.1'!$B193,DT193),#REF!,0),MATCH('Respuestas de formulario 1.1'!EU$1,#REF!,0)))</f>
        <v/>
      </c>
      <c r="EV193" s="56" t="str">
        <f t="array" ref="EV193">IF(DU193="","", INDEX(#REF!,MATCH(CONCATENATE('Respuestas de formulario 1.1'!$B193,DU193),#REF!,0),MATCH('Respuestas de formulario 1.1'!EV$1,#REF!,0)))</f>
        <v/>
      </c>
      <c r="EW193" s="45" t="str">
        <f t="array" ref="EW193">IF(DV193="","", INDEX(#REF!,MATCH(CONCATENATE('Respuestas de formulario 1.1'!$B193,DV193),#REF!,0),MATCH('Respuestas de formulario 1.1'!EW$1,#REF!,0)))</f>
        <v/>
      </c>
      <c r="EX193" s="45" t="str">
        <f t="array" ref="EX193">IF($DQ193="","", INDEX(#REF!,MATCH(CONCATENATE('Respuestas de formulario 1.1'!$B193,$DQ193),#REF!,0),MATCH('Respuestas de formulario 1.1'!EX$1,#REF!,0)))</f>
        <v/>
      </c>
      <c r="EY193" s="56" t="str">
        <f t="array" ref="EY193">IF($DQ193="","", INDEX(#REF!,MATCH(CONCATENATE('Respuestas de formulario 1.1'!$B193,$DQ193),#REF!,0),MATCH('Respuestas de formulario 1.1'!EY$1,#REF!,0)))</f>
        <v/>
      </c>
      <c r="EZ193" s="56" t="str">
        <f t="array" ref="EZ193">IF($DQ193="","", INDEX(#REF!,MATCH(CONCATENATE('Respuestas de formulario 1.1'!$B193,$DQ193),#REF!,0),MATCH('Respuestas de formulario 1.1'!EZ$1,#REF!,0)))</f>
        <v/>
      </c>
      <c r="FA193" s="56" t="str">
        <f t="array" ref="FA193">IF($DQ193="","", INDEX(#REF!,MATCH(CONCATENATE('Respuestas de formulario 1.1'!$B193,$DQ193),#REF!,0),MATCH('Respuestas de formulario 1.1'!FA$1,#REF!,0)))</f>
        <v/>
      </c>
      <c r="FB193" s="56" t="str">
        <f t="array" ref="FB193">IF($DQ193="","", INDEX(#REF!,MATCH(CONCATENATE('Respuestas de formulario 1.1'!$B193,$DQ193),#REF!,0),MATCH('Respuestas de formulario 1.1'!FB$1,#REF!,0)))</f>
        <v/>
      </c>
      <c r="FC193" s="56" t="str">
        <f t="array" ref="FC193">IF($DQ193="","", INDEX(#REF!,MATCH(CONCATENATE('Respuestas de formulario 1.1'!$B193,$DQ193),#REF!,0),MATCH('Respuestas de formulario 1.1'!FC$1,#REF!,0)))</f>
        <v/>
      </c>
      <c r="FD193" s="45" t="str">
        <f t="array" ref="FD193">IF($DQ193="","", INDEX(#REF!,MATCH(CONCATENATE('Respuestas de formulario 1.1'!$B193,$DQ193),#REF!,0),MATCH('Respuestas de formulario 1.1'!FD$1,#REF!,0)))</f>
        <v/>
      </c>
      <c r="FE193" s="45" t="str">
        <f t="array" ref="FE193">IF($DR193="","", INDEX(#REF!,MATCH(CONCATENATE(#REF!,$DR193),#REF!,0),MATCH(#REF!,#REF!,0)))</f>
        <v/>
      </c>
      <c r="FF193" s="56" t="str">
        <f t="array" ref="FF193">IF($DR193="","", INDEX(#REF!,MATCH(CONCATENATE(#REF!,$DR193),#REF!,0),MATCH(#REF!,#REF!,0)))</f>
        <v/>
      </c>
      <c r="FG193" s="56" t="str">
        <f t="array" ref="FG193">IF($DR193="","", INDEX(#REF!,MATCH(CONCATENATE(#REF!,$DR193),#REF!,0),MATCH(#REF!,#REF!,0)))</f>
        <v/>
      </c>
      <c r="FH193" s="56" t="str">
        <f t="array" ref="FH193">IF($DR193="","", INDEX(#REF!,MATCH(CONCATENATE(#REF!,$DR193),#REF!,0),MATCH(#REF!,#REF!,0)))</f>
        <v/>
      </c>
      <c r="FI193" s="56" t="str">
        <f t="array" ref="FI193">IF($DR193="","", INDEX(#REF!,MATCH(CONCATENATE(#REF!,$DR193),#REF!,0),MATCH(#REF!,#REF!,0)))</f>
        <v/>
      </c>
      <c r="FJ193" s="56" t="str">
        <f t="array" ref="FJ193">IF($DR193="","", INDEX(#REF!,MATCH(CONCATENATE(#REF!,$DR193),#REF!,0),MATCH(#REF!,#REF!,0)))</f>
        <v/>
      </c>
      <c r="FK193" s="45" t="str">
        <f t="array" ref="FK193">IF($DR193="","", INDEX(#REF!,MATCH(CONCATENATE(#REF!,$DR193),#REF!,0),MATCH(#REF!,#REF!,0)))</f>
        <v/>
      </c>
      <c r="FL193" s="45" t="str">
        <f t="array" ref="FL193">IF($DT193="","", INDEX(#REF!,MATCH(CONCATENATE('Respuestas de formulario 1.1'!$B193,$DS193),#REF!,0),MATCH('Respuestas de formulario 1.1'!FL$1,#REF!,0)))</f>
        <v/>
      </c>
      <c r="FM193" s="56" t="str">
        <f t="array" ref="FM193">IF($DT193="","", INDEX(#REF!,MATCH(CONCATENATE('Respuestas de formulario 1.1'!$B193,$DS193),#REF!,0),MATCH('Respuestas de formulario 1.1'!FM$1,#REF!,0)))</f>
        <v/>
      </c>
      <c r="FN193" s="56" t="str">
        <f t="array" ref="FN193">IF($DT193="","", INDEX(#REF!,MATCH(CONCATENATE('Respuestas de formulario 1.1'!$B193,$DS193),#REF!,0),MATCH('Respuestas de formulario 1.1'!FN$1,#REF!,0)))</f>
        <v/>
      </c>
      <c r="FO193" s="56" t="str">
        <f t="array" ref="FO193">IF($DT193="","", INDEX(#REF!,MATCH(CONCATENATE('Respuestas de formulario 1.1'!$B193,$DS193),#REF!,0),MATCH('Respuestas de formulario 1.1'!FO$1,#REF!,0)))</f>
        <v/>
      </c>
      <c r="FP193" s="56" t="str">
        <f t="array" ref="FP193">IF($DT193="","", INDEX(#REF!,MATCH(CONCATENATE('Respuestas de formulario 1.1'!$B193,$DS193),#REF!,0),MATCH('Respuestas de formulario 1.1'!FP$1,#REF!,0)))</f>
        <v/>
      </c>
      <c r="FQ193" s="56" t="str">
        <f t="array" ref="FQ193">IF($DT193="","", INDEX(#REF!,MATCH(CONCATENATE('Respuestas de formulario 1.1'!$B193,$DS193),#REF!,0),MATCH('Respuestas de formulario 1.1'!FQ$1,#REF!,0)))</f>
        <v/>
      </c>
      <c r="FR193" s="45" t="str">
        <f t="array" ref="FR193">IF($DT193="","", INDEX(#REF!,MATCH(CONCATENATE('Respuestas de formulario 1.1'!$B193,$DS193),#REF!,0),MATCH('Respuestas de formulario 1.1'!FR$1,#REF!,0)))</f>
        <v/>
      </c>
      <c r="FS193" s="45" t="str">
        <f t="array" ref="FS193">IF($DU193="","", INDEX(#REF!,MATCH(CONCATENATE('Respuestas de formulario 1.1'!$B193,$DT193),#REF!,0),MATCH('Respuestas de formulario 1.1'!FS$1,#REF!,0)))</f>
        <v/>
      </c>
      <c r="FT193" s="56" t="str">
        <f t="array" ref="FT193">IF($DU193="","", INDEX(#REF!,MATCH(CONCATENATE('Respuestas de formulario 1.1'!$B193,$DT193),#REF!,0),MATCH('Respuestas de formulario 1.1'!FT$1,#REF!,0)))</f>
        <v/>
      </c>
      <c r="FU193" s="56" t="str">
        <f t="array" ref="FU193">IF($DU193="","", INDEX(#REF!,MATCH(CONCATENATE('Respuestas de formulario 1.1'!$B193,$DT193),#REF!,0),MATCH('Respuestas de formulario 1.1'!FU$1,#REF!,0)))</f>
        <v/>
      </c>
      <c r="FV193" s="56" t="str">
        <f t="array" ref="FV193">IF($DU193="","", INDEX(#REF!,MATCH(CONCATENATE('Respuestas de formulario 1.1'!$B193,$DT193),#REF!,0),MATCH('Respuestas de formulario 1.1'!FV$1,#REF!,0)))</f>
        <v/>
      </c>
      <c r="FW193" s="56" t="str">
        <f t="array" ref="FW193">IF($DU193="","", INDEX(#REF!,MATCH(CONCATENATE('Respuestas de formulario 1.1'!$B193,$DT193),#REF!,0),MATCH('Respuestas de formulario 1.1'!FW$1,#REF!,0)))</f>
        <v/>
      </c>
      <c r="FX193" s="56" t="str">
        <f t="array" ref="FX193">IF($DU193="","", INDEX(#REF!,MATCH(CONCATENATE('Respuestas de formulario 1.1'!$B193,$DT193),#REF!,0),MATCH('Respuestas de formulario 1.1'!FX$1,#REF!,0)))</f>
        <v/>
      </c>
      <c r="FY193" s="45" t="str">
        <f t="array" ref="FY193">IF($DU193="","", INDEX(#REF!,MATCH(CONCATENATE('Respuestas de formulario 1.1'!$B193,$DT193),#REF!,0),MATCH('Respuestas de formulario 1.1'!FY$1,#REF!,0)))</f>
        <v/>
      </c>
      <c r="FZ193" s="3" t="s">
        <v>2860</v>
      </c>
      <c r="GA193" s="1" t="s">
        <v>6148</v>
      </c>
      <c r="GB193" s="5" t="s">
        <v>6149</v>
      </c>
      <c r="GC193" s="4" t="str">
        <f>HYPERLINK("https://drive.google.com/file/d/1pZ7_LZXS2OMCYFmn8G6Ql4hE4PpnGZIb/view?usp=drivesdk","CARREON MARTINEZ ADELITA MAYTE Formato de reinscripción y pago 2022-2")</f>
        <v>CARREON MARTINEZ ADELITA MAYTE Formato de reinscripción y pago 2022-2</v>
      </c>
      <c r="GD193" s="1" t="s">
        <v>6150</v>
      </c>
      <c r="GE193" s="1"/>
      <c r="GF193" s="1"/>
      <c r="GG193" s="1"/>
      <c r="GH193" s="1"/>
      <c r="GI193" s="1" t="s">
        <v>6151</v>
      </c>
      <c r="GJ193" s="5" t="s">
        <v>6152</v>
      </c>
      <c r="GK193" s="5" t="str">
        <f>HYPERLINK("https://drive.google.com/file/d/1iAkOWBgJdFeSCe2Miv9uKrkSEE1f9meI/view?usp=drivesdk","CARREON MARTINEZ ADELITA MAYTE Formato de reinscripción y pago 2022-2")</f>
        <v>CARREON MARTINEZ ADELITA MAYTE Formato de reinscripción y pago 2022-2</v>
      </c>
      <c r="GL193" s="1" t="s">
        <v>6153</v>
      </c>
    </row>
    <row r="194" spans="1:194" ht="38.25" x14ac:dyDescent="0.2">
      <c r="A194" s="2">
        <v>45139.500963981482</v>
      </c>
      <c r="B194" s="1" t="s">
        <v>10</v>
      </c>
      <c r="C194" s="1" t="s">
        <v>392</v>
      </c>
      <c r="D194" s="1" t="s">
        <v>452</v>
      </c>
      <c r="E194" s="1" t="s">
        <v>2689</v>
      </c>
      <c r="F194" s="1" t="s">
        <v>223</v>
      </c>
      <c r="G194" s="5" t="s">
        <v>6154</v>
      </c>
      <c r="H194" s="41">
        <v>39406</v>
      </c>
      <c r="I194" s="1">
        <v>15</v>
      </c>
      <c r="J194" s="1">
        <v>5536338780</v>
      </c>
      <c r="K194" s="1">
        <v>5526324421</v>
      </c>
      <c r="L194" s="1" t="s">
        <v>2690</v>
      </c>
      <c r="M194" s="1">
        <v>22309060570439</v>
      </c>
      <c r="N194" s="1" t="s">
        <v>562</v>
      </c>
      <c r="O194" s="1" t="s">
        <v>247</v>
      </c>
      <c r="P194" s="1" t="s">
        <v>226</v>
      </c>
      <c r="Q194" s="1" t="s">
        <v>248</v>
      </c>
      <c r="R194" s="1" t="s">
        <v>236</v>
      </c>
      <c r="S194" s="1" t="s">
        <v>228</v>
      </c>
      <c r="T194" s="1" t="s">
        <v>229</v>
      </c>
      <c r="U194" s="1" t="s">
        <v>394</v>
      </c>
      <c r="V194" s="1" t="s">
        <v>228</v>
      </c>
      <c r="W194" s="1" t="s">
        <v>6155</v>
      </c>
      <c r="X194" s="1" t="s">
        <v>394</v>
      </c>
      <c r="Y194" s="1" t="s">
        <v>1006</v>
      </c>
      <c r="Z194" s="1" t="s">
        <v>231</v>
      </c>
      <c r="AA194" s="1">
        <v>56512</v>
      </c>
      <c r="AB194" s="1">
        <v>9</v>
      </c>
      <c r="AC194" s="1">
        <v>94</v>
      </c>
      <c r="AD194" s="1" t="s">
        <v>6156</v>
      </c>
      <c r="AE194" s="1" t="s">
        <v>6157</v>
      </c>
      <c r="AF194" s="1" t="s">
        <v>265</v>
      </c>
      <c r="AG194" s="1">
        <v>52</v>
      </c>
      <c r="AH194" s="5" t="s">
        <v>6158</v>
      </c>
      <c r="AI194" s="1">
        <v>5536338780</v>
      </c>
      <c r="AJ194" s="1">
        <v>5526324421</v>
      </c>
      <c r="AK194" s="1" t="s">
        <v>6159</v>
      </c>
      <c r="AL194" s="1" t="s">
        <v>268</v>
      </c>
      <c r="AM194" s="1" t="s">
        <v>2691</v>
      </c>
      <c r="AN194" s="1" t="s">
        <v>618</v>
      </c>
      <c r="AO194" s="1" t="s">
        <v>453</v>
      </c>
      <c r="AP194" s="1">
        <v>56</v>
      </c>
      <c r="AQ194" s="1" t="s">
        <v>235</v>
      </c>
      <c r="AR194" s="42">
        <v>0.33333333333575865</v>
      </c>
      <c r="AS194" s="42">
        <v>0.25</v>
      </c>
      <c r="AT194" s="1">
        <v>5627066893</v>
      </c>
      <c r="AU194" s="1">
        <v>5559499713</v>
      </c>
      <c r="AV194" s="1" t="s">
        <v>2692</v>
      </c>
      <c r="AW194" s="5" t="s">
        <v>6160</v>
      </c>
      <c r="AX194" s="1" t="s">
        <v>664</v>
      </c>
      <c r="AY194" s="1" t="s">
        <v>474</v>
      </c>
      <c r="AZ194" s="1" t="s">
        <v>6161</v>
      </c>
      <c r="BA194" s="1" t="s">
        <v>359</v>
      </c>
      <c r="BB194" s="1">
        <v>74</v>
      </c>
      <c r="BC194" s="1" t="s">
        <v>546</v>
      </c>
      <c r="BD194" s="43">
        <v>0.29166666666424135</v>
      </c>
      <c r="BE194" s="43">
        <v>0.125</v>
      </c>
      <c r="BF194" s="1">
        <v>5572862270</v>
      </c>
      <c r="BG194" s="1">
        <v>5559499713</v>
      </c>
      <c r="BH194" s="1" t="s">
        <v>6159</v>
      </c>
      <c r="BI194" s="5" t="s">
        <v>6162</v>
      </c>
      <c r="BJ194" s="1" t="s">
        <v>236</v>
      </c>
      <c r="BL194" s="1">
        <v>1.59</v>
      </c>
      <c r="BM194" s="1">
        <v>49</v>
      </c>
      <c r="BN194" s="1" t="s">
        <v>228</v>
      </c>
      <c r="BO194" s="1" t="s">
        <v>236</v>
      </c>
      <c r="BP194" s="1" t="s">
        <v>6163</v>
      </c>
      <c r="BQ194" s="1" t="s">
        <v>228</v>
      </c>
      <c r="BR194" s="1" t="s">
        <v>237</v>
      </c>
      <c r="BS194" s="1" t="s">
        <v>236</v>
      </c>
      <c r="BT194" s="1" t="s">
        <v>271</v>
      </c>
      <c r="BU194" s="1" t="s">
        <v>228</v>
      </c>
      <c r="BW194" s="1" t="s">
        <v>272</v>
      </c>
      <c r="BX194" s="1">
        <v>90</v>
      </c>
      <c r="BY194" s="1">
        <v>300</v>
      </c>
      <c r="BZ194" s="1" t="s">
        <v>253</v>
      </c>
      <c r="CA194" s="1" t="s">
        <v>343</v>
      </c>
      <c r="CB194" s="1" t="s">
        <v>231</v>
      </c>
      <c r="CC194" s="1" t="s">
        <v>581</v>
      </c>
      <c r="CD194" s="1">
        <v>500</v>
      </c>
      <c r="CE194" s="1">
        <v>200</v>
      </c>
      <c r="CF194" s="1" t="s">
        <v>236</v>
      </c>
      <c r="CG194" s="1" t="s">
        <v>242</v>
      </c>
      <c r="CH194" s="1" t="s">
        <v>243</v>
      </c>
      <c r="CI194" s="1" t="s">
        <v>243</v>
      </c>
      <c r="CJ194" s="1" t="s">
        <v>2848</v>
      </c>
      <c r="CL194" s="5" t="s">
        <v>6164</v>
      </c>
      <c r="CM194" s="44" t="s">
        <v>6165</v>
      </c>
      <c r="CN194" s="1" t="s">
        <v>228</v>
      </c>
      <c r="CQ194" s="42">
        <v>0.29166666666424135</v>
      </c>
      <c r="CR194" s="42">
        <v>0.125</v>
      </c>
      <c r="CT194" s="45" t="str">
        <f t="array" ref="CT194">IFERROR(INDEX(#REF!,MATCH('Respuestas de formulario 1.1'!$B194,#REF!,0),MATCH('Respuestas de formulario 1.1'!CT$1,#REF!,0)),"")</f>
        <v/>
      </c>
      <c r="CU194" s="56" t="str">
        <f t="array" ref="CU194">IFERROR(INDEX(#REF!,MATCH('Respuestas de formulario 1.1'!$B194,#REF!,0),MATCH('Respuestas de formulario 1.1'!CU$1,#REF!,0)),"")</f>
        <v/>
      </c>
      <c r="CV194" s="56" t="str">
        <f t="array" ref="CV194">IFERROR(INDEX(#REF!,MATCH('Respuestas de formulario 1.1'!$B194,#REF!,0),MATCH('Respuestas de formulario 1.1'!CV$1,#REF!,0)),"")</f>
        <v/>
      </c>
      <c r="CW194" s="56" t="str">
        <f t="array" ref="CW194">IFERROR(INDEX(#REF!,MATCH('Respuestas de formulario 1.1'!$B194,#REF!,0),MATCH('Respuestas de formulario 1.1'!CW$1,#REF!,0)),"")</f>
        <v/>
      </c>
      <c r="CX194" s="56" t="str">
        <f t="array" ref="CX194">IFERROR(INDEX(#REF!,MATCH('Respuestas de formulario 1.1'!$B194,#REF!,0),MATCH('Respuestas de formulario 1.1'!CX$1,#REF!,0)),"")</f>
        <v/>
      </c>
      <c r="CY194" s="56" t="str">
        <f t="array" ref="CY194">IFERROR(INDEX(#REF!,MATCH('Respuestas de formulario 1.1'!$B194,#REF!,0),MATCH('Respuestas de formulario 1.1'!CY$1,#REF!,0)),"")</f>
        <v/>
      </c>
      <c r="CZ194" s="57" t="str">
        <f t="array" ref="CZ194">IFERROR(INDEX(#REF!,MATCH('Respuestas de formulario 1.1'!$B194,#REF!,0),MATCH('Respuestas de formulario 1.1'!CZ$1,#REF!,0)),"")</f>
        <v/>
      </c>
      <c r="DA194" s="45" t="e">
        <f t="array" ref="DA194">INDEX(#REF!,MATCH('Respuestas de formulario 1.1'!$B194,#REF!,0),MATCH('Respuestas de formulario 1.1'!DA$1,#REF!,0))</f>
        <v>#REF!</v>
      </c>
      <c r="DB194" s="45" t="e">
        <f t="array" ref="DB194">INDEX(#REF!,MATCH('Respuestas de formulario 1.1'!$B194,#REF!,0),MATCH('Respuestas de formulario 1.1'!DB$1,#REF!,0))</f>
        <v>#REF!</v>
      </c>
      <c r="DC194" s="45" t="e">
        <f t="array" ref="DC194">INDEX(#REF!,MATCH('Respuestas de formulario 1.1'!$B194,#REF!,0),MATCH('Respuestas de formulario 1.1'!DC$1,#REF!,0))</f>
        <v>#REF!</v>
      </c>
      <c r="DD194" s="45" t="e">
        <f t="array" ref="DD194">INDEX(#REF!,MATCH('Respuestas de formulario 1.1'!$B194,#REF!,0),MATCH('Respuestas de formulario 1.1'!DD$1,#REF!,0))</f>
        <v>#REF!</v>
      </c>
      <c r="DE194" s="45" t="e">
        <f t="array" ref="DE194">INDEX(#REF!,MATCH('Respuestas de formulario 1.1'!$B194,#REF!,0),MATCH('Respuestas de formulario 1.1'!DE$1,#REF!,0))</f>
        <v>#REF!</v>
      </c>
      <c r="DF194" s="45" t="e">
        <f t="array" ref="DF194">INDEX(#REF!,MATCH('Respuestas de formulario 1.1'!$B194,#REF!,0),MATCH('Respuestas de formulario 1.1'!DF$1,#REF!,0))</f>
        <v>#REF!</v>
      </c>
      <c r="DG194" s="45" t="e">
        <f t="array" ref="DG194">INDEX(#REF!,MATCH('Respuestas de formulario 1.1'!$B194,#REF!,0),MATCH('Respuestas de formulario 1.1'!DG$1,#REF!,0))</f>
        <v>#REF!</v>
      </c>
      <c r="DH194" s="45" t="e">
        <f t="array" ref="DH194">INDEX(#REF!,MATCH('Respuestas de formulario 1.1'!$B194,#REF!,0),MATCH('Respuestas de formulario 1.1'!DH$1,#REF!,0))</f>
        <v>#REF!</v>
      </c>
      <c r="DI194" s="48" t="e">
        <f>VLOOKUP(CONCATENATE($DF194," TUTO ",$DC194),#REF!,3,0)</f>
        <v>#REF!</v>
      </c>
      <c r="DJ194" s="48" t="e">
        <f t="array" ref="DJ194">IF('Respuestas de formulario 1.1'!A194="","",INDEX(#REF!,MATCH('Respuestas de formulario 1.1'!B194,#REF!,0),MATCH('Respuestas de formulario 1.1'!$DH$1,#REF!,0)))</f>
        <v>#REF!</v>
      </c>
      <c r="DK194" s="52" t="str">
        <f>CONCATENATE("http://doc.google.com/uc?id=",MID('Respuestas de formulario 1.1'!G194,34,33))</f>
        <v>http://doc.google.com/uc?id=19I7pszX2b7BEYV3hw4CeKDKVfuE-Sh1w</v>
      </c>
      <c r="DL194" s="49" t="str">
        <f>CONCATENATE("http://doc.google.com/uc?id=",MID('Respuestas de formulario 1.1'!AH194,34,33))</f>
        <v>http://doc.google.com/uc?id=1L2wyukjIlFERs1FS68A0Lh0CP9mlxOj8</v>
      </c>
      <c r="DM194" s="50" t="str">
        <f>CONCATENATE("http://doc.google.com/uc?id=",MID('Respuestas de formulario 1.1'!AW194,34,33))</f>
        <v>http://doc.google.com/uc?id=1-QO05jDJXTym3ue1DVF4l1Kr_pwtjNzq</v>
      </c>
      <c r="DN194" s="53" t="str">
        <f>CONCATENATE("http://doc.google.com/uc?id=",MID('Respuestas de formulario 1.1'!$BI194,34,33))</f>
        <v>http://doc.google.com/uc?id=1u76zW216Wvt3S4GOj4V8gIab86vqbvku</v>
      </c>
      <c r="DO194" s="45" t="str">
        <f>IFERROR(VLOOKUP(CONCATENATE('Respuestas de formulario 1.1'!$B194,MID('Respuestas de formulario 1.1'!DO$1,2,1)),#REF!,12,0),"")</f>
        <v/>
      </c>
      <c r="DP194" s="45" t="str">
        <f>IFERROR(VLOOKUP(CONCATENATE('Respuestas de formulario 1.1'!$B194,MID('Respuestas de formulario 1.1'!DP$1,2,1)),#REF!,12,0),"")</f>
        <v/>
      </c>
      <c r="DQ194" s="45" t="str">
        <f>IFERROR(VLOOKUP(CONCATENATE('Respuestas de formulario 1.1'!$B194,MID('Respuestas de formulario 1.1'!DQ$1,2,1)),#REF!,12,0),"")</f>
        <v/>
      </c>
      <c r="DR194" s="45" t="str">
        <f>IFERROR(VLOOKUP(CONCATENATE('Respuestas de formulario 1.1'!$B194,MID('Respuestas de formulario 1.1'!DR$1,2,1)),#REF!,12,0),"")</f>
        <v/>
      </c>
      <c r="DS194" s="45" t="str">
        <f>IFERROR(VLOOKUP(CONCATENATE('Respuestas de formulario 1.1'!$B194,MID('Respuestas de formulario 1.1'!DS$1,2,1)),#REF!,12,0),"")</f>
        <v/>
      </c>
      <c r="DT194" s="45" t="str">
        <f>IFERROR(VLOOKUP(CONCATENATE('Respuestas de formulario 1.1'!$B194,MID('Respuestas de formulario 1.1'!DT$1,2,1)),#REF!,12,0),"")</f>
        <v/>
      </c>
      <c r="DU194" s="45" t="str">
        <f>IFERROR(VLOOKUP(CONCATENATE('Respuestas de formulario 1.1'!$B194,MID('Respuestas de formulario 1.1'!DU$1,2,1)),#REF!,12,0),"")</f>
        <v/>
      </c>
      <c r="DV194" s="45" t="str">
        <f>IFERROR(VLOOKUP(CONCATENATE('Respuestas de formulario 1.1'!$B194,MID('Respuestas de formulario 1.1'!DV$1,2,1)),#REF!,12,0),"")</f>
        <v/>
      </c>
      <c r="DW194" s="45" t="str">
        <f>IFERROR(VLOOKUP(CONCATENATE('Respuestas de formulario 1.1'!$B194,MID('Respuestas de formulario 1.1'!DW$1,2,1)),#REF!,12,0),"")</f>
        <v/>
      </c>
      <c r="DX194" s="45" t="str">
        <f>IFERROR(VLOOKUP(CONCATENATE('Respuestas de formulario 1.1'!$B194,MID('Respuestas de formulario 1.1'!DX$1,2,1)),#REF!,12,0),"")</f>
        <v/>
      </c>
      <c r="DY194" s="45" t="str">
        <f>IFERROR(VLOOKUP(CONCATENATE('Respuestas de formulario 1.1'!$B194,MID('Respuestas de formulario 1.1'!DY$1,2,1)),#REF!,12,0),"")</f>
        <v/>
      </c>
      <c r="DZ194" s="45" t="str">
        <f>IFERROR(VLOOKUP(CONCATENATE('Respuestas de formulario 1.1'!$B194,MID('Respuestas de formulario 1.1'!DZ$1,2,1)),#REF!,12,0),"")</f>
        <v/>
      </c>
      <c r="EA194" s="45" t="str">
        <f>IFERROR(VLOOKUP(CONCATENATE('Respuestas de formulario 1.1'!$B194,MID('Respuestas de formulario 1.1'!EA$1,2,1)),#REF!,12,0),"")</f>
        <v/>
      </c>
      <c r="EB194" s="45" t="str">
        <f>IFERROR(VLOOKUP(CONCATENATE('Respuestas de formulario 1.1'!$B194,MID('Respuestas de formulario 1.1'!EB$1,2,1)),#REF!,12,0),"")</f>
        <v/>
      </c>
      <c r="EC194" s="45" t="str">
        <f>IFERROR(VLOOKUP(CONCATENATE('Respuestas de formulario 1.1'!$B194,MID('Respuestas de formulario 1.1'!EC$1,2,1)),#REF!,12,0),"")</f>
        <v/>
      </c>
      <c r="ED194" s="45" t="str">
        <f>IFERROR(VLOOKUP(CONCATENATE('Respuestas de formulario 1.1'!$B194,MID('Respuestas de formulario 1.1'!ED$1,2,1)),#REF!,12,0),"")</f>
        <v/>
      </c>
      <c r="EE194" s="45" t="str">
        <f>IFERROR(VLOOKUP(CONCATENATE('Respuestas de formulario 1.1'!$B194,MID('Respuestas de formulario 1.1'!EE$1,2,1)),#REF!,12,0),"")</f>
        <v/>
      </c>
      <c r="EF194" s="45" t="str">
        <f>IFERROR(VLOOKUP(CONCATENATE('Respuestas de formulario 1.1'!$B194,MID('Respuestas de formulario 1.1'!EF$1,2,1)),#REF!,12,0),"")</f>
        <v/>
      </c>
      <c r="EG194" s="45" t="str">
        <f>IFERROR(VLOOKUP(CONCATENATE('Respuestas de formulario 1.1'!$B194,MID('Respuestas de formulario 1.1'!EG$1,2,1)),#REF!,12,0),"")</f>
        <v/>
      </c>
      <c r="EH194" s="45" t="str">
        <f>IFERROR(VLOOKUP(CONCATENATE('Respuestas de formulario 1.1'!$B194,MID('Respuestas de formulario 1.1'!EH$1,2,1)),#REF!,12,0),"")</f>
        <v/>
      </c>
      <c r="EI194" s="45" t="str">
        <f>IFERROR(VLOOKUP(CONCATENATE('Respuestas de formulario 1.1'!$B194,MID('Respuestas de formulario 1.1'!EI$1,2,1)),#REF!,12,0),"")</f>
        <v/>
      </c>
      <c r="EJ194" s="45" t="str">
        <f t="array" ref="EJ194">IF(DO194="","", INDEX(#REF!,MATCH(CONCATENATE('Respuestas de formulario 1.1'!$B194,DO194),#REF!,0),MATCH('Respuestas de formulario 1.1'!EJ$1,#REF!,0)))</f>
        <v/>
      </c>
      <c r="EK194" s="56" t="str">
        <f t="array" ref="EK194">IF(DP194="","", INDEX(#REF!,MATCH(CONCATENATE('Respuestas de formulario 1.1'!$B194,DP194),#REF!,0),MATCH('Respuestas de formulario 1.1'!EK$1,#REF!,0)))</f>
        <v/>
      </c>
      <c r="EL194" s="56" t="str">
        <f t="array" ref="EL194">IF(DQ194="","", INDEX(#REF!,MATCH(CONCATENATE('Respuestas de formulario 1.1'!$B194,DQ194),#REF!,0),MATCH('Respuestas de formulario 1.1'!EL$1,#REF!,0)))</f>
        <v/>
      </c>
      <c r="EM194" s="56" t="str">
        <f t="array" ref="EM194">IF(DR194="","", INDEX(#REF!,MATCH(CONCATENATE('Respuestas de formulario 1.1'!$B194,DR194),#REF!,0),MATCH('Respuestas de formulario 1.1'!EM$1,#REF!,0)))</f>
        <v/>
      </c>
      <c r="EN194" s="56" t="str">
        <f t="array" ref="EN194">IF(DS194="","", INDEX(#REF!,MATCH(CONCATENATE('Respuestas de formulario 1.1'!$B194,DS194),#REF!,0),MATCH('Respuestas de formulario 1.1'!EN$1,#REF!,0)))</f>
        <v/>
      </c>
      <c r="EO194" s="56" t="str">
        <f t="array" ref="EO194">IF(DT194="","", INDEX(#REF!,MATCH(CONCATENATE('Respuestas de formulario 1.1'!$B194,DT194),#REF!,0),MATCH('Respuestas de formulario 1.1'!EO$1,#REF!,0)))</f>
        <v/>
      </c>
      <c r="EP194" s="45" t="str">
        <f t="array" ref="EP194">IF(DU194="","", INDEX(#REF!,MATCH(CONCATENATE('Respuestas de formulario 1.1'!$B194,DU194),#REF!,0),MATCH('Respuestas de formulario 1.1'!EP$1,#REF!,0)))</f>
        <v/>
      </c>
      <c r="EQ194" s="45" t="str">
        <f t="array" ref="EQ194">IF(DP194="","", INDEX(#REF!,MATCH(CONCATENATE('Respuestas de formulario 1.1'!$B194,DP194),#REF!,0),MATCH('Respuestas de formulario 1.1'!EQ$1,#REF!,0)))</f>
        <v/>
      </c>
      <c r="ER194" s="56" t="str">
        <f t="array" ref="ER194">IF(DQ194="","", INDEX(#REF!,MATCH(CONCATENATE('Respuestas de formulario 1.1'!$B194,DQ194),#REF!,0),MATCH('Respuestas de formulario 1.1'!ER$1,#REF!,0)))</f>
        <v/>
      </c>
      <c r="ES194" s="56" t="str">
        <f t="array" ref="ES194">IF(DR194="","", INDEX(#REF!,MATCH(CONCATENATE('Respuestas de formulario 1.1'!$B194,DR194),#REF!,0),MATCH('Respuestas de formulario 1.1'!ES$1,#REF!,0)))</f>
        <v/>
      </c>
      <c r="ET194" s="56" t="str">
        <f t="array" ref="ET194">IF(DS194="","", INDEX(#REF!,MATCH(CONCATENATE('Respuestas de formulario 1.1'!$B194,DS194),#REF!,0),MATCH('Respuestas de formulario 1.1'!ET$1,#REF!,0)))</f>
        <v/>
      </c>
      <c r="EU194" s="56" t="str">
        <f t="array" ref="EU194">IF(DT194="","", INDEX(#REF!,MATCH(CONCATENATE('Respuestas de formulario 1.1'!$B194,DT194),#REF!,0),MATCH('Respuestas de formulario 1.1'!EU$1,#REF!,0)))</f>
        <v/>
      </c>
      <c r="EV194" s="56" t="str">
        <f t="array" ref="EV194">IF(DU194="","", INDEX(#REF!,MATCH(CONCATENATE('Respuestas de formulario 1.1'!$B194,DU194),#REF!,0),MATCH('Respuestas de formulario 1.1'!EV$1,#REF!,0)))</f>
        <v/>
      </c>
      <c r="EW194" s="45" t="str">
        <f t="array" ref="EW194">IF(DV194="","", INDEX(#REF!,MATCH(CONCATENATE('Respuestas de formulario 1.1'!$B194,DV194),#REF!,0),MATCH('Respuestas de formulario 1.1'!EW$1,#REF!,0)))</f>
        <v/>
      </c>
      <c r="EX194" s="45" t="str">
        <f t="array" ref="EX194">IF($DQ194="","", INDEX(#REF!,MATCH(CONCATENATE('Respuestas de formulario 1.1'!$B194,$DQ194),#REF!,0),MATCH('Respuestas de formulario 1.1'!EX$1,#REF!,0)))</f>
        <v/>
      </c>
      <c r="EY194" s="56" t="str">
        <f t="array" ref="EY194">IF($DQ194="","", INDEX(#REF!,MATCH(CONCATENATE('Respuestas de formulario 1.1'!$B194,$DQ194),#REF!,0),MATCH('Respuestas de formulario 1.1'!EY$1,#REF!,0)))</f>
        <v/>
      </c>
      <c r="EZ194" s="56" t="str">
        <f t="array" ref="EZ194">IF($DQ194="","", INDEX(#REF!,MATCH(CONCATENATE('Respuestas de formulario 1.1'!$B194,$DQ194),#REF!,0),MATCH('Respuestas de formulario 1.1'!EZ$1,#REF!,0)))</f>
        <v/>
      </c>
      <c r="FA194" s="56" t="str">
        <f t="array" ref="FA194">IF($DQ194="","", INDEX(#REF!,MATCH(CONCATENATE('Respuestas de formulario 1.1'!$B194,$DQ194),#REF!,0),MATCH('Respuestas de formulario 1.1'!FA$1,#REF!,0)))</f>
        <v/>
      </c>
      <c r="FB194" s="56" t="str">
        <f t="array" ref="FB194">IF($DQ194="","", INDEX(#REF!,MATCH(CONCATENATE('Respuestas de formulario 1.1'!$B194,$DQ194),#REF!,0),MATCH('Respuestas de formulario 1.1'!FB$1,#REF!,0)))</f>
        <v/>
      </c>
      <c r="FC194" s="56" t="str">
        <f t="array" ref="FC194">IF($DQ194="","", INDEX(#REF!,MATCH(CONCATENATE('Respuestas de formulario 1.1'!$B194,$DQ194),#REF!,0),MATCH('Respuestas de formulario 1.1'!FC$1,#REF!,0)))</f>
        <v/>
      </c>
      <c r="FD194" s="45" t="str">
        <f t="array" ref="FD194">IF($DQ194="","", INDEX(#REF!,MATCH(CONCATENATE('Respuestas de formulario 1.1'!$B194,$DQ194),#REF!,0),MATCH('Respuestas de formulario 1.1'!FD$1,#REF!,0)))</f>
        <v/>
      </c>
      <c r="FE194" s="45" t="str">
        <f t="array" ref="FE194">IF($DR194="","", INDEX(#REF!,MATCH(CONCATENATE(#REF!,$DR194),#REF!,0),MATCH(#REF!,#REF!,0)))</f>
        <v/>
      </c>
      <c r="FF194" s="56" t="str">
        <f t="array" ref="FF194">IF($DR194="","", INDEX(#REF!,MATCH(CONCATENATE(#REF!,$DR194),#REF!,0),MATCH(#REF!,#REF!,0)))</f>
        <v/>
      </c>
      <c r="FG194" s="56" t="str">
        <f t="array" ref="FG194">IF($DR194="","", INDEX(#REF!,MATCH(CONCATENATE(#REF!,$DR194),#REF!,0),MATCH(#REF!,#REF!,0)))</f>
        <v/>
      </c>
      <c r="FH194" s="56" t="str">
        <f t="array" ref="FH194">IF($DR194="","", INDEX(#REF!,MATCH(CONCATENATE(#REF!,$DR194),#REF!,0),MATCH(#REF!,#REF!,0)))</f>
        <v/>
      </c>
      <c r="FI194" s="56" t="str">
        <f t="array" ref="FI194">IF($DR194="","", INDEX(#REF!,MATCH(CONCATENATE(#REF!,$DR194),#REF!,0),MATCH(#REF!,#REF!,0)))</f>
        <v/>
      </c>
      <c r="FJ194" s="56" t="str">
        <f t="array" ref="FJ194">IF($DR194="","", INDEX(#REF!,MATCH(CONCATENATE(#REF!,$DR194),#REF!,0),MATCH(#REF!,#REF!,0)))</f>
        <v/>
      </c>
      <c r="FK194" s="45" t="str">
        <f t="array" ref="FK194">IF($DR194="","", INDEX(#REF!,MATCH(CONCATENATE(#REF!,$DR194),#REF!,0),MATCH(#REF!,#REF!,0)))</f>
        <v/>
      </c>
      <c r="FL194" s="45" t="str">
        <f t="array" ref="FL194">IF($DT194="","", INDEX(#REF!,MATCH(CONCATENATE('Respuestas de formulario 1.1'!$B194,$DS194),#REF!,0),MATCH('Respuestas de formulario 1.1'!FL$1,#REF!,0)))</f>
        <v/>
      </c>
      <c r="FM194" s="56" t="str">
        <f t="array" ref="FM194">IF($DT194="","", INDEX(#REF!,MATCH(CONCATENATE('Respuestas de formulario 1.1'!$B194,$DS194),#REF!,0),MATCH('Respuestas de formulario 1.1'!FM$1,#REF!,0)))</f>
        <v/>
      </c>
      <c r="FN194" s="56" t="str">
        <f t="array" ref="FN194">IF($DT194="","", INDEX(#REF!,MATCH(CONCATENATE('Respuestas de formulario 1.1'!$B194,$DS194),#REF!,0),MATCH('Respuestas de formulario 1.1'!FN$1,#REF!,0)))</f>
        <v/>
      </c>
      <c r="FO194" s="56" t="str">
        <f t="array" ref="FO194">IF($DT194="","", INDEX(#REF!,MATCH(CONCATENATE('Respuestas de formulario 1.1'!$B194,$DS194),#REF!,0),MATCH('Respuestas de formulario 1.1'!FO$1,#REF!,0)))</f>
        <v/>
      </c>
      <c r="FP194" s="56" t="str">
        <f t="array" ref="FP194">IF($DT194="","", INDEX(#REF!,MATCH(CONCATENATE('Respuestas de formulario 1.1'!$B194,$DS194),#REF!,0),MATCH('Respuestas de formulario 1.1'!FP$1,#REF!,0)))</f>
        <v/>
      </c>
      <c r="FQ194" s="56" t="str">
        <f t="array" ref="FQ194">IF($DT194="","", INDEX(#REF!,MATCH(CONCATENATE('Respuestas de formulario 1.1'!$B194,$DS194),#REF!,0),MATCH('Respuestas de formulario 1.1'!FQ$1,#REF!,0)))</f>
        <v/>
      </c>
      <c r="FR194" s="45" t="str">
        <f t="array" ref="FR194">IF($DT194="","", INDEX(#REF!,MATCH(CONCATENATE('Respuestas de formulario 1.1'!$B194,$DS194),#REF!,0),MATCH('Respuestas de formulario 1.1'!FR$1,#REF!,0)))</f>
        <v/>
      </c>
      <c r="FS194" s="45" t="str">
        <f t="array" ref="FS194">IF($DU194="","", INDEX(#REF!,MATCH(CONCATENATE('Respuestas de formulario 1.1'!$B194,$DT194),#REF!,0),MATCH('Respuestas de formulario 1.1'!FS$1,#REF!,0)))</f>
        <v/>
      </c>
      <c r="FT194" s="56" t="str">
        <f t="array" ref="FT194">IF($DU194="","", INDEX(#REF!,MATCH(CONCATENATE('Respuestas de formulario 1.1'!$B194,$DT194),#REF!,0),MATCH('Respuestas de formulario 1.1'!FT$1,#REF!,0)))</f>
        <v/>
      </c>
      <c r="FU194" s="56" t="str">
        <f t="array" ref="FU194">IF($DU194="","", INDEX(#REF!,MATCH(CONCATENATE('Respuestas de formulario 1.1'!$B194,$DT194),#REF!,0),MATCH('Respuestas de formulario 1.1'!FU$1,#REF!,0)))</f>
        <v/>
      </c>
      <c r="FV194" s="56" t="str">
        <f t="array" ref="FV194">IF($DU194="","", INDEX(#REF!,MATCH(CONCATENATE('Respuestas de formulario 1.1'!$B194,$DT194),#REF!,0),MATCH('Respuestas de formulario 1.1'!FV$1,#REF!,0)))</f>
        <v/>
      </c>
      <c r="FW194" s="56" t="str">
        <f t="array" ref="FW194">IF($DU194="","", INDEX(#REF!,MATCH(CONCATENATE('Respuestas de formulario 1.1'!$B194,$DT194),#REF!,0),MATCH('Respuestas de formulario 1.1'!FW$1,#REF!,0)))</f>
        <v/>
      </c>
      <c r="FX194" s="56" t="str">
        <f t="array" ref="FX194">IF($DU194="","", INDEX(#REF!,MATCH(CONCATENATE('Respuestas de formulario 1.1'!$B194,$DT194),#REF!,0),MATCH('Respuestas de formulario 1.1'!FX$1,#REF!,0)))</f>
        <v/>
      </c>
      <c r="FY194" s="45" t="str">
        <f t="array" ref="FY194">IF($DU194="","", INDEX(#REF!,MATCH(CONCATENATE('Respuestas de formulario 1.1'!$B194,$DT194),#REF!,0),MATCH('Respuestas de formulario 1.1'!FY$1,#REF!,0)))</f>
        <v/>
      </c>
      <c r="FZ194" s="3" t="s">
        <v>2860</v>
      </c>
      <c r="GA194" s="1" t="s">
        <v>6166</v>
      </c>
      <c r="GB194" s="5" t="s">
        <v>6167</v>
      </c>
      <c r="GC194" s="4" t="str">
        <f>HYPERLINK("https://drive.google.com/file/d/1jtgNkVHU6KFzJkHdtNwWcePwOtmE5zAN/view?usp=drivesdk","HERNANDEZ  CORTES GUADALUPE YARELI  Formato de reinscripción y pago 2022-2")</f>
        <v>HERNANDEZ  CORTES GUADALUPE YARELI  Formato de reinscripción y pago 2022-2</v>
      </c>
      <c r="GD194" s="1" t="s">
        <v>6168</v>
      </c>
      <c r="GE194" s="1"/>
      <c r="GF194" s="1"/>
      <c r="GG194" s="1"/>
      <c r="GH194" s="1"/>
      <c r="GI194" s="1" t="s">
        <v>6169</v>
      </c>
      <c r="GJ194" s="5" t="s">
        <v>6170</v>
      </c>
      <c r="GK194" s="5" t="str">
        <f>HYPERLINK("https://drive.google.com/file/d/1bF02XuVJtpK25WMY3OBQOWw0yvda_ht0/view?usp=drivesdk","HERNANDEZ  CORTES GUADALUPE YARELI  Formato de reinscripción y pago 2022-2")</f>
        <v>HERNANDEZ  CORTES GUADALUPE YARELI  Formato de reinscripción y pago 2022-2</v>
      </c>
      <c r="GL194" s="1" t="s">
        <v>6171</v>
      </c>
    </row>
    <row r="195" spans="1:194" ht="14.25" x14ac:dyDescent="0.2">
      <c r="A195" s="2">
        <v>45139.50126016204</v>
      </c>
      <c r="B195" s="1" t="s">
        <v>40</v>
      </c>
      <c r="C195" s="1" t="s">
        <v>742</v>
      </c>
      <c r="D195" s="1" t="s">
        <v>6172</v>
      </c>
      <c r="E195" s="1" t="s">
        <v>1103</v>
      </c>
      <c r="F195" s="1" t="s">
        <v>223</v>
      </c>
      <c r="G195" s="5" t="s">
        <v>6173</v>
      </c>
      <c r="H195" s="41">
        <v>39311</v>
      </c>
      <c r="I195" s="1">
        <v>15</v>
      </c>
      <c r="J195" s="1">
        <v>5517604082</v>
      </c>
      <c r="K195" s="1">
        <v>5592593789</v>
      </c>
      <c r="L195" s="1" t="s">
        <v>6174</v>
      </c>
      <c r="M195" s="1">
        <v>22309060570702</v>
      </c>
      <c r="N195" s="1" t="s">
        <v>562</v>
      </c>
      <c r="O195" s="1" t="s">
        <v>247</v>
      </c>
      <c r="P195" s="1" t="s">
        <v>278</v>
      </c>
      <c r="Q195" s="1" t="s">
        <v>227</v>
      </c>
      <c r="R195" s="1" t="s">
        <v>236</v>
      </c>
      <c r="S195" s="1" t="s">
        <v>228</v>
      </c>
      <c r="T195" s="1" t="s">
        <v>229</v>
      </c>
      <c r="U195" s="1" t="s">
        <v>434</v>
      </c>
      <c r="V195" s="1" t="s">
        <v>228</v>
      </c>
      <c r="W195" s="1" t="s">
        <v>6175</v>
      </c>
      <c r="X195" s="1" t="s">
        <v>434</v>
      </c>
      <c r="Y195" s="1" t="s">
        <v>6176</v>
      </c>
      <c r="Z195" s="1" t="s">
        <v>231</v>
      </c>
      <c r="AA195" s="1">
        <v>56614</v>
      </c>
      <c r="AB195" s="1">
        <v>17</v>
      </c>
      <c r="AC195" s="1">
        <v>23</v>
      </c>
      <c r="AD195" s="1" t="s">
        <v>6177</v>
      </c>
      <c r="AE195" s="1" t="s">
        <v>6178</v>
      </c>
      <c r="AF195" s="1" t="s">
        <v>488</v>
      </c>
      <c r="AG195" s="1">
        <v>32</v>
      </c>
      <c r="AH195" s="5" t="s">
        <v>6179</v>
      </c>
      <c r="AI195" s="1">
        <v>5572841569</v>
      </c>
      <c r="AJ195" s="1">
        <v>5592593789</v>
      </c>
      <c r="AK195" s="1" t="s">
        <v>1104</v>
      </c>
      <c r="AL195" s="1" t="s">
        <v>1102</v>
      </c>
      <c r="AM195" s="1" t="s">
        <v>759</v>
      </c>
      <c r="AN195" s="1" t="s">
        <v>1105</v>
      </c>
      <c r="AO195" s="1" t="s">
        <v>445</v>
      </c>
      <c r="AP195" s="1">
        <v>55</v>
      </c>
      <c r="AQ195" s="1" t="s">
        <v>233</v>
      </c>
      <c r="AR195" s="42">
        <v>0.33333333333575865</v>
      </c>
      <c r="AS195" s="42">
        <v>0.33333333333575865</v>
      </c>
      <c r="AT195" s="1">
        <v>5619480419</v>
      </c>
      <c r="AU195" s="1">
        <v>5592593789</v>
      </c>
      <c r="AV195" s="1" t="s">
        <v>1106</v>
      </c>
      <c r="AW195" s="5" t="s">
        <v>6180</v>
      </c>
      <c r="AX195" s="1" t="s">
        <v>742</v>
      </c>
      <c r="AY195" s="1" t="s">
        <v>6172</v>
      </c>
      <c r="AZ195" s="1" t="s">
        <v>6181</v>
      </c>
      <c r="BA195" s="1" t="s">
        <v>488</v>
      </c>
      <c r="BB195" s="1">
        <v>35</v>
      </c>
      <c r="BC195" s="1" t="s">
        <v>362</v>
      </c>
      <c r="BD195" s="43">
        <v>4.1666666664241347E-2</v>
      </c>
      <c r="BE195" s="43">
        <v>0.375</v>
      </c>
      <c r="BF195" s="1">
        <v>5550511697</v>
      </c>
      <c r="BG195" s="1">
        <v>5592593789</v>
      </c>
      <c r="BH195" s="1" t="s">
        <v>6182</v>
      </c>
      <c r="BI195" s="5" t="s">
        <v>6183</v>
      </c>
      <c r="BJ195" s="1" t="s">
        <v>236</v>
      </c>
      <c r="BL195" s="1">
        <v>150</v>
      </c>
      <c r="BM195" s="1">
        <v>60</v>
      </c>
      <c r="BN195" s="1" t="s">
        <v>236</v>
      </c>
      <c r="BO195" s="1" t="s">
        <v>228</v>
      </c>
      <c r="BQ195" s="1" t="s">
        <v>236</v>
      </c>
      <c r="BR195" s="1" t="s">
        <v>348</v>
      </c>
      <c r="BS195" s="1" t="s">
        <v>228</v>
      </c>
      <c r="BT195" s="1" t="s">
        <v>237</v>
      </c>
      <c r="BU195" s="1" t="s">
        <v>228</v>
      </c>
      <c r="BW195" s="1" t="s">
        <v>238</v>
      </c>
      <c r="BX195" s="1">
        <v>120</v>
      </c>
      <c r="BY195" s="1">
        <v>500</v>
      </c>
      <c r="BZ195" s="1" t="s">
        <v>298</v>
      </c>
      <c r="CA195" s="1" t="s">
        <v>343</v>
      </c>
      <c r="CB195" s="1" t="s">
        <v>240</v>
      </c>
      <c r="CC195" s="1" t="s">
        <v>300</v>
      </c>
      <c r="CD195" s="1">
        <v>2000</v>
      </c>
      <c r="CE195" s="1">
        <v>2000</v>
      </c>
      <c r="CF195" s="1" t="s">
        <v>236</v>
      </c>
      <c r="CG195" s="1" t="s">
        <v>242</v>
      </c>
      <c r="CH195" s="1" t="s">
        <v>243</v>
      </c>
      <c r="CI195" s="1" t="s">
        <v>243</v>
      </c>
      <c r="CJ195" s="1" t="s">
        <v>2848</v>
      </c>
      <c r="CL195" s="5" t="s">
        <v>6184</v>
      </c>
      <c r="CM195" s="1">
        <v>15220729451</v>
      </c>
      <c r="CN195" s="1" t="s">
        <v>228</v>
      </c>
      <c r="CQ195" s="42">
        <v>0.33333333333575865</v>
      </c>
      <c r="CR195" s="42">
        <v>0.33333333333575865</v>
      </c>
      <c r="CT195" s="45" t="str">
        <f t="array" ref="CT195">IFERROR(INDEX(#REF!,MATCH('Respuestas de formulario 1.1'!$B195,#REF!,0),MATCH('Respuestas de formulario 1.1'!CT$1,#REF!,0)),"")</f>
        <v/>
      </c>
      <c r="CU195" s="56" t="str">
        <f t="array" ref="CU195">IFERROR(INDEX(#REF!,MATCH('Respuestas de formulario 1.1'!$B195,#REF!,0),MATCH('Respuestas de formulario 1.1'!CU$1,#REF!,0)),"")</f>
        <v/>
      </c>
      <c r="CV195" s="56" t="str">
        <f t="array" ref="CV195">IFERROR(INDEX(#REF!,MATCH('Respuestas de formulario 1.1'!$B195,#REF!,0),MATCH('Respuestas de formulario 1.1'!CV$1,#REF!,0)),"")</f>
        <v/>
      </c>
      <c r="CW195" s="56" t="str">
        <f t="array" ref="CW195">IFERROR(INDEX(#REF!,MATCH('Respuestas de formulario 1.1'!$B195,#REF!,0),MATCH('Respuestas de formulario 1.1'!CW$1,#REF!,0)),"")</f>
        <v/>
      </c>
      <c r="CX195" s="56" t="str">
        <f t="array" ref="CX195">IFERROR(INDEX(#REF!,MATCH('Respuestas de formulario 1.1'!$B195,#REF!,0),MATCH('Respuestas de formulario 1.1'!CX$1,#REF!,0)),"")</f>
        <v/>
      </c>
      <c r="CY195" s="56" t="str">
        <f t="array" ref="CY195">IFERROR(INDEX(#REF!,MATCH('Respuestas de formulario 1.1'!$B195,#REF!,0),MATCH('Respuestas de formulario 1.1'!CY$1,#REF!,0)),"")</f>
        <v/>
      </c>
      <c r="CZ195" s="57" t="str">
        <f t="array" ref="CZ195">IFERROR(INDEX(#REF!,MATCH('Respuestas de formulario 1.1'!$B195,#REF!,0),MATCH('Respuestas de formulario 1.1'!CZ$1,#REF!,0)),"")</f>
        <v/>
      </c>
      <c r="DA195" s="45" t="e">
        <f t="array" ref="DA195">INDEX(#REF!,MATCH('Respuestas de formulario 1.1'!$B195,#REF!,0),MATCH('Respuestas de formulario 1.1'!DA$1,#REF!,0))</f>
        <v>#REF!</v>
      </c>
      <c r="DB195" s="45" t="e">
        <f t="array" ref="DB195">INDEX(#REF!,MATCH('Respuestas de formulario 1.1'!$B195,#REF!,0),MATCH('Respuestas de formulario 1.1'!DB$1,#REF!,0))</f>
        <v>#REF!</v>
      </c>
      <c r="DC195" s="45" t="e">
        <f t="array" ref="DC195">INDEX(#REF!,MATCH('Respuestas de formulario 1.1'!$B195,#REF!,0),MATCH('Respuestas de formulario 1.1'!DC$1,#REF!,0))</f>
        <v>#REF!</v>
      </c>
      <c r="DD195" s="45" t="e">
        <f t="array" ref="DD195">INDEX(#REF!,MATCH('Respuestas de formulario 1.1'!$B195,#REF!,0),MATCH('Respuestas de formulario 1.1'!DD$1,#REF!,0))</f>
        <v>#REF!</v>
      </c>
      <c r="DE195" s="45" t="e">
        <f t="array" ref="DE195">INDEX(#REF!,MATCH('Respuestas de formulario 1.1'!$B195,#REF!,0),MATCH('Respuestas de formulario 1.1'!DE$1,#REF!,0))</f>
        <v>#REF!</v>
      </c>
      <c r="DF195" s="45" t="e">
        <f t="array" ref="DF195">INDEX(#REF!,MATCH('Respuestas de formulario 1.1'!$B195,#REF!,0),MATCH('Respuestas de formulario 1.1'!DF$1,#REF!,0))</f>
        <v>#REF!</v>
      </c>
      <c r="DG195" s="45" t="e">
        <f t="array" ref="DG195">INDEX(#REF!,MATCH('Respuestas de formulario 1.1'!$B195,#REF!,0),MATCH('Respuestas de formulario 1.1'!DG$1,#REF!,0))</f>
        <v>#REF!</v>
      </c>
      <c r="DH195" s="45" t="e">
        <f t="array" ref="DH195">INDEX(#REF!,MATCH('Respuestas de formulario 1.1'!$B195,#REF!,0),MATCH('Respuestas de formulario 1.1'!DH$1,#REF!,0))</f>
        <v>#REF!</v>
      </c>
      <c r="DI195" s="48" t="e">
        <f>VLOOKUP(CONCATENATE($DF195," TUTO ",$DC195),#REF!,3,0)</f>
        <v>#REF!</v>
      </c>
      <c r="DJ195" s="48" t="e">
        <f t="array" ref="DJ195">IF('Respuestas de formulario 1.1'!A195="","",INDEX(#REF!,MATCH('Respuestas de formulario 1.1'!B195,#REF!,0),MATCH('Respuestas de formulario 1.1'!$DH$1,#REF!,0)))</f>
        <v>#REF!</v>
      </c>
      <c r="DK195" s="52" t="str">
        <f>CONCATENATE("http://doc.google.com/uc?id=",MID('Respuestas de formulario 1.1'!G195,34,33))</f>
        <v>http://doc.google.com/uc?id=10RP9M0pHXl2vf5HGzoa8uPQTYsqg4tF2</v>
      </c>
      <c r="DL195" s="49" t="str">
        <f>CONCATENATE("http://doc.google.com/uc?id=",MID('Respuestas de formulario 1.1'!AH195,34,33))</f>
        <v>http://doc.google.com/uc?id=1pVCKwCg3p030eoFNHTDs7I51QQsqhJl-</v>
      </c>
      <c r="DM195" s="50" t="str">
        <f>CONCATENATE("http://doc.google.com/uc?id=",MID('Respuestas de formulario 1.1'!AW195,34,33))</f>
        <v>http://doc.google.com/uc?id=1-BoxIEYw5z4FtbmXMWlRCp9hjQq0LBUT</v>
      </c>
      <c r="DN195" s="53" t="str">
        <f>CONCATENATE("http://doc.google.com/uc?id=",MID('Respuestas de formulario 1.1'!$BI195,34,33))</f>
        <v>http://doc.google.com/uc?id=1o3YLiop0VfhHj6MWfEhxH4jZFbww7Leh</v>
      </c>
      <c r="DO195" s="45" t="str">
        <f>IFERROR(VLOOKUP(CONCATENATE('Respuestas de formulario 1.1'!$B195,MID('Respuestas de formulario 1.1'!DO$1,2,1)),#REF!,12,0),"")</f>
        <v/>
      </c>
      <c r="DP195" s="45" t="str">
        <f>IFERROR(VLOOKUP(CONCATENATE('Respuestas de formulario 1.1'!$B195,MID('Respuestas de formulario 1.1'!DP$1,2,1)),#REF!,12,0),"")</f>
        <v/>
      </c>
      <c r="DQ195" s="45" t="str">
        <f>IFERROR(VLOOKUP(CONCATENATE('Respuestas de formulario 1.1'!$B195,MID('Respuestas de formulario 1.1'!DQ$1,2,1)),#REF!,12,0),"")</f>
        <v/>
      </c>
      <c r="DR195" s="45" t="str">
        <f>IFERROR(VLOOKUP(CONCATENATE('Respuestas de formulario 1.1'!$B195,MID('Respuestas de formulario 1.1'!DR$1,2,1)),#REF!,12,0),"")</f>
        <v/>
      </c>
      <c r="DS195" s="45" t="str">
        <f>IFERROR(VLOOKUP(CONCATENATE('Respuestas de formulario 1.1'!$B195,MID('Respuestas de formulario 1.1'!DS$1,2,1)),#REF!,12,0),"")</f>
        <v/>
      </c>
      <c r="DT195" s="45" t="str">
        <f>IFERROR(VLOOKUP(CONCATENATE('Respuestas de formulario 1.1'!$B195,MID('Respuestas de formulario 1.1'!DT$1,2,1)),#REF!,12,0),"")</f>
        <v/>
      </c>
      <c r="DU195" s="45" t="str">
        <f>IFERROR(VLOOKUP(CONCATENATE('Respuestas de formulario 1.1'!$B195,MID('Respuestas de formulario 1.1'!DU$1,2,1)),#REF!,12,0),"")</f>
        <v/>
      </c>
      <c r="DV195" s="45" t="str">
        <f>IFERROR(VLOOKUP(CONCATENATE('Respuestas de formulario 1.1'!$B195,MID('Respuestas de formulario 1.1'!DV$1,2,1)),#REF!,12,0),"")</f>
        <v/>
      </c>
      <c r="DW195" s="45" t="str">
        <f>IFERROR(VLOOKUP(CONCATENATE('Respuestas de formulario 1.1'!$B195,MID('Respuestas de formulario 1.1'!DW$1,2,1)),#REF!,12,0),"")</f>
        <v/>
      </c>
      <c r="DX195" s="45" t="str">
        <f>IFERROR(VLOOKUP(CONCATENATE('Respuestas de formulario 1.1'!$B195,MID('Respuestas de formulario 1.1'!DX$1,2,1)),#REF!,12,0),"")</f>
        <v/>
      </c>
      <c r="DY195" s="45" t="str">
        <f>IFERROR(VLOOKUP(CONCATENATE('Respuestas de formulario 1.1'!$B195,MID('Respuestas de formulario 1.1'!DY$1,2,1)),#REF!,12,0),"")</f>
        <v/>
      </c>
      <c r="DZ195" s="45" t="str">
        <f>IFERROR(VLOOKUP(CONCATENATE('Respuestas de formulario 1.1'!$B195,MID('Respuestas de formulario 1.1'!DZ$1,2,1)),#REF!,12,0),"")</f>
        <v/>
      </c>
      <c r="EA195" s="45" t="str">
        <f>IFERROR(VLOOKUP(CONCATENATE('Respuestas de formulario 1.1'!$B195,MID('Respuestas de formulario 1.1'!EA$1,2,1)),#REF!,12,0),"")</f>
        <v/>
      </c>
      <c r="EB195" s="45" t="str">
        <f>IFERROR(VLOOKUP(CONCATENATE('Respuestas de formulario 1.1'!$B195,MID('Respuestas de formulario 1.1'!EB$1,2,1)),#REF!,12,0),"")</f>
        <v/>
      </c>
      <c r="EC195" s="45" t="str">
        <f>IFERROR(VLOOKUP(CONCATENATE('Respuestas de formulario 1.1'!$B195,MID('Respuestas de formulario 1.1'!EC$1,2,1)),#REF!,12,0),"")</f>
        <v/>
      </c>
      <c r="ED195" s="45" t="str">
        <f>IFERROR(VLOOKUP(CONCATENATE('Respuestas de formulario 1.1'!$B195,MID('Respuestas de formulario 1.1'!ED$1,2,1)),#REF!,12,0),"")</f>
        <v/>
      </c>
      <c r="EE195" s="45" t="str">
        <f>IFERROR(VLOOKUP(CONCATENATE('Respuestas de formulario 1.1'!$B195,MID('Respuestas de formulario 1.1'!EE$1,2,1)),#REF!,12,0),"")</f>
        <v/>
      </c>
      <c r="EF195" s="45" t="str">
        <f>IFERROR(VLOOKUP(CONCATENATE('Respuestas de formulario 1.1'!$B195,MID('Respuestas de formulario 1.1'!EF$1,2,1)),#REF!,12,0),"")</f>
        <v/>
      </c>
      <c r="EG195" s="45" t="str">
        <f>IFERROR(VLOOKUP(CONCATENATE('Respuestas de formulario 1.1'!$B195,MID('Respuestas de formulario 1.1'!EG$1,2,1)),#REF!,12,0),"")</f>
        <v/>
      </c>
      <c r="EH195" s="45" t="str">
        <f>IFERROR(VLOOKUP(CONCATENATE('Respuestas de formulario 1.1'!$B195,MID('Respuestas de formulario 1.1'!EH$1,2,1)),#REF!,12,0),"")</f>
        <v/>
      </c>
      <c r="EI195" s="45" t="str">
        <f>IFERROR(VLOOKUP(CONCATENATE('Respuestas de formulario 1.1'!$B195,MID('Respuestas de formulario 1.1'!EI$1,2,1)),#REF!,12,0),"")</f>
        <v/>
      </c>
      <c r="EJ195" s="45" t="str">
        <f t="array" ref="EJ195">IF(DO195="","", INDEX(#REF!,MATCH(CONCATENATE('Respuestas de formulario 1.1'!$B195,DO195),#REF!,0),MATCH('Respuestas de formulario 1.1'!EJ$1,#REF!,0)))</f>
        <v/>
      </c>
      <c r="EK195" s="56" t="str">
        <f t="array" ref="EK195">IF(DP195="","", INDEX(#REF!,MATCH(CONCATENATE('Respuestas de formulario 1.1'!$B195,DP195),#REF!,0),MATCH('Respuestas de formulario 1.1'!EK$1,#REF!,0)))</f>
        <v/>
      </c>
      <c r="EL195" s="56" t="str">
        <f t="array" ref="EL195">IF(DQ195="","", INDEX(#REF!,MATCH(CONCATENATE('Respuestas de formulario 1.1'!$B195,DQ195),#REF!,0),MATCH('Respuestas de formulario 1.1'!EL$1,#REF!,0)))</f>
        <v/>
      </c>
      <c r="EM195" s="56" t="str">
        <f t="array" ref="EM195">IF(DR195="","", INDEX(#REF!,MATCH(CONCATENATE('Respuestas de formulario 1.1'!$B195,DR195),#REF!,0),MATCH('Respuestas de formulario 1.1'!EM$1,#REF!,0)))</f>
        <v/>
      </c>
      <c r="EN195" s="56" t="str">
        <f t="array" ref="EN195">IF(DS195="","", INDEX(#REF!,MATCH(CONCATENATE('Respuestas de formulario 1.1'!$B195,DS195),#REF!,0),MATCH('Respuestas de formulario 1.1'!EN$1,#REF!,0)))</f>
        <v/>
      </c>
      <c r="EO195" s="56" t="str">
        <f t="array" ref="EO195">IF(DT195="","", INDEX(#REF!,MATCH(CONCATENATE('Respuestas de formulario 1.1'!$B195,DT195),#REF!,0),MATCH('Respuestas de formulario 1.1'!EO$1,#REF!,0)))</f>
        <v/>
      </c>
      <c r="EP195" s="45" t="str">
        <f t="array" ref="EP195">IF(DU195="","", INDEX(#REF!,MATCH(CONCATENATE('Respuestas de formulario 1.1'!$B195,DU195),#REF!,0),MATCH('Respuestas de formulario 1.1'!EP$1,#REF!,0)))</f>
        <v/>
      </c>
      <c r="EQ195" s="45" t="str">
        <f t="array" ref="EQ195">IF(DP195="","", INDEX(#REF!,MATCH(CONCATENATE('Respuestas de formulario 1.1'!$B195,DP195),#REF!,0),MATCH('Respuestas de formulario 1.1'!EQ$1,#REF!,0)))</f>
        <v/>
      </c>
      <c r="ER195" s="56" t="str">
        <f t="array" ref="ER195">IF(DQ195="","", INDEX(#REF!,MATCH(CONCATENATE('Respuestas de formulario 1.1'!$B195,DQ195),#REF!,0),MATCH('Respuestas de formulario 1.1'!ER$1,#REF!,0)))</f>
        <v/>
      </c>
      <c r="ES195" s="56" t="str">
        <f t="array" ref="ES195">IF(DR195="","", INDEX(#REF!,MATCH(CONCATENATE('Respuestas de formulario 1.1'!$B195,DR195),#REF!,0),MATCH('Respuestas de formulario 1.1'!ES$1,#REF!,0)))</f>
        <v/>
      </c>
      <c r="ET195" s="56" t="str">
        <f t="array" ref="ET195">IF(DS195="","", INDEX(#REF!,MATCH(CONCATENATE('Respuestas de formulario 1.1'!$B195,DS195),#REF!,0),MATCH('Respuestas de formulario 1.1'!ET$1,#REF!,0)))</f>
        <v/>
      </c>
      <c r="EU195" s="56" t="str">
        <f t="array" ref="EU195">IF(DT195="","", INDEX(#REF!,MATCH(CONCATENATE('Respuestas de formulario 1.1'!$B195,DT195),#REF!,0),MATCH('Respuestas de formulario 1.1'!EU$1,#REF!,0)))</f>
        <v/>
      </c>
      <c r="EV195" s="56" t="str">
        <f t="array" ref="EV195">IF(DU195="","", INDEX(#REF!,MATCH(CONCATENATE('Respuestas de formulario 1.1'!$B195,DU195),#REF!,0),MATCH('Respuestas de formulario 1.1'!EV$1,#REF!,0)))</f>
        <v/>
      </c>
      <c r="EW195" s="45" t="str">
        <f t="array" ref="EW195">IF(DV195="","", INDEX(#REF!,MATCH(CONCATENATE('Respuestas de formulario 1.1'!$B195,DV195),#REF!,0),MATCH('Respuestas de formulario 1.1'!EW$1,#REF!,0)))</f>
        <v/>
      </c>
      <c r="EX195" s="45" t="str">
        <f t="array" ref="EX195">IF($DQ195="","", INDEX(#REF!,MATCH(CONCATENATE('Respuestas de formulario 1.1'!$B195,$DQ195),#REF!,0),MATCH('Respuestas de formulario 1.1'!EX$1,#REF!,0)))</f>
        <v/>
      </c>
      <c r="EY195" s="56" t="str">
        <f t="array" ref="EY195">IF($DQ195="","", INDEX(#REF!,MATCH(CONCATENATE('Respuestas de formulario 1.1'!$B195,$DQ195),#REF!,0),MATCH('Respuestas de formulario 1.1'!EY$1,#REF!,0)))</f>
        <v/>
      </c>
      <c r="EZ195" s="56" t="str">
        <f t="array" ref="EZ195">IF($DQ195="","", INDEX(#REF!,MATCH(CONCATENATE('Respuestas de formulario 1.1'!$B195,$DQ195),#REF!,0),MATCH('Respuestas de formulario 1.1'!EZ$1,#REF!,0)))</f>
        <v/>
      </c>
      <c r="FA195" s="56" t="str">
        <f t="array" ref="FA195">IF($DQ195="","", INDEX(#REF!,MATCH(CONCATENATE('Respuestas de formulario 1.1'!$B195,$DQ195),#REF!,0),MATCH('Respuestas de formulario 1.1'!FA$1,#REF!,0)))</f>
        <v/>
      </c>
      <c r="FB195" s="56" t="str">
        <f t="array" ref="FB195">IF($DQ195="","", INDEX(#REF!,MATCH(CONCATENATE('Respuestas de formulario 1.1'!$B195,$DQ195),#REF!,0),MATCH('Respuestas de formulario 1.1'!FB$1,#REF!,0)))</f>
        <v/>
      </c>
      <c r="FC195" s="56" t="str">
        <f t="array" ref="FC195">IF($DQ195="","", INDEX(#REF!,MATCH(CONCATENATE('Respuestas de formulario 1.1'!$B195,$DQ195),#REF!,0),MATCH('Respuestas de formulario 1.1'!FC$1,#REF!,0)))</f>
        <v/>
      </c>
      <c r="FD195" s="45" t="str">
        <f t="array" ref="FD195">IF($DQ195="","", INDEX(#REF!,MATCH(CONCATENATE('Respuestas de formulario 1.1'!$B195,$DQ195),#REF!,0),MATCH('Respuestas de formulario 1.1'!FD$1,#REF!,0)))</f>
        <v/>
      </c>
      <c r="FE195" s="45" t="str">
        <f t="array" ref="FE195">IF($DR195="","", INDEX(#REF!,MATCH(CONCATENATE(#REF!,$DR195),#REF!,0),MATCH(#REF!,#REF!,0)))</f>
        <v/>
      </c>
      <c r="FF195" s="56" t="str">
        <f t="array" ref="FF195">IF($DR195="","", INDEX(#REF!,MATCH(CONCATENATE(#REF!,$DR195),#REF!,0),MATCH(#REF!,#REF!,0)))</f>
        <v/>
      </c>
      <c r="FG195" s="56" t="str">
        <f t="array" ref="FG195">IF($DR195="","", INDEX(#REF!,MATCH(CONCATENATE(#REF!,$DR195),#REF!,0),MATCH(#REF!,#REF!,0)))</f>
        <v/>
      </c>
      <c r="FH195" s="56" t="str">
        <f t="array" ref="FH195">IF($DR195="","", INDEX(#REF!,MATCH(CONCATENATE(#REF!,$DR195),#REF!,0),MATCH(#REF!,#REF!,0)))</f>
        <v/>
      </c>
      <c r="FI195" s="56" t="str">
        <f t="array" ref="FI195">IF($DR195="","", INDEX(#REF!,MATCH(CONCATENATE(#REF!,$DR195),#REF!,0),MATCH(#REF!,#REF!,0)))</f>
        <v/>
      </c>
      <c r="FJ195" s="56" t="str">
        <f t="array" ref="FJ195">IF($DR195="","", INDEX(#REF!,MATCH(CONCATENATE(#REF!,$DR195),#REF!,0),MATCH(#REF!,#REF!,0)))</f>
        <v/>
      </c>
      <c r="FK195" s="45" t="str">
        <f t="array" ref="FK195">IF($DR195="","", INDEX(#REF!,MATCH(CONCATENATE(#REF!,$DR195),#REF!,0),MATCH(#REF!,#REF!,0)))</f>
        <v/>
      </c>
      <c r="FL195" s="45" t="str">
        <f t="array" ref="FL195">IF($DT195="","", INDEX(#REF!,MATCH(CONCATENATE('Respuestas de formulario 1.1'!$B195,$DS195),#REF!,0),MATCH('Respuestas de formulario 1.1'!FL$1,#REF!,0)))</f>
        <v/>
      </c>
      <c r="FM195" s="56" t="str">
        <f t="array" ref="FM195">IF($DT195="","", INDEX(#REF!,MATCH(CONCATENATE('Respuestas de formulario 1.1'!$B195,$DS195),#REF!,0),MATCH('Respuestas de formulario 1.1'!FM$1,#REF!,0)))</f>
        <v/>
      </c>
      <c r="FN195" s="56" t="str">
        <f t="array" ref="FN195">IF($DT195="","", INDEX(#REF!,MATCH(CONCATENATE('Respuestas de formulario 1.1'!$B195,$DS195),#REF!,0),MATCH('Respuestas de formulario 1.1'!FN$1,#REF!,0)))</f>
        <v/>
      </c>
      <c r="FO195" s="56" t="str">
        <f t="array" ref="FO195">IF($DT195="","", INDEX(#REF!,MATCH(CONCATENATE('Respuestas de formulario 1.1'!$B195,$DS195),#REF!,0),MATCH('Respuestas de formulario 1.1'!FO$1,#REF!,0)))</f>
        <v/>
      </c>
      <c r="FP195" s="56" t="str">
        <f t="array" ref="FP195">IF($DT195="","", INDEX(#REF!,MATCH(CONCATENATE('Respuestas de formulario 1.1'!$B195,$DS195),#REF!,0),MATCH('Respuestas de formulario 1.1'!FP$1,#REF!,0)))</f>
        <v/>
      </c>
      <c r="FQ195" s="56" t="str">
        <f t="array" ref="FQ195">IF($DT195="","", INDEX(#REF!,MATCH(CONCATENATE('Respuestas de formulario 1.1'!$B195,$DS195),#REF!,0),MATCH('Respuestas de formulario 1.1'!FQ$1,#REF!,0)))</f>
        <v/>
      </c>
      <c r="FR195" s="45" t="str">
        <f t="array" ref="FR195">IF($DT195="","", INDEX(#REF!,MATCH(CONCATENATE('Respuestas de formulario 1.1'!$B195,$DS195),#REF!,0),MATCH('Respuestas de formulario 1.1'!FR$1,#REF!,0)))</f>
        <v/>
      </c>
      <c r="FS195" s="45" t="str">
        <f t="array" ref="FS195">IF($DU195="","", INDEX(#REF!,MATCH(CONCATENATE('Respuestas de formulario 1.1'!$B195,$DT195),#REF!,0),MATCH('Respuestas de formulario 1.1'!FS$1,#REF!,0)))</f>
        <v/>
      </c>
      <c r="FT195" s="56" t="str">
        <f t="array" ref="FT195">IF($DU195="","", INDEX(#REF!,MATCH(CONCATENATE('Respuestas de formulario 1.1'!$B195,$DT195),#REF!,0),MATCH('Respuestas de formulario 1.1'!FT$1,#REF!,0)))</f>
        <v/>
      </c>
      <c r="FU195" s="56" t="str">
        <f t="array" ref="FU195">IF($DU195="","", INDEX(#REF!,MATCH(CONCATENATE('Respuestas de formulario 1.1'!$B195,$DT195),#REF!,0),MATCH('Respuestas de formulario 1.1'!FU$1,#REF!,0)))</f>
        <v/>
      </c>
      <c r="FV195" s="56" t="str">
        <f t="array" ref="FV195">IF($DU195="","", INDEX(#REF!,MATCH(CONCATENATE('Respuestas de formulario 1.1'!$B195,$DT195),#REF!,0),MATCH('Respuestas de formulario 1.1'!FV$1,#REF!,0)))</f>
        <v/>
      </c>
      <c r="FW195" s="56" t="str">
        <f t="array" ref="FW195">IF($DU195="","", INDEX(#REF!,MATCH(CONCATENATE('Respuestas de formulario 1.1'!$B195,$DT195),#REF!,0),MATCH('Respuestas de formulario 1.1'!FW$1,#REF!,0)))</f>
        <v/>
      </c>
      <c r="FX195" s="56" t="str">
        <f t="array" ref="FX195">IF($DU195="","", INDEX(#REF!,MATCH(CONCATENATE('Respuestas de formulario 1.1'!$B195,$DT195),#REF!,0),MATCH('Respuestas de formulario 1.1'!FX$1,#REF!,0)))</f>
        <v/>
      </c>
      <c r="FY195" s="45" t="str">
        <f t="array" ref="FY195">IF($DU195="","", INDEX(#REF!,MATCH(CONCATENATE('Respuestas de formulario 1.1'!$B195,$DT195),#REF!,0),MATCH('Respuestas de formulario 1.1'!FY$1,#REF!,0)))</f>
        <v/>
      </c>
      <c r="GA195" s="1" t="s">
        <v>6185</v>
      </c>
      <c r="GB195" s="5" t="s">
        <v>6186</v>
      </c>
      <c r="GC195" s="4" t="str">
        <f>HYPERLINK("https://drive.google.com/file/d/18_kOI8eqFTV_43C7TLk_AvLKTBorpHsB/view?usp=drivesdk","RAMOS  ZOSAYAS GUADALUPE MICHELLE  Formato de reinscripción y pago 2022-2")</f>
        <v>RAMOS  ZOSAYAS GUADALUPE MICHELLE  Formato de reinscripción y pago 2022-2</v>
      </c>
      <c r="GD195" s="1" t="s">
        <v>6187</v>
      </c>
      <c r="GE195" s="1"/>
      <c r="GF195" s="1"/>
      <c r="GG195" s="1"/>
      <c r="GH195" s="1"/>
      <c r="GI195" s="1" t="s">
        <v>6188</v>
      </c>
      <c r="GJ195" s="5" t="s">
        <v>6189</v>
      </c>
      <c r="GK195" s="5" t="str">
        <f>HYPERLINK("https://drive.google.com/file/d/1iYQAo8PGCg47s0iwcxl-ZDNZB5s68h6n/view?usp=drivesdk","RAMOS  ZOSAYAS GUADALUPE MICHELLE  Formato de reinscripción y pago 2022-2")</f>
        <v>RAMOS  ZOSAYAS GUADALUPE MICHELLE  Formato de reinscripción y pago 2022-2</v>
      </c>
      <c r="GL195" s="1" t="s">
        <v>6190</v>
      </c>
    </row>
    <row r="196" spans="1:194" ht="38.25" x14ac:dyDescent="0.2">
      <c r="A196" s="2">
        <v>45139.502951516202</v>
      </c>
      <c r="B196" s="1" t="s">
        <v>311</v>
      </c>
      <c r="C196" s="1" t="s">
        <v>244</v>
      </c>
      <c r="D196" s="1" t="s">
        <v>312</v>
      </c>
      <c r="E196" s="1" t="s">
        <v>313</v>
      </c>
      <c r="F196" s="1" t="s">
        <v>262</v>
      </c>
      <c r="G196" s="5" t="s">
        <v>6191</v>
      </c>
      <c r="H196" s="41">
        <v>39063</v>
      </c>
      <c r="I196" s="1">
        <v>16</v>
      </c>
      <c r="J196" s="1">
        <v>5621317004</v>
      </c>
      <c r="K196" s="1">
        <v>5536860933</v>
      </c>
      <c r="L196" s="1" t="s">
        <v>6192</v>
      </c>
      <c r="M196" s="1">
        <v>21309060570082</v>
      </c>
      <c r="N196" s="1" t="s">
        <v>1108</v>
      </c>
      <c r="O196" s="1" t="s">
        <v>247</v>
      </c>
      <c r="P196" s="1" t="s">
        <v>314</v>
      </c>
      <c r="Q196" s="1" t="s">
        <v>315</v>
      </c>
      <c r="R196" s="1" t="s">
        <v>236</v>
      </c>
      <c r="S196" s="1" t="s">
        <v>228</v>
      </c>
      <c r="T196" s="1" t="s">
        <v>229</v>
      </c>
      <c r="U196" s="1" t="s">
        <v>249</v>
      </c>
      <c r="V196" s="1" t="s">
        <v>228</v>
      </c>
      <c r="W196" s="1" t="s">
        <v>6193</v>
      </c>
      <c r="X196" s="1" t="s">
        <v>264</v>
      </c>
      <c r="Y196" s="1" t="s">
        <v>6194</v>
      </c>
      <c r="Z196" s="1" t="s">
        <v>231</v>
      </c>
      <c r="AA196" s="1">
        <v>57710</v>
      </c>
      <c r="AB196" s="1">
        <v>349</v>
      </c>
      <c r="AC196" s="1">
        <v>2</v>
      </c>
      <c r="AD196" s="1" t="s">
        <v>316</v>
      </c>
      <c r="AE196" s="1" t="s">
        <v>317</v>
      </c>
      <c r="AF196" s="1" t="s">
        <v>265</v>
      </c>
      <c r="AG196" s="1">
        <v>59</v>
      </c>
      <c r="AH196" s="5" t="s">
        <v>6195</v>
      </c>
      <c r="AI196" s="1">
        <v>5585314371</v>
      </c>
      <c r="AJ196" s="1">
        <v>5536860933</v>
      </c>
      <c r="AK196" s="1" t="s">
        <v>6196</v>
      </c>
      <c r="AL196" s="1" t="s">
        <v>244</v>
      </c>
      <c r="AM196" s="1" t="s">
        <v>1200</v>
      </c>
      <c r="AN196" s="1" t="s">
        <v>6197</v>
      </c>
      <c r="AO196" s="1" t="s">
        <v>435</v>
      </c>
      <c r="AP196" s="1">
        <v>47</v>
      </c>
      <c r="AQ196" s="1" t="s">
        <v>235</v>
      </c>
      <c r="AR196" s="42">
        <v>0.29166666666424135</v>
      </c>
      <c r="AS196" s="42">
        <v>0.29166666666424135</v>
      </c>
      <c r="AT196" s="1">
        <v>5583610590</v>
      </c>
      <c r="AU196" s="1">
        <v>5536860933</v>
      </c>
      <c r="AV196" s="1" t="s">
        <v>6198</v>
      </c>
      <c r="AW196" s="5" t="s">
        <v>6199</v>
      </c>
      <c r="AX196" s="1" t="s">
        <v>312</v>
      </c>
      <c r="AY196" s="1" t="s">
        <v>318</v>
      </c>
      <c r="AZ196" s="1" t="s">
        <v>319</v>
      </c>
      <c r="BA196" s="1" t="s">
        <v>265</v>
      </c>
      <c r="BB196" s="1">
        <v>59</v>
      </c>
      <c r="BC196" s="1" t="s">
        <v>328</v>
      </c>
      <c r="BD196" s="43">
        <v>0.45833333333575865</v>
      </c>
      <c r="BE196" s="43">
        <v>0.25</v>
      </c>
      <c r="BF196" s="1">
        <v>5585314371</v>
      </c>
      <c r="BG196" s="1">
        <v>5536860933</v>
      </c>
      <c r="BH196" s="1" t="s">
        <v>6196</v>
      </c>
      <c r="BI196" s="5" t="s">
        <v>6200</v>
      </c>
      <c r="BJ196" s="1" t="s">
        <v>236</v>
      </c>
      <c r="BL196" s="1">
        <v>1.65</v>
      </c>
      <c r="BM196" s="1">
        <v>60</v>
      </c>
      <c r="BN196" s="1" t="s">
        <v>228</v>
      </c>
      <c r="BO196" s="1" t="s">
        <v>228</v>
      </c>
      <c r="BP196" s="1" t="s">
        <v>270</v>
      </c>
      <c r="BQ196" s="1" t="s">
        <v>228</v>
      </c>
      <c r="BR196" s="1" t="s">
        <v>237</v>
      </c>
      <c r="BS196" s="1" t="s">
        <v>228</v>
      </c>
      <c r="BT196" s="1" t="s">
        <v>237</v>
      </c>
      <c r="BU196" s="1" t="s">
        <v>228</v>
      </c>
      <c r="BW196" s="1" t="s">
        <v>238</v>
      </c>
      <c r="BX196" s="1">
        <v>60</v>
      </c>
      <c r="BY196" s="1">
        <v>60</v>
      </c>
      <c r="BZ196" s="1" t="s">
        <v>253</v>
      </c>
      <c r="CA196" s="1" t="s">
        <v>321</v>
      </c>
      <c r="CB196" s="1" t="s">
        <v>240</v>
      </c>
      <c r="CC196" s="1" t="s">
        <v>322</v>
      </c>
      <c r="CD196" s="1">
        <v>2000</v>
      </c>
      <c r="CE196" s="1">
        <v>2000</v>
      </c>
      <c r="CF196" s="1" t="s">
        <v>236</v>
      </c>
      <c r="CG196" s="1" t="s">
        <v>323</v>
      </c>
      <c r="CH196" s="1" t="s">
        <v>243</v>
      </c>
      <c r="CI196" s="1" t="s">
        <v>243</v>
      </c>
      <c r="CJ196" s="1" t="s">
        <v>2848</v>
      </c>
      <c r="CL196" s="5" t="s">
        <v>6201</v>
      </c>
      <c r="CM196" s="44" t="s">
        <v>324</v>
      </c>
      <c r="CN196" s="1" t="s">
        <v>228</v>
      </c>
      <c r="CQ196" s="42">
        <v>0.45833333333575865</v>
      </c>
      <c r="CR196" s="42">
        <v>0.25</v>
      </c>
      <c r="CT196" s="45" t="str">
        <f t="array" ref="CT196">IFERROR(INDEX(#REF!,MATCH('Respuestas de formulario 1.1'!$B196,#REF!,0),MATCH('Respuestas de formulario 1.1'!CT$1,#REF!,0)),"")</f>
        <v/>
      </c>
      <c r="CU196" s="56" t="str">
        <f t="array" ref="CU196">IFERROR(INDEX(#REF!,MATCH('Respuestas de formulario 1.1'!$B196,#REF!,0),MATCH('Respuestas de formulario 1.1'!CU$1,#REF!,0)),"")</f>
        <v/>
      </c>
      <c r="CV196" s="56" t="str">
        <f t="array" ref="CV196">IFERROR(INDEX(#REF!,MATCH('Respuestas de formulario 1.1'!$B196,#REF!,0),MATCH('Respuestas de formulario 1.1'!CV$1,#REF!,0)),"")</f>
        <v/>
      </c>
      <c r="CW196" s="56" t="str">
        <f t="array" ref="CW196">IFERROR(INDEX(#REF!,MATCH('Respuestas de formulario 1.1'!$B196,#REF!,0),MATCH('Respuestas de formulario 1.1'!CW$1,#REF!,0)),"")</f>
        <v/>
      </c>
      <c r="CX196" s="56" t="str">
        <f t="array" ref="CX196">IFERROR(INDEX(#REF!,MATCH('Respuestas de formulario 1.1'!$B196,#REF!,0),MATCH('Respuestas de formulario 1.1'!CX$1,#REF!,0)),"")</f>
        <v/>
      </c>
      <c r="CY196" s="56" t="str">
        <f t="array" ref="CY196">IFERROR(INDEX(#REF!,MATCH('Respuestas de formulario 1.1'!$B196,#REF!,0),MATCH('Respuestas de formulario 1.1'!CY$1,#REF!,0)),"")</f>
        <v/>
      </c>
      <c r="CZ196" s="57" t="str">
        <f t="array" ref="CZ196">IFERROR(INDEX(#REF!,MATCH('Respuestas de formulario 1.1'!$B196,#REF!,0),MATCH('Respuestas de formulario 1.1'!CZ$1,#REF!,0)),"")</f>
        <v/>
      </c>
      <c r="DA196" s="45" t="e">
        <f t="array" ref="DA196">INDEX(#REF!,MATCH('Respuestas de formulario 1.1'!$B196,#REF!,0),MATCH('Respuestas de formulario 1.1'!DA$1,#REF!,0))</f>
        <v>#REF!</v>
      </c>
      <c r="DB196" s="45" t="e">
        <f t="array" ref="DB196">INDEX(#REF!,MATCH('Respuestas de formulario 1.1'!$B196,#REF!,0),MATCH('Respuestas de formulario 1.1'!DB$1,#REF!,0))</f>
        <v>#REF!</v>
      </c>
      <c r="DC196" s="45" t="e">
        <f t="array" ref="DC196">INDEX(#REF!,MATCH('Respuestas de formulario 1.1'!$B196,#REF!,0),MATCH('Respuestas de formulario 1.1'!DC$1,#REF!,0))</f>
        <v>#REF!</v>
      </c>
      <c r="DD196" s="45" t="e">
        <f t="array" ref="DD196">INDEX(#REF!,MATCH('Respuestas de formulario 1.1'!$B196,#REF!,0),MATCH('Respuestas de formulario 1.1'!DD$1,#REF!,0))</f>
        <v>#REF!</v>
      </c>
      <c r="DE196" s="45" t="e">
        <f t="array" ref="DE196">INDEX(#REF!,MATCH('Respuestas de formulario 1.1'!$B196,#REF!,0),MATCH('Respuestas de formulario 1.1'!DE$1,#REF!,0))</f>
        <v>#REF!</v>
      </c>
      <c r="DF196" s="45" t="e">
        <f t="array" ref="DF196">INDEX(#REF!,MATCH('Respuestas de formulario 1.1'!$B196,#REF!,0),MATCH('Respuestas de formulario 1.1'!DF$1,#REF!,0))</f>
        <v>#REF!</v>
      </c>
      <c r="DG196" s="45" t="e">
        <f t="array" ref="DG196">INDEX(#REF!,MATCH('Respuestas de formulario 1.1'!$B196,#REF!,0),MATCH('Respuestas de formulario 1.1'!DG$1,#REF!,0))</f>
        <v>#REF!</v>
      </c>
      <c r="DH196" s="45" t="e">
        <f t="array" ref="DH196">INDEX(#REF!,MATCH('Respuestas de formulario 1.1'!$B196,#REF!,0),MATCH('Respuestas de formulario 1.1'!DH$1,#REF!,0))</f>
        <v>#REF!</v>
      </c>
      <c r="DI196" s="48" t="e">
        <f>VLOOKUP(CONCATENATE($DF196," TUTO ",$DC196),#REF!,3,0)</f>
        <v>#REF!</v>
      </c>
      <c r="DJ196" s="48" t="e">
        <f t="array" ref="DJ196">IF('Respuestas de formulario 1.1'!A196="","",INDEX(#REF!,MATCH('Respuestas de formulario 1.1'!B196,#REF!,0),MATCH('Respuestas de formulario 1.1'!$DH$1,#REF!,0)))</f>
        <v>#REF!</v>
      </c>
      <c r="DK196" s="52" t="str">
        <f>CONCATENATE("http://doc.google.com/uc?id=",MID('Respuestas de formulario 1.1'!G196,34,33))</f>
        <v>http://doc.google.com/uc?id=1qeBtnV4vlNAt2d7d9OmN3P9clRodY63M</v>
      </c>
      <c r="DL196" s="49" t="str">
        <f>CONCATENATE("http://doc.google.com/uc?id=",MID('Respuestas de formulario 1.1'!AH196,34,33))</f>
        <v>http://doc.google.com/uc?id=18a5VRwDhKRkLmsnHgHqA-_jyrj75tUeA</v>
      </c>
      <c r="DM196" s="50" t="str">
        <f>CONCATENATE("http://doc.google.com/uc?id=",MID('Respuestas de formulario 1.1'!AW196,34,33))</f>
        <v>http://doc.google.com/uc?id=1JIG1goGdftasrb_aBjpgPGQrVqSdY5sa</v>
      </c>
      <c r="DN196" s="53" t="str">
        <f>CONCATENATE("http://doc.google.com/uc?id=",MID('Respuestas de formulario 1.1'!$BI196,34,33))</f>
        <v>http://doc.google.com/uc?id=1C5AHG3ex2cQl6D83BJIc6twjBoRsAn3J</v>
      </c>
      <c r="DO196" s="45" t="str">
        <f>IFERROR(VLOOKUP(CONCATENATE('Respuestas de formulario 1.1'!$B196,MID('Respuestas de formulario 1.1'!DO$1,2,1)),#REF!,12,0),"")</f>
        <v/>
      </c>
      <c r="DP196" s="45" t="str">
        <f>IFERROR(VLOOKUP(CONCATENATE('Respuestas de formulario 1.1'!$B196,MID('Respuestas de formulario 1.1'!DP$1,2,1)),#REF!,12,0),"")</f>
        <v/>
      </c>
      <c r="DQ196" s="45" t="str">
        <f>IFERROR(VLOOKUP(CONCATENATE('Respuestas de formulario 1.1'!$B196,MID('Respuestas de formulario 1.1'!DQ$1,2,1)),#REF!,12,0),"")</f>
        <v/>
      </c>
      <c r="DR196" s="45" t="str">
        <f>IFERROR(VLOOKUP(CONCATENATE('Respuestas de formulario 1.1'!$B196,MID('Respuestas de formulario 1.1'!DR$1,2,1)),#REF!,12,0),"")</f>
        <v/>
      </c>
      <c r="DS196" s="45" t="str">
        <f>IFERROR(VLOOKUP(CONCATENATE('Respuestas de formulario 1.1'!$B196,MID('Respuestas de formulario 1.1'!DS$1,2,1)),#REF!,12,0),"")</f>
        <v/>
      </c>
      <c r="DT196" s="45" t="str">
        <f>IFERROR(VLOOKUP(CONCATENATE('Respuestas de formulario 1.1'!$B196,MID('Respuestas de formulario 1.1'!DT$1,2,1)),#REF!,12,0),"")</f>
        <v/>
      </c>
      <c r="DU196" s="45" t="str">
        <f>IFERROR(VLOOKUP(CONCATENATE('Respuestas de formulario 1.1'!$B196,MID('Respuestas de formulario 1.1'!DU$1,2,1)),#REF!,12,0),"")</f>
        <v/>
      </c>
      <c r="DV196" s="45" t="str">
        <f>IFERROR(VLOOKUP(CONCATENATE('Respuestas de formulario 1.1'!$B196,MID('Respuestas de formulario 1.1'!DV$1,2,1)),#REF!,12,0),"")</f>
        <v/>
      </c>
      <c r="DW196" s="45" t="str">
        <f>IFERROR(VLOOKUP(CONCATENATE('Respuestas de formulario 1.1'!$B196,MID('Respuestas de formulario 1.1'!DW$1,2,1)),#REF!,12,0),"")</f>
        <v/>
      </c>
      <c r="DX196" s="45" t="str">
        <f>IFERROR(VLOOKUP(CONCATENATE('Respuestas de formulario 1.1'!$B196,MID('Respuestas de formulario 1.1'!DX$1,2,1)),#REF!,12,0),"")</f>
        <v/>
      </c>
      <c r="DY196" s="45" t="str">
        <f>IFERROR(VLOOKUP(CONCATENATE('Respuestas de formulario 1.1'!$B196,MID('Respuestas de formulario 1.1'!DY$1,2,1)),#REF!,12,0),"")</f>
        <v/>
      </c>
      <c r="DZ196" s="45" t="str">
        <f>IFERROR(VLOOKUP(CONCATENATE('Respuestas de formulario 1.1'!$B196,MID('Respuestas de formulario 1.1'!DZ$1,2,1)),#REF!,12,0),"")</f>
        <v/>
      </c>
      <c r="EA196" s="45" t="str">
        <f>IFERROR(VLOOKUP(CONCATENATE('Respuestas de formulario 1.1'!$B196,MID('Respuestas de formulario 1.1'!EA$1,2,1)),#REF!,12,0),"")</f>
        <v/>
      </c>
      <c r="EB196" s="45" t="str">
        <f>IFERROR(VLOOKUP(CONCATENATE('Respuestas de formulario 1.1'!$B196,MID('Respuestas de formulario 1.1'!EB$1,2,1)),#REF!,12,0),"")</f>
        <v/>
      </c>
      <c r="EC196" s="45" t="str">
        <f>IFERROR(VLOOKUP(CONCATENATE('Respuestas de formulario 1.1'!$B196,MID('Respuestas de formulario 1.1'!EC$1,2,1)),#REF!,12,0),"")</f>
        <v/>
      </c>
      <c r="ED196" s="45" t="str">
        <f>IFERROR(VLOOKUP(CONCATENATE('Respuestas de formulario 1.1'!$B196,MID('Respuestas de formulario 1.1'!ED$1,2,1)),#REF!,12,0),"")</f>
        <v/>
      </c>
      <c r="EE196" s="45" t="str">
        <f>IFERROR(VLOOKUP(CONCATENATE('Respuestas de formulario 1.1'!$B196,MID('Respuestas de formulario 1.1'!EE$1,2,1)),#REF!,12,0),"")</f>
        <v/>
      </c>
      <c r="EF196" s="45" t="str">
        <f>IFERROR(VLOOKUP(CONCATENATE('Respuestas de formulario 1.1'!$B196,MID('Respuestas de formulario 1.1'!EF$1,2,1)),#REF!,12,0),"")</f>
        <v/>
      </c>
      <c r="EG196" s="45" t="str">
        <f>IFERROR(VLOOKUP(CONCATENATE('Respuestas de formulario 1.1'!$B196,MID('Respuestas de formulario 1.1'!EG$1,2,1)),#REF!,12,0),"")</f>
        <v/>
      </c>
      <c r="EH196" s="45" t="str">
        <f>IFERROR(VLOOKUP(CONCATENATE('Respuestas de formulario 1.1'!$B196,MID('Respuestas de formulario 1.1'!EH$1,2,1)),#REF!,12,0),"")</f>
        <v/>
      </c>
      <c r="EI196" s="45" t="str">
        <f>IFERROR(VLOOKUP(CONCATENATE('Respuestas de formulario 1.1'!$B196,MID('Respuestas de formulario 1.1'!EI$1,2,1)),#REF!,12,0),"")</f>
        <v/>
      </c>
      <c r="EJ196" s="45" t="str">
        <f t="array" ref="EJ196">IF(DO196="","", INDEX(#REF!,MATCH(CONCATENATE('Respuestas de formulario 1.1'!$B196,DO196),#REF!,0),MATCH('Respuestas de formulario 1.1'!EJ$1,#REF!,0)))</f>
        <v/>
      </c>
      <c r="EK196" s="56" t="str">
        <f t="array" ref="EK196">IF(DP196="","", INDEX(#REF!,MATCH(CONCATENATE('Respuestas de formulario 1.1'!$B196,DP196),#REF!,0),MATCH('Respuestas de formulario 1.1'!EK$1,#REF!,0)))</f>
        <v/>
      </c>
      <c r="EL196" s="56" t="str">
        <f t="array" ref="EL196">IF(DQ196="","", INDEX(#REF!,MATCH(CONCATENATE('Respuestas de formulario 1.1'!$B196,DQ196),#REF!,0),MATCH('Respuestas de formulario 1.1'!EL$1,#REF!,0)))</f>
        <v/>
      </c>
      <c r="EM196" s="56" t="str">
        <f t="array" ref="EM196">IF(DR196="","", INDEX(#REF!,MATCH(CONCATENATE('Respuestas de formulario 1.1'!$B196,DR196),#REF!,0),MATCH('Respuestas de formulario 1.1'!EM$1,#REF!,0)))</f>
        <v/>
      </c>
      <c r="EN196" s="56" t="str">
        <f t="array" ref="EN196">IF(DS196="","", INDEX(#REF!,MATCH(CONCATENATE('Respuestas de formulario 1.1'!$B196,DS196),#REF!,0),MATCH('Respuestas de formulario 1.1'!EN$1,#REF!,0)))</f>
        <v/>
      </c>
      <c r="EO196" s="56" t="str">
        <f t="array" ref="EO196">IF(DT196="","", INDEX(#REF!,MATCH(CONCATENATE('Respuestas de formulario 1.1'!$B196,DT196),#REF!,0),MATCH('Respuestas de formulario 1.1'!EO$1,#REF!,0)))</f>
        <v/>
      </c>
      <c r="EP196" s="45" t="str">
        <f t="array" ref="EP196">IF(DU196="","", INDEX(#REF!,MATCH(CONCATENATE('Respuestas de formulario 1.1'!$B196,DU196),#REF!,0),MATCH('Respuestas de formulario 1.1'!EP$1,#REF!,0)))</f>
        <v/>
      </c>
      <c r="EQ196" s="45" t="str">
        <f t="array" ref="EQ196">IF(DP196="","", INDEX(#REF!,MATCH(CONCATENATE('Respuestas de formulario 1.1'!$B196,DP196),#REF!,0),MATCH('Respuestas de formulario 1.1'!EQ$1,#REF!,0)))</f>
        <v/>
      </c>
      <c r="ER196" s="56" t="str">
        <f t="array" ref="ER196">IF(DQ196="","", INDEX(#REF!,MATCH(CONCATENATE('Respuestas de formulario 1.1'!$B196,DQ196),#REF!,0),MATCH('Respuestas de formulario 1.1'!ER$1,#REF!,0)))</f>
        <v/>
      </c>
      <c r="ES196" s="56" t="str">
        <f t="array" ref="ES196">IF(DR196="","", INDEX(#REF!,MATCH(CONCATENATE('Respuestas de formulario 1.1'!$B196,DR196),#REF!,0),MATCH('Respuestas de formulario 1.1'!ES$1,#REF!,0)))</f>
        <v/>
      </c>
      <c r="ET196" s="56" t="str">
        <f t="array" ref="ET196">IF(DS196="","", INDEX(#REF!,MATCH(CONCATENATE('Respuestas de formulario 1.1'!$B196,DS196),#REF!,0),MATCH('Respuestas de formulario 1.1'!ET$1,#REF!,0)))</f>
        <v/>
      </c>
      <c r="EU196" s="56" t="str">
        <f t="array" ref="EU196">IF(DT196="","", INDEX(#REF!,MATCH(CONCATENATE('Respuestas de formulario 1.1'!$B196,DT196),#REF!,0),MATCH('Respuestas de formulario 1.1'!EU$1,#REF!,0)))</f>
        <v/>
      </c>
      <c r="EV196" s="56" t="str">
        <f t="array" ref="EV196">IF(DU196="","", INDEX(#REF!,MATCH(CONCATENATE('Respuestas de formulario 1.1'!$B196,DU196),#REF!,0),MATCH('Respuestas de formulario 1.1'!EV$1,#REF!,0)))</f>
        <v/>
      </c>
      <c r="EW196" s="45" t="str">
        <f t="array" ref="EW196">IF(DV196="","", INDEX(#REF!,MATCH(CONCATENATE('Respuestas de formulario 1.1'!$B196,DV196),#REF!,0),MATCH('Respuestas de formulario 1.1'!EW$1,#REF!,0)))</f>
        <v/>
      </c>
      <c r="EX196" s="45" t="str">
        <f t="array" ref="EX196">IF($DQ196="","", INDEX(#REF!,MATCH(CONCATENATE('Respuestas de formulario 1.1'!$B196,$DQ196),#REF!,0),MATCH('Respuestas de formulario 1.1'!EX$1,#REF!,0)))</f>
        <v/>
      </c>
      <c r="EY196" s="56" t="str">
        <f t="array" ref="EY196">IF($DQ196="","", INDEX(#REF!,MATCH(CONCATENATE('Respuestas de formulario 1.1'!$B196,$DQ196),#REF!,0),MATCH('Respuestas de formulario 1.1'!EY$1,#REF!,0)))</f>
        <v/>
      </c>
      <c r="EZ196" s="56" t="str">
        <f t="array" ref="EZ196">IF($DQ196="","", INDEX(#REF!,MATCH(CONCATENATE('Respuestas de formulario 1.1'!$B196,$DQ196),#REF!,0),MATCH('Respuestas de formulario 1.1'!EZ$1,#REF!,0)))</f>
        <v/>
      </c>
      <c r="FA196" s="56" t="str">
        <f t="array" ref="FA196">IF($DQ196="","", INDEX(#REF!,MATCH(CONCATENATE('Respuestas de formulario 1.1'!$B196,$DQ196),#REF!,0),MATCH('Respuestas de formulario 1.1'!FA$1,#REF!,0)))</f>
        <v/>
      </c>
      <c r="FB196" s="56" t="str">
        <f t="array" ref="FB196">IF($DQ196="","", INDEX(#REF!,MATCH(CONCATENATE('Respuestas de formulario 1.1'!$B196,$DQ196),#REF!,0),MATCH('Respuestas de formulario 1.1'!FB$1,#REF!,0)))</f>
        <v/>
      </c>
      <c r="FC196" s="56" t="str">
        <f t="array" ref="FC196">IF($DQ196="","", INDEX(#REF!,MATCH(CONCATENATE('Respuestas de formulario 1.1'!$B196,$DQ196),#REF!,0),MATCH('Respuestas de formulario 1.1'!FC$1,#REF!,0)))</f>
        <v/>
      </c>
      <c r="FD196" s="45" t="str">
        <f t="array" ref="FD196">IF($DQ196="","", INDEX(#REF!,MATCH(CONCATENATE('Respuestas de formulario 1.1'!$B196,$DQ196),#REF!,0),MATCH('Respuestas de formulario 1.1'!FD$1,#REF!,0)))</f>
        <v/>
      </c>
      <c r="FE196" s="45" t="str">
        <f t="array" ref="FE196">IF($DR196="","", INDEX(#REF!,MATCH(CONCATENATE(#REF!,$DR196),#REF!,0),MATCH(#REF!,#REF!,0)))</f>
        <v/>
      </c>
      <c r="FF196" s="56" t="str">
        <f t="array" ref="FF196">IF($DR196="","", INDEX(#REF!,MATCH(CONCATENATE(#REF!,$DR196),#REF!,0),MATCH(#REF!,#REF!,0)))</f>
        <v/>
      </c>
      <c r="FG196" s="56" t="str">
        <f t="array" ref="FG196">IF($DR196="","", INDEX(#REF!,MATCH(CONCATENATE(#REF!,$DR196),#REF!,0),MATCH(#REF!,#REF!,0)))</f>
        <v/>
      </c>
      <c r="FH196" s="56" t="str">
        <f t="array" ref="FH196">IF($DR196="","", INDEX(#REF!,MATCH(CONCATENATE(#REF!,$DR196),#REF!,0),MATCH(#REF!,#REF!,0)))</f>
        <v/>
      </c>
      <c r="FI196" s="56" t="str">
        <f t="array" ref="FI196">IF($DR196="","", INDEX(#REF!,MATCH(CONCATENATE(#REF!,$DR196),#REF!,0),MATCH(#REF!,#REF!,0)))</f>
        <v/>
      </c>
      <c r="FJ196" s="56" t="str">
        <f t="array" ref="FJ196">IF($DR196="","", INDEX(#REF!,MATCH(CONCATENATE(#REF!,$DR196),#REF!,0),MATCH(#REF!,#REF!,0)))</f>
        <v/>
      </c>
      <c r="FK196" s="45" t="str">
        <f t="array" ref="FK196">IF($DR196="","", INDEX(#REF!,MATCH(CONCATENATE(#REF!,$DR196),#REF!,0),MATCH(#REF!,#REF!,0)))</f>
        <v/>
      </c>
      <c r="FL196" s="45" t="str">
        <f t="array" ref="FL196">IF($DT196="","", INDEX(#REF!,MATCH(CONCATENATE('Respuestas de formulario 1.1'!$B196,$DS196),#REF!,0),MATCH('Respuestas de formulario 1.1'!FL$1,#REF!,0)))</f>
        <v/>
      </c>
      <c r="FM196" s="56" t="str">
        <f t="array" ref="FM196">IF($DT196="","", INDEX(#REF!,MATCH(CONCATENATE('Respuestas de formulario 1.1'!$B196,$DS196),#REF!,0),MATCH('Respuestas de formulario 1.1'!FM$1,#REF!,0)))</f>
        <v/>
      </c>
      <c r="FN196" s="56" t="str">
        <f t="array" ref="FN196">IF($DT196="","", INDEX(#REF!,MATCH(CONCATENATE('Respuestas de formulario 1.1'!$B196,$DS196),#REF!,0),MATCH('Respuestas de formulario 1.1'!FN$1,#REF!,0)))</f>
        <v/>
      </c>
      <c r="FO196" s="56" t="str">
        <f t="array" ref="FO196">IF($DT196="","", INDEX(#REF!,MATCH(CONCATENATE('Respuestas de formulario 1.1'!$B196,$DS196),#REF!,0),MATCH('Respuestas de formulario 1.1'!FO$1,#REF!,0)))</f>
        <v/>
      </c>
      <c r="FP196" s="56" t="str">
        <f t="array" ref="FP196">IF($DT196="","", INDEX(#REF!,MATCH(CONCATENATE('Respuestas de formulario 1.1'!$B196,$DS196),#REF!,0),MATCH('Respuestas de formulario 1.1'!FP$1,#REF!,0)))</f>
        <v/>
      </c>
      <c r="FQ196" s="56" t="str">
        <f t="array" ref="FQ196">IF($DT196="","", INDEX(#REF!,MATCH(CONCATENATE('Respuestas de formulario 1.1'!$B196,$DS196),#REF!,0),MATCH('Respuestas de formulario 1.1'!FQ$1,#REF!,0)))</f>
        <v/>
      </c>
      <c r="FR196" s="45" t="str">
        <f t="array" ref="FR196">IF($DT196="","", INDEX(#REF!,MATCH(CONCATENATE('Respuestas de formulario 1.1'!$B196,$DS196),#REF!,0),MATCH('Respuestas de formulario 1.1'!FR$1,#REF!,0)))</f>
        <v/>
      </c>
      <c r="FS196" s="45" t="str">
        <f t="array" ref="FS196">IF($DU196="","", INDEX(#REF!,MATCH(CONCATENATE('Respuestas de formulario 1.1'!$B196,$DT196),#REF!,0),MATCH('Respuestas de formulario 1.1'!FS$1,#REF!,0)))</f>
        <v/>
      </c>
      <c r="FT196" s="56" t="str">
        <f t="array" ref="FT196">IF($DU196="","", INDEX(#REF!,MATCH(CONCATENATE('Respuestas de formulario 1.1'!$B196,$DT196),#REF!,0),MATCH('Respuestas de formulario 1.1'!FT$1,#REF!,0)))</f>
        <v/>
      </c>
      <c r="FU196" s="56" t="str">
        <f t="array" ref="FU196">IF($DU196="","", INDEX(#REF!,MATCH(CONCATENATE('Respuestas de formulario 1.1'!$B196,$DT196),#REF!,0),MATCH('Respuestas de formulario 1.1'!FU$1,#REF!,0)))</f>
        <v/>
      </c>
      <c r="FV196" s="56" t="str">
        <f t="array" ref="FV196">IF($DU196="","", INDEX(#REF!,MATCH(CONCATENATE('Respuestas de formulario 1.1'!$B196,$DT196),#REF!,0),MATCH('Respuestas de formulario 1.1'!FV$1,#REF!,0)))</f>
        <v/>
      </c>
      <c r="FW196" s="56" t="str">
        <f t="array" ref="FW196">IF($DU196="","", INDEX(#REF!,MATCH(CONCATENATE('Respuestas de formulario 1.1'!$B196,$DT196),#REF!,0),MATCH('Respuestas de formulario 1.1'!FW$1,#REF!,0)))</f>
        <v/>
      </c>
      <c r="FX196" s="56" t="str">
        <f t="array" ref="FX196">IF($DU196="","", INDEX(#REF!,MATCH(CONCATENATE('Respuestas de formulario 1.1'!$B196,$DT196),#REF!,0),MATCH('Respuestas de formulario 1.1'!FX$1,#REF!,0)))</f>
        <v/>
      </c>
      <c r="FY196" s="45" t="str">
        <f t="array" ref="FY196">IF($DU196="","", INDEX(#REF!,MATCH(CONCATENATE('Respuestas de formulario 1.1'!$B196,$DT196),#REF!,0),MATCH('Respuestas de formulario 1.1'!FY$1,#REF!,0)))</f>
        <v/>
      </c>
      <c r="FZ196" s="3" t="s">
        <v>2860</v>
      </c>
      <c r="GA196" s="1" t="s">
        <v>6202</v>
      </c>
      <c r="GB196" s="5" t="s">
        <v>6203</v>
      </c>
      <c r="GC196" s="4" t="str">
        <f>HYPERLINK("https://drive.google.com/file/d/14eosf7uVzZHHFkNtFswNMkxBp76VkZvV/view?usp=drivesdk","HERNANDEZ OLVERA IVAN Formato de reinscripción y pago 2022-2")</f>
        <v>HERNANDEZ OLVERA IVAN Formato de reinscripción y pago 2022-2</v>
      </c>
      <c r="GD196" s="1" t="s">
        <v>6204</v>
      </c>
      <c r="GE196" s="1"/>
      <c r="GF196" s="1"/>
      <c r="GG196" s="1"/>
      <c r="GH196" s="1"/>
      <c r="GI196" s="1" t="s">
        <v>6205</v>
      </c>
      <c r="GJ196" s="5" t="s">
        <v>6206</v>
      </c>
      <c r="GK196" s="5" t="str">
        <f>HYPERLINK("https://drive.google.com/file/d/1W2bm6EmfyT8LGOn2EHrmJCZa6KySHsSe/view?usp=drivesdk","HERNANDEZ OLVERA IVAN Formato de reinscripción y pago 2022-2")</f>
        <v>HERNANDEZ OLVERA IVAN Formato de reinscripción y pago 2022-2</v>
      </c>
      <c r="GL196" s="1" t="s">
        <v>6207</v>
      </c>
    </row>
    <row r="197" spans="1:194" ht="38.25" x14ac:dyDescent="0.2">
      <c r="A197" s="2">
        <v>45139.507412083331</v>
      </c>
      <c r="B197" s="1" t="s">
        <v>24</v>
      </c>
      <c r="C197" s="1" t="s">
        <v>712</v>
      </c>
      <c r="D197" s="1" t="s">
        <v>485</v>
      </c>
      <c r="E197" s="1" t="s">
        <v>6208</v>
      </c>
      <c r="F197" s="1" t="s">
        <v>262</v>
      </c>
      <c r="G197" s="5" t="s">
        <v>6209</v>
      </c>
      <c r="H197" s="41">
        <v>39208</v>
      </c>
      <c r="I197" s="1">
        <v>16</v>
      </c>
      <c r="J197" s="1">
        <v>5540458161</v>
      </c>
      <c r="K197" s="1">
        <v>5556932851</v>
      </c>
      <c r="L197" s="1" t="s">
        <v>1383</v>
      </c>
      <c r="M197" s="1">
        <v>22309060570146</v>
      </c>
      <c r="N197" s="1" t="s">
        <v>562</v>
      </c>
      <c r="O197" s="1" t="s">
        <v>247</v>
      </c>
      <c r="P197" s="1" t="s">
        <v>226</v>
      </c>
      <c r="Q197" s="1" t="s">
        <v>248</v>
      </c>
      <c r="R197" s="1" t="s">
        <v>236</v>
      </c>
      <c r="S197" s="1" t="s">
        <v>228</v>
      </c>
      <c r="T197" s="1" t="s">
        <v>229</v>
      </c>
      <c r="U197" s="1" t="s">
        <v>249</v>
      </c>
      <c r="V197" s="1" t="s">
        <v>228</v>
      </c>
      <c r="W197" s="1" t="s">
        <v>6210</v>
      </c>
      <c r="X197" s="1" t="s">
        <v>249</v>
      </c>
      <c r="Y197" s="1" t="s">
        <v>257</v>
      </c>
      <c r="Z197" s="1" t="s">
        <v>240</v>
      </c>
      <c r="AA197" s="44" t="s">
        <v>250</v>
      </c>
      <c r="AB197" s="1" t="s">
        <v>6211</v>
      </c>
      <c r="AC197" s="1" t="s">
        <v>472</v>
      </c>
      <c r="AD197" s="1" t="s">
        <v>6212</v>
      </c>
      <c r="AE197" s="1" t="s">
        <v>6213</v>
      </c>
      <c r="AF197" s="1" t="s">
        <v>461</v>
      </c>
      <c r="AG197" s="1">
        <v>33</v>
      </c>
      <c r="AH197" s="5" t="s">
        <v>6214</v>
      </c>
      <c r="AI197" s="1">
        <v>5547154461</v>
      </c>
      <c r="AJ197" s="1">
        <v>5556932851</v>
      </c>
      <c r="AK197" s="1" t="s">
        <v>1386</v>
      </c>
      <c r="AL197" s="1" t="s">
        <v>712</v>
      </c>
      <c r="AM197" s="1" t="s">
        <v>617</v>
      </c>
      <c r="AN197" s="1" t="s">
        <v>1421</v>
      </c>
      <c r="AO197" s="1" t="s">
        <v>420</v>
      </c>
      <c r="AP197" s="1">
        <v>48</v>
      </c>
      <c r="AQ197" s="1" t="s">
        <v>306</v>
      </c>
      <c r="AR197" s="42">
        <v>0.125</v>
      </c>
      <c r="AS197" s="42">
        <v>0.625</v>
      </c>
      <c r="AT197" s="1">
        <v>5521951993</v>
      </c>
      <c r="AU197" s="1">
        <v>5556932851</v>
      </c>
      <c r="AV197" s="1" t="s">
        <v>1387</v>
      </c>
      <c r="AW197" s="5" t="s">
        <v>6215</v>
      </c>
      <c r="AX197" s="1" t="s">
        <v>662</v>
      </c>
      <c r="AY197" s="1" t="s">
        <v>421</v>
      </c>
      <c r="AZ197" s="1" t="s">
        <v>619</v>
      </c>
      <c r="BA197" s="1" t="s">
        <v>493</v>
      </c>
      <c r="BB197" s="1">
        <v>32</v>
      </c>
      <c r="BC197" s="1" t="s">
        <v>328</v>
      </c>
      <c r="BD197" s="43">
        <v>0.375</v>
      </c>
      <c r="BE197" s="43">
        <v>0.625</v>
      </c>
      <c r="BF197" s="1">
        <v>5545198928</v>
      </c>
      <c r="BG197" s="1">
        <v>5521273767</v>
      </c>
      <c r="BH197" s="1" t="s">
        <v>1384</v>
      </c>
      <c r="BI197" s="5" t="s">
        <v>6216</v>
      </c>
      <c r="BJ197" s="1" t="s">
        <v>236</v>
      </c>
      <c r="BL197" s="1">
        <v>190</v>
      </c>
      <c r="BM197" s="1">
        <v>90</v>
      </c>
      <c r="BN197" s="1" t="s">
        <v>236</v>
      </c>
      <c r="BO197" s="1" t="s">
        <v>228</v>
      </c>
      <c r="BQ197" s="1" t="s">
        <v>236</v>
      </c>
      <c r="BR197" s="1" t="s">
        <v>348</v>
      </c>
      <c r="BS197" s="1" t="s">
        <v>228</v>
      </c>
      <c r="BT197" s="1" t="s">
        <v>237</v>
      </c>
      <c r="BU197" s="1" t="s">
        <v>228</v>
      </c>
      <c r="BW197" s="1" t="s">
        <v>238</v>
      </c>
      <c r="BX197" s="1">
        <v>60</v>
      </c>
      <c r="BY197" s="1">
        <v>320</v>
      </c>
      <c r="BZ197" s="1" t="s">
        <v>406</v>
      </c>
      <c r="CA197" s="1" t="s">
        <v>1274</v>
      </c>
      <c r="CB197" s="1" t="s">
        <v>240</v>
      </c>
      <c r="CC197" s="1" t="s">
        <v>322</v>
      </c>
      <c r="CD197" s="1">
        <v>2000</v>
      </c>
      <c r="CE197" s="1">
        <v>2500</v>
      </c>
      <c r="CF197" s="1" t="s">
        <v>236</v>
      </c>
      <c r="CG197" s="1" t="s">
        <v>242</v>
      </c>
      <c r="CH197" s="1" t="s">
        <v>243</v>
      </c>
      <c r="CI197" s="1" t="s">
        <v>243</v>
      </c>
      <c r="CJ197" s="1" t="s">
        <v>2848</v>
      </c>
      <c r="CL197" s="5" t="s">
        <v>6217</v>
      </c>
      <c r="CM197" s="44" t="s">
        <v>1388</v>
      </c>
      <c r="CN197" s="1" t="s">
        <v>228</v>
      </c>
      <c r="CQ197" s="42">
        <v>0.33333333333575865</v>
      </c>
      <c r="CR197" s="42">
        <v>0.70833333333575865</v>
      </c>
      <c r="CT197" s="45" t="str">
        <f t="array" ref="CT197">IFERROR(INDEX(#REF!,MATCH('Respuestas de formulario 1.1'!$B197,#REF!,0),MATCH('Respuestas de formulario 1.1'!CT$1,#REF!,0)),"")</f>
        <v/>
      </c>
      <c r="CU197" s="56" t="str">
        <f t="array" ref="CU197">IFERROR(INDEX(#REF!,MATCH('Respuestas de formulario 1.1'!$B197,#REF!,0),MATCH('Respuestas de formulario 1.1'!CU$1,#REF!,0)),"")</f>
        <v/>
      </c>
      <c r="CV197" s="56" t="str">
        <f t="array" ref="CV197">IFERROR(INDEX(#REF!,MATCH('Respuestas de formulario 1.1'!$B197,#REF!,0),MATCH('Respuestas de formulario 1.1'!CV$1,#REF!,0)),"")</f>
        <v/>
      </c>
      <c r="CW197" s="56" t="str">
        <f t="array" ref="CW197">IFERROR(INDEX(#REF!,MATCH('Respuestas de formulario 1.1'!$B197,#REF!,0),MATCH('Respuestas de formulario 1.1'!CW$1,#REF!,0)),"")</f>
        <v/>
      </c>
      <c r="CX197" s="56" t="str">
        <f t="array" ref="CX197">IFERROR(INDEX(#REF!,MATCH('Respuestas de formulario 1.1'!$B197,#REF!,0),MATCH('Respuestas de formulario 1.1'!CX$1,#REF!,0)),"")</f>
        <v/>
      </c>
      <c r="CY197" s="56" t="str">
        <f t="array" ref="CY197">IFERROR(INDEX(#REF!,MATCH('Respuestas de formulario 1.1'!$B197,#REF!,0),MATCH('Respuestas de formulario 1.1'!CY$1,#REF!,0)),"")</f>
        <v/>
      </c>
      <c r="CZ197" s="57" t="str">
        <f t="array" ref="CZ197">IFERROR(INDEX(#REF!,MATCH('Respuestas de formulario 1.1'!$B197,#REF!,0),MATCH('Respuestas de formulario 1.1'!CZ$1,#REF!,0)),"")</f>
        <v/>
      </c>
      <c r="DA197" s="45" t="e">
        <f t="array" ref="DA197">INDEX(#REF!,MATCH('Respuestas de formulario 1.1'!$B197,#REF!,0),MATCH('Respuestas de formulario 1.1'!DA$1,#REF!,0))</f>
        <v>#REF!</v>
      </c>
      <c r="DB197" s="45" t="e">
        <f t="array" ref="DB197">INDEX(#REF!,MATCH('Respuestas de formulario 1.1'!$B197,#REF!,0),MATCH('Respuestas de formulario 1.1'!DB$1,#REF!,0))</f>
        <v>#REF!</v>
      </c>
      <c r="DC197" s="45" t="e">
        <f t="array" ref="DC197">INDEX(#REF!,MATCH('Respuestas de formulario 1.1'!$B197,#REF!,0),MATCH('Respuestas de formulario 1.1'!DC$1,#REF!,0))</f>
        <v>#REF!</v>
      </c>
      <c r="DD197" s="45" t="e">
        <f t="array" ref="DD197">INDEX(#REF!,MATCH('Respuestas de formulario 1.1'!$B197,#REF!,0),MATCH('Respuestas de formulario 1.1'!DD$1,#REF!,0))</f>
        <v>#REF!</v>
      </c>
      <c r="DE197" s="45" t="e">
        <f t="array" ref="DE197">INDEX(#REF!,MATCH('Respuestas de formulario 1.1'!$B197,#REF!,0),MATCH('Respuestas de formulario 1.1'!DE$1,#REF!,0))</f>
        <v>#REF!</v>
      </c>
      <c r="DF197" s="45" t="e">
        <f t="array" ref="DF197">INDEX(#REF!,MATCH('Respuestas de formulario 1.1'!$B197,#REF!,0),MATCH('Respuestas de formulario 1.1'!DF$1,#REF!,0))</f>
        <v>#REF!</v>
      </c>
      <c r="DG197" s="45" t="e">
        <f t="array" ref="DG197">INDEX(#REF!,MATCH('Respuestas de formulario 1.1'!$B197,#REF!,0),MATCH('Respuestas de formulario 1.1'!DG$1,#REF!,0))</f>
        <v>#REF!</v>
      </c>
      <c r="DH197" s="45" t="e">
        <f t="array" ref="DH197">INDEX(#REF!,MATCH('Respuestas de formulario 1.1'!$B197,#REF!,0),MATCH('Respuestas de formulario 1.1'!DH$1,#REF!,0))</f>
        <v>#REF!</v>
      </c>
      <c r="DI197" s="48" t="e">
        <f>VLOOKUP(CONCATENATE($DF197," TUTO ",$DC197),#REF!,3,0)</f>
        <v>#REF!</v>
      </c>
      <c r="DJ197" s="48" t="e">
        <f t="array" ref="DJ197">IF('Respuestas de formulario 1.1'!A197="","",INDEX(#REF!,MATCH('Respuestas de formulario 1.1'!B197,#REF!,0),MATCH('Respuestas de formulario 1.1'!$DH$1,#REF!,0)))</f>
        <v>#REF!</v>
      </c>
      <c r="DK197" s="52" t="str">
        <f>CONCATENATE("http://doc.google.com/uc?id=",MID('Respuestas de formulario 1.1'!G197,34,33))</f>
        <v>http://doc.google.com/uc?id=1xtfdMV5114salyrY4tOq_mmg5T2SqBXS</v>
      </c>
      <c r="DL197" s="49" t="str">
        <f>CONCATENATE("http://doc.google.com/uc?id=",MID('Respuestas de formulario 1.1'!AH197,34,33))</f>
        <v>http://doc.google.com/uc?id=1XgY2KJdwms_MbnQsayrP_wJ4bN5RAWHL</v>
      </c>
      <c r="DM197" s="50" t="str">
        <f>CONCATENATE("http://doc.google.com/uc?id=",MID('Respuestas de formulario 1.1'!AW197,34,33))</f>
        <v>http://doc.google.com/uc?id=1tNrCiGSL4VetDSHVTrw5TMcca9zXspDz</v>
      </c>
      <c r="DN197" s="53" t="str">
        <f>CONCATENATE("http://doc.google.com/uc?id=",MID('Respuestas de formulario 1.1'!$BI197,34,33))</f>
        <v>http://doc.google.com/uc?id=1U1UamDDuFQQ-dwwuApvmrkuc_tecjJDf</v>
      </c>
      <c r="DO197" s="45" t="str">
        <f>IFERROR(VLOOKUP(CONCATENATE('Respuestas de formulario 1.1'!$B197,MID('Respuestas de formulario 1.1'!DO$1,2,1)),#REF!,12,0),"")</f>
        <v/>
      </c>
      <c r="DP197" s="45" t="str">
        <f>IFERROR(VLOOKUP(CONCATENATE('Respuestas de formulario 1.1'!$B197,MID('Respuestas de formulario 1.1'!DP$1,2,1)),#REF!,12,0),"")</f>
        <v/>
      </c>
      <c r="DQ197" s="45" t="str">
        <f>IFERROR(VLOOKUP(CONCATENATE('Respuestas de formulario 1.1'!$B197,MID('Respuestas de formulario 1.1'!DQ$1,2,1)),#REF!,12,0),"")</f>
        <v/>
      </c>
      <c r="DR197" s="45" t="str">
        <f>IFERROR(VLOOKUP(CONCATENATE('Respuestas de formulario 1.1'!$B197,MID('Respuestas de formulario 1.1'!DR$1,2,1)),#REF!,12,0),"")</f>
        <v/>
      </c>
      <c r="DS197" s="45" t="str">
        <f>IFERROR(VLOOKUP(CONCATENATE('Respuestas de formulario 1.1'!$B197,MID('Respuestas de formulario 1.1'!DS$1,2,1)),#REF!,12,0),"")</f>
        <v/>
      </c>
      <c r="DT197" s="45" t="str">
        <f>IFERROR(VLOOKUP(CONCATENATE('Respuestas de formulario 1.1'!$B197,MID('Respuestas de formulario 1.1'!DT$1,2,1)),#REF!,12,0),"")</f>
        <v/>
      </c>
      <c r="DU197" s="45" t="str">
        <f>IFERROR(VLOOKUP(CONCATENATE('Respuestas de formulario 1.1'!$B197,MID('Respuestas de formulario 1.1'!DU$1,2,1)),#REF!,12,0),"")</f>
        <v/>
      </c>
      <c r="DV197" s="45" t="str">
        <f>IFERROR(VLOOKUP(CONCATENATE('Respuestas de formulario 1.1'!$B197,MID('Respuestas de formulario 1.1'!DV$1,2,1)),#REF!,12,0),"")</f>
        <v/>
      </c>
      <c r="DW197" s="45" t="str">
        <f>IFERROR(VLOOKUP(CONCATENATE('Respuestas de formulario 1.1'!$B197,MID('Respuestas de formulario 1.1'!DW$1,2,1)),#REF!,12,0),"")</f>
        <v/>
      </c>
      <c r="DX197" s="45" t="str">
        <f>IFERROR(VLOOKUP(CONCATENATE('Respuestas de formulario 1.1'!$B197,MID('Respuestas de formulario 1.1'!DX$1,2,1)),#REF!,12,0),"")</f>
        <v/>
      </c>
      <c r="DY197" s="45" t="str">
        <f>IFERROR(VLOOKUP(CONCATENATE('Respuestas de formulario 1.1'!$B197,MID('Respuestas de formulario 1.1'!DY$1,2,1)),#REF!,12,0),"")</f>
        <v/>
      </c>
      <c r="DZ197" s="45" t="str">
        <f>IFERROR(VLOOKUP(CONCATENATE('Respuestas de formulario 1.1'!$B197,MID('Respuestas de formulario 1.1'!DZ$1,2,1)),#REF!,12,0),"")</f>
        <v/>
      </c>
      <c r="EA197" s="45" t="str">
        <f>IFERROR(VLOOKUP(CONCATENATE('Respuestas de formulario 1.1'!$B197,MID('Respuestas de formulario 1.1'!EA$1,2,1)),#REF!,12,0),"")</f>
        <v/>
      </c>
      <c r="EB197" s="45" t="str">
        <f>IFERROR(VLOOKUP(CONCATENATE('Respuestas de formulario 1.1'!$B197,MID('Respuestas de formulario 1.1'!EB$1,2,1)),#REF!,12,0),"")</f>
        <v/>
      </c>
      <c r="EC197" s="45" t="str">
        <f>IFERROR(VLOOKUP(CONCATENATE('Respuestas de formulario 1.1'!$B197,MID('Respuestas de formulario 1.1'!EC$1,2,1)),#REF!,12,0),"")</f>
        <v/>
      </c>
      <c r="ED197" s="45" t="str">
        <f>IFERROR(VLOOKUP(CONCATENATE('Respuestas de formulario 1.1'!$B197,MID('Respuestas de formulario 1.1'!ED$1,2,1)),#REF!,12,0),"")</f>
        <v/>
      </c>
      <c r="EE197" s="45" t="str">
        <f>IFERROR(VLOOKUP(CONCATENATE('Respuestas de formulario 1.1'!$B197,MID('Respuestas de formulario 1.1'!EE$1,2,1)),#REF!,12,0),"")</f>
        <v/>
      </c>
      <c r="EF197" s="45" t="str">
        <f>IFERROR(VLOOKUP(CONCATENATE('Respuestas de formulario 1.1'!$B197,MID('Respuestas de formulario 1.1'!EF$1,2,1)),#REF!,12,0),"")</f>
        <v/>
      </c>
      <c r="EG197" s="45" t="str">
        <f>IFERROR(VLOOKUP(CONCATENATE('Respuestas de formulario 1.1'!$B197,MID('Respuestas de formulario 1.1'!EG$1,2,1)),#REF!,12,0),"")</f>
        <v/>
      </c>
      <c r="EH197" s="45" t="str">
        <f>IFERROR(VLOOKUP(CONCATENATE('Respuestas de formulario 1.1'!$B197,MID('Respuestas de formulario 1.1'!EH$1,2,1)),#REF!,12,0),"")</f>
        <v/>
      </c>
      <c r="EI197" s="45" t="str">
        <f>IFERROR(VLOOKUP(CONCATENATE('Respuestas de formulario 1.1'!$B197,MID('Respuestas de formulario 1.1'!EI$1,2,1)),#REF!,12,0),"")</f>
        <v/>
      </c>
      <c r="EJ197" s="45" t="str">
        <f t="array" ref="EJ197">IF(DO197="","", INDEX(#REF!,MATCH(CONCATENATE('Respuestas de formulario 1.1'!$B197,DO197),#REF!,0),MATCH('Respuestas de formulario 1.1'!EJ$1,#REF!,0)))</f>
        <v/>
      </c>
      <c r="EK197" s="56" t="str">
        <f t="array" ref="EK197">IF(DP197="","", INDEX(#REF!,MATCH(CONCATENATE('Respuestas de formulario 1.1'!$B197,DP197),#REF!,0),MATCH('Respuestas de formulario 1.1'!EK$1,#REF!,0)))</f>
        <v/>
      </c>
      <c r="EL197" s="56" t="str">
        <f t="array" ref="EL197">IF(DQ197="","", INDEX(#REF!,MATCH(CONCATENATE('Respuestas de formulario 1.1'!$B197,DQ197),#REF!,0),MATCH('Respuestas de formulario 1.1'!EL$1,#REF!,0)))</f>
        <v/>
      </c>
      <c r="EM197" s="56" t="str">
        <f t="array" ref="EM197">IF(DR197="","", INDEX(#REF!,MATCH(CONCATENATE('Respuestas de formulario 1.1'!$B197,DR197),#REF!,0),MATCH('Respuestas de formulario 1.1'!EM$1,#REF!,0)))</f>
        <v/>
      </c>
      <c r="EN197" s="56" t="str">
        <f t="array" ref="EN197">IF(DS197="","", INDEX(#REF!,MATCH(CONCATENATE('Respuestas de formulario 1.1'!$B197,DS197),#REF!,0),MATCH('Respuestas de formulario 1.1'!EN$1,#REF!,0)))</f>
        <v/>
      </c>
      <c r="EO197" s="56" t="str">
        <f t="array" ref="EO197">IF(DT197="","", INDEX(#REF!,MATCH(CONCATENATE('Respuestas de formulario 1.1'!$B197,DT197),#REF!,0),MATCH('Respuestas de formulario 1.1'!EO$1,#REF!,0)))</f>
        <v/>
      </c>
      <c r="EP197" s="45" t="str">
        <f t="array" ref="EP197">IF(DU197="","", INDEX(#REF!,MATCH(CONCATENATE('Respuestas de formulario 1.1'!$B197,DU197),#REF!,0),MATCH('Respuestas de formulario 1.1'!EP$1,#REF!,0)))</f>
        <v/>
      </c>
      <c r="EQ197" s="45" t="str">
        <f t="array" ref="EQ197">IF(DP197="","", INDEX(#REF!,MATCH(CONCATENATE('Respuestas de formulario 1.1'!$B197,DP197),#REF!,0),MATCH('Respuestas de formulario 1.1'!EQ$1,#REF!,0)))</f>
        <v/>
      </c>
      <c r="ER197" s="56" t="str">
        <f t="array" ref="ER197">IF(DQ197="","", INDEX(#REF!,MATCH(CONCATENATE('Respuestas de formulario 1.1'!$B197,DQ197),#REF!,0),MATCH('Respuestas de formulario 1.1'!ER$1,#REF!,0)))</f>
        <v/>
      </c>
      <c r="ES197" s="56" t="str">
        <f t="array" ref="ES197">IF(DR197="","", INDEX(#REF!,MATCH(CONCATENATE('Respuestas de formulario 1.1'!$B197,DR197),#REF!,0),MATCH('Respuestas de formulario 1.1'!ES$1,#REF!,0)))</f>
        <v/>
      </c>
      <c r="ET197" s="56" t="str">
        <f t="array" ref="ET197">IF(DS197="","", INDEX(#REF!,MATCH(CONCATENATE('Respuestas de formulario 1.1'!$B197,DS197),#REF!,0),MATCH('Respuestas de formulario 1.1'!ET$1,#REF!,0)))</f>
        <v/>
      </c>
      <c r="EU197" s="56" t="str">
        <f t="array" ref="EU197">IF(DT197="","", INDEX(#REF!,MATCH(CONCATENATE('Respuestas de formulario 1.1'!$B197,DT197),#REF!,0),MATCH('Respuestas de formulario 1.1'!EU$1,#REF!,0)))</f>
        <v/>
      </c>
      <c r="EV197" s="56" t="str">
        <f t="array" ref="EV197">IF(DU197="","", INDEX(#REF!,MATCH(CONCATENATE('Respuestas de formulario 1.1'!$B197,DU197),#REF!,0),MATCH('Respuestas de formulario 1.1'!EV$1,#REF!,0)))</f>
        <v/>
      </c>
      <c r="EW197" s="45" t="str">
        <f t="array" ref="EW197">IF(DV197="","", INDEX(#REF!,MATCH(CONCATENATE('Respuestas de formulario 1.1'!$B197,DV197),#REF!,0),MATCH('Respuestas de formulario 1.1'!EW$1,#REF!,0)))</f>
        <v/>
      </c>
      <c r="EX197" s="45" t="str">
        <f t="array" ref="EX197">IF($DQ197="","", INDEX(#REF!,MATCH(CONCATENATE('Respuestas de formulario 1.1'!$B197,$DQ197),#REF!,0),MATCH('Respuestas de formulario 1.1'!EX$1,#REF!,0)))</f>
        <v/>
      </c>
      <c r="EY197" s="56" t="str">
        <f t="array" ref="EY197">IF($DQ197="","", INDEX(#REF!,MATCH(CONCATENATE('Respuestas de formulario 1.1'!$B197,$DQ197),#REF!,0),MATCH('Respuestas de formulario 1.1'!EY$1,#REF!,0)))</f>
        <v/>
      </c>
      <c r="EZ197" s="56" t="str">
        <f t="array" ref="EZ197">IF($DQ197="","", INDEX(#REF!,MATCH(CONCATENATE('Respuestas de formulario 1.1'!$B197,$DQ197),#REF!,0),MATCH('Respuestas de formulario 1.1'!EZ$1,#REF!,0)))</f>
        <v/>
      </c>
      <c r="FA197" s="56" t="str">
        <f t="array" ref="FA197">IF($DQ197="","", INDEX(#REF!,MATCH(CONCATENATE('Respuestas de formulario 1.1'!$B197,$DQ197),#REF!,0),MATCH('Respuestas de formulario 1.1'!FA$1,#REF!,0)))</f>
        <v/>
      </c>
      <c r="FB197" s="56" t="str">
        <f t="array" ref="FB197">IF($DQ197="","", INDEX(#REF!,MATCH(CONCATENATE('Respuestas de formulario 1.1'!$B197,$DQ197),#REF!,0),MATCH('Respuestas de formulario 1.1'!FB$1,#REF!,0)))</f>
        <v/>
      </c>
      <c r="FC197" s="56" t="str">
        <f t="array" ref="FC197">IF($DQ197="","", INDEX(#REF!,MATCH(CONCATENATE('Respuestas de formulario 1.1'!$B197,$DQ197),#REF!,0),MATCH('Respuestas de formulario 1.1'!FC$1,#REF!,0)))</f>
        <v/>
      </c>
      <c r="FD197" s="45" t="str">
        <f t="array" ref="FD197">IF($DQ197="","", INDEX(#REF!,MATCH(CONCATENATE('Respuestas de formulario 1.1'!$B197,$DQ197),#REF!,0),MATCH('Respuestas de formulario 1.1'!FD$1,#REF!,0)))</f>
        <v/>
      </c>
      <c r="FE197" s="45" t="str">
        <f t="array" ref="FE197">IF($DR197="","", INDEX(#REF!,MATCH(CONCATENATE(#REF!,$DR197),#REF!,0),MATCH(#REF!,#REF!,0)))</f>
        <v/>
      </c>
      <c r="FF197" s="56" t="str">
        <f t="array" ref="FF197">IF($DR197="","", INDEX(#REF!,MATCH(CONCATENATE(#REF!,$DR197),#REF!,0),MATCH(#REF!,#REF!,0)))</f>
        <v/>
      </c>
      <c r="FG197" s="56" t="str">
        <f t="array" ref="FG197">IF($DR197="","", INDEX(#REF!,MATCH(CONCATENATE(#REF!,$DR197),#REF!,0),MATCH(#REF!,#REF!,0)))</f>
        <v/>
      </c>
      <c r="FH197" s="56" t="str">
        <f t="array" ref="FH197">IF($DR197="","", INDEX(#REF!,MATCH(CONCATENATE(#REF!,$DR197),#REF!,0),MATCH(#REF!,#REF!,0)))</f>
        <v/>
      </c>
      <c r="FI197" s="56" t="str">
        <f t="array" ref="FI197">IF($DR197="","", INDEX(#REF!,MATCH(CONCATENATE(#REF!,$DR197),#REF!,0),MATCH(#REF!,#REF!,0)))</f>
        <v/>
      </c>
      <c r="FJ197" s="56" t="str">
        <f t="array" ref="FJ197">IF($DR197="","", INDEX(#REF!,MATCH(CONCATENATE(#REF!,$DR197),#REF!,0),MATCH(#REF!,#REF!,0)))</f>
        <v/>
      </c>
      <c r="FK197" s="45" t="str">
        <f t="array" ref="FK197">IF($DR197="","", INDEX(#REF!,MATCH(CONCATENATE(#REF!,$DR197),#REF!,0),MATCH(#REF!,#REF!,0)))</f>
        <v/>
      </c>
      <c r="FL197" s="45" t="str">
        <f t="array" ref="FL197">IF($DT197="","", INDEX(#REF!,MATCH(CONCATENATE('Respuestas de formulario 1.1'!$B197,$DS197),#REF!,0),MATCH('Respuestas de formulario 1.1'!FL$1,#REF!,0)))</f>
        <v/>
      </c>
      <c r="FM197" s="56" t="str">
        <f t="array" ref="FM197">IF($DT197="","", INDEX(#REF!,MATCH(CONCATENATE('Respuestas de formulario 1.1'!$B197,$DS197),#REF!,0),MATCH('Respuestas de formulario 1.1'!FM$1,#REF!,0)))</f>
        <v/>
      </c>
      <c r="FN197" s="56" t="str">
        <f t="array" ref="FN197">IF($DT197="","", INDEX(#REF!,MATCH(CONCATENATE('Respuestas de formulario 1.1'!$B197,$DS197),#REF!,0),MATCH('Respuestas de formulario 1.1'!FN$1,#REF!,0)))</f>
        <v/>
      </c>
      <c r="FO197" s="56" t="str">
        <f t="array" ref="FO197">IF($DT197="","", INDEX(#REF!,MATCH(CONCATENATE('Respuestas de formulario 1.1'!$B197,$DS197),#REF!,0),MATCH('Respuestas de formulario 1.1'!FO$1,#REF!,0)))</f>
        <v/>
      </c>
      <c r="FP197" s="56" t="str">
        <f t="array" ref="FP197">IF($DT197="","", INDEX(#REF!,MATCH(CONCATENATE('Respuestas de formulario 1.1'!$B197,$DS197),#REF!,0),MATCH('Respuestas de formulario 1.1'!FP$1,#REF!,0)))</f>
        <v/>
      </c>
      <c r="FQ197" s="56" t="str">
        <f t="array" ref="FQ197">IF($DT197="","", INDEX(#REF!,MATCH(CONCATENATE('Respuestas de formulario 1.1'!$B197,$DS197),#REF!,0),MATCH('Respuestas de formulario 1.1'!FQ$1,#REF!,0)))</f>
        <v/>
      </c>
      <c r="FR197" s="45" t="str">
        <f t="array" ref="FR197">IF($DT197="","", INDEX(#REF!,MATCH(CONCATENATE('Respuestas de formulario 1.1'!$B197,$DS197),#REF!,0),MATCH('Respuestas de formulario 1.1'!FR$1,#REF!,0)))</f>
        <v/>
      </c>
      <c r="FS197" s="45" t="str">
        <f t="array" ref="FS197">IF($DU197="","", INDEX(#REF!,MATCH(CONCATENATE('Respuestas de formulario 1.1'!$B197,$DT197),#REF!,0),MATCH('Respuestas de formulario 1.1'!FS$1,#REF!,0)))</f>
        <v/>
      </c>
      <c r="FT197" s="56" t="str">
        <f t="array" ref="FT197">IF($DU197="","", INDEX(#REF!,MATCH(CONCATENATE('Respuestas de formulario 1.1'!$B197,$DT197),#REF!,0),MATCH('Respuestas de formulario 1.1'!FT$1,#REF!,0)))</f>
        <v/>
      </c>
      <c r="FU197" s="56" t="str">
        <f t="array" ref="FU197">IF($DU197="","", INDEX(#REF!,MATCH(CONCATENATE('Respuestas de formulario 1.1'!$B197,$DT197),#REF!,0),MATCH('Respuestas de formulario 1.1'!FU$1,#REF!,0)))</f>
        <v/>
      </c>
      <c r="FV197" s="56" t="str">
        <f t="array" ref="FV197">IF($DU197="","", INDEX(#REF!,MATCH(CONCATENATE('Respuestas de formulario 1.1'!$B197,$DT197),#REF!,0),MATCH('Respuestas de formulario 1.1'!FV$1,#REF!,0)))</f>
        <v/>
      </c>
      <c r="FW197" s="56" t="str">
        <f t="array" ref="FW197">IF($DU197="","", INDEX(#REF!,MATCH(CONCATENATE('Respuestas de formulario 1.1'!$B197,$DT197),#REF!,0),MATCH('Respuestas de formulario 1.1'!FW$1,#REF!,0)))</f>
        <v/>
      </c>
      <c r="FX197" s="56" t="str">
        <f t="array" ref="FX197">IF($DU197="","", INDEX(#REF!,MATCH(CONCATENATE('Respuestas de formulario 1.1'!$B197,$DT197),#REF!,0),MATCH('Respuestas de formulario 1.1'!FX$1,#REF!,0)))</f>
        <v/>
      </c>
      <c r="FY197" s="45" t="str">
        <f t="array" ref="FY197">IF($DU197="","", INDEX(#REF!,MATCH(CONCATENATE('Respuestas de formulario 1.1'!$B197,$DT197),#REF!,0),MATCH('Respuestas de formulario 1.1'!FY$1,#REF!,0)))</f>
        <v/>
      </c>
      <c r="FZ197" s="3" t="s">
        <v>2860</v>
      </c>
      <c r="GA197" s="1" t="s">
        <v>6218</v>
      </c>
      <c r="GB197" s="5" t="s">
        <v>6219</v>
      </c>
      <c r="GC197" s="4" t="str">
        <f>HYPERLINK("https://drive.google.com/file/d/1jWmCUA_zjrCSX3II1V7MK489kFQdUi75/view?usp=drivesdk","DOMINGUEZ DIAZ ESDRAS ANTONIO Formato de reinscripción y pago 2022-2")</f>
        <v>DOMINGUEZ DIAZ ESDRAS ANTONIO Formato de reinscripción y pago 2022-2</v>
      </c>
      <c r="GD197" s="1" t="s">
        <v>6220</v>
      </c>
      <c r="GE197" s="1"/>
      <c r="GF197" s="1"/>
      <c r="GG197" s="1"/>
      <c r="GH197" s="1"/>
      <c r="GI197" s="1" t="s">
        <v>6221</v>
      </c>
      <c r="GJ197" s="5" t="s">
        <v>6222</v>
      </c>
      <c r="GK197" s="5" t="str">
        <f>HYPERLINK("https://drive.google.com/file/d/1LhYN0vQM6Yg4zPTJROleiKk9t1njcn_n/view?usp=drivesdk","DOMINGUEZ DIAZ ESDRAS ANTONIO Formato de reinscripción y pago 2022-2")</f>
        <v>DOMINGUEZ DIAZ ESDRAS ANTONIO Formato de reinscripción y pago 2022-2</v>
      </c>
      <c r="GL197" s="1" t="s">
        <v>6223</v>
      </c>
    </row>
    <row r="198" spans="1:194" ht="14.25" x14ac:dyDescent="0.2">
      <c r="A198" s="2">
        <v>45139.819343460651</v>
      </c>
      <c r="B198" s="1" t="s">
        <v>2619</v>
      </c>
      <c r="C198" s="1" t="s">
        <v>474</v>
      </c>
      <c r="D198" s="1" t="s">
        <v>418</v>
      </c>
      <c r="E198" s="1" t="s">
        <v>427</v>
      </c>
      <c r="F198" s="1" t="s">
        <v>223</v>
      </c>
      <c r="G198" s="5" t="s">
        <v>6224</v>
      </c>
      <c r="H198" s="41">
        <v>39116</v>
      </c>
      <c r="I198" s="1">
        <v>16</v>
      </c>
      <c r="J198" s="1">
        <v>5610826012</v>
      </c>
      <c r="K198" s="1" t="s">
        <v>6225</v>
      </c>
      <c r="L198" s="1" t="s">
        <v>2620</v>
      </c>
      <c r="M198" s="1">
        <v>22309060570300</v>
      </c>
      <c r="N198" s="1" t="s">
        <v>562</v>
      </c>
      <c r="O198" s="1" t="s">
        <v>225</v>
      </c>
      <c r="P198" s="1" t="s">
        <v>278</v>
      </c>
      <c r="Q198" s="1" t="s">
        <v>227</v>
      </c>
      <c r="R198" s="1" t="s">
        <v>236</v>
      </c>
      <c r="S198" s="1" t="s">
        <v>228</v>
      </c>
      <c r="T198" s="1" t="s">
        <v>229</v>
      </c>
      <c r="U198" s="1" t="s">
        <v>249</v>
      </c>
      <c r="V198" s="1" t="s">
        <v>228</v>
      </c>
      <c r="W198" s="1" t="s">
        <v>6226</v>
      </c>
      <c r="X198" s="1" t="s">
        <v>249</v>
      </c>
      <c r="Y198" s="1" t="s">
        <v>6227</v>
      </c>
      <c r="Z198" s="1" t="s">
        <v>240</v>
      </c>
      <c r="AA198" s="44" t="s">
        <v>711</v>
      </c>
      <c r="AB198" s="1" t="s">
        <v>2621</v>
      </c>
      <c r="AC198" s="1" t="s">
        <v>1830</v>
      </c>
      <c r="AD198" s="1" t="s">
        <v>6228</v>
      </c>
      <c r="AE198" s="1" t="s">
        <v>6229</v>
      </c>
      <c r="AF198" s="1" t="s">
        <v>445</v>
      </c>
      <c r="AG198" s="1">
        <v>45</v>
      </c>
      <c r="AH198" s="5" t="s">
        <v>6230</v>
      </c>
      <c r="AI198" s="1">
        <v>5632774359</v>
      </c>
      <c r="AJ198" s="1">
        <v>5563771331</v>
      </c>
      <c r="AK198" s="1" t="s">
        <v>2622</v>
      </c>
      <c r="AL198" s="1" t="s">
        <v>474</v>
      </c>
      <c r="AM198" s="1" t="s">
        <v>286</v>
      </c>
      <c r="AN198" s="1" t="s">
        <v>515</v>
      </c>
      <c r="AO198" s="1" t="s">
        <v>650</v>
      </c>
      <c r="AP198" s="1">
        <v>46</v>
      </c>
      <c r="AQ198" s="1" t="s">
        <v>842</v>
      </c>
      <c r="AR198" s="42">
        <v>0.22499999999854481</v>
      </c>
      <c r="AS198" s="42">
        <v>0.51666666666278616</v>
      </c>
      <c r="AT198" s="1">
        <v>5514935934</v>
      </c>
      <c r="AU198" s="1">
        <v>5563771431</v>
      </c>
      <c r="AV198" s="1" t="s">
        <v>2623</v>
      </c>
      <c r="AW198" s="5" t="s">
        <v>6231</v>
      </c>
      <c r="AX198" s="1" t="s">
        <v>474</v>
      </c>
      <c r="AY198" s="1" t="s">
        <v>418</v>
      </c>
      <c r="AZ198" s="1" t="s">
        <v>6232</v>
      </c>
      <c r="BA198" s="1" t="s">
        <v>758</v>
      </c>
      <c r="BB198" s="1">
        <v>30</v>
      </c>
      <c r="BC198" s="1" t="s">
        <v>6233</v>
      </c>
      <c r="BD198" s="43">
        <v>0.20833333333575865</v>
      </c>
      <c r="BE198" s="43">
        <v>0.33333333333575865</v>
      </c>
      <c r="BF198" s="1">
        <v>5549171779</v>
      </c>
      <c r="BG198" s="1">
        <v>5563771431</v>
      </c>
      <c r="BH198" s="1" t="s">
        <v>6234</v>
      </c>
      <c r="BI198" s="5" t="s">
        <v>6235</v>
      </c>
      <c r="BJ198" s="1" t="s">
        <v>236</v>
      </c>
      <c r="BL198" s="1">
        <v>1.67</v>
      </c>
      <c r="BM198" s="1">
        <v>80</v>
      </c>
      <c r="BN198" s="1" t="s">
        <v>236</v>
      </c>
      <c r="BO198" s="1" t="s">
        <v>228</v>
      </c>
      <c r="BQ198" s="1" t="s">
        <v>228</v>
      </c>
      <c r="BR198" s="1" t="s">
        <v>237</v>
      </c>
      <c r="BS198" s="1" t="s">
        <v>236</v>
      </c>
      <c r="BT198" s="1" t="s">
        <v>237</v>
      </c>
      <c r="BU198" s="1" t="s">
        <v>228</v>
      </c>
      <c r="BW198" s="1" t="s">
        <v>272</v>
      </c>
      <c r="BX198" s="1">
        <v>40</v>
      </c>
      <c r="BY198" s="1">
        <v>50</v>
      </c>
      <c r="BZ198" s="1" t="s">
        <v>6236</v>
      </c>
      <c r="CA198" s="1" t="s">
        <v>343</v>
      </c>
      <c r="CB198" s="1" t="s">
        <v>240</v>
      </c>
      <c r="CC198" s="1" t="s">
        <v>300</v>
      </c>
      <c r="CD198" s="1">
        <v>1500</v>
      </c>
      <c r="CE198" s="1">
        <v>2500</v>
      </c>
      <c r="CF198" s="1" t="s">
        <v>236</v>
      </c>
      <c r="CG198" s="1" t="s">
        <v>242</v>
      </c>
      <c r="CH198" s="1" t="s">
        <v>243</v>
      </c>
      <c r="CI198" s="1" t="s">
        <v>243</v>
      </c>
      <c r="CJ198" s="1" t="s">
        <v>2848</v>
      </c>
      <c r="CL198" s="5" t="s">
        <v>6237</v>
      </c>
      <c r="CM198" s="1">
        <v>52210746799</v>
      </c>
      <c r="CN198" s="1" t="s">
        <v>228</v>
      </c>
      <c r="CQ198" s="42">
        <v>0.30833333333430346</v>
      </c>
      <c r="CR198" s="42">
        <v>0.30833333333430346</v>
      </c>
      <c r="CT198" s="45" t="str">
        <f t="array" ref="CT198">IFERROR(INDEX(#REF!,MATCH('Respuestas de formulario 1.1'!$B198,#REF!,0),MATCH('Respuestas de formulario 1.1'!CT$1,#REF!,0)),"")</f>
        <v/>
      </c>
      <c r="CU198" s="56" t="str">
        <f t="array" ref="CU198">IFERROR(INDEX(#REF!,MATCH('Respuestas de formulario 1.1'!$B198,#REF!,0),MATCH('Respuestas de formulario 1.1'!CU$1,#REF!,0)),"")</f>
        <v/>
      </c>
      <c r="CV198" s="56" t="str">
        <f t="array" ref="CV198">IFERROR(INDEX(#REF!,MATCH('Respuestas de formulario 1.1'!$B198,#REF!,0),MATCH('Respuestas de formulario 1.1'!CV$1,#REF!,0)),"")</f>
        <v/>
      </c>
      <c r="CW198" s="56" t="str">
        <f t="array" ref="CW198">IFERROR(INDEX(#REF!,MATCH('Respuestas de formulario 1.1'!$B198,#REF!,0),MATCH('Respuestas de formulario 1.1'!CW$1,#REF!,0)),"")</f>
        <v/>
      </c>
      <c r="CX198" s="56" t="str">
        <f t="array" ref="CX198">IFERROR(INDEX(#REF!,MATCH('Respuestas de formulario 1.1'!$B198,#REF!,0),MATCH('Respuestas de formulario 1.1'!CX$1,#REF!,0)),"")</f>
        <v/>
      </c>
      <c r="CY198" s="56" t="str">
        <f t="array" ref="CY198">IFERROR(INDEX(#REF!,MATCH('Respuestas de formulario 1.1'!$B198,#REF!,0),MATCH('Respuestas de formulario 1.1'!CY$1,#REF!,0)),"")</f>
        <v/>
      </c>
      <c r="CZ198" s="57" t="str">
        <f t="array" ref="CZ198">IFERROR(INDEX(#REF!,MATCH('Respuestas de formulario 1.1'!$B198,#REF!,0),MATCH('Respuestas de formulario 1.1'!CZ$1,#REF!,0)),"")</f>
        <v/>
      </c>
      <c r="DA198" s="45" t="e">
        <f t="array" ref="DA198">INDEX(#REF!,MATCH('Respuestas de formulario 1.1'!$B198,#REF!,0),MATCH('Respuestas de formulario 1.1'!DA$1,#REF!,0))</f>
        <v>#REF!</v>
      </c>
      <c r="DB198" s="45" t="e">
        <f t="array" ref="DB198">INDEX(#REF!,MATCH('Respuestas de formulario 1.1'!$B198,#REF!,0),MATCH('Respuestas de formulario 1.1'!DB$1,#REF!,0))</f>
        <v>#REF!</v>
      </c>
      <c r="DC198" s="45" t="e">
        <f t="array" ref="DC198">INDEX(#REF!,MATCH('Respuestas de formulario 1.1'!$B198,#REF!,0),MATCH('Respuestas de formulario 1.1'!DC$1,#REF!,0))</f>
        <v>#REF!</v>
      </c>
      <c r="DD198" s="45" t="e">
        <f t="array" ref="DD198">INDEX(#REF!,MATCH('Respuestas de formulario 1.1'!$B198,#REF!,0),MATCH('Respuestas de formulario 1.1'!DD$1,#REF!,0))</f>
        <v>#REF!</v>
      </c>
      <c r="DE198" s="45" t="e">
        <f t="array" ref="DE198">INDEX(#REF!,MATCH('Respuestas de formulario 1.1'!$B198,#REF!,0),MATCH('Respuestas de formulario 1.1'!DE$1,#REF!,0))</f>
        <v>#REF!</v>
      </c>
      <c r="DF198" s="45" t="e">
        <f t="array" ref="DF198">INDEX(#REF!,MATCH('Respuestas de formulario 1.1'!$B198,#REF!,0),MATCH('Respuestas de formulario 1.1'!DF$1,#REF!,0))</f>
        <v>#REF!</v>
      </c>
      <c r="DG198" s="45" t="e">
        <f t="array" ref="DG198">INDEX(#REF!,MATCH('Respuestas de formulario 1.1'!$B198,#REF!,0),MATCH('Respuestas de formulario 1.1'!DG$1,#REF!,0))</f>
        <v>#REF!</v>
      </c>
      <c r="DH198" s="45" t="e">
        <f t="array" ref="DH198">INDEX(#REF!,MATCH('Respuestas de formulario 1.1'!$B198,#REF!,0),MATCH('Respuestas de formulario 1.1'!DH$1,#REF!,0))</f>
        <v>#REF!</v>
      </c>
      <c r="DI198" s="48" t="e">
        <f>VLOOKUP(CONCATENATE($DF198," TUTO ",$DC198),#REF!,3,0)</f>
        <v>#REF!</v>
      </c>
      <c r="DJ198" s="48" t="e">
        <f t="array" ref="DJ198">IF('Respuestas de formulario 1.1'!A198="","",INDEX(#REF!,MATCH('Respuestas de formulario 1.1'!B198,#REF!,0),MATCH('Respuestas de formulario 1.1'!$DH$1,#REF!,0)))</f>
        <v>#REF!</v>
      </c>
      <c r="DK198" s="52" t="str">
        <f>CONCATENATE("http://doc.google.com/uc?id=",MID('Respuestas de formulario 1.1'!G198,34,33))</f>
        <v>http://doc.google.com/uc?id=1KwNNt3oGnizGWHdzQltZCTwon39dd3zG</v>
      </c>
      <c r="DL198" s="49" t="str">
        <f>CONCATENATE("http://doc.google.com/uc?id=",MID('Respuestas de formulario 1.1'!AH198,34,33))</f>
        <v>http://doc.google.com/uc?id=17EeWrPRT_9KWwkxutCiY9zE5rLYpBkU0</v>
      </c>
      <c r="DM198" s="50" t="str">
        <f>CONCATENATE("http://doc.google.com/uc?id=",MID('Respuestas de formulario 1.1'!AW198,34,33))</f>
        <v>http://doc.google.com/uc?id=1CWI0FwuXCaqbTVZIYOh9WR0XrZIoQnnG</v>
      </c>
      <c r="DN198" s="53" t="str">
        <f>CONCATENATE("http://doc.google.com/uc?id=",MID('Respuestas de formulario 1.1'!$BI198,34,33))</f>
        <v>http://doc.google.com/uc?id=1o3xAz1QS5Ul_t-0Ym2MYv05BiuiCnoOt</v>
      </c>
      <c r="DO198" s="45" t="str">
        <f>IFERROR(VLOOKUP(CONCATENATE('Respuestas de formulario 1.1'!$B198,MID('Respuestas de formulario 1.1'!DO$1,2,1)),#REF!,12,0),"")</f>
        <v/>
      </c>
      <c r="DP198" s="45" t="str">
        <f>IFERROR(VLOOKUP(CONCATENATE('Respuestas de formulario 1.1'!$B198,MID('Respuestas de formulario 1.1'!DP$1,2,1)),#REF!,12,0),"")</f>
        <v/>
      </c>
      <c r="DQ198" s="45" t="str">
        <f>IFERROR(VLOOKUP(CONCATENATE('Respuestas de formulario 1.1'!$B198,MID('Respuestas de formulario 1.1'!DQ$1,2,1)),#REF!,12,0),"")</f>
        <v/>
      </c>
      <c r="DR198" s="45" t="str">
        <f>IFERROR(VLOOKUP(CONCATENATE('Respuestas de formulario 1.1'!$B198,MID('Respuestas de formulario 1.1'!DR$1,2,1)),#REF!,12,0),"")</f>
        <v/>
      </c>
      <c r="DS198" s="45" t="str">
        <f>IFERROR(VLOOKUP(CONCATENATE('Respuestas de formulario 1.1'!$B198,MID('Respuestas de formulario 1.1'!DS$1,2,1)),#REF!,12,0),"")</f>
        <v/>
      </c>
      <c r="DT198" s="45" t="str">
        <f>IFERROR(VLOOKUP(CONCATENATE('Respuestas de formulario 1.1'!$B198,MID('Respuestas de formulario 1.1'!DT$1,2,1)),#REF!,12,0),"")</f>
        <v/>
      </c>
      <c r="DU198" s="45" t="str">
        <f>IFERROR(VLOOKUP(CONCATENATE('Respuestas de formulario 1.1'!$B198,MID('Respuestas de formulario 1.1'!DU$1,2,1)),#REF!,12,0),"")</f>
        <v/>
      </c>
      <c r="DV198" s="45" t="str">
        <f>IFERROR(VLOOKUP(CONCATENATE('Respuestas de formulario 1.1'!$B198,MID('Respuestas de formulario 1.1'!DV$1,2,1)),#REF!,12,0),"")</f>
        <v/>
      </c>
      <c r="DW198" s="45" t="str">
        <f>IFERROR(VLOOKUP(CONCATENATE('Respuestas de formulario 1.1'!$B198,MID('Respuestas de formulario 1.1'!DW$1,2,1)),#REF!,12,0),"")</f>
        <v/>
      </c>
      <c r="DX198" s="45" t="str">
        <f>IFERROR(VLOOKUP(CONCATENATE('Respuestas de formulario 1.1'!$B198,MID('Respuestas de formulario 1.1'!DX$1,2,1)),#REF!,12,0),"")</f>
        <v/>
      </c>
      <c r="DY198" s="45" t="str">
        <f>IFERROR(VLOOKUP(CONCATENATE('Respuestas de formulario 1.1'!$B198,MID('Respuestas de formulario 1.1'!DY$1,2,1)),#REF!,12,0),"")</f>
        <v/>
      </c>
      <c r="DZ198" s="45" t="str">
        <f>IFERROR(VLOOKUP(CONCATENATE('Respuestas de formulario 1.1'!$B198,MID('Respuestas de formulario 1.1'!DZ$1,2,1)),#REF!,12,0),"")</f>
        <v/>
      </c>
      <c r="EA198" s="45" t="str">
        <f>IFERROR(VLOOKUP(CONCATENATE('Respuestas de formulario 1.1'!$B198,MID('Respuestas de formulario 1.1'!EA$1,2,1)),#REF!,12,0),"")</f>
        <v/>
      </c>
      <c r="EB198" s="45" t="str">
        <f>IFERROR(VLOOKUP(CONCATENATE('Respuestas de formulario 1.1'!$B198,MID('Respuestas de formulario 1.1'!EB$1,2,1)),#REF!,12,0),"")</f>
        <v/>
      </c>
      <c r="EC198" s="45" t="str">
        <f>IFERROR(VLOOKUP(CONCATENATE('Respuestas de formulario 1.1'!$B198,MID('Respuestas de formulario 1.1'!EC$1,2,1)),#REF!,12,0),"")</f>
        <v/>
      </c>
      <c r="ED198" s="45" t="str">
        <f>IFERROR(VLOOKUP(CONCATENATE('Respuestas de formulario 1.1'!$B198,MID('Respuestas de formulario 1.1'!ED$1,2,1)),#REF!,12,0),"")</f>
        <v/>
      </c>
      <c r="EE198" s="45" t="str">
        <f>IFERROR(VLOOKUP(CONCATENATE('Respuestas de formulario 1.1'!$B198,MID('Respuestas de formulario 1.1'!EE$1,2,1)),#REF!,12,0),"")</f>
        <v/>
      </c>
      <c r="EF198" s="45" t="str">
        <f>IFERROR(VLOOKUP(CONCATENATE('Respuestas de formulario 1.1'!$B198,MID('Respuestas de formulario 1.1'!EF$1,2,1)),#REF!,12,0),"")</f>
        <v/>
      </c>
      <c r="EG198" s="45" t="str">
        <f>IFERROR(VLOOKUP(CONCATENATE('Respuestas de formulario 1.1'!$B198,MID('Respuestas de formulario 1.1'!EG$1,2,1)),#REF!,12,0),"")</f>
        <v/>
      </c>
      <c r="EH198" s="45" t="str">
        <f>IFERROR(VLOOKUP(CONCATENATE('Respuestas de formulario 1.1'!$B198,MID('Respuestas de formulario 1.1'!EH$1,2,1)),#REF!,12,0),"")</f>
        <v/>
      </c>
      <c r="EI198" s="45" t="str">
        <f>IFERROR(VLOOKUP(CONCATENATE('Respuestas de formulario 1.1'!$B198,MID('Respuestas de formulario 1.1'!EI$1,2,1)),#REF!,12,0),"")</f>
        <v/>
      </c>
      <c r="EJ198" s="45" t="str">
        <f t="array" ref="EJ198">IF(DO198="","", INDEX(#REF!,MATCH(CONCATENATE('Respuestas de formulario 1.1'!$B198,DO198),#REF!,0),MATCH('Respuestas de formulario 1.1'!EJ$1,#REF!,0)))</f>
        <v/>
      </c>
      <c r="EK198" s="56" t="str">
        <f t="array" ref="EK198">IF(DP198="","", INDEX(#REF!,MATCH(CONCATENATE('Respuestas de formulario 1.1'!$B198,DP198),#REF!,0),MATCH('Respuestas de formulario 1.1'!EK$1,#REF!,0)))</f>
        <v/>
      </c>
      <c r="EL198" s="56" t="str">
        <f t="array" ref="EL198">IF(DQ198="","", INDEX(#REF!,MATCH(CONCATENATE('Respuestas de formulario 1.1'!$B198,DQ198),#REF!,0),MATCH('Respuestas de formulario 1.1'!EL$1,#REF!,0)))</f>
        <v/>
      </c>
      <c r="EM198" s="56" t="str">
        <f t="array" ref="EM198">IF(DR198="","", INDEX(#REF!,MATCH(CONCATENATE('Respuestas de formulario 1.1'!$B198,DR198),#REF!,0),MATCH('Respuestas de formulario 1.1'!EM$1,#REF!,0)))</f>
        <v/>
      </c>
      <c r="EN198" s="56" t="str">
        <f t="array" ref="EN198">IF(DS198="","", INDEX(#REF!,MATCH(CONCATENATE('Respuestas de formulario 1.1'!$B198,DS198),#REF!,0),MATCH('Respuestas de formulario 1.1'!EN$1,#REF!,0)))</f>
        <v/>
      </c>
      <c r="EO198" s="56" t="str">
        <f t="array" ref="EO198">IF(DT198="","", INDEX(#REF!,MATCH(CONCATENATE('Respuestas de formulario 1.1'!$B198,DT198),#REF!,0),MATCH('Respuestas de formulario 1.1'!EO$1,#REF!,0)))</f>
        <v/>
      </c>
      <c r="EP198" s="45" t="str">
        <f t="array" ref="EP198">IF(DU198="","", INDEX(#REF!,MATCH(CONCATENATE('Respuestas de formulario 1.1'!$B198,DU198),#REF!,0),MATCH('Respuestas de formulario 1.1'!EP$1,#REF!,0)))</f>
        <v/>
      </c>
      <c r="EQ198" s="45" t="str">
        <f t="array" ref="EQ198">IF(DP198="","", INDEX(#REF!,MATCH(CONCATENATE('Respuestas de formulario 1.1'!$B198,DP198),#REF!,0),MATCH('Respuestas de formulario 1.1'!EQ$1,#REF!,0)))</f>
        <v/>
      </c>
      <c r="ER198" s="56" t="str">
        <f t="array" ref="ER198">IF(DQ198="","", INDEX(#REF!,MATCH(CONCATENATE('Respuestas de formulario 1.1'!$B198,DQ198),#REF!,0),MATCH('Respuestas de formulario 1.1'!ER$1,#REF!,0)))</f>
        <v/>
      </c>
      <c r="ES198" s="56" t="str">
        <f t="array" ref="ES198">IF(DR198="","", INDEX(#REF!,MATCH(CONCATENATE('Respuestas de formulario 1.1'!$B198,DR198),#REF!,0),MATCH('Respuestas de formulario 1.1'!ES$1,#REF!,0)))</f>
        <v/>
      </c>
      <c r="ET198" s="56" t="str">
        <f t="array" ref="ET198">IF(DS198="","", INDEX(#REF!,MATCH(CONCATENATE('Respuestas de formulario 1.1'!$B198,DS198),#REF!,0),MATCH('Respuestas de formulario 1.1'!ET$1,#REF!,0)))</f>
        <v/>
      </c>
      <c r="EU198" s="56" t="str">
        <f t="array" ref="EU198">IF(DT198="","", INDEX(#REF!,MATCH(CONCATENATE('Respuestas de formulario 1.1'!$B198,DT198),#REF!,0),MATCH('Respuestas de formulario 1.1'!EU$1,#REF!,0)))</f>
        <v/>
      </c>
      <c r="EV198" s="56" t="str">
        <f t="array" ref="EV198">IF(DU198="","", INDEX(#REF!,MATCH(CONCATENATE('Respuestas de formulario 1.1'!$B198,DU198),#REF!,0),MATCH('Respuestas de formulario 1.1'!EV$1,#REF!,0)))</f>
        <v/>
      </c>
      <c r="EW198" s="45" t="str">
        <f t="array" ref="EW198">IF(DV198="","", INDEX(#REF!,MATCH(CONCATENATE('Respuestas de formulario 1.1'!$B198,DV198),#REF!,0),MATCH('Respuestas de formulario 1.1'!EW$1,#REF!,0)))</f>
        <v/>
      </c>
      <c r="EX198" s="45" t="str">
        <f t="array" ref="EX198">IF($DQ198="","", INDEX(#REF!,MATCH(CONCATENATE('Respuestas de formulario 1.1'!$B198,$DQ198),#REF!,0),MATCH('Respuestas de formulario 1.1'!EX$1,#REF!,0)))</f>
        <v/>
      </c>
      <c r="EY198" s="56" t="str">
        <f t="array" ref="EY198">IF($DQ198="","", INDEX(#REF!,MATCH(CONCATENATE('Respuestas de formulario 1.1'!$B198,$DQ198),#REF!,0),MATCH('Respuestas de formulario 1.1'!EY$1,#REF!,0)))</f>
        <v/>
      </c>
      <c r="EZ198" s="56" t="str">
        <f t="array" ref="EZ198">IF($DQ198="","", INDEX(#REF!,MATCH(CONCATENATE('Respuestas de formulario 1.1'!$B198,$DQ198),#REF!,0),MATCH('Respuestas de formulario 1.1'!EZ$1,#REF!,0)))</f>
        <v/>
      </c>
      <c r="FA198" s="56" t="str">
        <f t="array" ref="FA198">IF($DQ198="","", INDEX(#REF!,MATCH(CONCATENATE('Respuestas de formulario 1.1'!$B198,$DQ198),#REF!,0),MATCH('Respuestas de formulario 1.1'!FA$1,#REF!,0)))</f>
        <v/>
      </c>
      <c r="FB198" s="56" t="str">
        <f t="array" ref="FB198">IF($DQ198="","", INDEX(#REF!,MATCH(CONCATENATE('Respuestas de formulario 1.1'!$B198,$DQ198),#REF!,0),MATCH('Respuestas de formulario 1.1'!FB$1,#REF!,0)))</f>
        <v/>
      </c>
      <c r="FC198" s="56" t="str">
        <f t="array" ref="FC198">IF($DQ198="","", INDEX(#REF!,MATCH(CONCATENATE('Respuestas de formulario 1.1'!$B198,$DQ198),#REF!,0),MATCH('Respuestas de formulario 1.1'!FC$1,#REF!,0)))</f>
        <v/>
      </c>
      <c r="FD198" s="45" t="str">
        <f t="array" ref="FD198">IF($DQ198="","", INDEX(#REF!,MATCH(CONCATENATE('Respuestas de formulario 1.1'!$B198,$DQ198),#REF!,0),MATCH('Respuestas de formulario 1.1'!FD$1,#REF!,0)))</f>
        <v/>
      </c>
      <c r="FE198" s="45" t="str">
        <f t="array" ref="FE198">IF($DR198="","", INDEX(#REF!,MATCH(CONCATENATE(#REF!,$DR198),#REF!,0),MATCH(#REF!,#REF!,0)))</f>
        <v/>
      </c>
      <c r="FF198" s="56" t="str">
        <f t="array" ref="FF198">IF($DR198="","", INDEX(#REF!,MATCH(CONCATENATE(#REF!,$DR198),#REF!,0),MATCH(#REF!,#REF!,0)))</f>
        <v/>
      </c>
      <c r="FG198" s="56" t="str">
        <f t="array" ref="FG198">IF($DR198="","", INDEX(#REF!,MATCH(CONCATENATE(#REF!,$DR198),#REF!,0),MATCH(#REF!,#REF!,0)))</f>
        <v/>
      </c>
      <c r="FH198" s="56" t="str">
        <f t="array" ref="FH198">IF($DR198="","", INDEX(#REF!,MATCH(CONCATENATE(#REF!,$DR198),#REF!,0),MATCH(#REF!,#REF!,0)))</f>
        <v/>
      </c>
      <c r="FI198" s="56" t="str">
        <f t="array" ref="FI198">IF($DR198="","", INDEX(#REF!,MATCH(CONCATENATE(#REF!,$DR198),#REF!,0),MATCH(#REF!,#REF!,0)))</f>
        <v/>
      </c>
      <c r="FJ198" s="56" t="str">
        <f t="array" ref="FJ198">IF($DR198="","", INDEX(#REF!,MATCH(CONCATENATE(#REF!,$DR198),#REF!,0),MATCH(#REF!,#REF!,0)))</f>
        <v/>
      </c>
      <c r="FK198" s="45" t="str">
        <f t="array" ref="FK198">IF($DR198="","", INDEX(#REF!,MATCH(CONCATENATE(#REF!,$DR198),#REF!,0),MATCH(#REF!,#REF!,0)))</f>
        <v/>
      </c>
      <c r="FL198" s="45" t="str">
        <f t="array" ref="FL198">IF($DT198="","", INDEX(#REF!,MATCH(CONCATENATE('Respuestas de formulario 1.1'!$B198,$DS198),#REF!,0),MATCH('Respuestas de formulario 1.1'!FL$1,#REF!,0)))</f>
        <v/>
      </c>
      <c r="FM198" s="56" t="str">
        <f t="array" ref="FM198">IF($DT198="","", INDEX(#REF!,MATCH(CONCATENATE('Respuestas de formulario 1.1'!$B198,$DS198),#REF!,0),MATCH('Respuestas de formulario 1.1'!FM$1,#REF!,0)))</f>
        <v/>
      </c>
      <c r="FN198" s="56" t="str">
        <f t="array" ref="FN198">IF($DT198="","", INDEX(#REF!,MATCH(CONCATENATE('Respuestas de formulario 1.1'!$B198,$DS198),#REF!,0),MATCH('Respuestas de formulario 1.1'!FN$1,#REF!,0)))</f>
        <v/>
      </c>
      <c r="FO198" s="56" t="str">
        <f t="array" ref="FO198">IF($DT198="","", INDEX(#REF!,MATCH(CONCATENATE('Respuestas de formulario 1.1'!$B198,$DS198),#REF!,0),MATCH('Respuestas de formulario 1.1'!FO$1,#REF!,0)))</f>
        <v/>
      </c>
      <c r="FP198" s="56" t="str">
        <f t="array" ref="FP198">IF($DT198="","", INDEX(#REF!,MATCH(CONCATENATE('Respuestas de formulario 1.1'!$B198,$DS198),#REF!,0),MATCH('Respuestas de formulario 1.1'!FP$1,#REF!,0)))</f>
        <v/>
      </c>
      <c r="FQ198" s="56" t="str">
        <f t="array" ref="FQ198">IF($DT198="","", INDEX(#REF!,MATCH(CONCATENATE('Respuestas de formulario 1.1'!$B198,$DS198),#REF!,0),MATCH('Respuestas de formulario 1.1'!FQ$1,#REF!,0)))</f>
        <v/>
      </c>
      <c r="FR198" s="45" t="str">
        <f t="array" ref="FR198">IF($DT198="","", INDEX(#REF!,MATCH(CONCATENATE('Respuestas de formulario 1.1'!$B198,$DS198),#REF!,0),MATCH('Respuestas de formulario 1.1'!FR$1,#REF!,0)))</f>
        <v/>
      </c>
      <c r="FS198" s="45" t="str">
        <f t="array" ref="FS198">IF($DU198="","", INDEX(#REF!,MATCH(CONCATENATE('Respuestas de formulario 1.1'!$B198,$DT198),#REF!,0),MATCH('Respuestas de formulario 1.1'!FS$1,#REF!,0)))</f>
        <v/>
      </c>
      <c r="FT198" s="56" t="str">
        <f t="array" ref="FT198">IF($DU198="","", INDEX(#REF!,MATCH(CONCATENATE('Respuestas de formulario 1.1'!$B198,$DT198),#REF!,0),MATCH('Respuestas de formulario 1.1'!FT$1,#REF!,0)))</f>
        <v/>
      </c>
      <c r="FU198" s="56" t="str">
        <f t="array" ref="FU198">IF($DU198="","", INDEX(#REF!,MATCH(CONCATENATE('Respuestas de formulario 1.1'!$B198,$DT198),#REF!,0),MATCH('Respuestas de formulario 1.1'!FU$1,#REF!,0)))</f>
        <v/>
      </c>
      <c r="FV198" s="56" t="str">
        <f t="array" ref="FV198">IF($DU198="","", INDEX(#REF!,MATCH(CONCATENATE('Respuestas de formulario 1.1'!$B198,$DT198),#REF!,0),MATCH('Respuestas de formulario 1.1'!FV$1,#REF!,0)))</f>
        <v/>
      </c>
      <c r="FW198" s="56" t="str">
        <f t="array" ref="FW198">IF($DU198="","", INDEX(#REF!,MATCH(CONCATENATE('Respuestas de formulario 1.1'!$B198,$DT198),#REF!,0),MATCH('Respuestas de formulario 1.1'!FW$1,#REF!,0)))</f>
        <v/>
      </c>
      <c r="FX198" s="56" t="str">
        <f t="array" ref="FX198">IF($DU198="","", INDEX(#REF!,MATCH(CONCATENATE('Respuestas de formulario 1.1'!$B198,$DT198),#REF!,0),MATCH('Respuestas de formulario 1.1'!FX$1,#REF!,0)))</f>
        <v/>
      </c>
      <c r="FY198" s="45" t="str">
        <f t="array" ref="FY198">IF($DU198="","", INDEX(#REF!,MATCH(CONCATENATE('Respuestas de formulario 1.1'!$B198,$DT198),#REF!,0),MATCH('Respuestas de formulario 1.1'!FY$1,#REF!,0)))</f>
        <v/>
      </c>
      <c r="GA198" s="1" t="s">
        <v>6238</v>
      </c>
      <c r="GB198" s="5" t="s">
        <v>6239</v>
      </c>
      <c r="GC198" s="4" t="str">
        <f>HYPERLINK("https://drive.google.com/file/d/1Z0A_qojPEltX21wUAbZkbMzZ5YXovNoL/view?usp=drivesdk","CRUZ MIRANDA  MARIA FERNANDA  Formato de reinscripción y pago 2022-2")</f>
        <v>CRUZ MIRANDA  MARIA FERNANDA  Formato de reinscripción y pago 2022-2</v>
      </c>
      <c r="GD198" s="1" t="s">
        <v>6240</v>
      </c>
      <c r="GE198" s="1"/>
      <c r="GF198" s="1"/>
      <c r="GG198" s="1"/>
      <c r="GH198" s="1"/>
      <c r="GI198" s="1" t="s">
        <v>6241</v>
      </c>
      <c r="GJ198" s="5" t="s">
        <v>6242</v>
      </c>
      <c r="GK198" s="5" t="str">
        <f>HYPERLINK("https://drive.google.com/file/d/1j72Tw_GZhy5BOPxTFQxDi2bI0RhVq3u3/view?usp=drivesdk","CRUZ MIRANDA  MARIA FERNANDA  Formato de reinscripción y pago 2022-2")</f>
        <v>CRUZ MIRANDA  MARIA FERNANDA  Formato de reinscripción y pago 2022-2</v>
      </c>
      <c r="GL198" s="1" t="s">
        <v>6243</v>
      </c>
    </row>
    <row r="199" spans="1:194" ht="38.25" x14ac:dyDescent="0.2">
      <c r="A199" s="2">
        <v>45139.510564236116</v>
      </c>
      <c r="B199" s="1" t="s">
        <v>2551</v>
      </c>
      <c r="C199" s="1" t="s">
        <v>397</v>
      </c>
      <c r="D199" s="1" t="s">
        <v>486</v>
      </c>
      <c r="E199" s="1" t="s">
        <v>730</v>
      </c>
      <c r="F199" s="1" t="s">
        <v>262</v>
      </c>
      <c r="G199" s="5" t="s">
        <v>6244</v>
      </c>
      <c r="H199" s="41">
        <v>38844</v>
      </c>
      <c r="I199" s="1">
        <v>17</v>
      </c>
      <c r="J199" s="1">
        <v>5564150971</v>
      </c>
      <c r="K199" s="1">
        <v>5590789626</v>
      </c>
      <c r="L199" s="1" t="s">
        <v>2552</v>
      </c>
      <c r="M199" s="1">
        <v>21309060570304</v>
      </c>
      <c r="N199" s="1" t="s">
        <v>1108</v>
      </c>
      <c r="O199" s="1" t="s">
        <v>247</v>
      </c>
      <c r="P199" s="1" t="s">
        <v>226</v>
      </c>
      <c r="Q199" s="1" t="s">
        <v>315</v>
      </c>
      <c r="R199" s="1" t="s">
        <v>236</v>
      </c>
      <c r="S199" s="1" t="s">
        <v>236</v>
      </c>
      <c r="T199" s="1" t="s">
        <v>229</v>
      </c>
      <c r="U199" s="1" t="s">
        <v>327</v>
      </c>
      <c r="V199" s="1" t="s">
        <v>228</v>
      </c>
      <c r="W199" s="1" t="s">
        <v>6245</v>
      </c>
      <c r="X199" s="1" t="s">
        <v>327</v>
      </c>
      <c r="Y199" s="1" t="s">
        <v>6246</v>
      </c>
      <c r="Z199" s="1" t="s">
        <v>231</v>
      </c>
      <c r="AA199" s="1">
        <v>56338</v>
      </c>
      <c r="AB199" s="1">
        <v>1</v>
      </c>
      <c r="AC199" s="1">
        <v>61</v>
      </c>
      <c r="AD199" s="1" t="s">
        <v>6247</v>
      </c>
      <c r="AE199" s="1" t="s">
        <v>6248</v>
      </c>
      <c r="AF199" s="1" t="s">
        <v>336</v>
      </c>
      <c r="AG199" s="1">
        <v>33</v>
      </c>
      <c r="AH199" s="5" t="s">
        <v>6249</v>
      </c>
      <c r="AI199" s="1">
        <v>5518096022</v>
      </c>
      <c r="AJ199" s="1">
        <v>5518096022</v>
      </c>
      <c r="AK199" s="1" t="s">
        <v>6250</v>
      </c>
      <c r="AL199" s="1" t="s">
        <v>486</v>
      </c>
      <c r="AM199" s="1" t="s">
        <v>2553</v>
      </c>
      <c r="AN199" s="1" t="s">
        <v>6251</v>
      </c>
      <c r="AO199" s="1" t="s">
        <v>453</v>
      </c>
      <c r="AP199" s="1">
        <v>34</v>
      </c>
      <c r="AQ199" s="1" t="s">
        <v>1976</v>
      </c>
      <c r="AR199" s="42">
        <v>0.29166666666424135</v>
      </c>
      <c r="AS199" s="42">
        <v>0.41666666666424135</v>
      </c>
      <c r="AT199" s="1">
        <v>5567682853</v>
      </c>
      <c r="AU199" s="1">
        <v>5567682853</v>
      </c>
      <c r="AV199" s="1" t="s">
        <v>6252</v>
      </c>
      <c r="AW199" s="5" t="s">
        <v>6253</v>
      </c>
      <c r="AX199" s="1" t="s">
        <v>884</v>
      </c>
      <c r="AY199" s="1" t="s">
        <v>587</v>
      </c>
      <c r="AZ199" s="1" t="s">
        <v>6254</v>
      </c>
      <c r="BA199" s="1" t="s">
        <v>493</v>
      </c>
      <c r="BB199" s="1">
        <v>33</v>
      </c>
      <c r="BC199" s="1" t="s">
        <v>362</v>
      </c>
      <c r="BD199" s="43">
        <v>0.29166666666424135</v>
      </c>
      <c r="BE199" s="43">
        <v>0.5</v>
      </c>
      <c r="BF199" s="1">
        <v>5518096022</v>
      </c>
      <c r="BG199" s="1">
        <v>5518096022</v>
      </c>
      <c r="BH199" s="1" t="s">
        <v>6250</v>
      </c>
      <c r="BI199" s="5" t="s">
        <v>6255</v>
      </c>
      <c r="BJ199" s="1" t="s">
        <v>236</v>
      </c>
      <c r="BK199" s="1" t="s">
        <v>310</v>
      </c>
      <c r="BL199" s="1">
        <v>167</v>
      </c>
      <c r="BM199" s="1">
        <v>50</v>
      </c>
      <c r="BN199" s="1" t="s">
        <v>228</v>
      </c>
      <c r="BO199" s="1" t="s">
        <v>236</v>
      </c>
      <c r="BP199" s="1" t="s">
        <v>6256</v>
      </c>
      <c r="BQ199" s="1" t="s">
        <v>228</v>
      </c>
      <c r="BR199" s="1" t="s">
        <v>237</v>
      </c>
      <c r="BS199" s="1" t="s">
        <v>228</v>
      </c>
      <c r="BT199" s="1" t="s">
        <v>237</v>
      </c>
      <c r="BU199" s="1" t="s">
        <v>228</v>
      </c>
      <c r="BW199" s="1" t="s">
        <v>272</v>
      </c>
      <c r="BX199" s="1">
        <v>120</v>
      </c>
      <c r="BY199" s="1">
        <v>260</v>
      </c>
      <c r="BZ199" s="1" t="s">
        <v>253</v>
      </c>
      <c r="CA199" s="1" t="s">
        <v>652</v>
      </c>
      <c r="CB199" s="1" t="s">
        <v>240</v>
      </c>
      <c r="CC199" s="1" t="s">
        <v>274</v>
      </c>
      <c r="CD199" s="1">
        <v>2000</v>
      </c>
      <c r="CE199" s="1">
        <v>1000</v>
      </c>
      <c r="CF199" s="1" t="s">
        <v>236</v>
      </c>
      <c r="CG199" s="1" t="s">
        <v>242</v>
      </c>
      <c r="CH199" s="1" t="s">
        <v>243</v>
      </c>
      <c r="CI199" s="1" t="s">
        <v>243</v>
      </c>
      <c r="CJ199" s="1" t="s">
        <v>2848</v>
      </c>
      <c r="CL199" s="5" t="s">
        <v>6257</v>
      </c>
      <c r="CM199" s="1">
        <v>24160604393</v>
      </c>
      <c r="CN199" s="1" t="s">
        <v>228</v>
      </c>
      <c r="CQ199" s="42">
        <v>0.29166666666424135</v>
      </c>
      <c r="CR199" s="42">
        <v>0.5</v>
      </c>
      <c r="CT199" s="45" t="str">
        <f t="array" ref="CT199">IFERROR(INDEX(#REF!,MATCH('Respuestas de formulario 1.1'!$B199,#REF!,0),MATCH('Respuestas de formulario 1.1'!CT$1,#REF!,0)),"")</f>
        <v/>
      </c>
      <c r="CU199" s="56" t="str">
        <f t="array" ref="CU199">IFERROR(INDEX(#REF!,MATCH('Respuestas de formulario 1.1'!$B199,#REF!,0),MATCH('Respuestas de formulario 1.1'!CU$1,#REF!,0)),"")</f>
        <v/>
      </c>
      <c r="CV199" s="56" t="str">
        <f t="array" ref="CV199">IFERROR(INDEX(#REF!,MATCH('Respuestas de formulario 1.1'!$B199,#REF!,0),MATCH('Respuestas de formulario 1.1'!CV$1,#REF!,0)),"")</f>
        <v/>
      </c>
      <c r="CW199" s="56" t="str">
        <f t="array" ref="CW199">IFERROR(INDEX(#REF!,MATCH('Respuestas de formulario 1.1'!$B199,#REF!,0),MATCH('Respuestas de formulario 1.1'!CW$1,#REF!,0)),"")</f>
        <v/>
      </c>
      <c r="CX199" s="56" t="str">
        <f t="array" ref="CX199">IFERROR(INDEX(#REF!,MATCH('Respuestas de formulario 1.1'!$B199,#REF!,0),MATCH('Respuestas de formulario 1.1'!CX$1,#REF!,0)),"")</f>
        <v/>
      </c>
      <c r="CY199" s="56" t="str">
        <f t="array" ref="CY199">IFERROR(INDEX(#REF!,MATCH('Respuestas de formulario 1.1'!$B199,#REF!,0),MATCH('Respuestas de formulario 1.1'!CY$1,#REF!,0)),"")</f>
        <v/>
      </c>
      <c r="CZ199" s="57" t="str">
        <f t="array" ref="CZ199">IFERROR(INDEX(#REF!,MATCH('Respuestas de formulario 1.1'!$B199,#REF!,0),MATCH('Respuestas de formulario 1.1'!CZ$1,#REF!,0)),"")</f>
        <v/>
      </c>
      <c r="DA199" s="45" t="e">
        <f t="array" ref="DA199">INDEX(#REF!,MATCH('Respuestas de formulario 1.1'!$B199,#REF!,0),MATCH('Respuestas de formulario 1.1'!DA$1,#REF!,0))</f>
        <v>#REF!</v>
      </c>
      <c r="DB199" s="45" t="e">
        <f t="array" ref="DB199">INDEX(#REF!,MATCH('Respuestas de formulario 1.1'!$B199,#REF!,0),MATCH('Respuestas de formulario 1.1'!DB$1,#REF!,0))</f>
        <v>#REF!</v>
      </c>
      <c r="DC199" s="45" t="e">
        <f t="array" ref="DC199">INDEX(#REF!,MATCH('Respuestas de formulario 1.1'!$B199,#REF!,0),MATCH('Respuestas de formulario 1.1'!DC$1,#REF!,0))</f>
        <v>#REF!</v>
      </c>
      <c r="DD199" s="45" t="e">
        <f t="array" ref="DD199">INDEX(#REF!,MATCH('Respuestas de formulario 1.1'!$B199,#REF!,0),MATCH('Respuestas de formulario 1.1'!DD$1,#REF!,0))</f>
        <v>#REF!</v>
      </c>
      <c r="DE199" s="45" t="e">
        <f t="array" ref="DE199">INDEX(#REF!,MATCH('Respuestas de formulario 1.1'!$B199,#REF!,0),MATCH('Respuestas de formulario 1.1'!DE$1,#REF!,0))</f>
        <v>#REF!</v>
      </c>
      <c r="DF199" s="45" t="e">
        <f t="array" ref="DF199">INDEX(#REF!,MATCH('Respuestas de formulario 1.1'!$B199,#REF!,0),MATCH('Respuestas de formulario 1.1'!DF$1,#REF!,0))</f>
        <v>#REF!</v>
      </c>
      <c r="DG199" s="45" t="e">
        <f t="array" ref="DG199">INDEX(#REF!,MATCH('Respuestas de formulario 1.1'!$B199,#REF!,0),MATCH('Respuestas de formulario 1.1'!DG$1,#REF!,0))</f>
        <v>#REF!</v>
      </c>
      <c r="DH199" s="45" t="e">
        <f t="array" ref="DH199">INDEX(#REF!,MATCH('Respuestas de formulario 1.1'!$B199,#REF!,0),MATCH('Respuestas de formulario 1.1'!DH$1,#REF!,0))</f>
        <v>#REF!</v>
      </c>
      <c r="DI199" s="48" t="e">
        <f>VLOOKUP(CONCATENATE($DF199," TUTO ",$DC199),#REF!,3,0)</f>
        <v>#REF!</v>
      </c>
      <c r="DJ199" s="48" t="e">
        <f t="array" ref="DJ199">IF('Respuestas de formulario 1.1'!A199="","",INDEX(#REF!,MATCH('Respuestas de formulario 1.1'!B199,#REF!,0),MATCH('Respuestas de formulario 1.1'!$DH$1,#REF!,0)))</f>
        <v>#REF!</v>
      </c>
      <c r="DK199" s="52" t="str">
        <f>CONCATENATE("http://doc.google.com/uc?id=",MID('Respuestas de formulario 1.1'!G199,34,33))</f>
        <v>http://doc.google.com/uc?id=1jIr582XW-rNSKLsVFNbjPMRDmiCoEFy1</v>
      </c>
      <c r="DL199" s="49" t="str">
        <f>CONCATENATE("http://doc.google.com/uc?id=",MID('Respuestas de formulario 1.1'!AH199,34,33))</f>
        <v>http://doc.google.com/uc?id=1HbMz3DRyV1m3QMcuH44Vyvf1uexJn_Hw</v>
      </c>
      <c r="DM199" s="50" t="str">
        <f>CONCATENATE("http://doc.google.com/uc?id=",MID('Respuestas de formulario 1.1'!AW199,34,33))</f>
        <v>http://doc.google.com/uc?id=13KOjfqOq-7kxPUROQioqnt05jUhiawyy</v>
      </c>
      <c r="DN199" s="53" t="str">
        <f>CONCATENATE("http://doc.google.com/uc?id=",MID('Respuestas de formulario 1.1'!$BI199,34,33))</f>
        <v>http://doc.google.com/uc?id=1RGY4AclVNJkubxc-lW4EHYLRgeT8FKUo</v>
      </c>
      <c r="DO199" s="45" t="str">
        <f>IFERROR(VLOOKUP(CONCATENATE('Respuestas de formulario 1.1'!$B199,MID('Respuestas de formulario 1.1'!DO$1,2,1)),#REF!,12,0),"")</f>
        <v/>
      </c>
      <c r="DP199" s="45" t="str">
        <f>IFERROR(VLOOKUP(CONCATENATE('Respuestas de formulario 1.1'!$B199,MID('Respuestas de formulario 1.1'!DP$1,2,1)),#REF!,12,0),"")</f>
        <v/>
      </c>
      <c r="DQ199" s="45" t="str">
        <f>IFERROR(VLOOKUP(CONCATENATE('Respuestas de formulario 1.1'!$B199,MID('Respuestas de formulario 1.1'!DQ$1,2,1)),#REF!,12,0),"")</f>
        <v/>
      </c>
      <c r="DR199" s="45" t="str">
        <f>IFERROR(VLOOKUP(CONCATENATE('Respuestas de formulario 1.1'!$B199,MID('Respuestas de formulario 1.1'!DR$1,2,1)),#REF!,12,0),"")</f>
        <v/>
      </c>
      <c r="DS199" s="45" t="str">
        <f>IFERROR(VLOOKUP(CONCATENATE('Respuestas de formulario 1.1'!$B199,MID('Respuestas de formulario 1.1'!DS$1,2,1)),#REF!,12,0),"")</f>
        <v/>
      </c>
      <c r="DT199" s="45" t="str">
        <f>IFERROR(VLOOKUP(CONCATENATE('Respuestas de formulario 1.1'!$B199,MID('Respuestas de formulario 1.1'!DT$1,2,1)),#REF!,12,0),"")</f>
        <v/>
      </c>
      <c r="DU199" s="45" t="str">
        <f>IFERROR(VLOOKUP(CONCATENATE('Respuestas de formulario 1.1'!$B199,MID('Respuestas de formulario 1.1'!DU$1,2,1)),#REF!,12,0),"")</f>
        <v/>
      </c>
      <c r="DV199" s="45" t="str">
        <f>IFERROR(VLOOKUP(CONCATENATE('Respuestas de formulario 1.1'!$B199,MID('Respuestas de formulario 1.1'!DV$1,2,1)),#REF!,12,0),"")</f>
        <v/>
      </c>
      <c r="DW199" s="45" t="str">
        <f>IFERROR(VLOOKUP(CONCATENATE('Respuestas de formulario 1.1'!$B199,MID('Respuestas de formulario 1.1'!DW$1,2,1)),#REF!,12,0),"")</f>
        <v/>
      </c>
      <c r="DX199" s="45" t="str">
        <f>IFERROR(VLOOKUP(CONCATENATE('Respuestas de formulario 1.1'!$B199,MID('Respuestas de formulario 1.1'!DX$1,2,1)),#REF!,12,0),"")</f>
        <v/>
      </c>
      <c r="DY199" s="45" t="str">
        <f>IFERROR(VLOOKUP(CONCATENATE('Respuestas de formulario 1.1'!$B199,MID('Respuestas de formulario 1.1'!DY$1,2,1)),#REF!,12,0),"")</f>
        <v/>
      </c>
      <c r="DZ199" s="45" t="str">
        <f>IFERROR(VLOOKUP(CONCATENATE('Respuestas de formulario 1.1'!$B199,MID('Respuestas de formulario 1.1'!DZ$1,2,1)),#REF!,12,0),"")</f>
        <v/>
      </c>
      <c r="EA199" s="45" t="str">
        <f>IFERROR(VLOOKUP(CONCATENATE('Respuestas de formulario 1.1'!$B199,MID('Respuestas de formulario 1.1'!EA$1,2,1)),#REF!,12,0),"")</f>
        <v/>
      </c>
      <c r="EB199" s="45" t="str">
        <f>IFERROR(VLOOKUP(CONCATENATE('Respuestas de formulario 1.1'!$B199,MID('Respuestas de formulario 1.1'!EB$1,2,1)),#REF!,12,0),"")</f>
        <v/>
      </c>
      <c r="EC199" s="45" t="str">
        <f>IFERROR(VLOOKUP(CONCATENATE('Respuestas de formulario 1.1'!$B199,MID('Respuestas de formulario 1.1'!EC$1,2,1)),#REF!,12,0),"")</f>
        <v/>
      </c>
      <c r="ED199" s="45" t="str">
        <f>IFERROR(VLOOKUP(CONCATENATE('Respuestas de formulario 1.1'!$B199,MID('Respuestas de formulario 1.1'!ED$1,2,1)),#REF!,12,0),"")</f>
        <v/>
      </c>
      <c r="EE199" s="45" t="str">
        <f>IFERROR(VLOOKUP(CONCATENATE('Respuestas de formulario 1.1'!$B199,MID('Respuestas de formulario 1.1'!EE$1,2,1)),#REF!,12,0),"")</f>
        <v/>
      </c>
      <c r="EF199" s="45" t="str">
        <f>IFERROR(VLOOKUP(CONCATENATE('Respuestas de formulario 1.1'!$B199,MID('Respuestas de formulario 1.1'!EF$1,2,1)),#REF!,12,0),"")</f>
        <v/>
      </c>
      <c r="EG199" s="45" t="str">
        <f>IFERROR(VLOOKUP(CONCATENATE('Respuestas de formulario 1.1'!$B199,MID('Respuestas de formulario 1.1'!EG$1,2,1)),#REF!,12,0),"")</f>
        <v/>
      </c>
      <c r="EH199" s="45" t="str">
        <f>IFERROR(VLOOKUP(CONCATENATE('Respuestas de formulario 1.1'!$B199,MID('Respuestas de formulario 1.1'!EH$1,2,1)),#REF!,12,0),"")</f>
        <v/>
      </c>
      <c r="EI199" s="45" t="str">
        <f>IFERROR(VLOOKUP(CONCATENATE('Respuestas de formulario 1.1'!$B199,MID('Respuestas de formulario 1.1'!EI$1,2,1)),#REF!,12,0),"")</f>
        <v/>
      </c>
      <c r="EJ199" s="45" t="str">
        <f t="array" ref="EJ199">IF(DO199="","", INDEX(#REF!,MATCH(CONCATENATE('Respuestas de formulario 1.1'!$B199,DO199),#REF!,0),MATCH('Respuestas de formulario 1.1'!EJ$1,#REF!,0)))</f>
        <v/>
      </c>
      <c r="EK199" s="56" t="str">
        <f t="array" ref="EK199">IF(DP199="","", INDEX(#REF!,MATCH(CONCATENATE('Respuestas de formulario 1.1'!$B199,DP199),#REF!,0),MATCH('Respuestas de formulario 1.1'!EK$1,#REF!,0)))</f>
        <v/>
      </c>
      <c r="EL199" s="56" t="str">
        <f t="array" ref="EL199">IF(DQ199="","", INDEX(#REF!,MATCH(CONCATENATE('Respuestas de formulario 1.1'!$B199,DQ199),#REF!,0),MATCH('Respuestas de formulario 1.1'!EL$1,#REF!,0)))</f>
        <v/>
      </c>
      <c r="EM199" s="56" t="str">
        <f t="array" ref="EM199">IF(DR199="","", INDEX(#REF!,MATCH(CONCATENATE('Respuestas de formulario 1.1'!$B199,DR199),#REF!,0),MATCH('Respuestas de formulario 1.1'!EM$1,#REF!,0)))</f>
        <v/>
      </c>
      <c r="EN199" s="56" t="str">
        <f t="array" ref="EN199">IF(DS199="","", INDEX(#REF!,MATCH(CONCATENATE('Respuestas de formulario 1.1'!$B199,DS199),#REF!,0),MATCH('Respuestas de formulario 1.1'!EN$1,#REF!,0)))</f>
        <v/>
      </c>
      <c r="EO199" s="56" t="str">
        <f t="array" ref="EO199">IF(DT199="","", INDEX(#REF!,MATCH(CONCATENATE('Respuestas de formulario 1.1'!$B199,DT199),#REF!,0),MATCH('Respuestas de formulario 1.1'!EO$1,#REF!,0)))</f>
        <v/>
      </c>
      <c r="EP199" s="45" t="str">
        <f t="array" ref="EP199">IF(DU199="","", INDEX(#REF!,MATCH(CONCATENATE('Respuestas de formulario 1.1'!$B199,DU199),#REF!,0),MATCH('Respuestas de formulario 1.1'!EP$1,#REF!,0)))</f>
        <v/>
      </c>
      <c r="EQ199" s="45" t="str">
        <f t="array" ref="EQ199">IF(DP199="","", INDEX(#REF!,MATCH(CONCATENATE('Respuestas de formulario 1.1'!$B199,DP199),#REF!,0),MATCH('Respuestas de formulario 1.1'!EQ$1,#REF!,0)))</f>
        <v/>
      </c>
      <c r="ER199" s="56" t="str">
        <f t="array" ref="ER199">IF(DQ199="","", INDEX(#REF!,MATCH(CONCATENATE('Respuestas de formulario 1.1'!$B199,DQ199),#REF!,0),MATCH('Respuestas de formulario 1.1'!ER$1,#REF!,0)))</f>
        <v/>
      </c>
      <c r="ES199" s="56" t="str">
        <f t="array" ref="ES199">IF(DR199="","", INDEX(#REF!,MATCH(CONCATENATE('Respuestas de formulario 1.1'!$B199,DR199),#REF!,0),MATCH('Respuestas de formulario 1.1'!ES$1,#REF!,0)))</f>
        <v/>
      </c>
      <c r="ET199" s="56" t="str">
        <f t="array" ref="ET199">IF(DS199="","", INDEX(#REF!,MATCH(CONCATENATE('Respuestas de formulario 1.1'!$B199,DS199),#REF!,0),MATCH('Respuestas de formulario 1.1'!ET$1,#REF!,0)))</f>
        <v/>
      </c>
      <c r="EU199" s="56" t="str">
        <f t="array" ref="EU199">IF(DT199="","", INDEX(#REF!,MATCH(CONCATENATE('Respuestas de formulario 1.1'!$B199,DT199),#REF!,0),MATCH('Respuestas de formulario 1.1'!EU$1,#REF!,0)))</f>
        <v/>
      </c>
      <c r="EV199" s="56" t="str">
        <f t="array" ref="EV199">IF(DU199="","", INDEX(#REF!,MATCH(CONCATENATE('Respuestas de formulario 1.1'!$B199,DU199),#REF!,0),MATCH('Respuestas de formulario 1.1'!EV$1,#REF!,0)))</f>
        <v/>
      </c>
      <c r="EW199" s="45" t="str">
        <f t="array" ref="EW199">IF(DV199="","", INDEX(#REF!,MATCH(CONCATENATE('Respuestas de formulario 1.1'!$B199,DV199),#REF!,0),MATCH('Respuestas de formulario 1.1'!EW$1,#REF!,0)))</f>
        <v/>
      </c>
      <c r="EX199" s="45" t="str">
        <f t="array" ref="EX199">IF($DQ199="","", INDEX(#REF!,MATCH(CONCATENATE('Respuestas de formulario 1.1'!$B199,$DQ199),#REF!,0),MATCH('Respuestas de formulario 1.1'!EX$1,#REF!,0)))</f>
        <v/>
      </c>
      <c r="EY199" s="56" t="str">
        <f t="array" ref="EY199">IF($DQ199="","", INDEX(#REF!,MATCH(CONCATENATE('Respuestas de formulario 1.1'!$B199,$DQ199),#REF!,0),MATCH('Respuestas de formulario 1.1'!EY$1,#REF!,0)))</f>
        <v/>
      </c>
      <c r="EZ199" s="56" t="str">
        <f t="array" ref="EZ199">IF($DQ199="","", INDEX(#REF!,MATCH(CONCATENATE('Respuestas de formulario 1.1'!$B199,$DQ199),#REF!,0),MATCH('Respuestas de formulario 1.1'!EZ$1,#REF!,0)))</f>
        <v/>
      </c>
      <c r="FA199" s="56" t="str">
        <f t="array" ref="FA199">IF($DQ199="","", INDEX(#REF!,MATCH(CONCATENATE('Respuestas de formulario 1.1'!$B199,$DQ199),#REF!,0),MATCH('Respuestas de formulario 1.1'!FA$1,#REF!,0)))</f>
        <v/>
      </c>
      <c r="FB199" s="56" t="str">
        <f t="array" ref="FB199">IF($DQ199="","", INDEX(#REF!,MATCH(CONCATENATE('Respuestas de formulario 1.1'!$B199,$DQ199),#REF!,0),MATCH('Respuestas de formulario 1.1'!FB$1,#REF!,0)))</f>
        <v/>
      </c>
      <c r="FC199" s="56" t="str">
        <f t="array" ref="FC199">IF($DQ199="","", INDEX(#REF!,MATCH(CONCATENATE('Respuestas de formulario 1.1'!$B199,$DQ199),#REF!,0),MATCH('Respuestas de formulario 1.1'!FC$1,#REF!,0)))</f>
        <v/>
      </c>
      <c r="FD199" s="45" t="str">
        <f t="array" ref="FD199">IF($DQ199="","", INDEX(#REF!,MATCH(CONCATENATE('Respuestas de formulario 1.1'!$B199,$DQ199),#REF!,0),MATCH('Respuestas de formulario 1.1'!FD$1,#REF!,0)))</f>
        <v/>
      </c>
      <c r="FE199" s="45" t="str">
        <f t="array" ref="FE199">IF($DR199="","", INDEX(#REF!,MATCH(CONCATENATE(#REF!,$DR199),#REF!,0),MATCH(#REF!,#REF!,0)))</f>
        <v/>
      </c>
      <c r="FF199" s="56" t="str">
        <f t="array" ref="FF199">IF($DR199="","", INDEX(#REF!,MATCH(CONCATENATE(#REF!,$DR199),#REF!,0),MATCH(#REF!,#REF!,0)))</f>
        <v/>
      </c>
      <c r="FG199" s="56" t="str">
        <f t="array" ref="FG199">IF($DR199="","", INDEX(#REF!,MATCH(CONCATENATE(#REF!,$DR199),#REF!,0),MATCH(#REF!,#REF!,0)))</f>
        <v/>
      </c>
      <c r="FH199" s="56" t="str">
        <f t="array" ref="FH199">IF($DR199="","", INDEX(#REF!,MATCH(CONCATENATE(#REF!,$DR199),#REF!,0),MATCH(#REF!,#REF!,0)))</f>
        <v/>
      </c>
      <c r="FI199" s="56" t="str">
        <f t="array" ref="FI199">IF($DR199="","", INDEX(#REF!,MATCH(CONCATENATE(#REF!,$DR199),#REF!,0),MATCH(#REF!,#REF!,0)))</f>
        <v/>
      </c>
      <c r="FJ199" s="56" t="str">
        <f t="array" ref="FJ199">IF($DR199="","", INDEX(#REF!,MATCH(CONCATENATE(#REF!,$DR199),#REF!,0),MATCH(#REF!,#REF!,0)))</f>
        <v/>
      </c>
      <c r="FK199" s="45" t="str">
        <f t="array" ref="FK199">IF($DR199="","", INDEX(#REF!,MATCH(CONCATENATE(#REF!,$DR199),#REF!,0),MATCH(#REF!,#REF!,0)))</f>
        <v/>
      </c>
      <c r="FL199" s="45" t="str">
        <f t="array" ref="FL199">IF($DT199="","", INDEX(#REF!,MATCH(CONCATENATE('Respuestas de formulario 1.1'!$B199,$DS199),#REF!,0),MATCH('Respuestas de formulario 1.1'!FL$1,#REF!,0)))</f>
        <v/>
      </c>
      <c r="FM199" s="56" t="str">
        <f t="array" ref="FM199">IF($DT199="","", INDEX(#REF!,MATCH(CONCATENATE('Respuestas de formulario 1.1'!$B199,$DS199),#REF!,0),MATCH('Respuestas de formulario 1.1'!FM$1,#REF!,0)))</f>
        <v/>
      </c>
      <c r="FN199" s="56" t="str">
        <f t="array" ref="FN199">IF($DT199="","", INDEX(#REF!,MATCH(CONCATENATE('Respuestas de formulario 1.1'!$B199,$DS199),#REF!,0),MATCH('Respuestas de formulario 1.1'!FN$1,#REF!,0)))</f>
        <v/>
      </c>
      <c r="FO199" s="56" t="str">
        <f t="array" ref="FO199">IF($DT199="","", INDEX(#REF!,MATCH(CONCATENATE('Respuestas de formulario 1.1'!$B199,$DS199),#REF!,0),MATCH('Respuestas de formulario 1.1'!FO$1,#REF!,0)))</f>
        <v/>
      </c>
      <c r="FP199" s="56" t="str">
        <f t="array" ref="FP199">IF($DT199="","", INDEX(#REF!,MATCH(CONCATENATE('Respuestas de formulario 1.1'!$B199,$DS199),#REF!,0),MATCH('Respuestas de formulario 1.1'!FP$1,#REF!,0)))</f>
        <v/>
      </c>
      <c r="FQ199" s="56" t="str">
        <f t="array" ref="FQ199">IF($DT199="","", INDEX(#REF!,MATCH(CONCATENATE('Respuestas de formulario 1.1'!$B199,$DS199),#REF!,0),MATCH('Respuestas de formulario 1.1'!FQ$1,#REF!,0)))</f>
        <v/>
      </c>
      <c r="FR199" s="45" t="str">
        <f t="array" ref="FR199">IF($DT199="","", INDEX(#REF!,MATCH(CONCATENATE('Respuestas de formulario 1.1'!$B199,$DS199),#REF!,0),MATCH('Respuestas de formulario 1.1'!FR$1,#REF!,0)))</f>
        <v/>
      </c>
      <c r="FS199" s="45" t="str">
        <f t="array" ref="FS199">IF($DU199="","", INDEX(#REF!,MATCH(CONCATENATE('Respuestas de formulario 1.1'!$B199,$DT199),#REF!,0),MATCH('Respuestas de formulario 1.1'!FS$1,#REF!,0)))</f>
        <v/>
      </c>
      <c r="FT199" s="56" t="str">
        <f t="array" ref="FT199">IF($DU199="","", INDEX(#REF!,MATCH(CONCATENATE('Respuestas de formulario 1.1'!$B199,$DT199),#REF!,0),MATCH('Respuestas de formulario 1.1'!FT$1,#REF!,0)))</f>
        <v/>
      </c>
      <c r="FU199" s="56" t="str">
        <f t="array" ref="FU199">IF($DU199="","", INDEX(#REF!,MATCH(CONCATENATE('Respuestas de formulario 1.1'!$B199,$DT199),#REF!,0),MATCH('Respuestas de formulario 1.1'!FU$1,#REF!,0)))</f>
        <v/>
      </c>
      <c r="FV199" s="56" t="str">
        <f t="array" ref="FV199">IF($DU199="","", INDEX(#REF!,MATCH(CONCATENATE('Respuestas de formulario 1.1'!$B199,$DT199),#REF!,0),MATCH('Respuestas de formulario 1.1'!FV$1,#REF!,0)))</f>
        <v/>
      </c>
      <c r="FW199" s="56" t="str">
        <f t="array" ref="FW199">IF($DU199="","", INDEX(#REF!,MATCH(CONCATENATE('Respuestas de formulario 1.1'!$B199,$DT199),#REF!,0),MATCH('Respuestas de formulario 1.1'!FW$1,#REF!,0)))</f>
        <v/>
      </c>
      <c r="FX199" s="56" t="str">
        <f t="array" ref="FX199">IF($DU199="","", INDEX(#REF!,MATCH(CONCATENATE('Respuestas de formulario 1.1'!$B199,$DT199),#REF!,0),MATCH('Respuestas de formulario 1.1'!FX$1,#REF!,0)))</f>
        <v/>
      </c>
      <c r="FY199" s="45" t="str">
        <f t="array" ref="FY199">IF($DU199="","", INDEX(#REF!,MATCH(CONCATENATE('Respuestas de formulario 1.1'!$B199,$DT199),#REF!,0),MATCH('Respuestas de formulario 1.1'!FY$1,#REF!,0)))</f>
        <v/>
      </c>
      <c r="FZ199" s="3" t="s">
        <v>2860</v>
      </c>
      <c r="GA199" s="1" t="s">
        <v>6258</v>
      </c>
      <c r="GB199" s="5" t="s">
        <v>6259</v>
      </c>
      <c r="GC199" s="4" t="str">
        <f>HYPERLINK("https://drive.google.com/file/d/1wklE2j-QrtYBviAMbXEeaWfQK3loBzIq/view?usp=drivesdk","RIOS RODRIGUEZ  CHRISTIAN Formato de reinscripción y pago 2022-2")</f>
        <v>RIOS RODRIGUEZ  CHRISTIAN Formato de reinscripción y pago 2022-2</v>
      </c>
      <c r="GD199" s="1" t="s">
        <v>6260</v>
      </c>
      <c r="GE199" s="1"/>
      <c r="GF199" s="1"/>
      <c r="GG199" s="1"/>
      <c r="GH199" s="1"/>
      <c r="GI199" s="1" t="s">
        <v>6261</v>
      </c>
      <c r="GJ199" s="5" t="s">
        <v>6262</v>
      </c>
      <c r="GK199" s="5" t="str">
        <f>HYPERLINK("https://drive.google.com/file/d/1W7XggAdJRDtjbvLPDS1ZRg1kJBqL66Qe/view?usp=drivesdk","RIOS RODRIGUEZ  CHRISTIAN Formato de reinscripción y pago 2022-2")</f>
        <v>RIOS RODRIGUEZ  CHRISTIAN Formato de reinscripción y pago 2022-2</v>
      </c>
      <c r="GL199" s="1" t="s">
        <v>6263</v>
      </c>
    </row>
    <row r="200" spans="1:194" ht="38.25" x14ac:dyDescent="0.2">
      <c r="A200" s="2">
        <v>45141.774557743054</v>
      </c>
      <c r="B200" s="1" t="s">
        <v>1569</v>
      </c>
      <c r="C200" s="1" t="s">
        <v>611</v>
      </c>
      <c r="D200" s="1" t="s">
        <v>1552</v>
      </c>
      <c r="E200" s="1" t="s">
        <v>1570</v>
      </c>
      <c r="F200" s="1" t="s">
        <v>223</v>
      </c>
      <c r="G200" s="5" t="s">
        <v>6264</v>
      </c>
      <c r="H200" s="41">
        <v>38835</v>
      </c>
      <c r="I200" s="1">
        <v>17</v>
      </c>
      <c r="J200" s="1">
        <v>5543625734</v>
      </c>
      <c r="K200" s="1" t="s">
        <v>6265</v>
      </c>
      <c r="L200" s="1" t="s">
        <v>1571</v>
      </c>
      <c r="M200" s="1">
        <v>21309060570725</v>
      </c>
      <c r="N200" s="1" t="s">
        <v>1108</v>
      </c>
      <c r="O200" s="1" t="s">
        <v>225</v>
      </c>
      <c r="P200" s="1" t="s">
        <v>226</v>
      </c>
      <c r="Q200" s="1" t="s">
        <v>227</v>
      </c>
      <c r="R200" s="1" t="s">
        <v>236</v>
      </c>
      <c r="S200" s="1" t="s">
        <v>228</v>
      </c>
      <c r="T200" s="1" t="s">
        <v>229</v>
      </c>
      <c r="U200" s="1" t="s">
        <v>249</v>
      </c>
      <c r="V200" s="1" t="s">
        <v>228</v>
      </c>
      <c r="W200" s="1" t="s">
        <v>6266</v>
      </c>
      <c r="X200" s="1" t="s">
        <v>249</v>
      </c>
      <c r="Y200" s="1" t="s">
        <v>693</v>
      </c>
      <c r="Z200" s="1" t="s">
        <v>240</v>
      </c>
      <c r="AA200" s="44" t="s">
        <v>692</v>
      </c>
      <c r="AB200" s="1" t="s">
        <v>2370</v>
      </c>
      <c r="AC200" s="1" t="s">
        <v>6267</v>
      </c>
      <c r="AD200" s="1" t="s">
        <v>6268</v>
      </c>
      <c r="AE200" s="1" t="s">
        <v>1572</v>
      </c>
      <c r="AF200" s="1" t="s">
        <v>435</v>
      </c>
      <c r="AG200" s="1">
        <v>40</v>
      </c>
      <c r="AH200" s="5" t="s">
        <v>6269</v>
      </c>
      <c r="AI200" s="1">
        <v>5579244367</v>
      </c>
      <c r="AJ200" s="1">
        <v>5579244367</v>
      </c>
      <c r="AK200" s="1" t="s">
        <v>6270</v>
      </c>
      <c r="AL200" s="1" t="s">
        <v>1573</v>
      </c>
      <c r="AM200" s="1" t="s">
        <v>529</v>
      </c>
      <c r="AN200" s="1" t="s">
        <v>1596</v>
      </c>
      <c r="AO200" s="1" t="s">
        <v>2384</v>
      </c>
      <c r="AP200" s="1">
        <v>63</v>
      </c>
      <c r="AQ200" s="1" t="s">
        <v>1845</v>
      </c>
      <c r="AR200" s="42">
        <v>0.33333333333575865</v>
      </c>
      <c r="AS200" s="42">
        <v>0.75</v>
      </c>
      <c r="AT200" s="1">
        <v>5544883008</v>
      </c>
      <c r="AU200" s="1">
        <v>5544883008</v>
      </c>
      <c r="AV200" s="1" t="s">
        <v>6270</v>
      </c>
      <c r="AW200" s="5" t="s">
        <v>6271</v>
      </c>
      <c r="AX200" s="1" t="s">
        <v>723</v>
      </c>
      <c r="AY200" s="1" t="s">
        <v>1573</v>
      </c>
      <c r="AZ200" s="1" t="s">
        <v>1574</v>
      </c>
      <c r="BA200" s="1" t="s">
        <v>650</v>
      </c>
      <c r="BB200" s="1">
        <v>40</v>
      </c>
      <c r="BC200" s="1" t="s">
        <v>842</v>
      </c>
      <c r="BD200" s="43">
        <v>0.29166666666424135</v>
      </c>
      <c r="BE200" s="43">
        <v>0.29166666666424135</v>
      </c>
      <c r="BF200" s="1">
        <v>5579244367</v>
      </c>
      <c r="BG200" s="1">
        <v>5579244367</v>
      </c>
      <c r="BH200" s="1" t="s">
        <v>6270</v>
      </c>
      <c r="BI200" s="5" t="s">
        <v>6272</v>
      </c>
      <c r="BJ200" s="1" t="s">
        <v>236</v>
      </c>
      <c r="BL200" s="1">
        <v>1.54</v>
      </c>
      <c r="BM200" s="1">
        <v>48</v>
      </c>
      <c r="BN200" s="1" t="s">
        <v>228</v>
      </c>
      <c r="BO200" s="1" t="s">
        <v>228</v>
      </c>
      <c r="BQ200" s="1" t="s">
        <v>228</v>
      </c>
      <c r="BR200" s="1" t="s">
        <v>237</v>
      </c>
      <c r="BS200" s="1" t="s">
        <v>236</v>
      </c>
      <c r="BT200" s="1" t="s">
        <v>331</v>
      </c>
      <c r="BU200" s="1" t="s">
        <v>228</v>
      </c>
      <c r="BW200" s="1" t="s">
        <v>272</v>
      </c>
      <c r="BX200" s="1">
        <v>120</v>
      </c>
      <c r="BY200" s="1">
        <v>500</v>
      </c>
      <c r="BZ200" s="1" t="s">
        <v>298</v>
      </c>
      <c r="CA200" s="1" t="s">
        <v>1274</v>
      </c>
      <c r="CB200" s="1" t="s">
        <v>240</v>
      </c>
      <c r="CC200" s="1" t="s">
        <v>300</v>
      </c>
      <c r="CD200" s="1">
        <v>2000</v>
      </c>
      <c r="CE200" s="1">
        <v>2000</v>
      </c>
      <c r="CF200" s="1" t="s">
        <v>236</v>
      </c>
      <c r="CG200" s="1" t="s">
        <v>242</v>
      </c>
      <c r="CH200" s="1" t="s">
        <v>243</v>
      </c>
      <c r="CI200" s="1" t="s">
        <v>243</v>
      </c>
      <c r="CJ200" s="1" t="s">
        <v>2848</v>
      </c>
      <c r="CL200" s="5" t="s">
        <v>6273</v>
      </c>
      <c r="CM200" s="1">
        <v>57210661351</v>
      </c>
      <c r="CN200" s="1" t="s">
        <v>228</v>
      </c>
      <c r="CQ200" s="42">
        <v>0.29166666666424135</v>
      </c>
      <c r="CR200" s="42">
        <v>0.29166666666424135</v>
      </c>
      <c r="CT200" s="45" t="str">
        <f t="array" ref="CT200">IFERROR(INDEX(#REF!,MATCH('Respuestas de formulario 1.1'!$B200,#REF!,0),MATCH('Respuestas de formulario 1.1'!CT$1,#REF!,0)),"")</f>
        <v/>
      </c>
      <c r="CU200" s="56" t="str">
        <f t="array" ref="CU200">IFERROR(INDEX(#REF!,MATCH('Respuestas de formulario 1.1'!$B200,#REF!,0),MATCH('Respuestas de formulario 1.1'!CU$1,#REF!,0)),"")</f>
        <v/>
      </c>
      <c r="CV200" s="56" t="str">
        <f t="array" ref="CV200">IFERROR(INDEX(#REF!,MATCH('Respuestas de formulario 1.1'!$B200,#REF!,0),MATCH('Respuestas de formulario 1.1'!CV$1,#REF!,0)),"")</f>
        <v/>
      </c>
      <c r="CW200" s="56" t="str">
        <f t="array" ref="CW200">IFERROR(INDEX(#REF!,MATCH('Respuestas de formulario 1.1'!$B200,#REF!,0),MATCH('Respuestas de formulario 1.1'!CW$1,#REF!,0)),"")</f>
        <v/>
      </c>
      <c r="CX200" s="56" t="str">
        <f t="array" ref="CX200">IFERROR(INDEX(#REF!,MATCH('Respuestas de formulario 1.1'!$B200,#REF!,0),MATCH('Respuestas de formulario 1.1'!CX$1,#REF!,0)),"")</f>
        <v/>
      </c>
      <c r="CY200" s="56" t="str">
        <f t="array" ref="CY200">IFERROR(INDEX(#REF!,MATCH('Respuestas de formulario 1.1'!$B200,#REF!,0),MATCH('Respuestas de formulario 1.1'!CY$1,#REF!,0)),"")</f>
        <v/>
      </c>
      <c r="CZ200" s="57" t="str">
        <f t="array" ref="CZ200">IFERROR(INDEX(#REF!,MATCH('Respuestas de formulario 1.1'!$B200,#REF!,0),MATCH('Respuestas de formulario 1.1'!CZ$1,#REF!,0)),"")</f>
        <v/>
      </c>
      <c r="DA200" s="45" t="e">
        <f t="array" ref="DA200">INDEX(#REF!,MATCH('Respuestas de formulario 1.1'!$B200,#REF!,0),MATCH('Respuestas de formulario 1.1'!DA$1,#REF!,0))</f>
        <v>#REF!</v>
      </c>
      <c r="DB200" s="45" t="e">
        <f t="array" ref="DB200">INDEX(#REF!,MATCH('Respuestas de formulario 1.1'!$B200,#REF!,0),MATCH('Respuestas de formulario 1.1'!DB$1,#REF!,0))</f>
        <v>#REF!</v>
      </c>
      <c r="DC200" s="45" t="e">
        <f t="array" ref="DC200">INDEX(#REF!,MATCH('Respuestas de formulario 1.1'!$B200,#REF!,0),MATCH('Respuestas de formulario 1.1'!DC$1,#REF!,0))</f>
        <v>#REF!</v>
      </c>
      <c r="DD200" s="45" t="e">
        <f t="array" ref="DD200">INDEX(#REF!,MATCH('Respuestas de formulario 1.1'!$B200,#REF!,0),MATCH('Respuestas de formulario 1.1'!DD$1,#REF!,0))</f>
        <v>#REF!</v>
      </c>
      <c r="DE200" s="45" t="e">
        <f t="array" ref="DE200">INDEX(#REF!,MATCH('Respuestas de formulario 1.1'!$B200,#REF!,0),MATCH('Respuestas de formulario 1.1'!DE$1,#REF!,0))</f>
        <v>#REF!</v>
      </c>
      <c r="DF200" s="45" t="e">
        <f t="array" ref="DF200">INDEX(#REF!,MATCH('Respuestas de formulario 1.1'!$B200,#REF!,0),MATCH('Respuestas de formulario 1.1'!DF$1,#REF!,0))</f>
        <v>#REF!</v>
      </c>
      <c r="DG200" s="45" t="e">
        <f t="array" ref="DG200">INDEX(#REF!,MATCH('Respuestas de formulario 1.1'!$B200,#REF!,0),MATCH('Respuestas de formulario 1.1'!DG$1,#REF!,0))</f>
        <v>#REF!</v>
      </c>
      <c r="DH200" s="45" t="e">
        <f t="array" ref="DH200">INDEX(#REF!,MATCH('Respuestas de formulario 1.1'!$B200,#REF!,0),MATCH('Respuestas de formulario 1.1'!DH$1,#REF!,0))</f>
        <v>#REF!</v>
      </c>
      <c r="DI200" s="48" t="e">
        <f>VLOOKUP(CONCATENATE($DF200," TUTO ",$DC200),#REF!,3,0)</f>
        <v>#REF!</v>
      </c>
      <c r="DJ200" s="48" t="e">
        <f t="array" ref="DJ200">IF('Respuestas de formulario 1.1'!A200="","",INDEX(#REF!,MATCH('Respuestas de formulario 1.1'!B200,#REF!,0),MATCH('Respuestas de formulario 1.1'!$DH$1,#REF!,0)))</f>
        <v>#REF!</v>
      </c>
      <c r="DK200" s="52" t="str">
        <f>CONCATENATE("http://doc.google.com/uc?id=",MID('Respuestas de formulario 1.1'!G200,34,33))</f>
        <v>http://doc.google.com/uc?id=1ceT-2kyekvS-NCQ1BL9WXmxdgYveUARQ</v>
      </c>
      <c r="DL200" s="49" t="str">
        <f>CONCATENATE("http://doc.google.com/uc?id=",MID('Respuestas de formulario 1.1'!AH200,34,33))</f>
        <v>http://doc.google.com/uc?id=1HEMVWmuQAFjdymKeItCVUFU2iOgWthdg</v>
      </c>
      <c r="DM200" s="50" t="str">
        <f>CONCATENATE("http://doc.google.com/uc?id=",MID('Respuestas de formulario 1.1'!AW200,34,33))</f>
        <v>http://doc.google.com/uc?id=1xNlOeDdgCokqGWLhxn6Wlr_P7wOYCYIF</v>
      </c>
      <c r="DN200" s="53" t="str">
        <f>CONCATENATE("http://doc.google.com/uc?id=",MID('Respuestas de formulario 1.1'!$BI200,34,33))</f>
        <v>http://doc.google.com/uc?id=1CR6h0DaljoPuV1ZvBfweFTR0R_ZCAhDb</v>
      </c>
      <c r="DO200" s="45" t="str">
        <f>IFERROR(VLOOKUP(CONCATENATE('Respuestas de formulario 1.1'!$B200,MID('Respuestas de formulario 1.1'!DO$1,2,1)),#REF!,12,0),"")</f>
        <v/>
      </c>
      <c r="DP200" s="45" t="str">
        <f>IFERROR(VLOOKUP(CONCATENATE('Respuestas de formulario 1.1'!$B200,MID('Respuestas de formulario 1.1'!DP$1,2,1)),#REF!,12,0),"")</f>
        <v/>
      </c>
      <c r="DQ200" s="45" t="str">
        <f>IFERROR(VLOOKUP(CONCATENATE('Respuestas de formulario 1.1'!$B200,MID('Respuestas de formulario 1.1'!DQ$1,2,1)),#REF!,12,0),"")</f>
        <v/>
      </c>
      <c r="DR200" s="45" t="str">
        <f>IFERROR(VLOOKUP(CONCATENATE('Respuestas de formulario 1.1'!$B200,MID('Respuestas de formulario 1.1'!DR$1,2,1)),#REF!,12,0),"")</f>
        <v/>
      </c>
      <c r="DS200" s="45" t="str">
        <f>IFERROR(VLOOKUP(CONCATENATE('Respuestas de formulario 1.1'!$B200,MID('Respuestas de formulario 1.1'!DS$1,2,1)),#REF!,12,0),"")</f>
        <v/>
      </c>
      <c r="DT200" s="45" t="str">
        <f>IFERROR(VLOOKUP(CONCATENATE('Respuestas de formulario 1.1'!$B200,MID('Respuestas de formulario 1.1'!DT$1,2,1)),#REF!,12,0),"")</f>
        <v/>
      </c>
      <c r="DU200" s="45" t="str">
        <f>IFERROR(VLOOKUP(CONCATENATE('Respuestas de formulario 1.1'!$B200,MID('Respuestas de formulario 1.1'!DU$1,2,1)),#REF!,12,0),"")</f>
        <v/>
      </c>
      <c r="DV200" s="45" t="str">
        <f>IFERROR(VLOOKUP(CONCATENATE('Respuestas de formulario 1.1'!$B200,MID('Respuestas de formulario 1.1'!DV$1,2,1)),#REF!,12,0),"")</f>
        <v/>
      </c>
      <c r="DW200" s="45" t="str">
        <f>IFERROR(VLOOKUP(CONCATENATE('Respuestas de formulario 1.1'!$B200,MID('Respuestas de formulario 1.1'!DW$1,2,1)),#REF!,12,0),"")</f>
        <v/>
      </c>
      <c r="DX200" s="45" t="str">
        <f>IFERROR(VLOOKUP(CONCATENATE('Respuestas de formulario 1.1'!$B200,MID('Respuestas de formulario 1.1'!DX$1,2,1)),#REF!,12,0),"")</f>
        <v/>
      </c>
      <c r="DY200" s="45" t="str">
        <f>IFERROR(VLOOKUP(CONCATENATE('Respuestas de formulario 1.1'!$B200,MID('Respuestas de formulario 1.1'!DY$1,2,1)),#REF!,12,0),"")</f>
        <v/>
      </c>
      <c r="DZ200" s="45" t="str">
        <f>IFERROR(VLOOKUP(CONCATENATE('Respuestas de formulario 1.1'!$B200,MID('Respuestas de formulario 1.1'!DZ$1,2,1)),#REF!,12,0),"")</f>
        <v/>
      </c>
      <c r="EA200" s="45" t="str">
        <f>IFERROR(VLOOKUP(CONCATENATE('Respuestas de formulario 1.1'!$B200,MID('Respuestas de formulario 1.1'!EA$1,2,1)),#REF!,12,0),"")</f>
        <v/>
      </c>
      <c r="EB200" s="45" t="str">
        <f>IFERROR(VLOOKUP(CONCATENATE('Respuestas de formulario 1.1'!$B200,MID('Respuestas de formulario 1.1'!EB$1,2,1)),#REF!,12,0),"")</f>
        <v/>
      </c>
      <c r="EC200" s="45" t="str">
        <f>IFERROR(VLOOKUP(CONCATENATE('Respuestas de formulario 1.1'!$B200,MID('Respuestas de formulario 1.1'!EC$1,2,1)),#REF!,12,0),"")</f>
        <v/>
      </c>
      <c r="ED200" s="45" t="str">
        <f>IFERROR(VLOOKUP(CONCATENATE('Respuestas de formulario 1.1'!$B200,MID('Respuestas de formulario 1.1'!ED$1,2,1)),#REF!,12,0),"")</f>
        <v/>
      </c>
      <c r="EE200" s="45" t="str">
        <f>IFERROR(VLOOKUP(CONCATENATE('Respuestas de formulario 1.1'!$B200,MID('Respuestas de formulario 1.1'!EE$1,2,1)),#REF!,12,0),"")</f>
        <v/>
      </c>
      <c r="EF200" s="45" t="str">
        <f>IFERROR(VLOOKUP(CONCATENATE('Respuestas de formulario 1.1'!$B200,MID('Respuestas de formulario 1.1'!EF$1,2,1)),#REF!,12,0),"")</f>
        <v/>
      </c>
      <c r="EG200" s="45" t="str">
        <f>IFERROR(VLOOKUP(CONCATENATE('Respuestas de formulario 1.1'!$B200,MID('Respuestas de formulario 1.1'!EG$1,2,1)),#REF!,12,0),"")</f>
        <v/>
      </c>
      <c r="EH200" s="45" t="str">
        <f>IFERROR(VLOOKUP(CONCATENATE('Respuestas de formulario 1.1'!$B200,MID('Respuestas de formulario 1.1'!EH$1,2,1)),#REF!,12,0),"")</f>
        <v/>
      </c>
      <c r="EI200" s="45" t="str">
        <f>IFERROR(VLOOKUP(CONCATENATE('Respuestas de formulario 1.1'!$B200,MID('Respuestas de formulario 1.1'!EI$1,2,1)),#REF!,12,0),"")</f>
        <v/>
      </c>
      <c r="EJ200" s="45" t="str">
        <f t="array" ref="EJ200">IF(DO200="","", INDEX(#REF!,MATCH(CONCATENATE('Respuestas de formulario 1.1'!$B200,DO200),#REF!,0),MATCH('Respuestas de formulario 1.1'!EJ$1,#REF!,0)))</f>
        <v/>
      </c>
      <c r="EK200" s="56" t="str">
        <f t="array" ref="EK200">IF(DP200="","", INDEX(#REF!,MATCH(CONCATENATE('Respuestas de formulario 1.1'!$B200,DP200),#REF!,0),MATCH('Respuestas de formulario 1.1'!EK$1,#REF!,0)))</f>
        <v/>
      </c>
      <c r="EL200" s="56" t="str">
        <f t="array" ref="EL200">IF(DQ200="","", INDEX(#REF!,MATCH(CONCATENATE('Respuestas de formulario 1.1'!$B200,DQ200),#REF!,0),MATCH('Respuestas de formulario 1.1'!EL$1,#REF!,0)))</f>
        <v/>
      </c>
      <c r="EM200" s="56" t="str">
        <f t="array" ref="EM200">IF(DR200="","", INDEX(#REF!,MATCH(CONCATENATE('Respuestas de formulario 1.1'!$B200,DR200),#REF!,0),MATCH('Respuestas de formulario 1.1'!EM$1,#REF!,0)))</f>
        <v/>
      </c>
      <c r="EN200" s="56" t="str">
        <f t="array" ref="EN200">IF(DS200="","", INDEX(#REF!,MATCH(CONCATENATE('Respuestas de formulario 1.1'!$B200,DS200),#REF!,0),MATCH('Respuestas de formulario 1.1'!EN$1,#REF!,0)))</f>
        <v/>
      </c>
      <c r="EO200" s="56" t="str">
        <f t="array" ref="EO200">IF(DT200="","", INDEX(#REF!,MATCH(CONCATENATE('Respuestas de formulario 1.1'!$B200,DT200),#REF!,0),MATCH('Respuestas de formulario 1.1'!EO$1,#REF!,0)))</f>
        <v/>
      </c>
      <c r="EP200" s="45" t="str">
        <f t="array" ref="EP200">IF(DU200="","", INDEX(#REF!,MATCH(CONCATENATE('Respuestas de formulario 1.1'!$B200,DU200),#REF!,0),MATCH('Respuestas de formulario 1.1'!EP$1,#REF!,0)))</f>
        <v/>
      </c>
      <c r="EQ200" s="45" t="str">
        <f t="array" ref="EQ200">IF(DP200="","", INDEX(#REF!,MATCH(CONCATENATE('Respuestas de formulario 1.1'!$B200,DP200),#REF!,0),MATCH('Respuestas de formulario 1.1'!EQ$1,#REF!,0)))</f>
        <v/>
      </c>
      <c r="ER200" s="56" t="str">
        <f t="array" ref="ER200">IF(DQ200="","", INDEX(#REF!,MATCH(CONCATENATE('Respuestas de formulario 1.1'!$B200,DQ200),#REF!,0),MATCH('Respuestas de formulario 1.1'!ER$1,#REF!,0)))</f>
        <v/>
      </c>
      <c r="ES200" s="56" t="str">
        <f t="array" ref="ES200">IF(DR200="","", INDEX(#REF!,MATCH(CONCATENATE('Respuestas de formulario 1.1'!$B200,DR200),#REF!,0),MATCH('Respuestas de formulario 1.1'!ES$1,#REF!,0)))</f>
        <v/>
      </c>
      <c r="ET200" s="56" t="str">
        <f t="array" ref="ET200">IF(DS200="","", INDEX(#REF!,MATCH(CONCATENATE('Respuestas de formulario 1.1'!$B200,DS200),#REF!,0),MATCH('Respuestas de formulario 1.1'!ET$1,#REF!,0)))</f>
        <v/>
      </c>
      <c r="EU200" s="56" t="str">
        <f t="array" ref="EU200">IF(DT200="","", INDEX(#REF!,MATCH(CONCATENATE('Respuestas de formulario 1.1'!$B200,DT200),#REF!,0),MATCH('Respuestas de formulario 1.1'!EU$1,#REF!,0)))</f>
        <v/>
      </c>
      <c r="EV200" s="56" t="str">
        <f t="array" ref="EV200">IF(DU200="","", INDEX(#REF!,MATCH(CONCATENATE('Respuestas de formulario 1.1'!$B200,DU200),#REF!,0),MATCH('Respuestas de formulario 1.1'!EV$1,#REF!,0)))</f>
        <v/>
      </c>
      <c r="EW200" s="45" t="str">
        <f t="array" ref="EW200">IF(DV200="","", INDEX(#REF!,MATCH(CONCATENATE('Respuestas de formulario 1.1'!$B200,DV200),#REF!,0),MATCH('Respuestas de formulario 1.1'!EW$1,#REF!,0)))</f>
        <v/>
      </c>
      <c r="EX200" s="45" t="str">
        <f t="array" ref="EX200">IF($DQ200="","", INDEX(#REF!,MATCH(CONCATENATE('Respuestas de formulario 1.1'!$B200,$DQ200),#REF!,0),MATCH('Respuestas de formulario 1.1'!EX$1,#REF!,0)))</f>
        <v/>
      </c>
      <c r="EY200" s="56" t="str">
        <f t="array" ref="EY200">IF($DQ200="","", INDEX(#REF!,MATCH(CONCATENATE('Respuestas de formulario 1.1'!$B200,$DQ200),#REF!,0),MATCH('Respuestas de formulario 1.1'!EY$1,#REF!,0)))</f>
        <v/>
      </c>
      <c r="EZ200" s="56" t="str">
        <f t="array" ref="EZ200">IF($DQ200="","", INDEX(#REF!,MATCH(CONCATENATE('Respuestas de formulario 1.1'!$B200,$DQ200),#REF!,0),MATCH('Respuestas de formulario 1.1'!EZ$1,#REF!,0)))</f>
        <v/>
      </c>
      <c r="FA200" s="56" t="str">
        <f t="array" ref="FA200">IF($DQ200="","", INDEX(#REF!,MATCH(CONCATENATE('Respuestas de formulario 1.1'!$B200,$DQ200),#REF!,0),MATCH('Respuestas de formulario 1.1'!FA$1,#REF!,0)))</f>
        <v/>
      </c>
      <c r="FB200" s="56" t="str">
        <f t="array" ref="FB200">IF($DQ200="","", INDEX(#REF!,MATCH(CONCATENATE('Respuestas de formulario 1.1'!$B200,$DQ200),#REF!,0),MATCH('Respuestas de formulario 1.1'!FB$1,#REF!,0)))</f>
        <v/>
      </c>
      <c r="FC200" s="56" t="str">
        <f t="array" ref="FC200">IF($DQ200="","", INDEX(#REF!,MATCH(CONCATENATE('Respuestas de formulario 1.1'!$B200,$DQ200),#REF!,0),MATCH('Respuestas de formulario 1.1'!FC$1,#REF!,0)))</f>
        <v/>
      </c>
      <c r="FD200" s="45" t="str">
        <f t="array" ref="FD200">IF($DQ200="","", INDEX(#REF!,MATCH(CONCATENATE('Respuestas de formulario 1.1'!$B200,$DQ200),#REF!,0),MATCH('Respuestas de formulario 1.1'!FD$1,#REF!,0)))</f>
        <v/>
      </c>
      <c r="FE200" s="45" t="str">
        <f t="array" ref="FE200">IF($DR200="","", INDEX(#REF!,MATCH(CONCATENATE(#REF!,$DR200),#REF!,0),MATCH(#REF!,#REF!,0)))</f>
        <v/>
      </c>
      <c r="FF200" s="56" t="str">
        <f t="array" ref="FF200">IF($DR200="","", INDEX(#REF!,MATCH(CONCATENATE(#REF!,$DR200),#REF!,0),MATCH(#REF!,#REF!,0)))</f>
        <v/>
      </c>
      <c r="FG200" s="56" t="str">
        <f t="array" ref="FG200">IF($DR200="","", INDEX(#REF!,MATCH(CONCATENATE(#REF!,$DR200),#REF!,0),MATCH(#REF!,#REF!,0)))</f>
        <v/>
      </c>
      <c r="FH200" s="56" t="str">
        <f t="array" ref="FH200">IF($DR200="","", INDEX(#REF!,MATCH(CONCATENATE(#REF!,$DR200),#REF!,0),MATCH(#REF!,#REF!,0)))</f>
        <v/>
      </c>
      <c r="FI200" s="56" t="str">
        <f t="array" ref="FI200">IF($DR200="","", INDEX(#REF!,MATCH(CONCATENATE(#REF!,$DR200),#REF!,0),MATCH(#REF!,#REF!,0)))</f>
        <v/>
      </c>
      <c r="FJ200" s="56" t="str">
        <f t="array" ref="FJ200">IF($DR200="","", INDEX(#REF!,MATCH(CONCATENATE(#REF!,$DR200),#REF!,0),MATCH(#REF!,#REF!,0)))</f>
        <v/>
      </c>
      <c r="FK200" s="45" t="str">
        <f t="array" ref="FK200">IF($DR200="","", INDEX(#REF!,MATCH(CONCATENATE(#REF!,$DR200),#REF!,0),MATCH(#REF!,#REF!,0)))</f>
        <v/>
      </c>
      <c r="FL200" s="45" t="str">
        <f t="array" ref="FL200">IF($DT200="","", INDEX(#REF!,MATCH(CONCATENATE('Respuestas de formulario 1.1'!$B200,$DS200),#REF!,0),MATCH('Respuestas de formulario 1.1'!FL$1,#REF!,0)))</f>
        <v/>
      </c>
      <c r="FM200" s="56" t="str">
        <f t="array" ref="FM200">IF($DT200="","", INDEX(#REF!,MATCH(CONCATENATE('Respuestas de formulario 1.1'!$B200,$DS200),#REF!,0),MATCH('Respuestas de formulario 1.1'!FM$1,#REF!,0)))</f>
        <v/>
      </c>
      <c r="FN200" s="56" t="str">
        <f t="array" ref="FN200">IF($DT200="","", INDEX(#REF!,MATCH(CONCATENATE('Respuestas de formulario 1.1'!$B200,$DS200),#REF!,0),MATCH('Respuestas de formulario 1.1'!FN$1,#REF!,0)))</f>
        <v/>
      </c>
      <c r="FO200" s="56" t="str">
        <f t="array" ref="FO200">IF($DT200="","", INDEX(#REF!,MATCH(CONCATENATE('Respuestas de formulario 1.1'!$B200,$DS200),#REF!,0),MATCH('Respuestas de formulario 1.1'!FO$1,#REF!,0)))</f>
        <v/>
      </c>
      <c r="FP200" s="56" t="str">
        <f t="array" ref="FP200">IF($DT200="","", INDEX(#REF!,MATCH(CONCATENATE('Respuestas de formulario 1.1'!$B200,$DS200),#REF!,0),MATCH('Respuestas de formulario 1.1'!FP$1,#REF!,0)))</f>
        <v/>
      </c>
      <c r="FQ200" s="56" t="str">
        <f t="array" ref="FQ200">IF($DT200="","", INDEX(#REF!,MATCH(CONCATENATE('Respuestas de formulario 1.1'!$B200,$DS200),#REF!,0),MATCH('Respuestas de formulario 1.1'!FQ$1,#REF!,0)))</f>
        <v/>
      </c>
      <c r="FR200" s="45" t="str">
        <f t="array" ref="FR200">IF($DT200="","", INDEX(#REF!,MATCH(CONCATENATE('Respuestas de formulario 1.1'!$B200,$DS200),#REF!,0),MATCH('Respuestas de formulario 1.1'!FR$1,#REF!,0)))</f>
        <v/>
      </c>
      <c r="FS200" s="45" t="str">
        <f t="array" ref="FS200">IF($DU200="","", INDEX(#REF!,MATCH(CONCATENATE('Respuestas de formulario 1.1'!$B200,$DT200),#REF!,0),MATCH('Respuestas de formulario 1.1'!FS$1,#REF!,0)))</f>
        <v/>
      </c>
      <c r="FT200" s="56" t="str">
        <f t="array" ref="FT200">IF($DU200="","", INDEX(#REF!,MATCH(CONCATENATE('Respuestas de formulario 1.1'!$B200,$DT200),#REF!,0),MATCH('Respuestas de formulario 1.1'!FT$1,#REF!,0)))</f>
        <v/>
      </c>
      <c r="FU200" s="56" t="str">
        <f t="array" ref="FU200">IF($DU200="","", INDEX(#REF!,MATCH(CONCATENATE('Respuestas de formulario 1.1'!$B200,$DT200),#REF!,0),MATCH('Respuestas de formulario 1.1'!FU$1,#REF!,0)))</f>
        <v/>
      </c>
      <c r="FV200" s="56" t="str">
        <f t="array" ref="FV200">IF($DU200="","", INDEX(#REF!,MATCH(CONCATENATE('Respuestas de formulario 1.1'!$B200,$DT200),#REF!,0),MATCH('Respuestas de formulario 1.1'!FV$1,#REF!,0)))</f>
        <v/>
      </c>
      <c r="FW200" s="56" t="str">
        <f t="array" ref="FW200">IF($DU200="","", INDEX(#REF!,MATCH(CONCATENATE('Respuestas de formulario 1.1'!$B200,$DT200),#REF!,0),MATCH('Respuestas de formulario 1.1'!FW$1,#REF!,0)))</f>
        <v/>
      </c>
      <c r="FX200" s="56" t="str">
        <f t="array" ref="FX200">IF($DU200="","", INDEX(#REF!,MATCH(CONCATENATE('Respuestas de formulario 1.1'!$B200,$DT200),#REF!,0),MATCH('Respuestas de formulario 1.1'!FX$1,#REF!,0)))</f>
        <v/>
      </c>
      <c r="FY200" s="45" t="str">
        <f t="array" ref="FY200">IF($DU200="","", INDEX(#REF!,MATCH(CONCATENATE('Respuestas de formulario 1.1'!$B200,$DT200),#REF!,0),MATCH('Respuestas de formulario 1.1'!FY$1,#REF!,0)))</f>
        <v/>
      </c>
      <c r="FZ200" s="3" t="s">
        <v>2860</v>
      </c>
      <c r="GA200" s="1" t="s">
        <v>6274</v>
      </c>
      <c r="GB200" s="5" t="s">
        <v>6275</v>
      </c>
      <c r="GC200" s="4" t="str">
        <f>HYPERLINK("https://drive.google.com/file/d/1yi9rC68Ptuvv8lwy7ELwG2DDvvgmy8OJ/view?usp=drivesdk","ROJAS OREA JAQUELINE  Formato de reinscripción y pago 2022-2")</f>
        <v>ROJAS OREA JAQUELINE  Formato de reinscripción y pago 2022-2</v>
      </c>
      <c r="GD200" s="1" t="s">
        <v>6276</v>
      </c>
      <c r="GE200" s="1"/>
      <c r="GF200" s="1"/>
      <c r="GG200" s="1"/>
      <c r="GH200" s="1"/>
      <c r="GI200" s="1" t="s">
        <v>6277</v>
      </c>
      <c r="GJ200" s="5" t="s">
        <v>6278</v>
      </c>
      <c r="GK200" s="5" t="str">
        <f>HYPERLINK("https://drive.google.com/file/d/1ptHqVG1nM1zRY9INa6sdDIEz9FpV37ki/view?usp=drivesdk","ROJAS OREA JAQUELINE  Formato de reinscripción y pago 2022-2")</f>
        <v>ROJAS OREA JAQUELINE  Formato de reinscripción y pago 2022-2</v>
      </c>
      <c r="GL200" s="1" t="s">
        <v>6279</v>
      </c>
    </row>
    <row r="201" spans="1:194" ht="38.25" x14ac:dyDescent="0.2">
      <c r="A201" s="2">
        <v>45139.819516111107</v>
      </c>
      <c r="B201" s="1" t="s">
        <v>36</v>
      </c>
      <c r="C201" s="1" t="s">
        <v>827</v>
      </c>
      <c r="D201" s="1" t="s">
        <v>525</v>
      </c>
      <c r="E201" s="1" t="s">
        <v>828</v>
      </c>
      <c r="F201" s="1" t="s">
        <v>262</v>
      </c>
      <c r="G201" s="5" t="s">
        <v>6280</v>
      </c>
      <c r="H201" s="41">
        <v>39409</v>
      </c>
      <c r="I201" s="1">
        <v>15</v>
      </c>
      <c r="J201" s="1">
        <v>5528576661</v>
      </c>
      <c r="K201" s="1">
        <v>5554866791</v>
      </c>
      <c r="L201" s="1" t="s">
        <v>829</v>
      </c>
      <c r="M201" s="1">
        <v>22309060570747</v>
      </c>
      <c r="N201" s="1" t="s">
        <v>562</v>
      </c>
      <c r="O201" s="1" t="s">
        <v>247</v>
      </c>
      <c r="P201" s="1" t="s">
        <v>314</v>
      </c>
      <c r="Q201" s="1" t="s">
        <v>315</v>
      </c>
      <c r="R201" s="1" t="s">
        <v>236</v>
      </c>
      <c r="S201" s="1" t="s">
        <v>228</v>
      </c>
      <c r="T201" s="1" t="s">
        <v>411</v>
      </c>
      <c r="U201" s="1" t="s">
        <v>309</v>
      </c>
      <c r="V201" s="1" t="s">
        <v>228</v>
      </c>
      <c r="W201" s="1" t="s">
        <v>1098</v>
      </c>
      <c r="X201" s="1" t="s">
        <v>309</v>
      </c>
      <c r="Y201" s="1" t="s">
        <v>6281</v>
      </c>
      <c r="Z201" s="1" t="s">
        <v>231</v>
      </c>
      <c r="AA201" s="1">
        <v>6374</v>
      </c>
      <c r="AB201" s="1">
        <v>6</v>
      </c>
      <c r="AC201" s="1">
        <v>6</v>
      </c>
      <c r="AD201" s="1" t="s">
        <v>6282</v>
      </c>
      <c r="AE201" s="1" t="s">
        <v>6283</v>
      </c>
      <c r="AF201" s="1" t="s">
        <v>461</v>
      </c>
      <c r="AG201" s="1">
        <v>43</v>
      </c>
      <c r="AH201" s="5" t="s">
        <v>6284</v>
      </c>
      <c r="AI201" s="1">
        <v>5546990287</v>
      </c>
      <c r="AJ201" s="1">
        <v>5554866791</v>
      </c>
      <c r="AK201" s="1" t="s">
        <v>831</v>
      </c>
      <c r="AL201" s="1" t="s">
        <v>827</v>
      </c>
      <c r="AM201" s="1" t="s">
        <v>832</v>
      </c>
      <c r="AN201" s="1" t="s">
        <v>828</v>
      </c>
      <c r="AO201" s="1" t="s">
        <v>420</v>
      </c>
      <c r="AP201" s="1">
        <v>45</v>
      </c>
      <c r="AQ201" s="1" t="s">
        <v>6285</v>
      </c>
      <c r="AR201" s="42">
        <v>0.29166666666424135</v>
      </c>
      <c r="AS201" s="42">
        <v>0.16666666666424135</v>
      </c>
      <c r="AT201" s="1">
        <v>5524345975</v>
      </c>
      <c r="AU201" s="1">
        <v>5554866791</v>
      </c>
      <c r="AV201" s="1"/>
      <c r="AW201" s="5" t="s">
        <v>6286</v>
      </c>
      <c r="AX201" s="1" t="s">
        <v>1819</v>
      </c>
      <c r="AY201" s="1" t="s">
        <v>1847</v>
      </c>
      <c r="AZ201" s="1" t="s">
        <v>6287</v>
      </c>
      <c r="BA201" s="1" t="s">
        <v>6288</v>
      </c>
      <c r="BB201" s="1">
        <v>55</v>
      </c>
      <c r="BC201" s="1" t="s">
        <v>521</v>
      </c>
      <c r="BD201" s="43">
        <v>0.29166666666424135</v>
      </c>
      <c r="BE201" s="43">
        <v>8.3333333335758653E-2</v>
      </c>
      <c r="BF201" s="1">
        <v>5515704969</v>
      </c>
      <c r="BG201" s="1">
        <v>5554866791</v>
      </c>
      <c r="BH201" s="1"/>
      <c r="BI201" s="5" t="s">
        <v>6289</v>
      </c>
      <c r="BJ201" s="1" t="s">
        <v>236</v>
      </c>
      <c r="BL201" s="1">
        <v>181</v>
      </c>
      <c r="BM201" s="1">
        <v>83</v>
      </c>
      <c r="BN201" s="1" t="s">
        <v>236</v>
      </c>
      <c r="BO201" s="1" t="s">
        <v>228</v>
      </c>
      <c r="BQ201" s="1" t="s">
        <v>228</v>
      </c>
      <c r="BR201" s="1" t="s">
        <v>237</v>
      </c>
      <c r="BS201" s="1" t="s">
        <v>236</v>
      </c>
      <c r="BT201" s="1" t="s">
        <v>457</v>
      </c>
      <c r="BU201" s="1" t="s">
        <v>228</v>
      </c>
      <c r="BW201" s="1" t="s">
        <v>238</v>
      </c>
      <c r="BX201" s="1">
        <v>90</v>
      </c>
      <c r="BY201" s="1">
        <v>250</v>
      </c>
      <c r="BZ201" s="1" t="s">
        <v>6290</v>
      </c>
      <c r="CA201" s="1" t="s">
        <v>748</v>
      </c>
      <c r="CB201" s="1" t="s">
        <v>240</v>
      </c>
      <c r="CC201" s="1" t="s">
        <v>822</v>
      </c>
      <c r="CD201" s="1">
        <v>2500</v>
      </c>
      <c r="CE201" s="1">
        <v>3000</v>
      </c>
      <c r="CF201" s="1" t="s">
        <v>236</v>
      </c>
      <c r="CG201" s="1" t="s">
        <v>323</v>
      </c>
      <c r="CH201" s="1" t="s">
        <v>243</v>
      </c>
      <c r="CI201" s="1" t="s">
        <v>243</v>
      </c>
      <c r="CJ201" s="1" t="s">
        <v>2848</v>
      </c>
      <c r="CL201" s="5" t="s">
        <v>6291</v>
      </c>
      <c r="CM201" s="1">
        <v>20220757049</v>
      </c>
      <c r="CN201" s="1" t="s">
        <v>228</v>
      </c>
      <c r="CQ201" s="42">
        <v>0.29166666666424135</v>
      </c>
      <c r="CR201" s="42">
        <v>0.125</v>
      </c>
      <c r="CT201" s="45" t="str">
        <f t="array" ref="CT201">IFERROR(INDEX(#REF!,MATCH('Respuestas de formulario 1.1'!$B201,#REF!,0),MATCH('Respuestas de formulario 1.1'!CT$1,#REF!,0)),"")</f>
        <v/>
      </c>
      <c r="CU201" s="56" t="str">
        <f t="array" ref="CU201">IFERROR(INDEX(#REF!,MATCH('Respuestas de formulario 1.1'!$B201,#REF!,0),MATCH('Respuestas de formulario 1.1'!CU$1,#REF!,0)),"")</f>
        <v/>
      </c>
      <c r="CV201" s="56" t="str">
        <f t="array" ref="CV201">IFERROR(INDEX(#REF!,MATCH('Respuestas de formulario 1.1'!$B201,#REF!,0),MATCH('Respuestas de formulario 1.1'!CV$1,#REF!,0)),"")</f>
        <v/>
      </c>
      <c r="CW201" s="56" t="str">
        <f t="array" ref="CW201">IFERROR(INDEX(#REF!,MATCH('Respuestas de formulario 1.1'!$B201,#REF!,0),MATCH('Respuestas de formulario 1.1'!CW$1,#REF!,0)),"")</f>
        <v/>
      </c>
      <c r="CX201" s="56" t="str">
        <f t="array" ref="CX201">IFERROR(INDEX(#REF!,MATCH('Respuestas de formulario 1.1'!$B201,#REF!,0),MATCH('Respuestas de formulario 1.1'!CX$1,#REF!,0)),"")</f>
        <v/>
      </c>
      <c r="CY201" s="56" t="str">
        <f t="array" ref="CY201">IFERROR(INDEX(#REF!,MATCH('Respuestas de formulario 1.1'!$B201,#REF!,0),MATCH('Respuestas de formulario 1.1'!CY$1,#REF!,0)),"")</f>
        <v/>
      </c>
      <c r="CZ201" s="57" t="str">
        <f t="array" ref="CZ201">IFERROR(INDEX(#REF!,MATCH('Respuestas de formulario 1.1'!$B201,#REF!,0),MATCH('Respuestas de formulario 1.1'!CZ$1,#REF!,0)),"")</f>
        <v/>
      </c>
      <c r="DA201" s="45" t="e">
        <f t="array" ref="DA201">INDEX(#REF!,MATCH('Respuestas de formulario 1.1'!$B201,#REF!,0),MATCH('Respuestas de formulario 1.1'!DA$1,#REF!,0))</f>
        <v>#REF!</v>
      </c>
      <c r="DB201" s="45" t="e">
        <f t="array" ref="DB201">INDEX(#REF!,MATCH('Respuestas de formulario 1.1'!$B201,#REF!,0),MATCH('Respuestas de formulario 1.1'!DB$1,#REF!,0))</f>
        <v>#REF!</v>
      </c>
      <c r="DC201" s="45" t="e">
        <f t="array" ref="DC201">INDEX(#REF!,MATCH('Respuestas de formulario 1.1'!$B201,#REF!,0),MATCH('Respuestas de formulario 1.1'!DC$1,#REF!,0))</f>
        <v>#REF!</v>
      </c>
      <c r="DD201" s="45" t="e">
        <f t="array" ref="DD201">INDEX(#REF!,MATCH('Respuestas de formulario 1.1'!$B201,#REF!,0),MATCH('Respuestas de formulario 1.1'!DD$1,#REF!,0))</f>
        <v>#REF!</v>
      </c>
      <c r="DE201" s="45" t="e">
        <f t="array" ref="DE201">INDEX(#REF!,MATCH('Respuestas de formulario 1.1'!$B201,#REF!,0),MATCH('Respuestas de formulario 1.1'!DE$1,#REF!,0))</f>
        <v>#REF!</v>
      </c>
      <c r="DF201" s="45" t="e">
        <f t="array" ref="DF201">INDEX(#REF!,MATCH('Respuestas de formulario 1.1'!$B201,#REF!,0),MATCH('Respuestas de formulario 1.1'!DF$1,#REF!,0))</f>
        <v>#REF!</v>
      </c>
      <c r="DG201" s="45" t="e">
        <f t="array" ref="DG201">INDEX(#REF!,MATCH('Respuestas de formulario 1.1'!$B201,#REF!,0),MATCH('Respuestas de formulario 1.1'!DG$1,#REF!,0))</f>
        <v>#REF!</v>
      </c>
      <c r="DH201" s="45" t="e">
        <f t="array" ref="DH201">INDEX(#REF!,MATCH('Respuestas de formulario 1.1'!$B201,#REF!,0),MATCH('Respuestas de formulario 1.1'!DH$1,#REF!,0))</f>
        <v>#REF!</v>
      </c>
      <c r="DI201" s="48" t="e">
        <f>VLOOKUP(CONCATENATE($DF201," TUTO ",$DC201),#REF!,3,0)</f>
        <v>#REF!</v>
      </c>
      <c r="DJ201" s="48" t="e">
        <f t="array" ref="DJ201">IF('Respuestas de formulario 1.1'!A201="","",INDEX(#REF!,MATCH('Respuestas de formulario 1.1'!B201,#REF!,0),MATCH('Respuestas de formulario 1.1'!$DH$1,#REF!,0)))</f>
        <v>#REF!</v>
      </c>
      <c r="DK201" s="52" t="str">
        <f>CONCATENATE("http://doc.google.com/uc?id=",MID('Respuestas de formulario 1.1'!G201,34,33))</f>
        <v>http://doc.google.com/uc?id=1mVdUvOwOVOln8iUOHOMSwTikGPyZMrPF</v>
      </c>
      <c r="DL201" s="49" t="str">
        <f>CONCATENATE("http://doc.google.com/uc?id=",MID('Respuestas de formulario 1.1'!AH201,34,33))</f>
        <v>http://doc.google.com/uc?id=10h_vH8z6pOJBcReF45PDrrN7ndkr2Cf8</v>
      </c>
      <c r="DM201" s="50" t="str">
        <f>CONCATENATE("http://doc.google.com/uc?id=",MID('Respuestas de formulario 1.1'!AW201,34,33))</f>
        <v>http://doc.google.com/uc?id=1Zubv1RK1LBkr8Sxjqr1XrgjW_Lo4d-ZM</v>
      </c>
      <c r="DN201" s="53" t="str">
        <f>CONCATENATE("http://doc.google.com/uc?id=",MID('Respuestas de formulario 1.1'!$BI201,34,33))</f>
        <v>http://doc.google.com/uc?id=1rtgHFuVkTgeIKznXqcCMr3FjEcGdxa8X</v>
      </c>
      <c r="DO201" s="45" t="str">
        <f>IFERROR(VLOOKUP(CONCATENATE('Respuestas de formulario 1.1'!$B201,MID('Respuestas de formulario 1.1'!DO$1,2,1)),#REF!,12,0),"")</f>
        <v/>
      </c>
      <c r="DP201" s="45" t="str">
        <f>IFERROR(VLOOKUP(CONCATENATE('Respuestas de formulario 1.1'!$B201,MID('Respuestas de formulario 1.1'!DP$1,2,1)),#REF!,12,0),"")</f>
        <v/>
      </c>
      <c r="DQ201" s="45" t="str">
        <f>IFERROR(VLOOKUP(CONCATENATE('Respuestas de formulario 1.1'!$B201,MID('Respuestas de formulario 1.1'!DQ$1,2,1)),#REF!,12,0),"")</f>
        <v/>
      </c>
      <c r="DR201" s="45" t="str">
        <f>IFERROR(VLOOKUP(CONCATENATE('Respuestas de formulario 1.1'!$B201,MID('Respuestas de formulario 1.1'!DR$1,2,1)),#REF!,12,0),"")</f>
        <v/>
      </c>
      <c r="DS201" s="45" t="str">
        <f>IFERROR(VLOOKUP(CONCATENATE('Respuestas de formulario 1.1'!$B201,MID('Respuestas de formulario 1.1'!DS$1,2,1)),#REF!,12,0),"")</f>
        <v/>
      </c>
      <c r="DT201" s="45" t="str">
        <f>IFERROR(VLOOKUP(CONCATENATE('Respuestas de formulario 1.1'!$B201,MID('Respuestas de formulario 1.1'!DT$1,2,1)),#REF!,12,0),"")</f>
        <v/>
      </c>
      <c r="DU201" s="45" t="str">
        <f>IFERROR(VLOOKUP(CONCATENATE('Respuestas de formulario 1.1'!$B201,MID('Respuestas de formulario 1.1'!DU$1,2,1)),#REF!,12,0),"")</f>
        <v/>
      </c>
      <c r="DV201" s="45" t="str">
        <f>IFERROR(VLOOKUP(CONCATENATE('Respuestas de formulario 1.1'!$B201,MID('Respuestas de formulario 1.1'!DV$1,2,1)),#REF!,12,0),"")</f>
        <v/>
      </c>
      <c r="DW201" s="45" t="str">
        <f>IFERROR(VLOOKUP(CONCATENATE('Respuestas de formulario 1.1'!$B201,MID('Respuestas de formulario 1.1'!DW$1,2,1)),#REF!,12,0),"")</f>
        <v/>
      </c>
      <c r="DX201" s="45" t="str">
        <f>IFERROR(VLOOKUP(CONCATENATE('Respuestas de formulario 1.1'!$B201,MID('Respuestas de formulario 1.1'!DX$1,2,1)),#REF!,12,0),"")</f>
        <v/>
      </c>
      <c r="DY201" s="45" t="str">
        <f>IFERROR(VLOOKUP(CONCATENATE('Respuestas de formulario 1.1'!$B201,MID('Respuestas de formulario 1.1'!DY$1,2,1)),#REF!,12,0),"")</f>
        <v/>
      </c>
      <c r="DZ201" s="45" t="str">
        <f>IFERROR(VLOOKUP(CONCATENATE('Respuestas de formulario 1.1'!$B201,MID('Respuestas de formulario 1.1'!DZ$1,2,1)),#REF!,12,0),"")</f>
        <v/>
      </c>
      <c r="EA201" s="45" t="str">
        <f>IFERROR(VLOOKUP(CONCATENATE('Respuestas de formulario 1.1'!$B201,MID('Respuestas de formulario 1.1'!EA$1,2,1)),#REF!,12,0),"")</f>
        <v/>
      </c>
      <c r="EB201" s="45" t="str">
        <f>IFERROR(VLOOKUP(CONCATENATE('Respuestas de formulario 1.1'!$B201,MID('Respuestas de formulario 1.1'!EB$1,2,1)),#REF!,12,0),"")</f>
        <v/>
      </c>
      <c r="EC201" s="45" t="str">
        <f>IFERROR(VLOOKUP(CONCATENATE('Respuestas de formulario 1.1'!$B201,MID('Respuestas de formulario 1.1'!EC$1,2,1)),#REF!,12,0),"")</f>
        <v/>
      </c>
      <c r="ED201" s="45" t="str">
        <f>IFERROR(VLOOKUP(CONCATENATE('Respuestas de formulario 1.1'!$B201,MID('Respuestas de formulario 1.1'!ED$1,2,1)),#REF!,12,0),"")</f>
        <v/>
      </c>
      <c r="EE201" s="45" t="str">
        <f>IFERROR(VLOOKUP(CONCATENATE('Respuestas de formulario 1.1'!$B201,MID('Respuestas de formulario 1.1'!EE$1,2,1)),#REF!,12,0),"")</f>
        <v/>
      </c>
      <c r="EF201" s="45" t="str">
        <f>IFERROR(VLOOKUP(CONCATENATE('Respuestas de formulario 1.1'!$B201,MID('Respuestas de formulario 1.1'!EF$1,2,1)),#REF!,12,0),"")</f>
        <v/>
      </c>
      <c r="EG201" s="45" t="str">
        <f>IFERROR(VLOOKUP(CONCATENATE('Respuestas de formulario 1.1'!$B201,MID('Respuestas de formulario 1.1'!EG$1,2,1)),#REF!,12,0),"")</f>
        <v/>
      </c>
      <c r="EH201" s="45" t="str">
        <f>IFERROR(VLOOKUP(CONCATENATE('Respuestas de formulario 1.1'!$B201,MID('Respuestas de formulario 1.1'!EH$1,2,1)),#REF!,12,0),"")</f>
        <v/>
      </c>
      <c r="EI201" s="45" t="str">
        <f>IFERROR(VLOOKUP(CONCATENATE('Respuestas de formulario 1.1'!$B201,MID('Respuestas de formulario 1.1'!EI$1,2,1)),#REF!,12,0),"")</f>
        <v/>
      </c>
      <c r="EJ201" s="45" t="str">
        <f t="array" ref="EJ201">IF(DO201="","", INDEX(#REF!,MATCH(CONCATENATE('Respuestas de formulario 1.1'!$B201,DO201),#REF!,0),MATCH('Respuestas de formulario 1.1'!EJ$1,#REF!,0)))</f>
        <v/>
      </c>
      <c r="EK201" s="56" t="str">
        <f t="array" ref="EK201">IF(DP201="","", INDEX(#REF!,MATCH(CONCATENATE('Respuestas de formulario 1.1'!$B201,DP201),#REF!,0),MATCH('Respuestas de formulario 1.1'!EK$1,#REF!,0)))</f>
        <v/>
      </c>
      <c r="EL201" s="56" t="str">
        <f t="array" ref="EL201">IF(DQ201="","", INDEX(#REF!,MATCH(CONCATENATE('Respuestas de formulario 1.1'!$B201,DQ201),#REF!,0),MATCH('Respuestas de formulario 1.1'!EL$1,#REF!,0)))</f>
        <v/>
      </c>
      <c r="EM201" s="56" t="str">
        <f t="array" ref="EM201">IF(DR201="","", INDEX(#REF!,MATCH(CONCATENATE('Respuestas de formulario 1.1'!$B201,DR201),#REF!,0),MATCH('Respuestas de formulario 1.1'!EM$1,#REF!,0)))</f>
        <v/>
      </c>
      <c r="EN201" s="56" t="str">
        <f t="array" ref="EN201">IF(DS201="","", INDEX(#REF!,MATCH(CONCATENATE('Respuestas de formulario 1.1'!$B201,DS201),#REF!,0),MATCH('Respuestas de formulario 1.1'!EN$1,#REF!,0)))</f>
        <v/>
      </c>
      <c r="EO201" s="56" t="str">
        <f t="array" ref="EO201">IF(DT201="","", INDEX(#REF!,MATCH(CONCATENATE('Respuestas de formulario 1.1'!$B201,DT201),#REF!,0),MATCH('Respuestas de formulario 1.1'!EO$1,#REF!,0)))</f>
        <v/>
      </c>
      <c r="EP201" s="45" t="str">
        <f t="array" ref="EP201">IF(DU201="","", INDEX(#REF!,MATCH(CONCATENATE('Respuestas de formulario 1.1'!$B201,DU201),#REF!,0),MATCH('Respuestas de formulario 1.1'!EP$1,#REF!,0)))</f>
        <v/>
      </c>
      <c r="EQ201" s="45" t="str">
        <f t="array" ref="EQ201">IF(DP201="","", INDEX(#REF!,MATCH(CONCATENATE('Respuestas de formulario 1.1'!$B201,DP201),#REF!,0),MATCH('Respuestas de formulario 1.1'!EQ$1,#REF!,0)))</f>
        <v/>
      </c>
      <c r="ER201" s="56" t="str">
        <f t="array" ref="ER201">IF(DQ201="","", INDEX(#REF!,MATCH(CONCATENATE('Respuestas de formulario 1.1'!$B201,DQ201),#REF!,0),MATCH('Respuestas de formulario 1.1'!ER$1,#REF!,0)))</f>
        <v/>
      </c>
      <c r="ES201" s="56" t="str">
        <f t="array" ref="ES201">IF(DR201="","", INDEX(#REF!,MATCH(CONCATENATE('Respuestas de formulario 1.1'!$B201,DR201),#REF!,0),MATCH('Respuestas de formulario 1.1'!ES$1,#REF!,0)))</f>
        <v/>
      </c>
      <c r="ET201" s="56" t="str">
        <f t="array" ref="ET201">IF(DS201="","", INDEX(#REF!,MATCH(CONCATENATE('Respuestas de formulario 1.1'!$B201,DS201),#REF!,0),MATCH('Respuestas de formulario 1.1'!ET$1,#REF!,0)))</f>
        <v/>
      </c>
      <c r="EU201" s="56" t="str">
        <f t="array" ref="EU201">IF(DT201="","", INDEX(#REF!,MATCH(CONCATENATE('Respuestas de formulario 1.1'!$B201,DT201),#REF!,0),MATCH('Respuestas de formulario 1.1'!EU$1,#REF!,0)))</f>
        <v/>
      </c>
      <c r="EV201" s="56" t="str">
        <f t="array" ref="EV201">IF(DU201="","", INDEX(#REF!,MATCH(CONCATENATE('Respuestas de formulario 1.1'!$B201,DU201),#REF!,0),MATCH('Respuestas de formulario 1.1'!EV$1,#REF!,0)))</f>
        <v/>
      </c>
      <c r="EW201" s="45" t="str">
        <f t="array" ref="EW201">IF(DV201="","", INDEX(#REF!,MATCH(CONCATENATE('Respuestas de formulario 1.1'!$B201,DV201),#REF!,0),MATCH('Respuestas de formulario 1.1'!EW$1,#REF!,0)))</f>
        <v/>
      </c>
      <c r="EX201" s="45" t="str">
        <f t="array" ref="EX201">IF($DQ201="","", INDEX(#REF!,MATCH(CONCATENATE('Respuestas de formulario 1.1'!$B201,$DQ201),#REF!,0),MATCH('Respuestas de formulario 1.1'!EX$1,#REF!,0)))</f>
        <v/>
      </c>
      <c r="EY201" s="56" t="str">
        <f t="array" ref="EY201">IF($DQ201="","", INDEX(#REF!,MATCH(CONCATENATE('Respuestas de formulario 1.1'!$B201,$DQ201),#REF!,0),MATCH('Respuestas de formulario 1.1'!EY$1,#REF!,0)))</f>
        <v/>
      </c>
      <c r="EZ201" s="56" t="str">
        <f t="array" ref="EZ201">IF($DQ201="","", INDEX(#REF!,MATCH(CONCATENATE('Respuestas de formulario 1.1'!$B201,$DQ201),#REF!,0),MATCH('Respuestas de formulario 1.1'!EZ$1,#REF!,0)))</f>
        <v/>
      </c>
      <c r="FA201" s="56" t="str">
        <f t="array" ref="FA201">IF($DQ201="","", INDEX(#REF!,MATCH(CONCATENATE('Respuestas de formulario 1.1'!$B201,$DQ201),#REF!,0),MATCH('Respuestas de formulario 1.1'!FA$1,#REF!,0)))</f>
        <v/>
      </c>
      <c r="FB201" s="56" t="str">
        <f t="array" ref="FB201">IF($DQ201="","", INDEX(#REF!,MATCH(CONCATENATE('Respuestas de formulario 1.1'!$B201,$DQ201),#REF!,0),MATCH('Respuestas de formulario 1.1'!FB$1,#REF!,0)))</f>
        <v/>
      </c>
      <c r="FC201" s="56" t="str">
        <f t="array" ref="FC201">IF($DQ201="","", INDEX(#REF!,MATCH(CONCATENATE('Respuestas de formulario 1.1'!$B201,$DQ201),#REF!,0),MATCH('Respuestas de formulario 1.1'!FC$1,#REF!,0)))</f>
        <v/>
      </c>
      <c r="FD201" s="45" t="str">
        <f t="array" ref="FD201">IF($DQ201="","", INDEX(#REF!,MATCH(CONCATENATE('Respuestas de formulario 1.1'!$B201,$DQ201),#REF!,0),MATCH('Respuestas de formulario 1.1'!FD$1,#REF!,0)))</f>
        <v/>
      </c>
      <c r="FE201" s="45" t="str">
        <f t="array" ref="FE201">IF($DR201="","", INDEX(#REF!,MATCH(CONCATENATE(#REF!,$DR201),#REF!,0),MATCH(#REF!,#REF!,0)))</f>
        <v/>
      </c>
      <c r="FF201" s="56" t="str">
        <f t="array" ref="FF201">IF($DR201="","", INDEX(#REF!,MATCH(CONCATENATE(#REF!,$DR201),#REF!,0),MATCH(#REF!,#REF!,0)))</f>
        <v/>
      </c>
      <c r="FG201" s="56" t="str">
        <f t="array" ref="FG201">IF($DR201="","", INDEX(#REF!,MATCH(CONCATENATE(#REF!,$DR201),#REF!,0),MATCH(#REF!,#REF!,0)))</f>
        <v/>
      </c>
      <c r="FH201" s="56" t="str">
        <f t="array" ref="FH201">IF($DR201="","", INDEX(#REF!,MATCH(CONCATENATE(#REF!,$DR201),#REF!,0),MATCH(#REF!,#REF!,0)))</f>
        <v/>
      </c>
      <c r="FI201" s="56" t="str">
        <f t="array" ref="FI201">IF($DR201="","", INDEX(#REF!,MATCH(CONCATENATE(#REF!,$DR201),#REF!,0),MATCH(#REF!,#REF!,0)))</f>
        <v/>
      </c>
      <c r="FJ201" s="56" t="str">
        <f t="array" ref="FJ201">IF($DR201="","", INDEX(#REF!,MATCH(CONCATENATE(#REF!,$DR201),#REF!,0),MATCH(#REF!,#REF!,0)))</f>
        <v/>
      </c>
      <c r="FK201" s="45" t="str">
        <f t="array" ref="FK201">IF($DR201="","", INDEX(#REF!,MATCH(CONCATENATE(#REF!,$DR201),#REF!,0),MATCH(#REF!,#REF!,0)))</f>
        <v/>
      </c>
      <c r="FL201" s="45" t="str">
        <f t="array" ref="FL201">IF($DT201="","", INDEX(#REF!,MATCH(CONCATENATE('Respuestas de formulario 1.1'!$B201,$DS201),#REF!,0),MATCH('Respuestas de formulario 1.1'!FL$1,#REF!,0)))</f>
        <v/>
      </c>
      <c r="FM201" s="56" t="str">
        <f t="array" ref="FM201">IF($DT201="","", INDEX(#REF!,MATCH(CONCATENATE('Respuestas de formulario 1.1'!$B201,$DS201),#REF!,0),MATCH('Respuestas de formulario 1.1'!FM$1,#REF!,0)))</f>
        <v/>
      </c>
      <c r="FN201" s="56" t="str">
        <f t="array" ref="FN201">IF($DT201="","", INDEX(#REF!,MATCH(CONCATENATE('Respuestas de formulario 1.1'!$B201,$DS201),#REF!,0),MATCH('Respuestas de formulario 1.1'!FN$1,#REF!,0)))</f>
        <v/>
      </c>
      <c r="FO201" s="56" t="str">
        <f t="array" ref="FO201">IF($DT201="","", INDEX(#REF!,MATCH(CONCATENATE('Respuestas de formulario 1.1'!$B201,$DS201),#REF!,0),MATCH('Respuestas de formulario 1.1'!FO$1,#REF!,0)))</f>
        <v/>
      </c>
      <c r="FP201" s="56" t="str">
        <f t="array" ref="FP201">IF($DT201="","", INDEX(#REF!,MATCH(CONCATENATE('Respuestas de formulario 1.1'!$B201,$DS201),#REF!,0),MATCH('Respuestas de formulario 1.1'!FP$1,#REF!,0)))</f>
        <v/>
      </c>
      <c r="FQ201" s="56" t="str">
        <f t="array" ref="FQ201">IF($DT201="","", INDEX(#REF!,MATCH(CONCATENATE('Respuestas de formulario 1.1'!$B201,$DS201),#REF!,0),MATCH('Respuestas de formulario 1.1'!FQ$1,#REF!,0)))</f>
        <v/>
      </c>
      <c r="FR201" s="45" t="str">
        <f t="array" ref="FR201">IF($DT201="","", INDEX(#REF!,MATCH(CONCATENATE('Respuestas de formulario 1.1'!$B201,$DS201),#REF!,0),MATCH('Respuestas de formulario 1.1'!FR$1,#REF!,0)))</f>
        <v/>
      </c>
      <c r="FS201" s="45" t="str">
        <f t="array" ref="FS201">IF($DU201="","", INDEX(#REF!,MATCH(CONCATENATE('Respuestas de formulario 1.1'!$B201,$DT201),#REF!,0),MATCH('Respuestas de formulario 1.1'!FS$1,#REF!,0)))</f>
        <v/>
      </c>
      <c r="FT201" s="56" t="str">
        <f t="array" ref="FT201">IF($DU201="","", INDEX(#REF!,MATCH(CONCATENATE('Respuestas de formulario 1.1'!$B201,$DT201),#REF!,0),MATCH('Respuestas de formulario 1.1'!FT$1,#REF!,0)))</f>
        <v/>
      </c>
      <c r="FU201" s="56" t="str">
        <f t="array" ref="FU201">IF($DU201="","", INDEX(#REF!,MATCH(CONCATENATE('Respuestas de formulario 1.1'!$B201,$DT201),#REF!,0),MATCH('Respuestas de formulario 1.1'!FU$1,#REF!,0)))</f>
        <v/>
      </c>
      <c r="FV201" s="56" t="str">
        <f t="array" ref="FV201">IF($DU201="","", INDEX(#REF!,MATCH(CONCATENATE('Respuestas de formulario 1.1'!$B201,$DT201),#REF!,0),MATCH('Respuestas de formulario 1.1'!FV$1,#REF!,0)))</f>
        <v/>
      </c>
      <c r="FW201" s="56" t="str">
        <f t="array" ref="FW201">IF($DU201="","", INDEX(#REF!,MATCH(CONCATENATE('Respuestas de formulario 1.1'!$B201,$DT201),#REF!,0),MATCH('Respuestas de formulario 1.1'!FW$1,#REF!,0)))</f>
        <v/>
      </c>
      <c r="FX201" s="56" t="str">
        <f t="array" ref="FX201">IF($DU201="","", INDEX(#REF!,MATCH(CONCATENATE('Respuestas de formulario 1.1'!$B201,$DT201),#REF!,0),MATCH('Respuestas de formulario 1.1'!FX$1,#REF!,0)))</f>
        <v/>
      </c>
      <c r="FY201" s="45" t="str">
        <f t="array" ref="FY201">IF($DU201="","", INDEX(#REF!,MATCH(CONCATENATE('Respuestas de formulario 1.1'!$B201,$DT201),#REF!,0),MATCH('Respuestas de formulario 1.1'!FY$1,#REF!,0)))</f>
        <v/>
      </c>
      <c r="FZ201" s="3" t="s">
        <v>2860</v>
      </c>
      <c r="GA201" s="1" t="s">
        <v>6292</v>
      </c>
      <c r="GB201" s="5" t="s">
        <v>6293</v>
      </c>
      <c r="GC201" s="4" t="str">
        <f>HYPERLINK("https://drive.google.com/file/d/1jMlhqTxt9dcarXUD6f4J5Y7UmLGSbTFQ/view?usp=drivesdk","VALDEZ FLORES RAFAEL Formato de reinscripción y pago 2022-2")</f>
        <v>VALDEZ FLORES RAFAEL Formato de reinscripción y pago 2022-2</v>
      </c>
      <c r="GD201" s="1" t="s">
        <v>6294</v>
      </c>
      <c r="GE201" s="1"/>
      <c r="GF201" s="1"/>
      <c r="GG201" s="1"/>
      <c r="GH201" s="1"/>
      <c r="GI201" s="1" t="s">
        <v>6295</v>
      </c>
      <c r="GJ201" s="5" t="s">
        <v>6296</v>
      </c>
      <c r="GK201" s="5" t="str">
        <f>HYPERLINK("https://drive.google.com/file/d/1aj718N_5J1rJDkKqi2ST8Lw1lszKdtj5/view?usp=drivesdk","VALDEZ FLORES RAFAEL Formato de reinscripción y pago 2022-2")</f>
        <v>VALDEZ FLORES RAFAEL Formato de reinscripción y pago 2022-2</v>
      </c>
      <c r="GL201" s="1" t="s">
        <v>6297</v>
      </c>
    </row>
    <row r="202" spans="1:194" ht="38.25" x14ac:dyDescent="0.2">
      <c r="A202" s="2">
        <v>45139.514293043976</v>
      </c>
      <c r="B202" s="1" t="s">
        <v>53</v>
      </c>
      <c r="C202" s="1" t="s">
        <v>1047</v>
      </c>
      <c r="D202" s="1" t="s">
        <v>2240</v>
      </c>
      <c r="E202" s="1" t="s">
        <v>6298</v>
      </c>
      <c r="F202" s="1" t="s">
        <v>223</v>
      </c>
      <c r="G202" s="5" t="s">
        <v>6299</v>
      </c>
      <c r="H202" s="41">
        <v>39078</v>
      </c>
      <c r="I202" s="1">
        <v>16</v>
      </c>
      <c r="J202" s="1">
        <v>5564486722</v>
      </c>
      <c r="K202" s="1">
        <v>5557444056</v>
      </c>
      <c r="L202" s="1" t="s">
        <v>2241</v>
      </c>
      <c r="M202" s="1">
        <v>21309060570088</v>
      </c>
      <c r="N202" s="1" t="s">
        <v>1108</v>
      </c>
      <c r="O202" s="1" t="s">
        <v>225</v>
      </c>
      <c r="P202" s="1" t="s">
        <v>278</v>
      </c>
      <c r="Q202" s="1" t="s">
        <v>263</v>
      </c>
      <c r="R202" s="1" t="s">
        <v>236</v>
      </c>
      <c r="S202" s="1" t="s">
        <v>228</v>
      </c>
      <c r="T202" s="1" t="s">
        <v>229</v>
      </c>
      <c r="U202" s="1" t="s">
        <v>249</v>
      </c>
      <c r="V202" s="1" t="s">
        <v>228</v>
      </c>
      <c r="W202" s="1" t="s">
        <v>6300</v>
      </c>
      <c r="X202" s="1" t="s">
        <v>249</v>
      </c>
      <c r="Y202" s="1" t="s">
        <v>2221</v>
      </c>
      <c r="Z202" s="1" t="s">
        <v>240</v>
      </c>
      <c r="AA202" s="44" t="s">
        <v>602</v>
      </c>
      <c r="AB202" s="1" t="s">
        <v>6301</v>
      </c>
      <c r="AC202" s="1" t="s">
        <v>6302</v>
      </c>
      <c r="AD202" s="1" t="s">
        <v>6303</v>
      </c>
      <c r="AE202" s="1" t="s">
        <v>6304</v>
      </c>
      <c r="AF202" s="1" t="s">
        <v>265</v>
      </c>
      <c r="AG202" s="1">
        <v>36</v>
      </c>
      <c r="AH202" s="5" t="s">
        <v>6305</v>
      </c>
      <c r="AI202" s="1">
        <v>5564788220</v>
      </c>
      <c r="AJ202" s="1">
        <v>5557444056</v>
      </c>
      <c r="AK202" s="1" t="s">
        <v>2242</v>
      </c>
      <c r="AL202" s="1" t="s">
        <v>1192</v>
      </c>
      <c r="AM202" s="1" t="s">
        <v>600</v>
      </c>
      <c r="AN202" s="1" t="s">
        <v>1220</v>
      </c>
      <c r="AO202" s="1" t="s">
        <v>435</v>
      </c>
      <c r="AP202" s="1">
        <v>57</v>
      </c>
      <c r="AQ202" s="1" t="s">
        <v>546</v>
      </c>
      <c r="AR202" s="42">
        <v>0.33333333333575865</v>
      </c>
      <c r="AS202" s="42">
        <v>0.33333333333575865</v>
      </c>
      <c r="AT202" s="1">
        <v>5564788220</v>
      </c>
      <c r="AU202" s="1">
        <v>5557444056</v>
      </c>
      <c r="AV202" s="1" t="s">
        <v>2242</v>
      </c>
      <c r="AW202" s="5" t="s">
        <v>6306</v>
      </c>
      <c r="AX202" s="1" t="s">
        <v>1192</v>
      </c>
      <c r="AY202" s="1" t="s">
        <v>600</v>
      </c>
      <c r="AZ202" s="1" t="s">
        <v>866</v>
      </c>
      <c r="BA202" s="1" t="s">
        <v>493</v>
      </c>
      <c r="BB202" s="1">
        <v>48</v>
      </c>
      <c r="BC202" s="1" t="s">
        <v>328</v>
      </c>
      <c r="BD202" s="43">
        <v>0.33333333333575865</v>
      </c>
      <c r="BE202" s="43">
        <v>0.25</v>
      </c>
      <c r="BF202" s="1">
        <v>5554363144</v>
      </c>
      <c r="BG202" s="1">
        <v>5557440021</v>
      </c>
      <c r="BH202" s="1" t="s">
        <v>6307</v>
      </c>
      <c r="BI202" s="5" t="s">
        <v>6308</v>
      </c>
      <c r="BJ202" s="1" t="s">
        <v>236</v>
      </c>
      <c r="BL202" s="1">
        <v>1.65</v>
      </c>
      <c r="BM202" s="1">
        <v>78</v>
      </c>
      <c r="BN202" s="1" t="s">
        <v>228</v>
      </c>
      <c r="BO202" s="1" t="s">
        <v>228</v>
      </c>
      <c r="BQ202" s="1" t="s">
        <v>228</v>
      </c>
      <c r="BR202" s="1" t="s">
        <v>237</v>
      </c>
      <c r="BS202" s="1" t="s">
        <v>228</v>
      </c>
      <c r="BT202" s="1" t="s">
        <v>237</v>
      </c>
      <c r="BU202" s="1" t="s">
        <v>228</v>
      </c>
      <c r="BW202" s="1" t="s">
        <v>238</v>
      </c>
      <c r="BX202" s="1">
        <v>10</v>
      </c>
      <c r="BY202" s="1">
        <v>20</v>
      </c>
      <c r="BZ202" s="1" t="s">
        <v>1042</v>
      </c>
      <c r="CA202" s="1" t="s">
        <v>254</v>
      </c>
      <c r="CB202" s="1" t="s">
        <v>240</v>
      </c>
      <c r="CC202" s="1" t="s">
        <v>322</v>
      </c>
      <c r="CD202" s="1">
        <v>3000</v>
      </c>
      <c r="CE202" s="1">
        <v>3000</v>
      </c>
      <c r="CF202" s="1" t="s">
        <v>236</v>
      </c>
      <c r="CG202" s="1" t="s">
        <v>242</v>
      </c>
      <c r="CH202" s="1" t="s">
        <v>243</v>
      </c>
      <c r="CI202" s="1" t="s">
        <v>243</v>
      </c>
      <c r="CJ202" s="1" t="s">
        <v>2848</v>
      </c>
      <c r="CL202" s="5" t="s">
        <v>6309</v>
      </c>
      <c r="CM202" s="44" t="s">
        <v>2243</v>
      </c>
      <c r="CN202" s="1" t="s">
        <v>228</v>
      </c>
      <c r="CQ202" s="42">
        <v>0.33333333333575865</v>
      </c>
      <c r="CR202" s="42">
        <v>0.33333333333575865</v>
      </c>
      <c r="CT202" s="45" t="str">
        <f t="array" ref="CT202">IFERROR(INDEX(#REF!,MATCH('Respuestas de formulario 1.1'!$B202,#REF!,0),MATCH('Respuestas de formulario 1.1'!CT$1,#REF!,0)),"")</f>
        <v/>
      </c>
      <c r="CU202" s="56" t="str">
        <f t="array" ref="CU202">IFERROR(INDEX(#REF!,MATCH('Respuestas de formulario 1.1'!$B202,#REF!,0),MATCH('Respuestas de formulario 1.1'!CU$1,#REF!,0)),"")</f>
        <v/>
      </c>
      <c r="CV202" s="56" t="str">
        <f t="array" ref="CV202">IFERROR(INDEX(#REF!,MATCH('Respuestas de formulario 1.1'!$B202,#REF!,0),MATCH('Respuestas de formulario 1.1'!CV$1,#REF!,0)),"")</f>
        <v/>
      </c>
      <c r="CW202" s="56" t="str">
        <f t="array" ref="CW202">IFERROR(INDEX(#REF!,MATCH('Respuestas de formulario 1.1'!$B202,#REF!,0),MATCH('Respuestas de formulario 1.1'!CW$1,#REF!,0)),"")</f>
        <v/>
      </c>
      <c r="CX202" s="56" t="str">
        <f t="array" ref="CX202">IFERROR(INDEX(#REF!,MATCH('Respuestas de formulario 1.1'!$B202,#REF!,0),MATCH('Respuestas de formulario 1.1'!CX$1,#REF!,0)),"")</f>
        <v/>
      </c>
      <c r="CY202" s="56" t="str">
        <f t="array" ref="CY202">IFERROR(INDEX(#REF!,MATCH('Respuestas de formulario 1.1'!$B202,#REF!,0),MATCH('Respuestas de formulario 1.1'!CY$1,#REF!,0)),"")</f>
        <v/>
      </c>
      <c r="CZ202" s="57" t="str">
        <f t="array" ref="CZ202">IFERROR(INDEX(#REF!,MATCH('Respuestas de formulario 1.1'!$B202,#REF!,0),MATCH('Respuestas de formulario 1.1'!CZ$1,#REF!,0)),"")</f>
        <v/>
      </c>
      <c r="DA202" s="45" t="e">
        <f t="array" ref="DA202">INDEX(#REF!,MATCH('Respuestas de formulario 1.1'!$B202,#REF!,0),MATCH('Respuestas de formulario 1.1'!DA$1,#REF!,0))</f>
        <v>#REF!</v>
      </c>
      <c r="DB202" s="45" t="e">
        <f t="array" ref="DB202">INDEX(#REF!,MATCH('Respuestas de formulario 1.1'!$B202,#REF!,0),MATCH('Respuestas de formulario 1.1'!DB$1,#REF!,0))</f>
        <v>#REF!</v>
      </c>
      <c r="DC202" s="45" t="e">
        <f t="array" ref="DC202">INDEX(#REF!,MATCH('Respuestas de formulario 1.1'!$B202,#REF!,0),MATCH('Respuestas de formulario 1.1'!DC$1,#REF!,0))</f>
        <v>#REF!</v>
      </c>
      <c r="DD202" s="45" t="e">
        <f t="array" ref="DD202">INDEX(#REF!,MATCH('Respuestas de formulario 1.1'!$B202,#REF!,0),MATCH('Respuestas de formulario 1.1'!DD$1,#REF!,0))</f>
        <v>#REF!</v>
      </c>
      <c r="DE202" s="45" t="e">
        <f t="array" ref="DE202">INDEX(#REF!,MATCH('Respuestas de formulario 1.1'!$B202,#REF!,0),MATCH('Respuestas de formulario 1.1'!DE$1,#REF!,0))</f>
        <v>#REF!</v>
      </c>
      <c r="DF202" s="45" t="e">
        <f t="array" ref="DF202">INDEX(#REF!,MATCH('Respuestas de formulario 1.1'!$B202,#REF!,0),MATCH('Respuestas de formulario 1.1'!DF$1,#REF!,0))</f>
        <v>#REF!</v>
      </c>
      <c r="DG202" s="45" t="e">
        <f t="array" ref="DG202">INDEX(#REF!,MATCH('Respuestas de formulario 1.1'!$B202,#REF!,0),MATCH('Respuestas de formulario 1.1'!DG$1,#REF!,0))</f>
        <v>#REF!</v>
      </c>
      <c r="DH202" s="45" t="e">
        <f t="array" ref="DH202">INDEX(#REF!,MATCH('Respuestas de formulario 1.1'!$B202,#REF!,0),MATCH('Respuestas de formulario 1.1'!DH$1,#REF!,0))</f>
        <v>#REF!</v>
      </c>
      <c r="DI202" s="48" t="e">
        <f>VLOOKUP(CONCATENATE($DF202," TUTO ",$DC202),#REF!,3,0)</f>
        <v>#REF!</v>
      </c>
      <c r="DJ202" s="48" t="e">
        <f t="array" ref="DJ202">IF('Respuestas de formulario 1.1'!A202="","",INDEX(#REF!,MATCH('Respuestas de formulario 1.1'!B202,#REF!,0),MATCH('Respuestas de formulario 1.1'!$DH$1,#REF!,0)))</f>
        <v>#REF!</v>
      </c>
      <c r="DK202" s="52" t="str">
        <f>CONCATENATE("http://doc.google.com/uc?id=",MID('Respuestas de formulario 1.1'!G202,34,33))</f>
        <v>http://doc.google.com/uc?id=1xMXmTGHFV8FZrSaOvvLxyudsNzNRPa5J</v>
      </c>
      <c r="DL202" s="49" t="str">
        <f>CONCATENATE("http://doc.google.com/uc?id=",MID('Respuestas de formulario 1.1'!AH202,34,33))</f>
        <v>http://doc.google.com/uc?id=1F3JeRgXDe9NgZro0JlQ9pPfg_UfDYlxH</v>
      </c>
      <c r="DM202" s="50" t="str">
        <f>CONCATENATE("http://doc.google.com/uc?id=",MID('Respuestas de formulario 1.1'!AW202,34,33))</f>
        <v>http://doc.google.com/uc?id=1lZYVQzLtbZJjS5WGIrHGUa8PBOPbaBGh</v>
      </c>
      <c r="DN202" s="53" t="str">
        <f>CONCATENATE("http://doc.google.com/uc?id=",MID('Respuestas de formulario 1.1'!$BI202,34,33))</f>
        <v>http://doc.google.com/uc?id=1DKy3ponVkxuQCuWexEtIRKARWOjdxRG-</v>
      </c>
      <c r="DO202" s="45" t="str">
        <f>IFERROR(VLOOKUP(CONCATENATE('Respuestas de formulario 1.1'!$B202,MID('Respuestas de formulario 1.1'!DO$1,2,1)),#REF!,12,0),"")</f>
        <v/>
      </c>
      <c r="DP202" s="45" t="str">
        <f>IFERROR(VLOOKUP(CONCATENATE('Respuestas de formulario 1.1'!$B202,MID('Respuestas de formulario 1.1'!DP$1,2,1)),#REF!,12,0),"")</f>
        <v/>
      </c>
      <c r="DQ202" s="45" t="str">
        <f>IFERROR(VLOOKUP(CONCATENATE('Respuestas de formulario 1.1'!$B202,MID('Respuestas de formulario 1.1'!DQ$1,2,1)),#REF!,12,0),"")</f>
        <v/>
      </c>
      <c r="DR202" s="45" t="str">
        <f>IFERROR(VLOOKUP(CONCATENATE('Respuestas de formulario 1.1'!$B202,MID('Respuestas de formulario 1.1'!DR$1,2,1)),#REF!,12,0),"")</f>
        <v/>
      </c>
      <c r="DS202" s="45" t="str">
        <f>IFERROR(VLOOKUP(CONCATENATE('Respuestas de formulario 1.1'!$B202,MID('Respuestas de formulario 1.1'!DS$1,2,1)),#REF!,12,0),"")</f>
        <v/>
      </c>
      <c r="DT202" s="45" t="str">
        <f>IFERROR(VLOOKUP(CONCATENATE('Respuestas de formulario 1.1'!$B202,MID('Respuestas de formulario 1.1'!DT$1,2,1)),#REF!,12,0),"")</f>
        <v/>
      </c>
      <c r="DU202" s="45" t="str">
        <f>IFERROR(VLOOKUP(CONCATENATE('Respuestas de formulario 1.1'!$B202,MID('Respuestas de formulario 1.1'!DU$1,2,1)),#REF!,12,0),"")</f>
        <v/>
      </c>
      <c r="DV202" s="45" t="str">
        <f>IFERROR(VLOOKUP(CONCATENATE('Respuestas de formulario 1.1'!$B202,MID('Respuestas de formulario 1.1'!DV$1,2,1)),#REF!,12,0),"")</f>
        <v/>
      </c>
      <c r="DW202" s="45" t="str">
        <f>IFERROR(VLOOKUP(CONCATENATE('Respuestas de formulario 1.1'!$B202,MID('Respuestas de formulario 1.1'!DW$1,2,1)),#REF!,12,0),"")</f>
        <v/>
      </c>
      <c r="DX202" s="45" t="str">
        <f>IFERROR(VLOOKUP(CONCATENATE('Respuestas de formulario 1.1'!$B202,MID('Respuestas de formulario 1.1'!DX$1,2,1)),#REF!,12,0),"")</f>
        <v/>
      </c>
      <c r="DY202" s="45" t="str">
        <f>IFERROR(VLOOKUP(CONCATENATE('Respuestas de formulario 1.1'!$B202,MID('Respuestas de formulario 1.1'!DY$1,2,1)),#REF!,12,0),"")</f>
        <v/>
      </c>
      <c r="DZ202" s="45" t="str">
        <f>IFERROR(VLOOKUP(CONCATENATE('Respuestas de formulario 1.1'!$B202,MID('Respuestas de formulario 1.1'!DZ$1,2,1)),#REF!,12,0),"")</f>
        <v/>
      </c>
      <c r="EA202" s="45" t="str">
        <f>IFERROR(VLOOKUP(CONCATENATE('Respuestas de formulario 1.1'!$B202,MID('Respuestas de formulario 1.1'!EA$1,2,1)),#REF!,12,0),"")</f>
        <v/>
      </c>
      <c r="EB202" s="45" t="str">
        <f>IFERROR(VLOOKUP(CONCATENATE('Respuestas de formulario 1.1'!$B202,MID('Respuestas de formulario 1.1'!EB$1,2,1)),#REF!,12,0),"")</f>
        <v/>
      </c>
      <c r="EC202" s="45" t="str">
        <f>IFERROR(VLOOKUP(CONCATENATE('Respuestas de formulario 1.1'!$B202,MID('Respuestas de formulario 1.1'!EC$1,2,1)),#REF!,12,0),"")</f>
        <v/>
      </c>
      <c r="ED202" s="45" t="str">
        <f>IFERROR(VLOOKUP(CONCATENATE('Respuestas de formulario 1.1'!$B202,MID('Respuestas de formulario 1.1'!ED$1,2,1)),#REF!,12,0),"")</f>
        <v/>
      </c>
      <c r="EE202" s="45" t="str">
        <f>IFERROR(VLOOKUP(CONCATENATE('Respuestas de formulario 1.1'!$B202,MID('Respuestas de formulario 1.1'!EE$1,2,1)),#REF!,12,0),"")</f>
        <v/>
      </c>
      <c r="EF202" s="45" t="str">
        <f>IFERROR(VLOOKUP(CONCATENATE('Respuestas de formulario 1.1'!$B202,MID('Respuestas de formulario 1.1'!EF$1,2,1)),#REF!,12,0),"")</f>
        <v/>
      </c>
      <c r="EG202" s="45" t="str">
        <f>IFERROR(VLOOKUP(CONCATENATE('Respuestas de formulario 1.1'!$B202,MID('Respuestas de formulario 1.1'!EG$1,2,1)),#REF!,12,0),"")</f>
        <v/>
      </c>
      <c r="EH202" s="45" t="str">
        <f>IFERROR(VLOOKUP(CONCATENATE('Respuestas de formulario 1.1'!$B202,MID('Respuestas de formulario 1.1'!EH$1,2,1)),#REF!,12,0),"")</f>
        <v/>
      </c>
      <c r="EI202" s="45" t="str">
        <f>IFERROR(VLOOKUP(CONCATENATE('Respuestas de formulario 1.1'!$B202,MID('Respuestas de formulario 1.1'!EI$1,2,1)),#REF!,12,0),"")</f>
        <v/>
      </c>
      <c r="EJ202" s="45" t="str">
        <f t="array" ref="EJ202">IF(DO202="","", INDEX(#REF!,MATCH(CONCATENATE('Respuestas de formulario 1.1'!$B202,DO202),#REF!,0),MATCH('Respuestas de formulario 1.1'!EJ$1,#REF!,0)))</f>
        <v/>
      </c>
      <c r="EK202" s="56" t="str">
        <f t="array" ref="EK202">IF(DP202="","", INDEX(#REF!,MATCH(CONCATENATE('Respuestas de formulario 1.1'!$B202,DP202),#REF!,0),MATCH('Respuestas de formulario 1.1'!EK$1,#REF!,0)))</f>
        <v/>
      </c>
      <c r="EL202" s="56" t="str">
        <f t="array" ref="EL202">IF(DQ202="","", INDEX(#REF!,MATCH(CONCATENATE('Respuestas de formulario 1.1'!$B202,DQ202),#REF!,0),MATCH('Respuestas de formulario 1.1'!EL$1,#REF!,0)))</f>
        <v/>
      </c>
      <c r="EM202" s="56" t="str">
        <f t="array" ref="EM202">IF(DR202="","", INDEX(#REF!,MATCH(CONCATENATE('Respuestas de formulario 1.1'!$B202,DR202),#REF!,0),MATCH('Respuestas de formulario 1.1'!EM$1,#REF!,0)))</f>
        <v/>
      </c>
      <c r="EN202" s="56" t="str">
        <f t="array" ref="EN202">IF(DS202="","", INDEX(#REF!,MATCH(CONCATENATE('Respuestas de formulario 1.1'!$B202,DS202),#REF!,0),MATCH('Respuestas de formulario 1.1'!EN$1,#REF!,0)))</f>
        <v/>
      </c>
      <c r="EO202" s="56" t="str">
        <f t="array" ref="EO202">IF(DT202="","", INDEX(#REF!,MATCH(CONCATENATE('Respuestas de formulario 1.1'!$B202,DT202),#REF!,0),MATCH('Respuestas de formulario 1.1'!EO$1,#REF!,0)))</f>
        <v/>
      </c>
      <c r="EP202" s="45" t="str">
        <f t="array" ref="EP202">IF(DU202="","", INDEX(#REF!,MATCH(CONCATENATE('Respuestas de formulario 1.1'!$B202,DU202),#REF!,0),MATCH('Respuestas de formulario 1.1'!EP$1,#REF!,0)))</f>
        <v/>
      </c>
      <c r="EQ202" s="45" t="str">
        <f t="array" ref="EQ202">IF(DP202="","", INDEX(#REF!,MATCH(CONCATENATE('Respuestas de formulario 1.1'!$B202,DP202),#REF!,0),MATCH('Respuestas de formulario 1.1'!EQ$1,#REF!,0)))</f>
        <v/>
      </c>
      <c r="ER202" s="56" t="str">
        <f t="array" ref="ER202">IF(DQ202="","", INDEX(#REF!,MATCH(CONCATENATE('Respuestas de formulario 1.1'!$B202,DQ202),#REF!,0),MATCH('Respuestas de formulario 1.1'!ER$1,#REF!,0)))</f>
        <v/>
      </c>
      <c r="ES202" s="56" t="str">
        <f t="array" ref="ES202">IF(DR202="","", INDEX(#REF!,MATCH(CONCATENATE('Respuestas de formulario 1.1'!$B202,DR202),#REF!,0),MATCH('Respuestas de formulario 1.1'!ES$1,#REF!,0)))</f>
        <v/>
      </c>
      <c r="ET202" s="56" t="str">
        <f t="array" ref="ET202">IF(DS202="","", INDEX(#REF!,MATCH(CONCATENATE('Respuestas de formulario 1.1'!$B202,DS202),#REF!,0),MATCH('Respuestas de formulario 1.1'!ET$1,#REF!,0)))</f>
        <v/>
      </c>
      <c r="EU202" s="56" t="str">
        <f t="array" ref="EU202">IF(DT202="","", INDEX(#REF!,MATCH(CONCATENATE('Respuestas de formulario 1.1'!$B202,DT202),#REF!,0),MATCH('Respuestas de formulario 1.1'!EU$1,#REF!,0)))</f>
        <v/>
      </c>
      <c r="EV202" s="56" t="str">
        <f t="array" ref="EV202">IF(DU202="","", INDEX(#REF!,MATCH(CONCATENATE('Respuestas de formulario 1.1'!$B202,DU202),#REF!,0),MATCH('Respuestas de formulario 1.1'!EV$1,#REF!,0)))</f>
        <v/>
      </c>
      <c r="EW202" s="45" t="str">
        <f t="array" ref="EW202">IF(DV202="","", INDEX(#REF!,MATCH(CONCATENATE('Respuestas de formulario 1.1'!$B202,DV202),#REF!,0),MATCH('Respuestas de formulario 1.1'!EW$1,#REF!,0)))</f>
        <v/>
      </c>
      <c r="EX202" s="45" t="str">
        <f t="array" ref="EX202">IF($DQ202="","", INDEX(#REF!,MATCH(CONCATENATE('Respuestas de formulario 1.1'!$B202,$DQ202),#REF!,0),MATCH('Respuestas de formulario 1.1'!EX$1,#REF!,0)))</f>
        <v/>
      </c>
      <c r="EY202" s="56" t="str">
        <f t="array" ref="EY202">IF($DQ202="","", INDEX(#REF!,MATCH(CONCATENATE('Respuestas de formulario 1.1'!$B202,$DQ202),#REF!,0),MATCH('Respuestas de formulario 1.1'!EY$1,#REF!,0)))</f>
        <v/>
      </c>
      <c r="EZ202" s="56" t="str">
        <f t="array" ref="EZ202">IF($DQ202="","", INDEX(#REF!,MATCH(CONCATENATE('Respuestas de formulario 1.1'!$B202,$DQ202),#REF!,0),MATCH('Respuestas de formulario 1.1'!EZ$1,#REF!,0)))</f>
        <v/>
      </c>
      <c r="FA202" s="56" t="str">
        <f t="array" ref="FA202">IF($DQ202="","", INDEX(#REF!,MATCH(CONCATENATE('Respuestas de formulario 1.1'!$B202,$DQ202),#REF!,0),MATCH('Respuestas de formulario 1.1'!FA$1,#REF!,0)))</f>
        <v/>
      </c>
      <c r="FB202" s="56" t="str">
        <f t="array" ref="FB202">IF($DQ202="","", INDEX(#REF!,MATCH(CONCATENATE('Respuestas de formulario 1.1'!$B202,$DQ202),#REF!,0),MATCH('Respuestas de formulario 1.1'!FB$1,#REF!,0)))</f>
        <v/>
      </c>
      <c r="FC202" s="56" t="str">
        <f t="array" ref="FC202">IF($DQ202="","", INDEX(#REF!,MATCH(CONCATENATE('Respuestas de formulario 1.1'!$B202,$DQ202),#REF!,0),MATCH('Respuestas de formulario 1.1'!FC$1,#REF!,0)))</f>
        <v/>
      </c>
      <c r="FD202" s="45" t="str">
        <f t="array" ref="FD202">IF($DQ202="","", INDEX(#REF!,MATCH(CONCATENATE('Respuestas de formulario 1.1'!$B202,$DQ202),#REF!,0),MATCH('Respuestas de formulario 1.1'!FD$1,#REF!,0)))</f>
        <v/>
      </c>
      <c r="FE202" s="45" t="str">
        <f t="array" ref="FE202">IF($DR202="","", INDEX(#REF!,MATCH(CONCATENATE(#REF!,$DR202),#REF!,0),MATCH(#REF!,#REF!,0)))</f>
        <v/>
      </c>
      <c r="FF202" s="56" t="str">
        <f t="array" ref="FF202">IF($DR202="","", INDEX(#REF!,MATCH(CONCATENATE(#REF!,$DR202),#REF!,0),MATCH(#REF!,#REF!,0)))</f>
        <v/>
      </c>
      <c r="FG202" s="56" t="str">
        <f t="array" ref="FG202">IF($DR202="","", INDEX(#REF!,MATCH(CONCATENATE(#REF!,$DR202),#REF!,0),MATCH(#REF!,#REF!,0)))</f>
        <v/>
      </c>
      <c r="FH202" s="56" t="str">
        <f t="array" ref="FH202">IF($DR202="","", INDEX(#REF!,MATCH(CONCATENATE(#REF!,$DR202),#REF!,0),MATCH(#REF!,#REF!,0)))</f>
        <v/>
      </c>
      <c r="FI202" s="56" t="str">
        <f t="array" ref="FI202">IF($DR202="","", INDEX(#REF!,MATCH(CONCATENATE(#REF!,$DR202),#REF!,0),MATCH(#REF!,#REF!,0)))</f>
        <v/>
      </c>
      <c r="FJ202" s="56" t="str">
        <f t="array" ref="FJ202">IF($DR202="","", INDEX(#REF!,MATCH(CONCATENATE(#REF!,$DR202),#REF!,0),MATCH(#REF!,#REF!,0)))</f>
        <v/>
      </c>
      <c r="FK202" s="45" t="str">
        <f t="array" ref="FK202">IF($DR202="","", INDEX(#REF!,MATCH(CONCATENATE(#REF!,$DR202),#REF!,0),MATCH(#REF!,#REF!,0)))</f>
        <v/>
      </c>
      <c r="FL202" s="45" t="str">
        <f t="array" ref="FL202">IF($DT202="","", INDEX(#REF!,MATCH(CONCATENATE('Respuestas de formulario 1.1'!$B202,$DS202),#REF!,0),MATCH('Respuestas de formulario 1.1'!FL$1,#REF!,0)))</f>
        <v/>
      </c>
      <c r="FM202" s="56" t="str">
        <f t="array" ref="FM202">IF($DT202="","", INDEX(#REF!,MATCH(CONCATENATE('Respuestas de formulario 1.1'!$B202,$DS202),#REF!,0),MATCH('Respuestas de formulario 1.1'!FM$1,#REF!,0)))</f>
        <v/>
      </c>
      <c r="FN202" s="56" t="str">
        <f t="array" ref="FN202">IF($DT202="","", INDEX(#REF!,MATCH(CONCATENATE('Respuestas de formulario 1.1'!$B202,$DS202),#REF!,0),MATCH('Respuestas de formulario 1.1'!FN$1,#REF!,0)))</f>
        <v/>
      </c>
      <c r="FO202" s="56" t="str">
        <f t="array" ref="FO202">IF($DT202="","", INDEX(#REF!,MATCH(CONCATENATE('Respuestas de formulario 1.1'!$B202,$DS202),#REF!,0),MATCH('Respuestas de formulario 1.1'!FO$1,#REF!,0)))</f>
        <v/>
      </c>
      <c r="FP202" s="56" t="str">
        <f t="array" ref="FP202">IF($DT202="","", INDEX(#REF!,MATCH(CONCATENATE('Respuestas de formulario 1.1'!$B202,$DS202),#REF!,0),MATCH('Respuestas de formulario 1.1'!FP$1,#REF!,0)))</f>
        <v/>
      </c>
      <c r="FQ202" s="56" t="str">
        <f t="array" ref="FQ202">IF($DT202="","", INDEX(#REF!,MATCH(CONCATENATE('Respuestas de formulario 1.1'!$B202,$DS202),#REF!,0),MATCH('Respuestas de formulario 1.1'!FQ$1,#REF!,0)))</f>
        <v/>
      </c>
      <c r="FR202" s="45" t="str">
        <f t="array" ref="FR202">IF($DT202="","", INDEX(#REF!,MATCH(CONCATENATE('Respuestas de formulario 1.1'!$B202,$DS202),#REF!,0),MATCH('Respuestas de formulario 1.1'!FR$1,#REF!,0)))</f>
        <v/>
      </c>
      <c r="FS202" s="45" t="str">
        <f t="array" ref="FS202">IF($DU202="","", INDEX(#REF!,MATCH(CONCATENATE('Respuestas de formulario 1.1'!$B202,$DT202),#REF!,0),MATCH('Respuestas de formulario 1.1'!FS$1,#REF!,0)))</f>
        <v/>
      </c>
      <c r="FT202" s="56" t="str">
        <f t="array" ref="FT202">IF($DU202="","", INDEX(#REF!,MATCH(CONCATENATE('Respuestas de formulario 1.1'!$B202,$DT202),#REF!,0),MATCH('Respuestas de formulario 1.1'!FT$1,#REF!,0)))</f>
        <v/>
      </c>
      <c r="FU202" s="56" t="str">
        <f t="array" ref="FU202">IF($DU202="","", INDEX(#REF!,MATCH(CONCATENATE('Respuestas de formulario 1.1'!$B202,$DT202),#REF!,0),MATCH('Respuestas de formulario 1.1'!FU$1,#REF!,0)))</f>
        <v/>
      </c>
      <c r="FV202" s="56" t="str">
        <f t="array" ref="FV202">IF($DU202="","", INDEX(#REF!,MATCH(CONCATENATE('Respuestas de formulario 1.1'!$B202,$DT202),#REF!,0),MATCH('Respuestas de formulario 1.1'!FV$1,#REF!,0)))</f>
        <v/>
      </c>
      <c r="FW202" s="56" t="str">
        <f t="array" ref="FW202">IF($DU202="","", INDEX(#REF!,MATCH(CONCATENATE('Respuestas de formulario 1.1'!$B202,$DT202),#REF!,0),MATCH('Respuestas de formulario 1.1'!FW$1,#REF!,0)))</f>
        <v/>
      </c>
      <c r="FX202" s="56" t="str">
        <f t="array" ref="FX202">IF($DU202="","", INDEX(#REF!,MATCH(CONCATENATE('Respuestas de formulario 1.1'!$B202,$DT202),#REF!,0),MATCH('Respuestas de formulario 1.1'!FX$1,#REF!,0)))</f>
        <v/>
      </c>
      <c r="FY202" s="45" t="str">
        <f t="array" ref="FY202">IF($DU202="","", INDEX(#REF!,MATCH(CONCATENATE('Respuestas de formulario 1.1'!$B202,$DT202),#REF!,0),MATCH('Respuestas de formulario 1.1'!FY$1,#REF!,0)))</f>
        <v/>
      </c>
      <c r="FZ202" s="3" t="s">
        <v>2860</v>
      </c>
      <c r="GA202" s="1" t="s">
        <v>6310</v>
      </c>
      <c r="GB202" s="5" t="s">
        <v>6311</v>
      </c>
      <c r="GC202" s="4" t="str">
        <f>HYPERLINK("https://drive.google.com/file/d/1LF05dp4JO_ssV3phjvXzVF58F6aJ0MWC/view?usp=drivesdk","ANDRADE MENA MIRIAM GUADALUPE Formato de reinscripción y pago 2022-2")</f>
        <v>ANDRADE MENA MIRIAM GUADALUPE Formato de reinscripción y pago 2022-2</v>
      </c>
      <c r="GD202" s="1" t="s">
        <v>6312</v>
      </c>
      <c r="GE202" s="1"/>
      <c r="GF202" s="1"/>
      <c r="GG202" s="1"/>
      <c r="GH202" s="1"/>
      <c r="GI202" s="1" t="s">
        <v>6313</v>
      </c>
      <c r="GJ202" s="5" t="s">
        <v>6314</v>
      </c>
      <c r="GK202" s="5" t="str">
        <f>HYPERLINK("https://drive.google.com/file/d/1Rz5K_9HsuHgZPUulHjMnyvUlCcPlWxQK/view?usp=drivesdk","ANDRADE MENA MIRIAM GUADALUPE Formato de reinscripción y pago 2022-2")</f>
        <v>ANDRADE MENA MIRIAM GUADALUPE Formato de reinscripción y pago 2022-2</v>
      </c>
      <c r="GL202" s="1" t="s">
        <v>6315</v>
      </c>
    </row>
    <row r="203" spans="1:194" ht="38.25" x14ac:dyDescent="0.2">
      <c r="A203" s="2">
        <v>45139.514562592594</v>
      </c>
      <c r="B203" s="1" t="s">
        <v>2424</v>
      </c>
      <c r="C203" s="1" t="s">
        <v>2425</v>
      </c>
      <c r="D203" s="1" t="s">
        <v>485</v>
      </c>
      <c r="E203" s="1" t="s">
        <v>6316</v>
      </c>
      <c r="F203" s="1" t="s">
        <v>262</v>
      </c>
      <c r="G203" s="5" t="s">
        <v>6317</v>
      </c>
      <c r="H203" s="41">
        <v>39426</v>
      </c>
      <c r="I203" s="1">
        <v>15</v>
      </c>
      <c r="J203" s="1">
        <v>5534063595</v>
      </c>
      <c r="K203" s="1">
        <v>5589176932</v>
      </c>
      <c r="L203" s="1" t="s">
        <v>6318</v>
      </c>
      <c r="M203" s="1">
        <v>22309060570609</v>
      </c>
      <c r="N203" s="1" t="s">
        <v>562</v>
      </c>
      <c r="O203" s="1" t="s">
        <v>247</v>
      </c>
      <c r="P203" s="1" t="s">
        <v>278</v>
      </c>
      <c r="Q203" s="1" t="s">
        <v>248</v>
      </c>
      <c r="R203" s="1" t="s">
        <v>236</v>
      </c>
      <c r="S203" s="1" t="s">
        <v>236</v>
      </c>
      <c r="T203" s="1" t="s">
        <v>229</v>
      </c>
      <c r="U203" s="1" t="s">
        <v>264</v>
      </c>
      <c r="V203" s="1" t="s">
        <v>228</v>
      </c>
      <c r="W203" s="1" t="s">
        <v>6319</v>
      </c>
      <c r="X203" s="1" t="s">
        <v>264</v>
      </c>
      <c r="Y203" s="1" t="s">
        <v>1442</v>
      </c>
      <c r="Z203" s="1" t="s">
        <v>231</v>
      </c>
      <c r="AA203" s="1">
        <v>57740</v>
      </c>
      <c r="AB203" s="1">
        <v>198</v>
      </c>
      <c r="AC203" s="1" t="s">
        <v>713</v>
      </c>
      <c r="AD203" s="1" t="s">
        <v>6320</v>
      </c>
      <c r="AE203" s="1" t="s">
        <v>6321</v>
      </c>
      <c r="AF203" s="1" t="s">
        <v>2148</v>
      </c>
      <c r="AG203" s="1">
        <v>68</v>
      </c>
      <c r="AH203" s="5" t="s">
        <v>6322</v>
      </c>
      <c r="AI203" s="1">
        <v>5591993733</v>
      </c>
      <c r="AJ203" s="1">
        <v>5591993733</v>
      </c>
      <c r="AK203" s="1" t="s">
        <v>6323</v>
      </c>
      <c r="AL203" s="1" t="s">
        <v>2426</v>
      </c>
      <c r="AM203" s="1" t="s">
        <v>485</v>
      </c>
      <c r="AN203" s="1" t="s">
        <v>710</v>
      </c>
      <c r="AO203" s="1" t="s">
        <v>461</v>
      </c>
      <c r="AP203" s="1">
        <v>56</v>
      </c>
      <c r="AQ203" s="1" t="s">
        <v>328</v>
      </c>
      <c r="AR203" s="42">
        <v>0</v>
      </c>
      <c r="AS203" s="42">
        <v>0.99930555555329192</v>
      </c>
      <c r="AT203" s="1">
        <v>5576132433</v>
      </c>
      <c r="AU203" s="1">
        <v>5589176932</v>
      </c>
      <c r="AV203" s="1" t="s">
        <v>6324</v>
      </c>
      <c r="AW203" s="5" t="s">
        <v>6325</v>
      </c>
      <c r="AX203" s="1" t="s">
        <v>2425</v>
      </c>
      <c r="AY203" s="1" t="s">
        <v>485</v>
      </c>
      <c r="AZ203" s="1" t="s">
        <v>1807</v>
      </c>
      <c r="BA203" s="1" t="s">
        <v>336</v>
      </c>
      <c r="BB203" s="1">
        <v>65</v>
      </c>
      <c r="BC203" s="1" t="s">
        <v>3030</v>
      </c>
      <c r="BD203" s="43">
        <v>0.58333333333575865</v>
      </c>
      <c r="BE203" s="43">
        <v>0.79166666666424135</v>
      </c>
      <c r="BF203" s="1">
        <v>5530455214</v>
      </c>
      <c r="BG203" s="1">
        <v>5530455214</v>
      </c>
      <c r="BH203" s="1" t="s">
        <v>6326</v>
      </c>
      <c r="BI203" s="5" t="s">
        <v>6327</v>
      </c>
      <c r="BJ203" s="1" t="s">
        <v>236</v>
      </c>
      <c r="BK203" s="1" t="s">
        <v>2722</v>
      </c>
      <c r="BL203" s="1">
        <v>175</v>
      </c>
      <c r="BM203" s="1">
        <v>93</v>
      </c>
      <c r="BN203" s="1" t="s">
        <v>236</v>
      </c>
      <c r="BO203" s="1" t="s">
        <v>228</v>
      </c>
      <c r="BP203" s="1" t="s">
        <v>921</v>
      </c>
      <c r="BQ203" s="1" t="s">
        <v>228</v>
      </c>
      <c r="BR203" s="1" t="s">
        <v>237</v>
      </c>
      <c r="BS203" s="1" t="s">
        <v>228</v>
      </c>
      <c r="BT203" s="1" t="s">
        <v>237</v>
      </c>
      <c r="BU203" s="1" t="s">
        <v>228</v>
      </c>
      <c r="BW203" s="1" t="s">
        <v>272</v>
      </c>
      <c r="BX203" s="1">
        <v>60</v>
      </c>
      <c r="BY203" s="1">
        <v>256</v>
      </c>
      <c r="BZ203" s="1" t="s">
        <v>253</v>
      </c>
      <c r="CA203" s="1" t="s">
        <v>2206</v>
      </c>
      <c r="CB203" s="1" t="s">
        <v>240</v>
      </c>
      <c r="CC203" s="1" t="s">
        <v>274</v>
      </c>
      <c r="CD203" s="1">
        <v>500</v>
      </c>
      <c r="CE203" s="1">
        <v>1000</v>
      </c>
      <c r="CF203" s="1" t="s">
        <v>236</v>
      </c>
      <c r="CG203" s="1" t="s">
        <v>242</v>
      </c>
      <c r="CH203" s="1" t="s">
        <v>243</v>
      </c>
      <c r="CI203" s="1" t="s">
        <v>243</v>
      </c>
      <c r="CJ203" s="1" t="s">
        <v>2848</v>
      </c>
      <c r="CL203" s="5" t="s">
        <v>6328</v>
      </c>
      <c r="CM203" s="1">
        <v>15220733586</v>
      </c>
      <c r="CN203" s="1" t="s">
        <v>228</v>
      </c>
      <c r="CQ203" s="42">
        <v>0.58333333333575865</v>
      </c>
      <c r="CR203" s="42">
        <v>0.875</v>
      </c>
      <c r="CT203" s="45" t="str">
        <f t="array" ref="CT203">IFERROR(INDEX(#REF!,MATCH('Respuestas de formulario 1.1'!$B203,#REF!,0),MATCH('Respuestas de formulario 1.1'!CT$1,#REF!,0)),"")</f>
        <v/>
      </c>
      <c r="CU203" s="56" t="str">
        <f t="array" ref="CU203">IFERROR(INDEX(#REF!,MATCH('Respuestas de formulario 1.1'!$B203,#REF!,0),MATCH('Respuestas de formulario 1.1'!CU$1,#REF!,0)),"")</f>
        <v/>
      </c>
      <c r="CV203" s="56" t="str">
        <f t="array" ref="CV203">IFERROR(INDEX(#REF!,MATCH('Respuestas de formulario 1.1'!$B203,#REF!,0),MATCH('Respuestas de formulario 1.1'!CV$1,#REF!,0)),"")</f>
        <v/>
      </c>
      <c r="CW203" s="56" t="str">
        <f t="array" ref="CW203">IFERROR(INDEX(#REF!,MATCH('Respuestas de formulario 1.1'!$B203,#REF!,0),MATCH('Respuestas de formulario 1.1'!CW$1,#REF!,0)),"")</f>
        <v/>
      </c>
      <c r="CX203" s="56" t="str">
        <f t="array" ref="CX203">IFERROR(INDEX(#REF!,MATCH('Respuestas de formulario 1.1'!$B203,#REF!,0),MATCH('Respuestas de formulario 1.1'!CX$1,#REF!,0)),"")</f>
        <v/>
      </c>
      <c r="CY203" s="56" t="str">
        <f t="array" ref="CY203">IFERROR(INDEX(#REF!,MATCH('Respuestas de formulario 1.1'!$B203,#REF!,0),MATCH('Respuestas de formulario 1.1'!CY$1,#REF!,0)),"")</f>
        <v/>
      </c>
      <c r="CZ203" s="57" t="str">
        <f t="array" ref="CZ203">IFERROR(INDEX(#REF!,MATCH('Respuestas de formulario 1.1'!$B203,#REF!,0),MATCH('Respuestas de formulario 1.1'!CZ$1,#REF!,0)),"")</f>
        <v/>
      </c>
      <c r="DA203" s="45" t="e">
        <f t="array" ref="DA203">INDEX(#REF!,MATCH('Respuestas de formulario 1.1'!$B203,#REF!,0),MATCH('Respuestas de formulario 1.1'!DA$1,#REF!,0))</f>
        <v>#REF!</v>
      </c>
      <c r="DB203" s="45" t="e">
        <f t="array" ref="DB203">INDEX(#REF!,MATCH('Respuestas de formulario 1.1'!$B203,#REF!,0),MATCH('Respuestas de formulario 1.1'!DB$1,#REF!,0))</f>
        <v>#REF!</v>
      </c>
      <c r="DC203" s="45" t="e">
        <f t="array" ref="DC203">INDEX(#REF!,MATCH('Respuestas de formulario 1.1'!$B203,#REF!,0),MATCH('Respuestas de formulario 1.1'!DC$1,#REF!,0))</f>
        <v>#REF!</v>
      </c>
      <c r="DD203" s="45" t="e">
        <f t="array" ref="DD203">INDEX(#REF!,MATCH('Respuestas de formulario 1.1'!$B203,#REF!,0),MATCH('Respuestas de formulario 1.1'!DD$1,#REF!,0))</f>
        <v>#REF!</v>
      </c>
      <c r="DE203" s="45" t="e">
        <f t="array" ref="DE203">INDEX(#REF!,MATCH('Respuestas de formulario 1.1'!$B203,#REF!,0),MATCH('Respuestas de formulario 1.1'!DE$1,#REF!,0))</f>
        <v>#REF!</v>
      </c>
      <c r="DF203" s="45" t="e">
        <f t="array" ref="DF203">INDEX(#REF!,MATCH('Respuestas de formulario 1.1'!$B203,#REF!,0),MATCH('Respuestas de formulario 1.1'!DF$1,#REF!,0))</f>
        <v>#REF!</v>
      </c>
      <c r="DG203" s="45" t="e">
        <f t="array" ref="DG203">INDEX(#REF!,MATCH('Respuestas de formulario 1.1'!$B203,#REF!,0),MATCH('Respuestas de formulario 1.1'!DG$1,#REF!,0))</f>
        <v>#REF!</v>
      </c>
      <c r="DH203" s="45" t="e">
        <f t="array" ref="DH203">INDEX(#REF!,MATCH('Respuestas de formulario 1.1'!$B203,#REF!,0),MATCH('Respuestas de formulario 1.1'!DH$1,#REF!,0))</f>
        <v>#REF!</v>
      </c>
      <c r="DI203" s="48" t="e">
        <f>VLOOKUP(CONCATENATE($DF203," TUTO ",$DC203),#REF!,3,0)</f>
        <v>#REF!</v>
      </c>
      <c r="DJ203" s="48" t="e">
        <f t="array" ref="DJ203">IF('Respuestas de formulario 1.1'!A203="","",INDEX(#REF!,MATCH('Respuestas de formulario 1.1'!B203,#REF!,0),MATCH('Respuestas de formulario 1.1'!$DH$1,#REF!,0)))</f>
        <v>#REF!</v>
      </c>
      <c r="DK203" s="52" t="str">
        <f>CONCATENATE("http://doc.google.com/uc?id=",MID('Respuestas de formulario 1.1'!G203,34,33))</f>
        <v>http://doc.google.com/uc?id=1J6BX_fflqT6gg0plFKmmyhcM-DHw-ndq</v>
      </c>
      <c r="DL203" s="49" t="str">
        <f>CONCATENATE("http://doc.google.com/uc?id=",MID('Respuestas de formulario 1.1'!AH203,34,33))</f>
        <v>http://doc.google.com/uc?id=1lfKk3Xg1maqrYYKEN7-2MxfstKp_lzYC</v>
      </c>
      <c r="DM203" s="50" t="str">
        <f>CONCATENATE("http://doc.google.com/uc?id=",MID('Respuestas de formulario 1.1'!AW203,34,33))</f>
        <v>http://doc.google.com/uc?id=1Qw_xxR57O2TZQ6lCd89moKRs_fFvYk7O</v>
      </c>
      <c r="DN203" s="53" t="str">
        <f>CONCATENATE("http://doc.google.com/uc?id=",MID('Respuestas de formulario 1.1'!$BI203,34,33))</f>
        <v>http://doc.google.com/uc?id=1V3z0nQ4HkZf6hzJA8H61pzsRtOvpTRZ9</v>
      </c>
      <c r="DO203" s="45" t="str">
        <f>IFERROR(VLOOKUP(CONCATENATE('Respuestas de formulario 1.1'!$B203,MID('Respuestas de formulario 1.1'!DO$1,2,1)),#REF!,12,0),"")</f>
        <v/>
      </c>
      <c r="DP203" s="45" t="str">
        <f>IFERROR(VLOOKUP(CONCATENATE('Respuestas de formulario 1.1'!$B203,MID('Respuestas de formulario 1.1'!DP$1,2,1)),#REF!,12,0),"")</f>
        <v/>
      </c>
      <c r="DQ203" s="45" t="str">
        <f>IFERROR(VLOOKUP(CONCATENATE('Respuestas de formulario 1.1'!$B203,MID('Respuestas de formulario 1.1'!DQ$1,2,1)),#REF!,12,0),"")</f>
        <v/>
      </c>
      <c r="DR203" s="45" t="str">
        <f>IFERROR(VLOOKUP(CONCATENATE('Respuestas de formulario 1.1'!$B203,MID('Respuestas de formulario 1.1'!DR$1,2,1)),#REF!,12,0),"")</f>
        <v/>
      </c>
      <c r="DS203" s="45" t="str">
        <f>IFERROR(VLOOKUP(CONCATENATE('Respuestas de formulario 1.1'!$B203,MID('Respuestas de formulario 1.1'!DS$1,2,1)),#REF!,12,0),"")</f>
        <v/>
      </c>
      <c r="DT203" s="45" t="str">
        <f>IFERROR(VLOOKUP(CONCATENATE('Respuestas de formulario 1.1'!$B203,MID('Respuestas de formulario 1.1'!DT$1,2,1)),#REF!,12,0),"")</f>
        <v/>
      </c>
      <c r="DU203" s="45" t="str">
        <f>IFERROR(VLOOKUP(CONCATENATE('Respuestas de formulario 1.1'!$B203,MID('Respuestas de formulario 1.1'!DU$1,2,1)),#REF!,12,0),"")</f>
        <v/>
      </c>
      <c r="DV203" s="45" t="str">
        <f>IFERROR(VLOOKUP(CONCATENATE('Respuestas de formulario 1.1'!$B203,MID('Respuestas de formulario 1.1'!DV$1,2,1)),#REF!,12,0),"")</f>
        <v/>
      </c>
      <c r="DW203" s="45" t="str">
        <f>IFERROR(VLOOKUP(CONCATENATE('Respuestas de formulario 1.1'!$B203,MID('Respuestas de formulario 1.1'!DW$1,2,1)),#REF!,12,0),"")</f>
        <v/>
      </c>
      <c r="DX203" s="45" t="str">
        <f>IFERROR(VLOOKUP(CONCATENATE('Respuestas de formulario 1.1'!$B203,MID('Respuestas de formulario 1.1'!DX$1,2,1)),#REF!,12,0),"")</f>
        <v/>
      </c>
      <c r="DY203" s="45" t="str">
        <f>IFERROR(VLOOKUP(CONCATENATE('Respuestas de formulario 1.1'!$B203,MID('Respuestas de formulario 1.1'!DY$1,2,1)),#REF!,12,0),"")</f>
        <v/>
      </c>
      <c r="DZ203" s="45" t="str">
        <f>IFERROR(VLOOKUP(CONCATENATE('Respuestas de formulario 1.1'!$B203,MID('Respuestas de formulario 1.1'!DZ$1,2,1)),#REF!,12,0),"")</f>
        <v/>
      </c>
      <c r="EA203" s="45" t="str">
        <f>IFERROR(VLOOKUP(CONCATENATE('Respuestas de formulario 1.1'!$B203,MID('Respuestas de formulario 1.1'!EA$1,2,1)),#REF!,12,0),"")</f>
        <v/>
      </c>
      <c r="EB203" s="45" t="str">
        <f>IFERROR(VLOOKUP(CONCATENATE('Respuestas de formulario 1.1'!$B203,MID('Respuestas de formulario 1.1'!EB$1,2,1)),#REF!,12,0),"")</f>
        <v/>
      </c>
      <c r="EC203" s="45" t="str">
        <f>IFERROR(VLOOKUP(CONCATENATE('Respuestas de formulario 1.1'!$B203,MID('Respuestas de formulario 1.1'!EC$1,2,1)),#REF!,12,0),"")</f>
        <v/>
      </c>
      <c r="ED203" s="45" t="str">
        <f>IFERROR(VLOOKUP(CONCATENATE('Respuestas de formulario 1.1'!$B203,MID('Respuestas de formulario 1.1'!ED$1,2,1)),#REF!,12,0),"")</f>
        <v/>
      </c>
      <c r="EE203" s="45" t="str">
        <f>IFERROR(VLOOKUP(CONCATENATE('Respuestas de formulario 1.1'!$B203,MID('Respuestas de formulario 1.1'!EE$1,2,1)),#REF!,12,0),"")</f>
        <v/>
      </c>
      <c r="EF203" s="45" t="str">
        <f>IFERROR(VLOOKUP(CONCATENATE('Respuestas de formulario 1.1'!$B203,MID('Respuestas de formulario 1.1'!EF$1,2,1)),#REF!,12,0),"")</f>
        <v/>
      </c>
      <c r="EG203" s="45" t="str">
        <f>IFERROR(VLOOKUP(CONCATENATE('Respuestas de formulario 1.1'!$B203,MID('Respuestas de formulario 1.1'!EG$1,2,1)),#REF!,12,0),"")</f>
        <v/>
      </c>
      <c r="EH203" s="45" t="str">
        <f>IFERROR(VLOOKUP(CONCATENATE('Respuestas de formulario 1.1'!$B203,MID('Respuestas de formulario 1.1'!EH$1,2,1)),#REF!,12,0),"")</f>
        <v/>
      </c>
      <c r="EI203" s="45" t="str">
        <f>IFERROR(VLOOKUP(CONCATENATE('Respuestas de formulario 1.1'!$B203,MID('Respuestas de formulario 1.1'!EI$1,2,1)),#REF!,12,0),"")</f>
        <v/>
      </c>
      <c r="EJ203" s="45" t="str">
        <f t="array" ref="EJ203">IF(DO203="","", INDEX(#REF!,MATCH(CONCATENATE('Respuestas de formulario 1.1'!$B203,DO203),#REF!,0),MATCH('Respuestas de formulario 1.1'!EJ$1,#REF!,0)))</f>
        <v/>
      </c>
      <c r="EK203" s="56" t="str">
        <f t="array" ref="EK203">IF(DP203="","", INDEX(#REF!,MATCH(CONCATENATE('Respuestas de formulario 1.1'!$B203,DP203),#REF!,0),MATCH('Respuestas de formulario 1.1'!EK$1,#REF!,0)))</f>
        <v/>
      </c>
      <c r="EL203" s="56" t="str">
        <f t="array" ref="EL203">IF(DQ203="","", INDEX(#REF!,MATCH(CONCATENATE('Respuestas de formulario 1.1'!$B203,DQ203),#REF!,0),MATCH('Respuestas de formulario 1.1'!EL$1,#REF!,0)))</f>
        <v/>
      </c>
      <c r="EM203" s="56" t="str">
        <f t="array" ref="EM203">IF(DR203="","", INDEX(#REF!,MATCH(CONCATENATE('Respuestas de formulario 1.1'!$B203,DR203),#REF!,0),MATCH('Respuestas de formulario 1.1'!EM$1,#REF!,0)))</f>
        <v/>
      </c>
      <c r="EN203" s="56" t="str">
        <f t="array" ref="EN203">IF(DS203="","", INDEX(#REF!,MATCH(CONCATENATE('Respuestas de formulario 1.1'!$B203,DS203),#REF!,0),MATCH('Respuestas de formulario 1.1'!EN$1,#REF!,0)))</f>
        <v/>
      </c>
      <c r="EO203" s="56" t="str">
        <f t="array" ref="EO203">IF(DT203="","", INDEX(#REF!,MATCH(CONCATENATE('Respuestas de formulario 1.1'!$B203,DT203),#REF!,0),MATCH('Respuestas de formulario 1.1'!EO$1,#REF!,0)))</f>
        <v/>
      </c>
      <c r="EP203" s="45" t="str">
        <f t="array" ref="EP203">IF(DU203="","", INDEX(#REF!,MATCH(CONCATENATE('Respuestas de formulario 1.1'!$B203,DU203),#REF!,0),MATCH('Respuestas de formulario 1.1'!EP$1,#REF!,0)))</f>
        <v/>
      </c>
      <c r="EQ203" s="45" t="str">
        <f t="array" ref="EQ203">IF(DP203="","", INDEX(#REF!,MATCH(CONCATENATE('Respuestas de formulario 1.1'!$B203,DP203),#REF!,0),MATCH('Respuestas de formulario 1.1'!EQ$1,#REF!,0)))</f>
        <v/>
      </c>
      <c r="ER203" s="56" t="str">
        <f t="array" ref="ER203">IF(DQ203="","", INDEX(#REF!,MATCH(CONCATENATE('Respuestas de formulario 1.1'!$B203,DQ203),#REF!,0),MATCH('Respuestas de formulario 1.1'!ER$1,#REF!,0)))</f>
        <v/>
      </c>
      <c r="ES203" s="56" t="str">
        <f t="array" ref="ES203">IF(DR203="","", INDEX(#REF!,MATCH(CONCATENATE('Respuestas de formulario 1.1'!$B203,DR203),#REF!,0),MATCH('Respuestas de formulario 1.1'!ES$1,#REF!,0)))</f>
        <v/>
      </c>
      <c r="ET203" s="56" t="str">
        <f t="array" ref="ET203">IF(DS203="","", INDEX(#REF!,MATCH(CONCATENATE('Respuestas de formulario 1.1'!$B203,DS203),#REF!,0),MATCH('Respuestas de formulario 1.1'!ET$1,#REF!,0)))</f>
        <v/>
      </c>
      <c r="EU203" s="56" t="str">
        <f t="array" ref="EU203">IF(DT203="","", INDEX(#REF!,MATCH(CONCATENATE('Respuestas de formulario 1.1'!$B203,DT203),#REF!,0),MATCH('Respuestas de formulario 1.1'!EU$1,#REF!,0)))</f>
        <v/>
      </c>
      <c r="EV203" s="56" t="str">
        <f t="array" ref="EV203">IF(DU203="","", INDEX(#REF!,MATCH(CONCATENATE('Respuestas de formulario 1.1'!$B203,DU203),#REF!,0),MATCH('Respuestas de formulario 1.1'!EV$1,#REF!,0)))</f>
        <v/>
      </c>
      <c r="EW203" s="45" t="str">
        <f t="array" ref="EW203">IF(DV203="","", INDEX(#REF!,MATCH(CONCATENATE('Respuestas de formulario 1.1'!$B203,DV203),#REF!,0),MATCH('Respuestas de formulario 1.1'!EW$1,#REF!,0)))</f>
        <v/>
      </c>
      <c r="EX203" s="45" t="str">
        <f t="array" ref="EX203">IF($DQ203="","", INDEX(#REF!,MATCH(CONCATENATE('Respuestas de formulario 1.1'!$B203,$DQ203),#REF!,0),MATCH('Respuestas de formulario 1.1'!EX$1,#REF!,0)))</f>
        <v/>
      </c>
      <c r="EY203" s="56" t="str">
        <f t="array" ref="EY203">IF($DQ203="","", INDEX(#REF!,MATCH(CONCATENATE('Respuestas de formulario 1.1'!$B203,$DQ203),#REF!,0),MATCH('Respuestas de formulario 1.1'!EY$1,#REF!,0)))</f>
        <v/>
      </c>
      <c r="EZ203" s="56" t="str">
        <f t="array" ref="EZ203">IF($DQ203="","", INDEX(#REF!,MATCH(CONCATENATE('Respuestas de formulario 1.1'!$B203,$DQ203),#REF!,0),MATCH('Respuestas de formulario 1.1'!EZ$1,#REF!,0)))</f>
        <v/>
      </c>
      <c r="FA203" s="56" t="str">
        <f t="array" ref="FA203">IF($DQ203="","", INDEX(#REF!,MATCH(CONCATENATE('Respuestas de formulario 1.1'!$B203,$DQ203),#REF!,0),MATCH('Respuestas de formulario 1.1'!FA$1,#REF!,0)))</f>
        <v/>
      </c>
      <c r="FB203" s="56" t="str">
        <f t="array" ref="FB203">IF($DQ203="","", INDEX(#REF!,MATCH(CONCATENATE('Respuestas de formulario 1.1'!$B203,$DQ203),#REF!,0),MATCH('Respuestas de formulario 1.1'!FB$1,#REF!,0)))</f>
        <v/>
      </c>
      <c r="FC203" s="56" t="str">
        <f t="array" ref="FC203">IF($DQ203="","", INDEX(#REF!,MATCH(CONCATENATE('Respuestas de formulario 1.1'!$B203,$DQ203),#REF!,0),MATCH('Respuestas de formulario 1.1'!FC$1,#REF!,0)))</f>
        <v/>
      </c>
      <c r="FD203" s="45" t="str">
        <f t="array" ref="FD203">IF($DQ203="","", INDEX(#REF!,MATCH(CONCATENATE('Respuestas de formulario 1.1'!$B203,$DQ203),#REF!,0),MATCH('Respuestas de formulario 1.1'!FD$1,#REF!,0)))</f>
        <v/>
      </c>
      <c r="FE203" s="45" t="str">
        <f t="array" ref="FE203">IF($DR203="","", INDEX(#REF!,MATCH(CONCATENATE(#REF!,$DR203),#REF!,0),MATCH(#REF!,#REF!,0)))</f>
        <v/>
      </c>
      <c r="FF203" s="56" t="str">
        <f t="array" ref="FF203">IF($DR203="","", INDEX(#REF!,MATCH(CONCATENATE(#REF!,$DR203),#REF!,0),MATCH(#REF!,#REF!,0)))</f>
        <v/>
      </c>
      <c r="FG203" s="56" t="str">
        <f t="array" ref="FG203">IF($DR203="","", INDEX(#REF!,MATCH(CONCATENATE(#REF!,$DR203),#REF!,0),MATCH(#REF!,#REF!,0)))</f>
        <v/>
      </c>
      <c r="FH203" s="56" t="str">
        <f t="array" ref="FH203">IF($DR203="","", INDEX(#REF!,MATCH(CONCATENATE(#REF!,$DR203),#REF!,0),MATCH(#REF!,#REF!,0)))</f>
        <v/>
      </c>
      <c r="FI203" s="56" t="str">
        <f t="array" ref="FI203">IF($DR203="","", INDEX(#REF!,MATCH(CONCATENATE(#REF!,$DR203),#REF!,0),MATCH(#REF!,#REF!,0)))</f>
        <v/>
      </c>
      <c r="FJ203" s="56" t="str">
        <f t="array" ref="FJ203">IF($DR203="","", INDEX(#REF!,MATCH(CONCATENATE(#REF!,$DR203),#REF!,0),MATCH(#REF!,#REF!,0)))</f>
        <v/>
      </c>
      <c r="FK203" s="45" t="str">
        <f t="array" ref="FK203">IF($DR203="","", INDEX(#REF!,MATCH(CONCATENATE(#REF!,$DR203),#REF!,0),MATCH(#REF!,#REF!,0)))</f>
        <v/>
      </c>
      <c r="FL203" s="45" t="str">
        <f t="array" ref="FL203">IF($DT203="","", INDEX(#REF!,MATCH(CONCATENATE('Respuestas de formulario 1.1'!$B203,$DS203),#REF!,0),MATCH('Respuestas de formulario 1.1'!FL$1,#REF!,0)))</f>
        <v/>
      </c>
      <c r="FM203" s="56" t="str">
        <f t="array" ref="FM203">IF($DT203="","", INDEX(#REF!,MATCH(CONCATENATE('Respuestas de formulario 1.1'!$B203,$DS203),#REF!,0),MATCH('Respuestas de formulario 1.1'!FM$1,#REF!,0)))</f>
        <v/>
      </c>
      <c r="FN203" s="56" t="str">
        <f t="array" ref="FN203">IF($DT203="","", INDEX(#REF!,MATCH(CONCATENATE('Respuestas de formulario 1.1'!$B203,$DS203),#REF!,0),MATCH('Respuestas de formulario 1.1'!FN$1,#REF!,0)))</f>
        <v/>
      </c>
      <c r="FO203" s="56" t="str">
        <f t="array" ref="FO203">IF($DT203="","", INDEX(#REF!,MATCH(CONCATENATE('Respuestas de formulario 1.1'!$B203,$DS203),#REF!,0),MATCH('Respuestas de formulario 1.1'!FO$1,#REF!,0)))</f>
        <v/>
      </c>
      <c r="FP203" s="56" t="str">
        <f t="array" ref="FP203">IF($DT203="","", INDEX(#REF!,MATCH(CONCATENATE('Respuestas de formulario 1.1'!$B203,$DS203),#REF!,0),MATCH('Respuestas de formulario 1.1'!FP$1,#REF!,0)))</f>
        <v/>
      </c>
      <c r="FQ203" s="56" t="str">
        <f t="array" ref="FQ203">IF($DT203="","", INDEX(#REF!,MATCH(CONCATENATE('Respuestas de formulario 1.1'!$B203,$DS203),#REF!,0),MATCH('Respuestas de formulario 1.1'!FQ$1,#REF!,0)))</f>
        <v/>
      </c>
      <c r="FR203" s="45" t="str">
        <f t="array" ref="FR203">IF($DT203="","", INDEX(#REF!,MATCH(CONCATENATE('Respuestas de formulario 1.1'!$B203,$DS203),#REF!,0),MATCH('Respuestas de formulario 1.1'!FR$1,#REF!,0)))</f>
        <v/>
      </c>
      <c r="FS203" s="45" t="str">
        <f t="array" ref="FS203">IF($DU203="","", INDEX(#REF!,MATCH(CONCATENATE('Respuestas de formulario 1.1'!$B203,$DT203),#REF!,0),MATCH('Respuestas de formulario 1.1'!FS$1,#REF!,0)))</f>
        <v/>
      </c>
      <c r="FT203" s="56" t="str">
        <f t="array" ref="FT203">IF($DU203="","", INDEX(#REF!,MATCH(CONCATENATE('Respuestas de formulario 1.1'!$B203,$DT203),#REF!,0),MATCH('Respuestas de formulario 1.1'!FT$1,#REF!,0)))</f>
        <v/>
      </c>
      <c r="FU203" s="56" t="str">
        <f t="array" ref="FU203">IF($DU203="","", INDEX(#REF!,MATCH(CONCATENATE('Respuestas de formulario 1.1'!$B203,$DT203),#REF!,0),MATCH('Respuestas de formulario 1.1'!FU$1,#REF!,0)))</f>
        <v/>
      </c>
      <c r="FV203" s="56" t="str">
        <f t="array" ref="FV203">IF($DU203="","", INDEX(#REF!,MATCH(CONCATENATE('Respuestas de formulario 1.1'!$B203,$DT203),#REF!,0),MATCH('Respuestas de formulario 1.1'!FV$1,#REF!,0)))</f>
        <v/>
      </c>
      <c r="FW203" s="56" t="str">
        <f t="array" ref="FW203">IF($DU203="","", INDEX(#REF!,MATCH(CONCATENATE('Respuestas de formulario 1.1'!$B203,$DT203),#REF!,0),MATCH('Respuestas de formulario 1.1'!FW$1,#REF!,0)))</f>
        <v/>
      </c>
      <c r="FX203" s="56" t="str">
        <f t="array" ref="FX203">IF($DU203="","", INDEX(#REF!,MATCH(CONCATENATE('Respuestas de formulario 1.1'!$B203,$DT203),#REF!,0),MATCH('Respuestas de formulario 1.1'!FX$1,#REF!,0)))</f>
        <v/>
      </c>
      <c r="FY203" s="45" t="str">
        <f t="array" ref="FY203">IF($DU203="","", INDEX(#REF!,MATCH(CONCATENATE('Respuestas de formulario 1.1'!$B203,$DT203),#REF!,0),MATCH('Respuestas de formulario 1.1'!FY$1,#REF!,0)))</f>
        <v/>
      </c>
      <c r="FZ203" s="3" t="s">
        <v>2860</v>
      </c>
      <c r="GA203" s="1" t="s">
        <v>6329</v>
      </c>
      <c r="GB203" s="5" t="s">
        <v>6330</v>
      </c>
      <c r="GC203" s="4" t="str">
        <f>HYPERLINK("https://drive.google.com/file/d/1VFzjLrz6qxtkXEYe8ENRWpjQrO8bdOe-/view?usp=drivesdk","RETIZ DIAZ JOSUE GAMALIEL Formato de reinscripción y pago 2022-2")</f>
        <v>RETIZ DIAZ JOSUE GAMALIEL Formato de reinscripción y pago 2022-2</v>
      </c>
      <c r="GD203" s="1" t="s">
        <v>6331</v>
      </c>
      <c r="GE203" s="1"/>
      <c r="GF203" s="1"/>
      <c r="GG203" s="1"/>
      <c r="GH203" s="1"/>
      <c r="GI203" s="1" t="s">
        <v>6332</v>
      </c>
      <c r="GJ203" s="5" t="s">
        <v>6333</v>
      </c>
      <c r="GK203" s="5" t="str">
        <f>HYPERLINK("https://drive.google.com/file/d/1v00qrNC31huTxyeOvvDZ1A5V1gA1bsgw/view?usp=drivesdk","RETIZ DIAZ JOSUE GAMALIEL Formato de reinscripción y pago 2022-2")</f>
        <v>RETIZ DIAZ JOSUE GAMALIEL Formato de reinscripción y pago 2022-2</v>
      </c>
      <c r="GL203" s="1" t="s">
        <v>6334</v>
      </c>
    </row>
    <row r="204" spans="1:194" ht="38.25" x14ac:dyDescent="0.2">
      <c r="A204" s="2">
        <v>45139.517827164353</v>
      </c>
      <c r="B204" s="1" t="s">
        <v>2364</v>
      </c>
      <c r="C204" s="1" t="s">
        <v>1374</v>
      </c>
      <c r="D204" s="1" t="s">
        <v>369</v>
      </c>
      <c r="E204" s="1" t="s">
        <v>2365</v>
      </c>
      <c r="F204" s="1" t="s">
        <v>223</v>
      </c>
      <c r="G204" s="5" t="s">
        <v>6335</v>
      </c>
      <c r="H204" s="41">
        <v>39196</v>
      </c>
      <c r="I204" s="1">
        <v>16</v>
      </c>
      <c r="J204" s="1">
        <v>5547084752</v>
      </c>
      <c r="K204" s="1" t="s">
        <v>278</v>
      </c>
      <c r="L204" s="1" t="s">
        <v>2366</v>
      </c>
      <c r="M204" s="1">
        <v>22309060570337</v>
      </c>
      <c r="N204" s="1" t="s">
        <v>562</v>
      </c>
      <c r="O204" s="1" t="s">
        <v>225</v>
      </c>
      <c r="P204" s="1" t="s">
        <v>226</v>
      </c>
      <c r="Q204" s="1" t="s">
        <v>227</v>
      </c>
      <c r="R204" s="1" t="s">
        <v>236</v>
      </c>
      <c r="S204" s="1" t="s">
        <v>228</v>
      </c>
      <c r="T204" s="1" t="s">
        <v>411</v>
      </c>
      <c r="U204" s="1" t="s">
        <v>249</v>
      </c>
      <c r="V204" s="1" t="s">
        <v>228</v>
      </c>
      <c r="W204" s="1" t="s">
        <v>6336</v>
      </c>
      <c r="X204" s="1" t="s">
        <v>249</v>
      </c>
      <c r="Y204" s="1" t="s">
        <v>887</v>
      </c>
      <c r="Z204" s="1" t="s">
        <v>240</v>
      </c>
      <c r="AA204" s="44" t="s">
        <v>602</v>
      </c>
      <c r="AB204" s="1">
        <v>9</v>
      </c>
      <c r="AC204" s="1" t="s">
        <v>278</v>
      </c>
      <c r="AD204" s="1" t="s">
        <v>6337</v>
      </c>
      <c r="AE204" s="1" t="s">
        <v>6338</v>
      </c>
      <c r="AF204" s="1" t="s">
        <v>461</v>
      </c>
      <c r="AG204" s="1">
        <v>39</v>
      </c>
      <c r="AH204" s="5" t="s">
        <v>6339</v>
      </c>
      <c r="AI204" s="1">
        <v>5531066748</v>
      </c>
      <c r="AJ204" s="1">
        <v>5588687736</v>
      </c>
      <c r="AK204" s="1" t="s">
        <v>2368</v>
      </c>
      <c r="AL204" s="1" t="s">
        <v>369</v>
      </c>
      <c r="AM204" s="1" t="s">
        <v>2283</v>
      </c>
      <c r="AN204" s="1" t="s">
        <v>2367</v>
      </c>
      <c r="AO204" s="1" t="s">
        <v>580</v>
      </c>
      <c r="AP204" s="1">
        <v>39</v>
      </c>
      <c r="AQ204" s="1" t="s">
        <v>546</v>
      </c>
      <c r="AR204" s="42">
        <v>0.29166666666424135</v>
      </c>
      <c r="AS204" s="42">
        <v>0.14583333333575865</v>
      </c>
      <c r="AT204" s="1">
        <v>5531066748</v>
      </c>
      <c r="AU204" s="1">
        <v>5588687736</v>
      </c>
      <c r="AV204" s="1" t="s">
        <v>2368</v>
      </c>
      <c r="AW204" s="5" t="s">
        <v>6340</v>
      </c>
      <c r="AX204" s="1" t="s">
        <v>587</v>
      </c>
      <c r="AY204" s="1" t="s">
        <v>486</v>
      </c>
      <c r="AZ204" s="1" t="s">
        <v>6341</v>
      </c>
      <c r="BA204" s="1" t="s">
        <v>493</v>
      </c>
      <c r="BB204" s="1">
        <v>23</v>
      </c>
      <c r="BC204" s="1" t="s">
        <v>328</v>
      </c>
      <c r="BD204" s="43">
        <v>8.3333333335758653E-2</v>
      </c>
      <c r="BE204" s="43">
        <v>8.3333333335758653E-2</v>
      </c>
      <c r="BF204" s="1">
        <v>5560786300</v>
      </c>
      <c r="BG204" s="1">
        <v>5560786300</v>
      </c>
      <c r="BH204" s="1" t="s">
        <v>2368</v>
      </c>
      <c r="BI204" s="5" t="s">
        <v>6342</v>
      </c>
      <c r="BJ204" s="1" t="s">
        <v>228</v>
      </c>
      <c r="BK204" s="1" t="s">
        <v>1378</v>
      </c>
      <c r="BL204" s="1">
        <v>1.47</v>
      </c>
      <c r="BM204" s="1">
        <v>48</v>
      </c>
      <c r="BN204" s="1" t="s">
        <v>228</v>
      </c>
      <c r="BO204" s="1" t="s">
        <v>228</v>
      </c>
      <c r="BQ204" s="1" t="s">
        <v>228</v>
      </c>
      <c r="BR204" s="1" t="s">
        <v>237</v>
      </c>
      <c r="BS204" s="1" t="s">
        <v>228</v>
      </c>
      <c r="BT204" s="1" t="s">
        <v>237</v>
      </c>
      <c r="BU204" s="1" t="s">
        <v>228</v>
      </c>
      <c r="BW204" s="1" t="s">
        <v>238</v>
      </c>
      <c r="BX204" s="1">
        <v>10</v>
      </c>
      <c r="BY204" s="1">
        <v>16</v>
      </c>
      <c r="BZ204" s="1" t="s">
        <v>284</v>
      </c>
      <c r="CA204" s="1" t="s">
        <v>343</v>
      </c>
      <c r="CB204" s="1" t="s">
        <v>240</v>
      </c>
      <c r="CC204" s="1" t="s">
        <v>274</v>
      </c>
      <c r="CD204" s="1">
        <v>1000</v>
      </c>
      <c r="CE204" s="1">
        <v>1500</v>
      </c>
      <c r="CF204" s="1" t="s">
        <v>236</v>
      </c>
      <c r="CG204" s="1" t="s">
        <v>242</v>
      </c>
      <c r="CH204" s="1" t="s">
        <v>243</v>
      </c>
      <c r="CI204" s="1" t="s">
        <v>243</v>
      </c>
      <c r="CJ204" s="1" t="s">
        <v>2848</v>
      </c>
      <c r="CL204" s="5" t="s">
        <v>6343</v>
      </c>
      <c r="CM204" s="1">
        <v>16220789537</v>
      </c>
      <c r="CN204" s="1" t="s">
        <v>228</v>
      </c>
      <c r="CQ204" s="42">
        <v>0.29166666666424135</v>
      </c>
      <c r="CR204" s="42">
        <v>0.14583333333575865</v>
      </c>
      <c r="CT204" s="45" t="str">
        <f t="array" ref="CT204">IFERROR(INDEX(#REF!,MATCH('Respuestas de formulario 1.1'!$B204,#REF!,0),MATCH('Respuestas de formulario 1.1'!CT$1,#REF!,0)),"")</f>
        <v/>
      </c>
      <c r="CU204" s="56" t="str">
        <f t="array" ref="CU204">IFERROR(INDEX(#REF!,MATCH('Respuestas de formulario 1.1'!$B204,#REF!,0),MATCH('Respuestas de formulario 1.1'!CU$1,#REF!,0)),"")</f>
        <v/>
      </c>
      <c r="CV204" s="56" t="str">
        <f t="array" ref="CV204">IFERROR(INDEX(#REF!,MATCH('Respuestas de formulario 1.1'!$B204,#REF!,0),MATCH('Respuestas de formulario 1.1'!CV$1,#REF!,0)),"")</f>
        <v/>
      </c>
      <c r="CW204" s="56" t="str">
        <f t="array" ref="CW204">IFERROR(INDEX(#REF!,MATCH('Respuestas de formulario 1.1'!$B204,#REF!,0),MATCH('Respuestas de formulario 1.1'!CW$1,#REF!,0)),"")</f>
        <v/>
      </c>
      <c r="CX204" s="56" t="str">
        <f t="array" ref="CX204">IFERROR(INDEX(#REF!,MATCH('Respuestas de formulario 1.1'!$B204,#REF!,0),MATCH('Respuestas de formulario 1.1'!CX$1,#REF!,0)),"")</f>
        <v/>
      </c>
      <c r="CY204" s="56" t="str">
        <f t="array" ref="CY204">IFERROR(INDEX(#REF!,MATCH('Respuestas de formulario 1.1'!$B204,#REF!,0),MATCH('Respuestas de formulario 1.1'!CY$1,#REF!,0)),"")</f>
        <v/>
      </c>
      <c r="CZ204" s="57" t="str">
        <f t="array" ref="CZ204">IFERROR(INDEX(#REF!,MATCH('Respuestas de formulario 1.1'!$B204,#REF!,0),MATCH('Respuestas de formulario 1.1'!CZ$1,#REF!,0)),"")</f>
        <v/>
      </c>
      <c r="DA204" s="45" t="e">
        <f t="array" ref="DA204">INDEX(#REF!,MATCH('Respuestas de formulario 1.1'!$B204,#REF!,0),MATCH('Respuestas de formulario 1.1'!DA$1,#REF!,0))</f>
        <v>#REF!</v>
      </c>
      <c r="DB204" s="45" t="e">
        <f t="array" ref="DB204">INDEX(#REF!,MATCH('Respuestas de formulario 1.1'!$B204,#REF!,0),MATCH('Respuestas de formulario 1.1'!DB$1,#REF!,0))</f>
        <v>#REF!</v>
      </c>
      <c r="DC204" s="45" t="e">
        <f t="array" ref="DC204">INDEX(#REF!,MATCH('Respuestas de formulario 1.1'!$B204,#REF!,0),MATCH('Respuestas de formulario 1.1'!DC$1,#REF!,0))</f>
        <v>#REF!</v>
      </c>
      <c r="DD204" s="45" t="e">
        <f t="array" ref="DD204">INDEX(#REF!,MATCH('Respuestas de formulario 1.1'!$B204,#REF!,0),MATCH('Respuestas de formulario 1.1'!DD$1,#REF!,0))</f>
        <v>#REF!</v>
      </c>
      <c r="DE204" s="45" t="e">
        <f t="array" ref="DE204">INDEX(#REF!,MATCH('Respuestas de formulario 1.1'!$B204,#REF!,0),MATCH('Respuestas de formulario 1.1'!DE$1,#REF!,0))</f>
        <v>#REF!</v>
      </c>
      <c r="DF204" s="45" t="e">
        <f t="array" ref="DF204">INDEX(#REF!,MATCH('Respuestas de formulario 1.1'!$B204,#REF!,0),MATCH('Respuestas de formulario 1.1'!DF$1,#REF!,0))</f>
        <v>#REF!</v>
      </c>
      <c r="DG204" s="45" t="e">
        <f t="array" ref="DG204">INDEX(#REF!,MATCH('Respuestas de formulario 1.1'!$B204,#REF!,0),MATCH('Respuestas de formulario 1.1'!DG$1,#REF!,0))</f>
        <v>#REF!</v>
      </c>
      <c r="DH204" s="45" t="e">
        <f t="array" ref="DH204">INDEX(#REF!,MATCH('Respuestas de formulario 1.1'!$B204,#REF!,0),MATCH('Respuestas de formulario 1.1'!DH$1,#REF!,0))</f>
        <v>#REF!</v>
      </c>
      <c r="DI204" s="48" t="e">
        <f>VLOOKUP(CONCATENATE($DF204," TUTO ",$DC204),#REF!,3,0)</f>
        <v>#REF!</v>
      </c>
      <c r="DJ204" s="48" t="e">
        <f t="array" ref="DJ204">IF('Respuestas de formulario 1.1'!A204="","",INDEX(#REF!,MATCH('Respuestas de formulario 1.1'!B204,#REF!,0),MATCH('Respuestas de formulario 1.1'!$DH$1,#REF!,0)))</f>
        <v>#REF!</v>
      </c>
      <c r="DK204" s="52" t="str">
        <f>CONCATENATE("http://doc.google.com/uc?id=",MID('Respuestas de formulario 1.1'!G204,34,33))</f>
        <v>http://doc.google.com/uc?id=1859nqaltLJwjT2ETGnHO0V_u4ULEVlwi</v>
      </c>
      <c r="DL204" s="49" t="str">
        <f>CONCATENATE("http://doc.google.com/uc?id=",MID('Respuestas de formulario 1.1'!AH204,34,33))</f>
        <v>http://doc.google.com/uc?id=12OOKrkTnnlxM5MGMg4kx_RrQNLXpF1Yi</v>
      </c>
      <c r="DM204" s="50" t="str">
        <f>CONCATENATE("http://doc.google.com/uc?id=",MID('Respuestas de formulario 1.1'!AW204,34,33))</f>
        <v>http://doc.google.com/uc?id=1a0Ha5TJ4jLlEOovyMLdRIeoyLK61vjby</v>
      </c>
      <c r="DN204" s="53" t="str">
        <f>CONCATENATE("http://doc.google.com/uc?id=",MID('Respuestas de formulario 1.1'!$BI204,34,33))</f>
        <v>http://doc.google.com/uc?id=16zTYzMSOuysbSIhZ_kkX-laLYIFlhaBM</v>
      </c>
      <c r="DO204" s="45" t="str">
        <f>IFERROR(VLOOKUP(CONCATENATE('Respuestas de formulario 1.1'!$B204,MID('Respuestas de formulario 1.1'!DO$1,2,1)),#REF!,12,0),"")</f>
        <v/>
      </c>
      <c r="DP204" s="45" t="str">
        <f>IFERROR(VLOOKUP(CONCATENATE('Respuestas de formulario 1.1'!$B204,MID('Respuestas de formulario 1.1'!DP$1,2,1)),#REF!,12,0),"")</f>
        <v/>
      </c>
      <c r="DQ204" s="45" t="str">
        <f>IFERROR(VLOOKUP(CONCATENATE('Respuestas de formulario 1.1'!$B204,MID('Respuestas de formulario 1.1'!DQ$1,2,1)),#REF!,12,0),"")</f>
        <v/>
      </c>
      <c r="DR204" s="45" t="str">
        <f>IFERROR(VLOOKUP(CONCATENATE('Respuestas de formulario 1.1'!$B204,MID('Respuestas de formulario 1.1'!DR$1,2,1)),#REF!,12,0),"")</f>
        <v/>
      </c>
      <c r="DS204" s="45" t="str">
        <f>IFERROR(VLOOKUP(CONCATENATE('Respuestas de formulario 1.1'!$B204,MID('Respuestas de formulario 1.1'!DS$1,2,1)),#REF!,12,0),"")</f>
        <v/>
      </c>
      <c r="DT204" s="45" t="str">
        <f>IFERROR(VLOOKUP(CONCATENATE('Respuestas de formulario 1.1'!$B204,MID('Respuestas de formulario 1.1'!DT$1,2,1)),#REF!,12,0),"")</f>
        <v/>
      </c>
      <c r="DU204" s="45" t="str">
        <f>IFERROR(VLOOKUP(CONCATENATE('Respuestas de formulario 1.1'!$B204,MID('Respuestas de formulario 1.1'!DU$1,2,1)),#REF!,12,0),"")</f>
        <v/>
      </c>
      <c r="DV204" s="45" t="str">
        <f>IFERROR(VLOOKUP(CONCATENATE('Respuestas de formulario 1.1'!$B204,MID('Respuestas de formulario 1.1'!DV$1,2,1)),#REF!,12,0),"")</f>
        <v/>
      </c>
      <c r="DW204" s="45" t="str">
        <f>IFERROR(VLOOKUP(CONCATENATE('Respuestas de formulario 1.1'!$B204,MID('Respuestas de formulario 1.1'!DW$1,2,1)),#REF!,12,0),"")</f>
        <v/>
      </c>
      <c r="DX204" s="45" t="str">
        <f>IFERROR(VLOOKUP(CONCATENATE('Respuestas de formulario 1.1'!$B204,MID('Respuestas de formulario 1.1'!DX$1,2,1)),#REF!,12,0),"")</f>
        <v/>
      </c>
      <c r="DY204" s="45" t="str">
        <f>IFERROR(VLOOKUP(CONCATENATE('Respuestas de formulario 1.1'!$B204,MID('Respuestas de formulario 1.1'!DY$1,2,1)),#REF!,12,0),"")</f>
        <v/>
      </c>
      <c r="DZ204" s="45" t="str">
        <f>IFERROR(VLOOKUP(CONCATENATE('Respuestas de formulario 1.1'!$B204,MID('Respuestas de formulario 1.1'!DZ$1,2,1)),#REF!,12,0),"")</f>
        <v/>
      </c>
      <c r="EA204" s="45" t="str">
        <f>IFERROR(VLOOKUP(CONCATENATE('Respuestas de formulario 1.1'!$B204,MID('Respuestas de formulario 1.1'!EA$1,2,1)),#REF!,12,0),"")</f>
        <v/>
      </c>
      <c r="EB204" s="45" t="str">
        <f>IFERROR(VLOOKUP(CONCATENATE('Respuestas de formulario 1.1'!$B204,MID('Respuestas de formulario 1.1'!EB$1,2,1)),#REF!,12,0),"")</f>
        <v/>
      </c>
      <c r="EC204" s="45" t="str">
        <f>IFERROR(VLOOKUP(CONCATENATE('Respuestas de formulario 1.1'!$B204,MID('Respuestas de formulario 1.1'!EC$1,2,1)),#REF!,12,0),"")</f>
        <v/>
      </c>
      <c r="ED204" s="45" t="str">
        <f>IFERROR(VLOOKUP(CONCATENATE('Respuestas de formulario 1.1'!$B204,MID('Respuestas de formulario 1.1'!ED$1,2,1)),#REF!,12,0),"")</f>
        <v/>
      </c>
      <c r="EE204" s="45" t="str">
        <f>IFERROR(VLOOKUP(CONCATENATE('Respuestas de formulario 1.1'!$B204,MID('Respuestas de formulario 1.1'!EE$1,2,1)),#REF!,12,0),"")</f>
        <v/>
      </c>
      <c r="EF204" s="45" t="str">
        <f>IFERROR(VLOOKUP(CONCATENATE('Respuestas de formulario 1.1'!$B204,MID('Respuestas de formulario 1.1'!EF$1,2,1)),#REF!,12,0),"")</f>
        <v/>
      </c>
      <c r="EG204" s="45" t="str">
        <f>IFERROR(VLOOKUP(CONCATENATE('Respuestas de formulario 1.1'!$B204,MID('Respuestas de formulario 1.1'!EG$1,2,1)),#REF!,12,0),"")</f>
        <v/>
      </c>
      <c r="EH204" s="45" t="str">
        <f>IFERROR(VLOOKUP(CONCATENATE('Respuestas de formulario 1.1'!$B204,MID('Respuestas de formulario 1.1'!EH$1,2,1)),#REF!,12,0),"")</f>
        <v/>
      </c>
      <c r="EI204" s="45" t="str">
        <f>IFERROR(VLOOKUP(CONCATENATE('Respuestas de formulario 1.1'!$B204,MID('Respuestas de formulario 1.1'!EI$1,2,1)),#REF!,12,0),"")</f>
        <v/>
      </c>
      <c r="EJ204" s="45" t="str">
        <f t="array" ref="EJ204">IF(DO204="","", INDEX(#REF!,MATCH(CONCATENATE('Respuestas de formulario 1.1'!$B204,DO204),#REF!,0),MATCH('Respuestas de formulario 1.1'!EJ$1,#REF!,0)))</f>
        <v/>
      </c>
      <c r="EK204" s="56" t="str">
        <f t="array" ref="EK204">IF(DP204="","", INDEX(#REF!,MATCH(CONCATENATE('Respuestas de formulario 1.1'!$B204,DP204),#REF!,0),MATCH('Respuestas de formulario 1.1'!EK$1,#REF!,0)))</f>
        <v/>
      </c>
      <c r="EL204" s="56" t="str">
        <f t="array" ref="EL204">IF(DQ204="","", INDEX(#REF!,MATCH(CONCATENATE('Respuestas de formulario 1.1'!$B204,DQ204),#REF!,0),MATCH('Respuestas de formulario 1.1'!EL$1,#REF!,0)))</f>
        <v/>
      </c>
      <c r="EM204" s="56" t="str">
        <f t="array" ref="EM204">IF(DR204="","", INDEX(#REF!,MATCH(CONCATENATE('Respuestas de formulario 1.1'!$B204,DR204),#REF!,0),MATCH('Respuestas de formulario 1.1'!EM$1,#REF!,0)))</f>
        <v/>
      </c>
      <c r="EN204" s="56" t="str">
        <f t="array" ref="EN204">IF(DS204="","", INDEX(#REF!,MATCH(CONCATENATE('Respuestas de formulario 1.1'!$B204,DS204),#REF!,0),MATCH('Respuestas de formulario 1.1'!EN$1,#REF!,0)))</f>
        <v/>
      </c>
      <c r="EO204" s="56" t="str">
        <f t="array" ref="EO204">IF(DT204="","", INDEX(#REF!,MATCH(CONCATENATE('Respuestas de formulario 1.1'!$B204,DT204),#REF!,0),MATCH('Respuestas de formulario 1.1'!EO$1,#REF!,0)))</f>
        <v/>
      </c>
      <c r="EP204" s="45" t="str">
        <f t="array" ref="EP204">IF(DU204="","", INDEX(#REF!,MATCH(CONCATENATE('Respuestas de formulario 1.1'!$B204,DU204),#REF!,0),MATCH('Respuestas de formulario 1.1'!EP$1,#REF!,0)))</f>
        <v/>
      </c>
      <c r="EQ204" s="45" t="str">
        <f t="array" ref="EQ204">IF(DP204="","", INDEX(#REF!,MATCH(CONCATENATE('Respuestas de formulario 1.1'!$B204,DP204),#REF!,0),MATCH('Respuestas de formulario 1.1'!EQ$1,#REF!,0)))</f>
        <v/>
      </c>
      <c r="ER204" s="56" t="str">
        <f t="array" ref="ER204">IF(DQ204="","", INDEX(#REF!,MATCH(CONCATENATE('Respuestas de formulario 1.1'!$B204,DQ204),#REF!,0),MATCH('Respuestas de formulario 1.1'!ER$1,#REF!,0)))</f>
        <v/>
      </c>
      <c r="ES204" s="56" t="str">
        <f t="array" ref="ES204">IF(DR204="","", INDEX(#REF!,MATCH(CONCATENATE('Respuestas de formulario 1.1'!$B204,DR204),#REF!,0),MATCH('Respuestas de formulario 1.1'!ES$1,#REF!,0)))</f>
        <v/>
      </c>
      <c r="ET204" s="56" t="str">
        <f t="array" ref="ET204">IF(DS204="","", INDEX(#REF!,MATCH(CONCATENATE('Respuestas de formulario 1.1'!$B204,DS204),#REF!,0),MATCH('Respuestas de formulario 1.1'!ET$1,#REF!,0)))</f>
        <v/>
      </c>
      <c r="EU204" s="56" t="str">
        <f t="array" ref="EU204">IF(DT204="","", INDEX(#REF!,MATCH(CONCATENATE('Respuestas de formulario 1.1'!$B204,DT204),#REF!,0),MATCH('Respuestas de formulario 1.1'!EU$1,#REF!,0)))</f>
        <v/>
      </c>
      <c r="EV204" s="56" t="str">
        <f t="array" ref="EV204">IF(DU204="","", INDEX(#REF!,MATCH(CONCATENATE('Respuestas de formulario 1.1'!$B204,DU204),#REF!,0),MATCH('Respuestas de formulario 1.1'!EV$1,#REF!,0)))</f>
        <v/>
      </c>
      <c r="EW204" s="45" t="str">
        <f t="array" ref="EW204">IF(DV204="","", INDEX(#REF!,MATCH(CONCATENATE('Respuestas de formulario 1.1'!$B204,DV204),#REF!,0),MATCH('Respuestas de formulario 1.1'!EW$1,#REF!,0)))</f>
        <v/>
      </c>
      <c r="EX204" s="45" t="str">
        <f t="array" ref="EX204">IF($DQ204="","", INDEX(#REF!,MATCH(CONCATENATE('Respuestas de formulario 1.1'!$B204,$DQ204),#REF!,0),MATCH('Respuestas de formulario 1.1'!EX$1,#REF!,0)))</f>
        <v/>
      </c>
      <c r="EY204" s="56" t="str">
        <f t="array" ref="EY204">IF($DQ204="","", INDEX(#REF!,MATCH(CONCATENATE('Respuestas de formulario 1.1'!$B204,$DQ204),#REF!,0),MATCH('Respuestas de formulario 1.1'!EY$1,#REF!,0)))</f>
        <v/>
      </c>
      <c r="EZ204" s="56" t="str">
        <f t="array" ref="EZ204">IF($DQ204="","", INDEX(#REF!,MATCH(CONCATENATE('Respuestas de formulario 1.1'!$B204,$DQ204),#REF!,0),MATCH('Respuestas de formulario 1.1'!EZ$1,#REF!,0)))</f>
        <v/>
      </c>
      <c r="FA204" s="56" t="str">
        <f t="array" ref="FA204">IF($DQ204="","", INDEX(#REF!,MATCH(CONCATENATE('Respuestas de formulario 1.1'!$B204,$DQ204),#REF!,0),MATCH('Respuestas de formulario 1.1'!FA$1,#REF!,0)))</f>
        <v/>
      </c>
      <c r="FB204" s="56" t="str">
        <f t="array" ref="FB204">IF($DQ204="","", INDEX(#REF!,MATCH(CONCATENATE('Respuestas de formulario 1.1'!$B204,$DQ204),#REF!,0),MATCH('Respuestas de formulario 1.1'!FB$1,#REF!,0)))</f>
        <v/>
      </c>
      <c r="FC204" s="56" t="str">
        <f t="array" ref="FC204">IF($DQ204="","", INDEX(#REF!,MATCH(CONCATENATE('Respuestas de formulario 1.1'!$B204,$DQ204),#REF!,0),MATCH('Respuestas de formulario 1.1'!FC$1,#REF!,0)))</f>
        <v/>
      </c>
      <c r="FD204" s="45" t="str">
        <f t="array" ref="FD204">IF($DQ204="","", INDEX(#REF!,MATCH(CONCATENATE('Respuestas de formulario 1.1'!$B204,$DQ204),#REF!,0),MATCH('Respuestas de formulario 1.1'!FD$1,#REF!,0)))</f>
        <v/>
      </c>
      <c r="FE204" s="45" t="str">
        <f t="array" ref="FE204">IF($DR204="","", INDEX(#REF!,MATCH(CONCATENATE(#REF!,$DR204),#REF!,0),MATCH(#REF!,#REF!,0)))</f>
        <v/>
      </c>
      <c r="FF204" s="56" t="str">
        <f t="array" ref="FF204">IF($DR204="","", INDEX(#REF!,MATCH(CONCATENATE(#REF!,$DR204),#REF!,0),MATCH(#REF!,#REF!,0)))</f>
        <v/>
      </c>
      <c r="FG204" s="56" t="str">
        <f t="array" ref="FG204">IF($DR204="","", INDEX(#REF!,MATCH(CONCATENATE(#REF!,$DR204),#REF!,0),MATCH(#REF!,#REF!,0)))</f>
        <v/>
      </c>
      <c r="FH204" s="56" t="str">
        <f t="array" ref="FH204">IF($DR204="","", INDEX(#REF!,MATCH(CONCATENATE(#REF!,$DR204),#REF!,0),MATCH(#REF!,#REF!,0)))</f>
        <v/>
      </c>
      <c r="FI204" s="56" t="str">
        <f t="array" ref="FI204">IF($DR204="","", INDEX(#REF!,MATCH(CONCATENATE(#REF!,$DR204),#REF!,0),MATCH(#REF!,#REF!,0)))</f>
        <v/>
      </c>
      <c r="FJ204" s="56" t="str">
        <f t="array" ref="FJ204">IF($DR204="","", INDEX(#REF!,MATCH(CONCATENATE(#REF!,$DR204),#REF!,0),MATCH(#REF!,#REF!,0)))</f>
        <v/>
      </c>
      <c r="FK204" s="45" t="str">
        <f t="array" ref="FK204">IF($DR204="","", INDEX(#REF!,MATCH(CONCATENATE(#REF!,$DR204),#REF!,0),MATCH(#REF!,#REF!,0)))</f>
        <v/>
      </c>
      <c r="FL204" s="45" t="str">
        <f t="array" ref="FL204">IF($DT204="","", INDEX(#REF!,MATCH(CONCATENATE('Respuestas de formulario 1.1'!$B204,$DS204),#REF!,0),MATCH('Respuestas de formulario 1.1'!FL$1,#REF!,0)))</f>
        <v/>
      </c>
      <c r="FM204" s="56" t="str">
        <f t="array" ref="FM204">IF($DT204="","", INDEX(#REF!,MATCH(CONCATENATE('Respuestas de formulario 1.1'!$B204,$DS204),#REF!,0),MATCH('Respuestas de formulario 1.1'!FM$1,#REF!,0)))</f>
        <v/>
      </c>
      <c r="FN204" s="56" t="str">
        <f t="array" ref="FN204">IF($DT204="","", INDEX(#REF!,MATCH(CONCATENATE('Respuestas de formulario 1.1'!$B204,$DS204),#REF!,0),MATCH('Respuestas de formulario 1.1'!FN$1,#REF!,0)))</f>
        <v/>
      </c>
      <c r="FO204" s="56" t="str">
        <f t="array" ref="FO204">IF($DT204="","", INDEX(#REF!,MATCH(CONCATENATE('Respuestas de formulario 1.1'!$B204,$DS204),#REF!,0),MATCH('Respuestas de formulario 1.1'!FO$1,#REF!,0)))</f>
        <v/>
      </c>
      <c r="FP204" s="56" t="str">
        <f t="array" ref="FP204">IF($DT204="","", INDEX(#REF!,MATCH(CONCATENATE('Respuestas de formulario 1.1'!$B204,$DS204),#REF!,0),MATCH('Respuestas de formulario 1.1'!FP$1,#REF!,0)))</f>
        <v/>
      </c>
      <c r="FQ204" s="56" t="str">
        <f t="array" ref="FQ204">IF($DT204="","", INDEX(#REF!,MATCH(CONCATENATE('Respuestas de formulario 1.1'!$B204,$DS204),#REF!,0),MATCH('Respuestas de formulario 1.1'!FQ$1,#REF!,0)))</f>
        <v/>
      </c>
      <c r="FR204" s="45" t="str">
        <f t="array" ref="FR204">IF($DT204="","", INDEX(#REF!,MATCH(CONCATENATE('Respuestas de formulario 1.1'!$B204,$DS204),#REF!,0),MATCH('Respuestas de formulario 1.1'!FR$1,#REF!,0)))</f>
        <v/>
      </c>
      <c r="FS204" s="45" t="str">
        <f t="array" ref="FS204">IF($DU204="","", INDEX(#REF!,MATCH(CONCATENATE('Respuestas de formulario 1.1'!$B204,$DT204),#REF!,0),MATCH('Respuestas de formulario 1.1'!FS$1,#REF!,0)))</f>
        <v/>
      </c>
      <c r="FT204" s="56" t="str">
        <f t="array" ref="FT204">IF($DU204="","", INDEX(#REF!,MATCH(CONCATENATE('Respuestas de formulario 1.1'!$B204,$DT204),#REF!,0),MATCH('Respuestas de formulario 1.1'!FT$1,#REF!,0)))</f>
        <v/>
      </c>
      <c r="FU204" s="56" t="str">
        <f t="array" ref="FU204">IF($DU204="","", INDEX(#REF!,MATCH(CONCATENATE('Respuestas de formulario 1.1'!$B204,$DT204),#REF!,0),MATCH('Respuestas de formulario 1.1'!FU$1,#REF!,0)))</f>
        <v/>
      </c>
      <c r="FV204" s="56" t="str">
        <f t="array" ref="FV204">IF($DU204="","", INDEX(#REF!,MATCH(CONCATENATE('Respuestas de formulario 1.1'!$B204,$DT204),#REF!,0),MATCH('Respuestas de formulario 1.1'!FV$1,#REF!,0)))</f>
        <v/>
      </c>
      <c r="FW204" s="56" t="str">
        <f t="array" ref="FW204">IF($DU204="","", INDEX(#REF!,MATCH(CONCATENATE('Respuestas de formulario 1.1'!$B204,$DT204),#REF!,0),MATCH('Respuestas de formulario 1.1'!FW$1,#REF!,0)))</f>
        <v/>
      </c>
      <c r="FX204" s="56" t="str">
        <f t="array" ref="FX204">IF($DU204="","", INDEX(#REF!,MATCH(CONCATENATE('Respuestas de formulario 1.1'!$B204,$DT204),#REF!,0),MATCH('Respuestas de formulario 1.1'!FX$1,#REF!,0)))</f>
        <v/>
      </c>
      <c r="FY204" s="45" t="str">
        <f t="array" ref="FY204">IF($DU204="","", INDEX(#REF!,MATCH(CONCATENATE('Respuestas de formulario 1.1'!$B204,$DT204),#REF!,0),MATCH('Respuestas de formulario 1.1'!FY$1,#REF!,0)))</f>
        <v/>
      </c>
      <c r="FZ204" s="3" t="s">
        <v>2860</v>
      </c>
      <c r="GA204" s="1" t="s">
        <v>6344</v>
      </c>
      <c r="GB204" s="5" t="s">
        <v>6345</v>
      </c>
      <c r="GC204" s="4" t="str">
        <f>HYPERLINK("https://drive.google.com/file/d/19x5CbPiMeStPoZZREz_-f_xM5rs_jYzl/view?usp=drivesdk","SEGURA  LUNA ANDREA ALEJANDRA  Formato de reinscripción y pago 2022-2")</f>
        <v>SEGURA  LUNA ANDREA ALEJANDRA  Formato de reinscripción y pago 2022-2</v>
      </c>
      <c r="GD204" s="1" t="s">
        <v>6346</v>
      </c>
      <c r="GE204" s="1"/>
      <c r="GF204" s="1"/>
      <c r="GG204" s="1"/>
      <c r="GH204" s="1"/>
      <c r="GI204" s="1" t="s">
        <v>6347</v>
      </c>
      <c r="GJ204" s="5" t="s">
        <v>6348</v>
      </c>
      <c r="GK204" s="5" t="str">
        <f>HYPERLINK("https://drive.google.com/file/d/1msuqlqoj-KRJAOo_S7RW6oB3BfQsvIo6/view?usp=drivesdk","SEGURA  LUNA ANDREA ALEJANDRA  Formato de reinscripción y pago 2022-2")</f>
        <v>SEGURA  LUNA ANDREA ALEJANDRA  Formato de reinscripción y pago 2022-2</v>
      </c>
      <c r="GL204" s="1" t="s">
        <v>6349</v>
      </c>
    </row>
    <row r="205" spans="1:194" ht="38.25" x14ac:dyDescent="0.2">
      <c r="A205" s="2">
        <v>45139.517858067135</v>
      </c>
      <c r="B205" s="1" t="s">
        <v>849</v>
      </c>
      <c r="C205" s="1" t="s">
        <v>259</v>
      </c>
      <c r="D205" s="1" t="s">
        <v>560</v>
      </c>
      <c r="E205" s="1" t="s">
        <v>850</v>
      </c>
      <c r="F205" s="1" t="s">
        <v>262</v>
      </c>
      <c r="G205" s="5" t="s">
        <v>6350</v>
      </c>
      <c r="H205" s="41">
        <v>38738</v>
      </c>
      <c r="I205" s="1">
        <v>17</v>
      </c>
      <c r="J205" s="1">
        <v>5548830978</v>
      </c>
      <c r="K205" s="1">
        <v>5518302260</v>
      </c>
      <c r="L205" s="1" t="s">
        <v>851</v>
      </c>
      <c r="M205" s="1">
        <v>21309060570597</v>
      </c>
      <c r="N205" s="1" t="s">
        <v>1108</v>
      </c>
      <c r="O205" s="1" t="s">
        <v>225</v>
      </c>
      <c r="P205" s="1" t="s">
        <v>226</v>
      </c>
      <c r="Q205" s="1" t="s">
        <v>248</v>
      </c>
      <c r="R205" s="1" t="s">
        <v>236</v>
      </c>
      <c r="S205" s="1" t="s">
        <v>228</v>
      </c>
      <c r="T205" s="1" t="s">
        <v>411</v>
      </c>
      <c r="U205" s="1" t="s">
        <v>249</v>
      </c>
      <c r="V205" s="1" t="s">
        <v>228</v>
      </c>
      <c r="W205" s="1" t="s">
        <v>6351</v>
      </c>
      <c r="X205" s="1" t="s">
        <v>728</v>
      </c>
      <c r="Y205" s="1" t="s">
        <v>6352</v>
      </c>
      <c r="Z205" s="1" t="s">
        <v>231</v>
      </c>
      <c r="AA205" s="1">
        <v>55310</v>
      </c>
      <c r="AB205" s="1" t="s">
        <v>852</v>
      </c>
      <c r="AC205" s="1" t="s">
        <v>852</v>
      </c>
      <c r="AD205" s="1" t="s">
        <v>6353</v>
      </c>
      <c r="AE205" s="1" t="s">
        <v>6354</v>
      </c>
      <c r="AF205" s="1"/>
      <c r="AG205" s="1"/>
      <c r="AH205" s="5" t="s">
        <v>6355</v>
      </c>
      <c r="AI205" s="1">
        <v>5518302260</v>
      </c>
      <c r="AJ205" s="1">
        <v>5518302260</v>
      </c>
      <c r="AK205" s="1"/>
      <c r="AL205" s="1" t="s">
        <v>560</v>
      </c>
      <c r="AM205" s="1" t="s">
        <v>1296</v>
      </c>
      <c r="AN205" s="1" t="s">
        <v>6356</v>
      </c>
      <c r="AO205" s="1" t="s">
        <v>650</v>
      </c>
      <c r="AP205" s="1"/>
      <c r="AQ205" s="1" t="s">
        <v>842</v>
      </c>
      <c r="AR205" s="42">
        <v>0.29166666666424135</v>
      </c>
      <c r="AS205" s="42">
        <v>0.41666666666424135</v>
      </c>
      <c r="AT205" s="1">
        <v>8130411819</v>
      </c>
      <c r="AU205" s="1">
        <v>8130411819</v>
      </c>
      <c r="AV205" s="1"/>
      <c r="AW205" s="5" t="s">
        <v>6357</v>
      </c>
      <c r="AX205" s="1" t="s">
        <v>1296</v>
      </c>
      <c r="AY205" s="1" t="s">
        <v>422</v>
      </c>
      <c r="AZ205" s="1" t="s">
        <v>6358</v>
      </c>
      <c r="BA205" s="1" t="s">
        <v>359</v>
      </c>
      <c r="BB205" s="1">
        <v>68</v>
      </c>
      <c r="BC205" s="1" t="s">
        <v>6359</v>
      </c>
      <c r="BD205" s="43">
        <v>0</v>
      </c>
      <c r="BE205" s="43">
        <v>0</v>
      </c>
      <c r="BF205" s="1">
        <v>5582992635</v>
      </c>
      <c r="BG205" s="1">
        <v>5582992635</v>
      </c>
      <c r="BH205" s="1"/>
      <c r="BI205" s="5" t="s">
        <v>6360</v>
      </c>
      <c r="BJ205" s="1" t="s">
        <v>228</v>
      </c>
      <c r="BK205" s="1" t="s">
        <v>1376</v>
      </c>
      <c r="BL205" s="1">
        <v>168</v>
      </c>
      <c r="BM205" s="1">
        <v>69</v>
      </c>
      <c r="BN205" s="1" t="s">
        <v>228</v>
      </c>
      <c r="BO205" s="1" t="s">
        <v>228</v>
      </c>
      <c r="BQ205" s="1" t="s">
        <v>228</v>
      </c>
      <c r="BR205" s="1" t="s">
        <v>237</v>
      </c>
      <c r="BS205" s="1" t="s">
        <v>228</v>
      </c>
      <c r="BT205" s="1" t="s">
        <v>237</v>
      </c>
      <c r="BU205" s="1" t="s">
        <v>228</v>
      </c>
      <c r="BW205" s="1" t="s">
        <v>272</v>
      </c>
      <c r="BX205" s="1">
        <v>80</v>
      </c>
      <c r="BY205" s="1">
        <v>80</v>
      </c>
      <c r="BZ205" s="1" t="s">
        <v>298</v>
      </c>
      <c r="CA205" s="1" t="s">
        <v>6361</v>
      </c>
      <c r="CB205" s="1" t="s">
        <v>240</v>
      </c>
      <c r="CC205" s="1" t="s">
        <v>588</v>
      </c>
      <c r="CD205" s="1">
        <v>450</v>
      </c>
      <c r="CE205" s="1">
        <v>1300</v>
      </c>
      <c r="CF205" s="1" t="s">
        <v>236</v>
      </c>
      <c r="CG205" s="1" t="s">
        <v>242</v>
      </c>
      <c r="CH205" s="1" t="s">
        <v>243</v>
      </c>
      <c r="CI205" s="1" t="s">
        <v>243</v>
      </c>
      <c r="CJ205" s="1" t="s">
        <v>2848</v>
      </c>
      <c r="CL205" s="5" t="s">
        <v>6362</v>
      </c>
      <c r="CM205" s="1">
        <v>37839</v>
      </c>
      <c r="CN205" s="1" t="s">
        <v>228</v>
      </c>
      <c r="CQ205" s="42">
        <v>0.29166666666424135</v>
      </c>
      <c r="CR205" s="42">
        <v>0.41666666666424135</v>
      </c>
      <c r="CT205" s="45" t="str">
        <f t="array" ref="CT205">IFERROR(INDEX(#REF!,MATCH('Respuestas de formulario 1.1'!$B205,#REF!,0),MATCH('Respuestas de formulario 1.1'!CT$1,#REF!,0)),"")</f>
        <v/>
      </c>
      <c r="CU205" s="56" t="str">
        <f t="array" ref="CU205">IFERROR(INDEX(#REF!,MATCH('Respuestas de formulario 1.1'!$B205,#REF!,0),MATCH('Respuestas de formulario 1.1'!CU$1,#REF!,0)),"")</f>
        <v/>
      </c>
      <c r="CV205" s="56" t="str">
        <f t="array" ref="CV205">IFERROR(INDEX(#REF!,MATCH('Respuestas de formulario 1.1'!$B205,#REF!,0),MATCH('Respuestas de formulario 1.1'!CV$1,#REF!,0)),"")</f>
        <v/>
      </c>
      <c r="CW205" s="56" t="str">
        <f t="array" ref="CW205">IFERROR(INDEX(#REF!,MATCH('Respuestas de formulario 1.1'!$B205,#REF!,0),MATCH('Respuestas de formulario 1.1'!CW$1,#REF!,0)),"")</f>
        <v/>
      </c>
      <c r="CX205" s="56" t="str">
        <f t="array" ref="CX205">IFERROR(INDEX(#REF!,MATCH('Respuestas de formulario 1.1'!$B205,#REF!,0),MATCH('Respuestas de formulario 1.1'!CX$1,#REF!,0)),"")</f>
        <v/>
      </c>
      <c r="CY205" s="56" t="str">
        <f t="array" ref="CY205">IFERROR(INDEX(#REF!,MATCH('Respuestas de formulario 1.1'!$B205,#REF!,0),MATCH('Respuestas de formulario 1.1'!CY$1,#REF!,0)),"")</f>
        <v/>
      </c>
      <c r="CZ205" s="57" t="str">
        <f t="array" ref="CZ205">IFERROR(INDEX(#REF!,MATCH('Respuestas de formulario 1.1'!$B205,#REF!,0),MATCH('Respuestas de formulario 1.1'!CZ$1,#REF!,0)),"")</f>
        <v/>
      </c>
      <c r="DA205" s="45" t="e">
        <f t="array" ref="DA205">INDEX(#REF!,MATCH('Respuestas de formulario 1.1'!$B205,#REF!,0),MATCH('Respuestas de formulario 1.1'!DA$1,#REF!,0))</f>
        <v>#REF!</v>
      </c>
      <c r="DB205" s="45" t="e">
        <f t="array" ref="DB205">INDEX(#REF!,MATCH('Respuestas de formulario 1.1'!$B205,#REF!,0),MATCH('Respuestas de formulario 1.1'!DB$1,#REF!,0))</f>
        <v>#REF!</v>
      </c>
      <c r="DC205" s="45" t="e">
        <f t="array" ref="DC205">INDEX(#REF!,MATCH('Respuestas de formulario 1.1'!$B205,#REF!,0),MATCH('Respuestas de formulario 1.1'!DC$1,#REF!,0))</f>
        <v>#REF!</v>
      </c>
      <c r="DD205" s="45" t="e">
        <f t="array" ref="DD205">INDEX(#REF!,MATCH('Respuestas de formulario 1.1'!$B205,#REF!,0),MATCH('Respuestas de formulario 1.1'!DD$1,#REF!,0))</f>
        <v>#REF!</v>
      </c>
      <c r="DE205" s="45" t="e">
        <f t="array" ref="DE205">INDEX(#REF!,MATCH('Respuestas de formulario 1.1'!$B205,#REF!,0),MATCH('Respuestas de formulario 1.1'!DE$1,#REF!,0))</f>
        <v>#REF!</v>
      </c>
      <c r="DF205" s="45" t="e">
        <f t="array" ref="DF205">INDEX(#REF!,MATCH('Respuestas de formulario 1.1'!$B205,#REF!,0),MATCH('Respuestas de formulario 1.1'!DF$1,#REF!,0))</f>
        <v>#REF!</v>
      </c>
      <c r="DG205" s="45" t="e">
        <f t="array" ref="DG205">INDEX(#REF!,MATCH('Respuestas de formulario 1.1'!$B205,#REF!,0),MATCH('Respuestas de formulario 1.1'!DG$1,#REF!,0))</f>
        <v>#REF!</v>
      </c>
      <c r="DH205" s="45" t="e">
        <f t="array" ref="DH205">INDEX(#REF!,MATCH('Respuestas de formulario 1.1'!$B205,#REF!,0),MATCH('Respuestas de formulario 1.1'!DH$1,#REF!,0))</f>
        <v>#REF!</v>
      </c>
      <c r="DI205" s="48" t="e">
        <f>VLOOKUP(CONCATENATE($DF205," TUTO ",$DC205),#REF!,3,0)</f>
        <v>#REF!</v>
      </c>
      <c r="DJ205" s="48" t="e">
        <f t="array" ref="DJ205">IF('Respuestas de formulario 1.1'!A205="","",INDEX(#REF!,MATCH('Respuestas de formulario 1.1'!B205,#REF!,0),MATCH('Respuestas de formulario 1.1'!$DH$1,#REF!,0)))</f>
        <v>#REF!</v>
      </c>
      <c r="DK205" s="52" t="str">
        <f>CONCATENATE("http://doc.google.com/uc?id=",MID('Respuestas de formulario 1.1'!G205,34,33))</f>
        <v>http://doc.google.com/uc?id=15bJbPifePX2D2xpGInSheH4x89vmqohf</v>
      </c>
      <c r="DL205" s="49" t="str">
        <f>CONCATENATE("http://doc.google.com/uc?id=",MID('Respuestas de formulario 1.1'!AH205,34,33))</f>
        <v>http://doc.google.com/uc?id=1MZz-G5Qt6gud8wJdhNrvpj8qIBIgGbLm</v>
      </c>
      <c r="DM205" s="50" t="str">
        <f>CONCATENATE("http://doc.google.com/uc?id=",MID('Respuestas de formulario 1.1'!AW205,34,33))</f>
        <v>http://doc.google.com/uc?id=1R24LI0sHDNfdafysvGVKd9zzhZIgdSjr</v>
      </c>
      <c r="DN205" s="53" t="str">
        <f>CONCATENATE("http://doc.google.com/uc?id=",MID('Respuestas de formulario 1.1'!$BI205,34,33))</f>
        <v>http://doc.google.com/uc?id=1h7TtyhBj_CbFGEtW3geA_0LHWnqxfO02</v>
      </c>
      <c r="DO205" s="45" t="str">
        <f>IFERROR(VLOOKUP(CONCATENATE('Respuestas de formulario 1.1'!$B205,MID('Respuestas de formulario 1.1'!DO$1,2,1)),#REF!,12,0),"")</f>
        <v/>
      </c>
      <c r="DP205" s="45" t="str">
        <f>IFERROR(VLOOKUP(CONCATENATE('Respuestas de formulario 1.1'!$B205,MID('Respuestas de formulario 1.1'!DP$1,2,1)),#REF!,12,0),"")</f>
        <v/>
      </c>
      <c r="DQ205" s="45" t="str">
        <f>IFERROR(VLOOKUP(CONCATENATE('Respuestas de formulario 1.1'!$B205,MID('Respuestas de formulario 1.1'!DQ$1,2,1)),#REF!,12,0),"")</f>
        <v/>
      </c>
      <c r="DR205" s="45" t="str">
        <f>IFERROR(VLOOKUP(CONCATENATE('Respuestas de formulario 1.1'!$B205,MID('Respuestas de formulario 1.1'!DR$1,2,1)),#REF!,12,0),"")</f>
        <v/>
      </c>
      <c r="DS205" s="45" t="str">
        <f>IFERROR(VLOOKUP(CONCATENATE('Respuestas de formulario 1.1'!$B205,MID('Respuestas de formulario 1.1'!DS$1,2,1)),#REF!,12,0),"")</f>
        <v/>
      </c>
      <c r="DT205" s="45" t="str">
        <f>IFERROR(VLOOKUP(CONCATENATE('Respuestas de formulario 1.1'!$B205,MID('Respuestas de formulario 1.1'!DT$1,2,1)),#REF!,12,0),"")</f>
        <v/>
      </c>
      <c r="DU205" s="45" t="str">
        <f>IFERROR(VLOOKUP(CONCATENATE('Respuestas de formulario 1.1'!$B205,MID('Respuestas de formulario 1.1'!DU$1,2,1)),#REF!,12,0),"")</f>
        <v/>
      </c>
      <c r="DV205" s="45" t="str">
        <f>IFERROR(VLOOKUP(CONCATENATE('Respuestas de formulario 1.1'!$B205,MID('Respuestas de formulario 1.1'!DV$1,2,1)),#REF!,12,0),"")</f>
        <v/>
      </c>
      <c r="DW205" s="45" t="str">
        <f>IFERROR(VLOOKUP(CONCATENATE('Respuestas de formulario 1.1'!$B205,MID('Respuestas de formulario 1.1'!DW$1,2,1)),#REF!,12,0),"")</f>
        <v/>
      </c>
      <c r="DX205" s="45" t="str">
        <f>IFERROR(VLOOKUP(CONCATENATE('Respuestas de formulario 1.1'!$B205,MID('Respuestas de formulario 1.1'!DX$1,2,1)),#REF!,12,0),"")</f>
        <v/>
      </c>
      <c r="DY205" s="45" t="str">
        <f>IFERROR(VLOOKUP(CONCATENATE('Respuestas de formulario 1.1'!$B205,MID('Respuestas de formulario 1.1'!DY$1,2,1)),#REF!,12,0),"")</f>
        <v/>
      </c>
      <c r="DZ205" s="45" t="str">
        <f>IFERROR(VLOOKUP(CONCATENATE('Respuestas de formulario 1.1'!$B205,MID('Respuestas de formulario 1.1'!DZ$1,2,1)),#REF!,12,0),"")</f>
        <v/>
      </c>
      <c r="EA205" s="45" t="str">
        <f>IFERROR(VLOOKUP(CONCATENATE('Respuestas de formulario 1.1'!$B205,MID('Respuestas de formulario 1.1'!EA$1,2,1)),#REF!,12,0),"")</f>
        <v/>
      </c>
      <c r="EB205" s="45" t="str">
        <f>IFERROR(VLOOKUP(CONCATENATE('Respuestas de formulario 1.1'!$B205,MID('Respuestas de formulario 1.1'!EB$1,2,1)),#REF!,12,0),"")</f>
        <v/>
      </c>
      <c r="EC205" s="45" t="str">
        <f>IFERROR(VLOOKUP(CONCATENATE('Respuestas de formulario 1.1'!$B205,MID('Respuestas de formulario 1.1'!EC$1,2,1)),#REF!,12,0),"")</f>
        <v/>
      </c>
      <c r="ED205" s="45" t="str">
        <f>IFERROR(VLOOKUP(CONCATENATE('Respuestas de formulario 1.1'!$B205,MID('Respuestas de formulario 1.1'!ED$1,2,1)),#REF!,12,0),"")</f>
        <v/>
      </c>
      <c r="EE205" s="45" t="str">
        <f>IFERROR(VLOOKUP(CONCATENATE('Respuestas de formulario 1.1'!$B205,MID('Respuestas de formulario 1.1'!EE$1,2,1)),#REF!,12,0),"")</f>
        <v/>
      </c>
      <c r="EF205" s="45" t="str">
        <f>IFERROR(VLOOKUP(CONCATENATE('Respuestas de formulario 1.1'!$B205,MID('Respuestas de formulario 1.1'!EF$1,2,1)),#REF!,12,0),"")</f>
        <v/>
      </c>
      <c r="EG205" s="45" t="str">
        <f>IFERROR(VLOOKUP(CONCATENATE('Respuestas de formulario 1.1'!$B205,MID('Respuestas de formulario 1.1'!EG$1,2,1)),#REF!,12,0),"")</f>
        <v/>
      </c>
      <c r="EH205" s="45" t="str">
        <f>IFERROR(VLOOKUP(CONCATENATE('Respuestas de formulario 1.1'!$B205,MID('Respuestas de formulario 1.1'!EH$1,2,1)),#REF!,12,0),"")</f>
        <v/>
      </c>
      <c r="EI205" s="45" t="str">
        <f>IFERROR(VLOOKUP(CONCATENATE('Respuestas de formulario 1.1'!$B205,MID('Respuestas de formulario 1.1'!EI$1,2,1)),#REF!,12,0),"")</f>
        <v/>
      </c>
      <c r="EJ205" s="45" t="str">
        <f t="array" ref="EJ205">IF(DO205="","", INDEX(#REF!,MATCH(CONCATENATE('Respuestas de formulario 1.1'!$B205,DO205),#REF!,0),MATCH('Respuestas de formulario 1.1'!EJ$1,#REF!,0)))</f>
        <v/>
      </c>
      <c r="EK205" s="56" t="str">
        <f t="array" ref="EK205">IF(DP205="","", INDEX(#REF!,MATCH(CONCATENATE('Respuestas de formulario 1.1'!$B205,DP205),#REF!,0),MATCH('Respuestas de formulario 1.1'!EK$1,#REF!,0)))</f>
        <v/>
      </c>
      <c r="EL205" s="56" t="str">
        <f t="array" ref="EL205">IF(DQ205="","", INDEX(#REF!,MATCH(CONCATENATE('Respuestas de formulario 1.1'!$B205,DQ205),#REF!,0),MATCH('Respuestas de formulario 1.1'!EL$1,#REF!,0)))</f>
        <v/>
      </c>
      <c r="EM205" s="56" t="str">
        <f t="array" ref="EM205">IF(DR205="","", INDEX(#REF!,MATCH(CONCATENATE('Respuestas de formulario 1.1'!$B205,DR205),#REF!,0),MATCH('Respuestas de formulario 1.1'!EM$1,#REF!,0)))</f>
        <v/>
      </c>
      <c r="EN205" s="56" t="str">
        <f t="array" ref="EN205">IF(DS205="","", INDEX(#REF!,MATCH(CONCATENATE('Respuestas de formulario 1.1'!$B205,DS205),#REF!,0),MATCH('Respuestas de formulario 1.1'!EN$1,#REF!,0)))</f>
        <v/>
      </c>
      <c r="EO205" s="56" t="str">
        <f t="array" ref="EO205">IF(DT205="","", INDEX(#REF!,MATCH(CONCATENATE('Respuestas de formulario 1.1'!$B205,DT205),#REF!,0),MATCH('Respuestas de formulario 1.1'!EO$1,#REF!,0)))</f>
        <v/>
      </c>
      <c r="EP205" s="45" t="str">
        <f t="array" ref="EP205">IF(DU205="","", INDEX(#REF!,MATCH(CONCATENATE('Respuestas de formulario 1.1'!$B205,DU205),#REF!,0),MATCH('Respuestas de formulario 1.1'!EP$1,#REF!,0)))</f>
        <v/>
      </c>
      <c r="EQ205" s="45" t="str">
        <f t="array" ref="EQ205">IF(DP205="","", INDEX(#REF!,MATCH(CONCATENATE('Respuestas de formulario 1.1'!$B205,DP205),#REF!,0),MATCH('Respuestas de formulario 1.1'!EQ$1,#REF!,0)))</f>
        <v/>
      </c>
      <c r="ER205" s="56" t="str">
        <f t="array" ref="ER205">IF(DQ205="","", INDEX(#REF!,MATCH(CONCATENATE('Respuestas de formulario 1.1'!$B205,DQ205),#REF!,0),MATCH('Respuestas de formulario 1.1'!ER$1,#REF!,0)))</f>
        <v/>
      </c>
      <c r="ES205" s="56" t="str">
        <f t="array" ref="ES205">IF(DR205="","", INDEX(#REF!,MATCH(CONCATENATE('Respuestas de formulario 1.1'!$B205,DR205),#REF!,0),MATCH('Respuestas de formulario 1.1'!ES$1,#REF!,0)))</f>
        <v/>
      </c>
      <c r="ET205" s="56" t="str">
        <f t="array" ref="ET205">IF(DS205="","", INDEX(#REF!,MATCH(CONCATENATE('Respuestas de formulario 1.1'!$B205,DS205),#REF!,0),MATCH('Respuestas de formulario 1.1'!ET$1,#REF!,0)))</f>
        <v/>
      </c>
      <c r="EU205" s="56" t="str">
        <f t="array" ref="EU205">IF(DT205="","", INDEX(#REF!,MATCH(CONCATENATE('Respuestas de formulario 1.1'!$B205,DT205),#REF!,0),MATCH('Respuestas de formulario 1.1'!EU$1,#REF!,0)))</f>
        <v/>
      </c>
      <c r="EV205" s="56" t="str">
        <f t="array" ref="EV205">IF(DU205="","", INDEX(#REF!,MATCH(CONCATENATE('Respuestas de formulario 1.1'!$B205,DU205),#REF!,0),MATCH('Respuestas de formulario 1.1'!EV$1,#REF!,0)))</f>
        <v/>
      </c>
      <c r="EW205" s="45" t="str">
        <f t="array" ref="EW205">IF(DV205="","", INDEX(#REF!,MATCH(CONCATENATE('Respuestas de formulario 1.1'!$B205,DV205),#REF!,0),MATCH('Respuestas de formulario 1.1'!EW$1,#REF!,0)))</f>
        <v/>
      </c>
      <c r="EX205" s="45" t="str">
        <f t="array" ref="EX205">IF($DQ205="","", INDEX(#REF!,MATCH(CONCATENATE('Respuestas de formulario 1.1'!$B205,$DQ205),#REF!,0),MATCH('Respuestas de formulario 1.1'!EX$1,#REF!,0)))</f>
        <v/>
      </c>
      <c r="EY205" s="56" t="str">
        <f t="array" ref="EY205">IF($DQ205="","", INDEX(#REF!,MATCH(CONCATENATE('Respuestas de formulario 1.1'!$B205,$DQ205),#REF!,0),MATCH('Respuestas de formulario 1.1'!EY$1,#REF!,0)))</f>
        <v/>
      </c>
      <c r="EZ205" s="56" t="str">
        <f t="array" ref="EZ205">IF($DQ205="","", INDEX(#REF!,MATCH(CONCATENATE('Respuestas de formulario 1.1'!$B205,$DQ205),#REF!,0),MATCH('Respuestas de formulario 1.1'!EZ$1,#REF!,0)))</f>
        <v/>
      </c>
      <c r="FA205" s="56" t="str">
        <f t="array" ref="FA205">IF($DQ205="","", INDEX(#REF!,MATCH(CONCATENATE('Respuestas de formulario 1.1'!$B205,$DQ205),#REF!,0),MATCH('Respuestas de formulario 1.1'!FA$1,#REF!,0)))</f>
        <v/>
      </c>
      <c r="FB205" s="56" t="str">
        <f t="array" ref="FB205">IF($DQ205="","", INDEX(#REF!,MATCH(CONCATENATE('Respuestas de formulario 1.1'!$B205,$DQ205),#REF!,0),MATCH('Respuestas de formulario 1.1'!FB$1,#REF!,0)))</f>
        <v/>
      </c>
      <c r="FC205" s="56" t="str">
        <f t="array" ref="FC205">IF($DQ205="","", INDEX(#REF!,MATCH(CONCATENATE('Respuestas de formulario 1.1'!$B205,$DQ205),#REF!,0),MATCH('Respuestas de formulario 1.1'!FC$1,#REF!,0)))</f>
        <v/>
      </c>
      <c r="FD205" s="45" t="str">
        <f t="array" ref="FD205">IF($DQ205="","", INDEX(#REF!,MATCH(CONCATENATE('Respuestas de formulario 1.1'!$B205,$DQ205),#REF!,0),MATCH('Respuestas de formulario 1.1'!FD$1,#REF!,0)))</f>
        <v/>
      </c>
      <c r="FE205" s="45" t="str">
        <f t="array" ref="FE205">IF($DR205="","", INDEX(#REF!,MATCH(CONCATENATE(#REF!,$DR205),#REF!,0),MATCH(#REF!,#REF!,0)))</f>
        <v/>
      </c>
      <c r="FF205" s="56" t="str">
        <f t="array" ref="FF205">IF($DR205="","", INDEX(#REF!,MATCH(CONCATENATE(#REF!,$DR205),#REF!,0),MATCH(#REF!,#REF!,0)))</f>
        <v/>
      </c>
      <c r="FG205" s="56" t="str">
        <f t="array" ref="FG205">IF($DR205="","", INDEX(#REF!,MATCH(CONCATENATE(#REF!,$DR205),#REF!,0),MATCH(#REF!,#REF!,0)))</f>
        <v/>
      </c>
      <c r="FH205" s="56" t="str">
        <f t="array" ref="FH205">IF($DR205="","", INDEX(#REF!,MATCH(CONCATENATE(#REF!,$DR205),#REF!,0),MATCH(#REF!,#REF!,0)))</f>
        <v/>
      </c>
      <c r="FI205" s="56" t="str">
        <f t="array" ref="FI205">IF($DR205="","", INDEX(#REF!,MATCH(CONCATENATE(#REF!,$DR205),#REF!,0),MATCH(#REF!,#REF!,0)))</f>
        <v/>
      </c>
      <c r="FJ205" s="56" t="str">
        <f t="array" ref="FJ205">IF($DR205="","", INDEX(#REF!,MATCH(CONCATENATE(#REF!,$DR205),#REF!,0),MATCH(#REF!,#REF!,0)))</f>
        <v/>
      </c>
      <c r="FK205" s="45" t="str">
        <f t="array" ref="FK205">IF($DR205="","", INDEX(#REF!,MATCH(CONCATENATE(#REF!,$DR205),#REF!,0),MATCH(#REF!,#REF!,0)))</f>
        <v/>
      </c>
      <c r="FL205" s="45" t="str">
        <f t="array" ref="FL205">IF($DT205="","", INDEX(#REF!,MATCH(CONCATENATE('Respuestas de formulario 1.1'!$B205,$DS205),#REF!,0),MATCH('Respuestas de formulario 1.1'!FL$1,#REF!,0)))</f>
        <v/>
      </c>
      <c r="FM205" s="56" t="str">
        <f t="array" ref="FM205">IF($DT205="","", INDEX(#REF!,MATCH(CONCATENATE('Respuestas de formulario 1.1'!$B205,$DS205),#REF!,0),MATCH('Respuestas de formulario 1.1'!FM$1,#REF!,0)))</f>
        <v/>
      </c>
      <c r="FN205" s="56" t="str">
        <f t="array" ref="FN205">IF($DT205="","", INDEX(#REF!,MATCH(CONCATENATE('Respuestas de formulario 1.1'!$B205,$DS205),#REF!,0),MATCH('Respuestas de formulario 1.1'!FN$1,#REF!,0)))</f>
        <v/>
      </c>
      <c r="FO205" s="56" t="str">
        <f t="array" ref="FO205">IF($DT205="","", INDEX(#REF!,MATCH(CONCATENATE('Respuestas de formulario 1.1'!$B205,$DS205),#REF!,0),MATCH('Respuestas de formulario 1.1'!FO$1,#REF!,0)))</f>
        <v/>
      </c>
      <c r="FP205" s="56" t="str">
        <f t="array" ref="FP205">IF($DT205="","", INDEX(#REF!,MATCH(CONCATENATE('Respuestas de formulario 1.1'!$B205,$DS205),#REF!,0),MATCH('Respuestas de formulario 1.1'!FP$1,#REF!,0)))</f>
        <v/>
      </c>
      <c r="FQ205" s="56" t="str">
        <f t="array" ref="FQ205">IF($DT205="","", INDEX(#REF!,MATCH(CONCATENATE('Respuestas de formulario 1.1'!$B205,$DS205),#REF!,0),MATCH('Respuestas de formulario 1.1'!FQ$1,#REF!,0)))</f>
        <v/>
      </c>
      <c r="FR205" s="45" t="str">
        <f t="array" ref="FR205">IF($DT205="","", INDEX(#REF!,MATCH(CONCATENATE('Respuestas de formulario 1.1'!$B205,$DS205),#REF!,0),MATCH('Respuestas de formulario 1.1'!FR$1,#REF!,0)))</f>
        <v/>
      </c>
      <c r="FS205" s="45" t="str">
        <f t="array" ref="FS205">IF($DU205="","", INDEX(#REF!,MATCH(CONCATENATE('Respuestas de formulario 1.1'!$B205,$DT205),#REF!,0),MATCH('Respuestas de formulario 1.1'!FS$1,#REF!,0)))</f>
        <v/>
      </c>
      <c r="FT205" s="56" t="str">
        <f t="array" ref="FT205">IF($DU205="","", INDEX(#REF!,MATCH(CONCATENATE('Respuestas de formulario 1.1'!$B205,$DT205),#REF!,0),MATCH('Respuestas de formulario 1.1'!FT$1,#REF!,0)))</f>
        <v/>
      </c>
      <c r="FU205" s="56" t="str">
        <f t="array" ref="FU205">IF($DU205="","", INDEX(#REF!,MATCH(CONCATENATE('Respuestas de formulario 1.1'!$B205,$DT205),#REF!,0),MATCH('Respuestas de formulario 1.1'!FU$1,#REF!,0)))</f>
        <v/>
      </c>
      <c r="FV205" s="56" t="str">
        <f t="array" ref="FV205">IF($DU205="","", INDEX(#REF!,MATCH(CONCATENATE('Respuestas de formulario 1.1'!$B205,$DT205),#REF!,0),MATCH('Respuestas de formulario 1.1'!FV$1,#REF!,0)))</f>
        <v/>
      </c>
      <c r="FW205" s="56" t="str">
        <f t="array" ref="FW205">IF($DU205="","", INDEX(#REF!,MATCH(CONCATENATE('Respuestas de formulario 1.1'!$B205,$DT205),#REF!,0),MATCH('Respuestas de formulario 1.1'!FW$1,#REF!,0)))</f>
        <v/>
      </c>
      <c r="FX205" s="56" t="str">
        <f t="array" ref="FX205">IF($DU205="","", INDEX(#REF!,MATCH(CONCATENATE('Respuestas de formulario 1.1'!$B205,$DT205),#REF!,0),MATCH('Respuestas de formulario 1.1'!FX$1,#REF!,0)))</f>
        <v/>
      </c>
      <c r="FY205" s="45" t="str">
        <f t="array" ref="FY205">IF($DU205="","", INDEX(#REF!,MATCH(CONCATENATE('Respuestas de formulario 1.1'!$B205,$DT205),#REF!,0),MATCH('Respuestas de formulario 1.1'!FY$1,#REF!,0)))</f>
        <v/>
      </c>
      <c r="FZ205" s="3" t="s">
        <v>2860</v>
      </c>
      <c r="GA205" s="1" t="s">
        <v>6363</v>
      </c>
      <c r="GB205" s="5" t="s">
        <v>6364</v>
      </c>
      <c r="GC205" s="4" t="str">
        <f>HYPERLINK("https://drive.google.com/file/d/1T1haOPsbyUmDeDzh1L8xBC_pl1SVleUS/view?usp=drivesdk","MARTINEZ  GONZALEZ  FIDEL RICARDO  Formato de reinscripción y pago 2022-2")</f>
        <v>MARTINEZ  GONZALEZ  FIDEL RICARDO  Formato de reinscripción y pago 2022-2</v>
      </c>
      <c r="GD205" s="1" t="s">
        <v>6365</v>
      </c>
      <c r="GE205" s="1"/>
      <c r="GF205" s="1"/>
      <c r="GG205" s="1"/>
      <c r="GH205" s="1"/>
      <c r="GI205" s="1" t="s">
        <v>6366</v>
      </c>
      <c r="GJ205" s="5" t="s">
        <v>6367</v>
      </c>
      <c r="GK205" s="5" t="str">
        <f>HYPERLINK("https://drive.google.com/file/d/1BVAMLKQQe4_s9-phaAso1-RpsgBwQiLC/view?usp=drivesdk","MARTINEZ  GONZALEZ  FIDEL RICARDO  Formato de reinscripción y pago 2022-2")</f>
        <v>MARTINEZ  GONZALEZ  FIDEL RICARDO  Formato de reinscripción y pago 2022-2</v>
      </c>
      <c r="GL205" s="1" t="s">
        <v>6368</v>
      </c>
    </row>
    <row r="206" spans="1:194" ht="38.25" x14ac:dyDescent="0.2">
      <c r="A206" s="2">
        <v>45139.518705358802</v>
      </c>
      <c r="B206" s="1" t="s">
        <v>1857</v>
      </c>
      <c r="C206" s="1" t="s">
        <v>1858</v>
      </c>
      <c r="D206" s="1" t="s">
        <v>6369</v>
      </c>
      <c r="E206" s="1" t="s">
        <v>1859</v>
      </c>
      <c r="F206" s="1" t="s">
        <v>223</v>
      </c>
      <c r="G206" s="5" t="s">
        <v>6370</v>
      </c>
      <c r="H206" s="41">
        <v>38725</v>
      </c>
      <c r="I206" s="1">
        <v>17</v>
      </c>
      <c r="J206" s="1">
        <v>5572726890</v>
      </c>
      <c r="K206" s="1">
        <v>5565885019</v>
      </c>
      <c r="L206" s="1" t="s">
        <v>1860</v>
      </c>
      <c r="M206" s="1">
        <v>21309060570261</v>
      </c>
      <c r="N206" s="1" t="s">
        <v>1108</v>
      </c>
      <c r="O206" s="1" t="s">
        <v>225</v>
      </c>
      <c r="P206" s="1" t="s">
        <v>278</v>
      </c>
      <c r="Q206" s="1" t="s">
        <v>227</v>
      </c>
      <c r="R206" s="1" t="s">
        <v>236</v>
      </c>
      <c r="S206" s="1" t="s">
        <v>228</v>
      </c>
      <c r="T206" s="1" t="s">
        <v>229</v>
      </c>
      <c r="U206" s="1" t="s">
        <v>264</v>
      </c>
      <c r="V206" s="1" t="s">
        <v>228</v>
      </c>
      <c r="W206" s="1" t="s">
        <v>6371</v>
      </c>
      <c r="X206" s="1" t="s">
        <v>264</v>
      </c>
      <c r="Y206" s="1" t="s">
        <v>823</v>
      </c>
      <c r="Z206" s="1" t="s">
        <v>231</v>
      </c>
      <c r="AA206" s="1">
        <v>57200</v>
      </c>
      <c r="AB206" s="1">
        <v>68</v>
      </c>
      <c r="AC206" s="1">
        <v>3</v>
      </c>
      <c r="AD206" s="1" t="s">
        <v>6372</v>
      </c>
      <c r="AE206" s="1" t="s">
        <v>1861</v>
      </c>
      <c r="AF206" s="1" t="s">
        <v>445</v>
      </c>
      <c r="AG206" s="1">
        <v>35</v>
      </c>
      <c r="AH206" s="5" t="s">
        <v>6373</v>
      </c>
      <c r="AI206" s="1">
        <v>5624124474</v>
      </c>
      <c r="AJ206" s="1">
        <v>5565885019</v>
      </c>
      <c r="AK206" s="1" t="s">
        <v>6374</v>
      </c>
      <c r="AL206" s="1" t="s">
        <v>1858</v>
      </c>
      <c r="AM206" s="1" t="s">
        <v>390</v>
      </c>
      <c r="AN206" s="1" t="s">
        <v>1863</v>
      </c>
      <c r="AO206" s="1" t="s">
        <v>650</v>
      </c>
      <c r="AP206" s="1">
        <v>37</v>
      </c>
      <c r="AQ206" s="1" t="s">
        <v>663</v>
      </c>
      <c r="AR206" s="42">
        <v>0.33333333333575865</v>
      </c>
      <c r="AS206" s="42">
        <v>0.25</v>
      </c>
      <c r="AT206" s="1">
        <v>5569851883</v>
      </c>
      <c r="AU206" s="1">
        <v>5565885019</v>
      </c>
      <c r="AV206" s="1" t="s">
        <v>6375</v>
      </c>
      <c r="AW206" s="5" t="s">
        <v>6376</v>
      </c>
      <c r="AX206" s="1" t="s">
        <v>6369</v>
      </c>
      <c r="AY206" s="1" t="s">
        <v>1168</v>
      </c>
      <c r="AZ206" s="1" t="s">
        <v>1862</v>
      </c>
      <c r="BA206" s="1" t="s">
        <v>445</v>
      </c>
      <c r="BB206" s="1">
        <v>35</v>
      </c>
      <c r="BC206" s="1" t="s">
        <v>2448</v>
      </c>
      <c r="BD206" s="43">
        <v>0.3125</v>
      </c>
      <c r="BE206" s="43">
        <v>0.20833333333575865</v>
      </c>
      <c r="BF206" s="1">
        <v>5624124474</v>
      </c>
      <c r="BG206" s="1">
        <v>5565885019</v>
      </c>
      <c r="BH206" s="1" t="s">
        <v>6377</v>
      </c>
      <c r="BI206" s="5" t="s">
        <v>6378</v>
      </c>
      <c r="BJ206" s="1" t="s">
        <v>236</v>
      </c>
      <c r="BL206" s="1">
        <v>150</v>
      </c>
      <c r="BM206" s="1">
        <v>48</v>
      </c>
      <c r="BN206" s="1" t="s">
        <v>236</v>
      </c>
      <c r="BO206" s="1" t="s">
        <v>228</v>
      </c>
      <c r="BQ206" s="1" t="s">
        <v>228</v>
      </c>
      <c r="BR206" s="1" t="s">
        <v>237</v>
      </c>
      <c r="BS206" s="1" t="s">
        <v>236</v>
      </c>
      <c r="BT206" s="1" t="s">
        <v>462</v>
      </c>
      <c r="BU206" s="1" t="s">
        <v>228</v>
      </c>
      <c r="BW206" s="1" t="s">
        <v>238</v>
      </c>
      <c r="BX206" s="1">
        <v>60</v>
      </c>
      <c r="BY206" s="1">
        <v>450</v>
      </c>
      <c r="BZ206" s="1" t="s">
        <v>6379</v>
      </c>
      <c r="CA206" s="1" t="s">
        <v>343</v>
      </c>
      <c r="CB206" s="1" t="s">
        <v>240</v>
      </c>
      <c r="CC206" s="1" t="s">
        <v>274</v>
      </c>
      <c r="CD206" s="1">
        <v>300</v>
      </c>
      <c r="CE206" s="1">
        <v>1500</v>
      </c>
      <c r="CF206" s="1" t="s">
        <v>236</v>
      </c>
      <c r="CG206" s="1" t="s">
        <v>242</v>
      </c>
      <c r="CH206" s="1" t="s">
        <v>243</v>
      </c>
      <c r="CI206" s="1" t="s">
        <v>243</v>
      </c>
      <c r="CJ206" s="1" t="s">
        <v>2848</v>
      </c>
      <c r="CL206" s="5" t="s">
        <v>6380</v>
      </c>
      <c r="CM206" s="1">
        <v>56210671576</v>
      </c>
      <c r="CN206" s="1" t="s">
        <v>228</v>
      </c>
      <c r="CQ206" s="42">
        <v>0.3125</v>
      </c>
      <c r="CR206" s="42">
        <v>0.20833333333575865</v>
      </c>
      <c r="CT206" s="45" t="str">
        <f t="array" ref="CT206">IFERROR(INDEX(#REF!,MATCH('Respuestas de formulario 1.1'!$B206,#REF!,0),MATCH('Respuestas de formulario 1.1'!CT$1,#REF!,0)),"")</f>
        <v/>
      </c>
      <c r="CU206" s="56" t="str">
        <f t="array" ref="CU206">IFERROR(INDEX(#REF!,MATCH('Respuestas de formulario 1.1'!$B206,#REF!,0),MATCH('Respuestas de formulario 1.1'!CU$1,#REF!,0)),"")</f>
        <v/>
      </c>
      <c r="CV206" s="56" t="str">
        <f t="array" ref="CV206">IFERROR(INDEX(#REF!,MATCH('Respuestas de formulario 1.1'!$B206,#REF!,0),MATCH('Respuestas de formulario 1.1'!CV$1,#REF!,0)),"")</f>
        <v/>
      </c>
      <c r="CW206" s="56" t="str">
        <f t="array" ref="CW206">IFERROR(INDEX(#REF!,MATCH('Respuestas de formulario 1.1'!$B206,#REF!,0),MATCH('Respuestas de formulario 1.1'!CW$1,#REF!,0)),"")</f>
        <v/>
      </c>
      <c r="CX206" s="56" t="str">
        <f t="array" ref="CX206">IFERROR(INDEX(#REF!,MATCH('Respuestas de formulario 1.1'!$B206,#REF!,0),MATCH('Respuestas de formulario 1.1'!CX$1,#REF!,0)),"")</f>
        <v/>
      </c>
      <c r="CY206" s="56" t="str">
        <f t="array" ref="CY206">IFERROR(INDEX(#REF!,MATCH('Respuestas de formulario 1.1'!$B206,#REF!,0),MATCH('Respuestas de formulario 1.1'!CY$1,#REF!,0)),"")</f>
        <v/>
      </c>
      <c r="CZ206" s="57" t="str">
        <f t="array" ref="CZ206">IFERROR(INDEX(#REF!,MATCH('Respuestas de formulario 1.1'!$B206,#REF!,0),MATCH('Respuestas de formulario 1.1'!CZ$1,#REF!,0)),"")</f>
        <v/>
      </c>
      <c r="DA206" s="45" t="e">
        <f t="array" ref="DA206">INDEX(#REF!,MATCH('Respuestas de formulario 1.1'!$B206,#REF!,0),MATCH('Respuestas de formulario 1.1'!DA$1,#REF!,0))</f>
        <v>#REF!</v>
      </c>
      <c r="DB206" s="45" t="e">
        <f t="array" ref="DB206">INDEX(#REF!,MATCH('Respuestas de formulario 1.1'!$B206,#REF!,0),MATCH('Respuestas de formulario 1.1'!DB$1,#REF!,0))</f>
        <v>#REF!</v>
      </c>
      <c r="DC206" s="45" t="e">
        <f t="array" ref="DC206">INDEX(#REF!,MATCH('Respuestas de formulario 1.1'!$B206,#REF!,0),MATCH('Respuestas de formulario 1.1'!DC$1,#REF!,0))</f>
        <v>#REF!</v>
      </c>
      <c r="DD206" s="45" t="e">
        <f t="array" ref="DD206">INDEX(#REF!,MATCH('Respuestas de formulario 1.1'!$B206,#REF!,0),MATCH('Respuestas de formulario 1.1'!DD$1,#REF!,0))</f>
        <v>#REF!</v>
      </c>
      <c r="DE206" s="45" t="e">
        <f t="array" ref="DE206">INDEX(#REF!,MATCH('Respuestas de formulario 1.1'!$B206,#REF!,0),MATCH('Respuestas de formulario 1.1'!DE$1,#REF!,0))</f>
        <v>#REF!</v>
      </c>
      <c r="DF206" s="45" t="e">
        <f t="array" ref="DF206">INDEX(#REF!,MATCH('Respuestas de formulario 1.1'!$B206,#REF!,0),MATCH('Respuestas de formulario 1.1'!DF$1,#REF!,0))</f>
        <v>#REF!</v>
      </c>
      <c r="DG206" s="45" t="e">
        <f t="array" ref="DG206">INDEX(#REF!,MATCH('Respuestas de formulario 1.1'!$B206,#REF!,0),MATCH('Respuestas de formulario 1.1'!DG$1,#REF!,0))</f>
        <v>#REF!</v>
      </c>
      <c r="DH206" s="45" t="e">
        <f t="array" ref="DH206">INDEX(#REF!,MATCH('Respuestas de formulario 1.1'!$B206,#REF!,0),MATCH('Respuestas de formulario 1.1'!DH$1,#REF!,0))</f>
        <v>#REF!</v>
      </c>
      <c r="DI206" s="48" t="e">
        <f>VLOOKUP(CONCATENATE($DF206," TUTO ",$DC206),#REF!,3,0)</f>
        <v>#REF!</v>
      </c>
      <c r="DJ206" s="48" t="e">
        <f t="array" ref="DJ206">IF('Respuestas de formulario 1.1'!A206="","",INDEX(#REF!,MATCH('Respuestas de formulario 1.1'!B206,#REF!,0),MATCH('Respuestas de formulario 1.1'!$DH$1,#REF!,0)))</f>
        <v>#REF!</v>
      </c>
      <c r="DK206" s="52" t="str">
        <f>CONCATENATE("http://doc.google.com/uc?id=",MID('Respuestas de formulario 1.1'!G206,34,33))</f>
        <v>http://doc.google.com/uc?id=1ZuTNA4LZS8QBrwHrvLiiUMTwOhckJc97</v>
      </c>
      <c r="DL206" s="49" t="str">
        <f>CONCATENATE("http://doc.google.com/uc?id=",MID('Respuestas de formulario 1.1'!AH206,34,33))</f>
        <v>http://doc.google.com/uc?id=1DzqfiW_8stADNG4u_j3FHv4xDMiywobM</v>
      </c>
      <c r="DM206" s="50" t="str">
        <f>CONCATENATE("http://doc.google.com/uc?id=",MID('Respuestas de formulario 1.1'!AW206,34,33))</f>
        <v>http://doc.google.com/uc?id=1O_i-YPcoxK7VhoqyrxAs88uLGliDhCgN</v>
      </c>
      <c r="DN206" s="53" t="str">
        <f>CONCATENATE("http://doc.google.com/uc?id=",MID('Respuestas de formulario 1.1'!$BI206,34,33))</f>
        <v>http://doc.google.com/uc?id=1WWpbzj1qzZXBWq99eSYmtti_vh7tZNNQ</v>
      </c>
      <c r="DO206" s="45" t="str">
        <f>IFERROR(VLOOKUP(CONCATENATE('Respuestas de formulario 1.1'!$B206,MID('Respuestas de formulario 1.1'!DO$1,2,1)),#REF!,12,0),"")</f>
        <v/>
      </c>
      <c r="DP206" s="45" t="str">
        <f>IFERROR(VLOOKUP(CONCATENATE('Respuestas de formulario 1.1'!$B206,MID('Respuestas de formulario 1.1'!DP$1,2,1)),#REF!,12,0),"")</f>
        <v/>
      </c>
      <c r="DQ206" s="45" t="str">
        <f>IFERROR(VLOOKUP(CONCATENATE('Respuestas de formulario 1.1'!$B206,MID('Respuestas de formulario 1.1'!DQ$1,2,1)),#REF!,12,0),"")</f>
        <v/>
      </c>
      <c r="DR206" s="45" t="str">
        <f>IFERROR(VLOOKUP(CONCATENATE('Respuestas de formulario 1.1'!$B206,MID('Respuestas de formulario 1.1'!DR$1,2,1)),#REF!,12,0),"")</f>
        <v/>
      </c>
      <c r="DS206" s="45" t="str">
        <f>IFERROR(VLOOKUP(CONCATENATE('Respuestas de formulario 1.1'!$B206,MID('Respuestas de formulario 1.1'!DS$1,2,1)),#REF!,12,0),"")</f>
        <v/>
      </c>
      <c r="DT206" s="45" t="str">
        <f>IFERROR(VLOOKUP(CONCATENATE('Respuestas de formulario 1.1'!$B206,MID('Respuestas de formulario 1.1'!DT$1,2,1)),#REF!,12,0),"")</f>
        <v/>
      </c>
      <c r="DU206" s="45" t="str">
        <f>IFERROR(VLOOKUP(CONCATENATE('Respuestas de formulario 1.1'!$B206,MID('Respuestas de formulario 1.1'!DU$1,2,1)),#REF!,12,0),"")</f>
        <v/>
      </c>
      <c r="DV206" s="45" t="str">
        <f>IFERROR(VLOOKUP(CONCATENATE('Respuestas de formulario 1.1'!$B206,MID('Respuestas de formulario 1.1'!DV$1,2,1)),#REF!,12,0),"")</f>
        <v/>
      </c>
      <c r="DW206" s="45" t="str">
        <f>IFERROR(VLOOKUP(CONCATENATE('Respuestas de formulario 1.1'!$B206,MID('Respuestas de formulario 1.1'!DW$1,2,1)),#REF!,12,0),"")</f>
        <v/>
      </c>
      <c r="DX206" s="45" t="str">
        <f>IFERROR(VLOOKUP(CONCATENATE('Respuestas de formulario 1.1'!$B206,MID('Respuestas de formulario 1.1'!DX$1,2,1)),#REF!,12,0),"")</f>
        <v/>
      </c>
      <c r="DY206" s="45" t="str">
        <f>IFERROR(VLOOKUP(CONCATENATE('Respuestas de formulario 1.1'!$B206,MID('Respuestas de formulario 1.1'!DY$1,2,1)),#REF!,12,0),"")</f>
        <v/>
      </c>
      <c r="DZ206" s="45" t="str">
        <f>IFERROR(VLOOKUP(CONCATENATE('Respuestas de formulario 1.1'!$B206,MID('Respuestas de formulario 1.1'!DZ$1,2,1)),#REF!,12,0),"")</f>
        <v/>
      </c>
      <c r="EA206" s="45" t="str">
        <f>IFERROR(VLOOKUP(CONCATENATE('Respuestas de formulario 1.1'!$B206,MID('Respuestas de formulario 1.1'!EA$1,2,1)),#REF!,12,0),"")</f>
        <v/>
      </c>
      <c r="EB206" s="45" t="str">
        <f>IFERROR(VLOOKUP(CONCATENATE('Respuestas de formulario 1.1'!$B206,MID('Respuestas de formulario 1.1'!EB$1,2,1)),#REF!,12,0),"")</f>
        <v/>
      </c>
      <c r="EC206" s="45" t="str">
        <f>IFERROR(VLOOKUP(CONCATENATE('Respuestas de formulario 1.1'!$B206,MID('Respuestas de formulario 1.1'!EC$1,2,1)),#REF!,12,0),"")</f>
        <v/>
      </c>
      <c r="ED206" s="45" t="str">
        <f>IFERROR(VLOOKUP(CONCATENATE('Respuestas de formulario 1.1'!$B206,MID('Respuestas de formulario 1.1'!ED$1,2,1)),#REF!,12,0),"")</f>
        <v/>
      </c>
      <c r="EE206" s="45" t="str">
        <f>IFERROR(VLOOKUP(CONCATENATE('Respuestas de formulario 1.1'!$B206,MID('Respuestas de formulario 1.1'!EE$1,2,1)),#REF!,12,0),"")</f>
        <v/>
      </c>
      <c r="EF206" s="45" t="str">
        <f>IFERROR(VLOOKUP(CONCATENATE('Respuestas de formulario 1.1'!$B206,MID('Respuestas de formulario 1.1'!EF$1,2,1)),#REF!,12,0),"")</f>
        <v/>
      </c>
      <c r="EG206" s="45" t="str">
        <f>IFERROR(VLOOKUP(CONCATENATE('Respuestas de formulario 1.1'!$B206,MID('Respuestas de formulario 1.1'!EG$1,2,1)),#REF!,12,0),"")</f>
        <v/>
      </c>
      <c r="EH206" s="45" t="str">
        <f>IFERROR(VLOOKUP(CONCATENATE('Respuestas de formulario 1.1'!$B206,MID('Respuestas de formulario 1.1'!EH$1,2,1)),#REF!,12,0),"")</f>
        <v/>
      </c>
      <c r="EI206" s="45" t="str">
        <f>IFERROR(VLOOKUP(CONCATENATE('Respuestas de formulario 1.1'!$B206,MID('Respuestas de formulario 1.1'!EI$1,2,1)),#REF!,12,0),"")</f>
        <v/>
      </c>
      <c r="EJ206" s="45" t="str">
        <f t="array" ref="EJ206">IF(DO206="","", INDEX(#REF!,MATCH(CONCATENATE('Respuestas de formulario 1.1'!$B206,DO206),#REF!,0),MATCH('Respuestas de formulario 1.1'!EJ$1,#REF!,0)))</f>
        <v/>
      </c>
      <c r="EK206" s="56" t="str">
        <f t="array" ref="EK206">IF(DP206="","", INDEX(#REF!,MATCH(CONCATENATE('Respuestas de formulario 1.1'!$B206,DP206),#REF!,0),MATCH('Respuestas de formulario 1.1'!EK$1,#REF!,0)))</f>
        <v/>
      </c>
      <c r="EL206" s="56" t="str">
        <f t="array" ref="EL206">IF(DQ206="","", INDEX(#REF!,MATCH(CONCATENATE('Respuestas de formulario 1.1'!$B206,DQ206),#REF!,0),MATCH('Respuestas de formulario 1.1'!EL$1,#REF!,0)))</f>
        <v/>
      </c>
      <c r="EM206" s="56" t="str">
        <f t="array" ref="EM206">IF(DR206="","", INDEX(#REF!,MATCH(CONCATENATE('Respuestas de formulario 1.1'!$B206,DR206),#REF!,0),MATCH('Respuestas de formulario 1.1'!EM$1,#REF!,0)))</f>
        <v/>
      </c>
      <c r="EN206" s="56" t="str">
        <f t="array" ref="EN206">IF(DS206="","", INDEX(#REF!,MATCH(CONCATENATE('Respuestas de formulario 1.1'!$B206,DS206),#REF!,0),MATCH('Respuestas de formulario 1.1'!EN$1,#REF!,0)))</f>
        <v/>
      </c>
      <c r="EO206" s="56" t="str">
        <f t="array" ref="EO206">IF(DT206="","", INDEX(#REF!,MATCH(CONCATENATE('Respuestas de formulario 1.1'!$B206,DT206),#REF!,0),MATCH('Respuestas de formulario 1.1'!EO$1,#REF!,0)))</f>
        <v/>
      </c>
      <c r="EP206" s="45" t="str">
        <f t="array" ref="EP206">IF(DU206="","", INDEX(#REF!,MATCH(CONCATENATE('Respuestas de formulario 1.1'!$B206,DU206),#REF!,0),MATCH('Respuestas de formulario 1.1'!EP$1,#REF!,0)))</f>
        <v/>
      </c>
      <c r="EQ206" s="45" t="str">
        <f t="array" ref="EQ206">IF(DP206="","", INDEX(#REF!,MATCH(CONCATENATE('Respuestas de formulario 1.1'!$B206,DP206),#REF!,0),MATCH('Respuestas de formulario 1.1'!EQ$1,#REF!,0)))</f>
        <v/>
      </c>
      <c r="ER206" s="56" t="str">
        <f t="array" ref="ER206">IF(DQ206="","", INDEX(#REF!,MATCH(CONCATENATE('Respuestas de formulario 1.1'!$B206,DQ206),#REF!,0),MATCH('Respuestas de formulario 1.1'!ER$1,#REF!,0)))</f>
        <v/>
      </c>
      <c r="ES206" s="56" t="str">
        <f t="array" ref="ES206">IF(DR206="","", INDEX(#REF!,MATCH(CONCATENATE('Respuestas de formulario 1.1'!$B206,DR206),#REF!,0),MATCH('Respuestas de formulario 1.1'!ES$1,#REF!,0)))</f>
        <v/>
      </c>
      <c r="ET206" s="56" t="str">
        <f t="array" ref="ET206">IF(DS206="","", INDEX(#REF!,MATCH(CONCATENATE('Respuestas de formulario 1.1'!$B206,DS206),#REF!,0),MATCH('Respuestas de formulario 1.1'!ET$1,#REF!,0)))</f>
        <v/>
      </c>
      <c r="EU206" s="56" t="str">
        <f t="array" ref="EU206">IF(DT206="","", INDEX(#REF!,MATCH(CONCATENATE('Respuestas de formulario 1.1'!$B206,DT206),#REF!,0),MATCH('Respuestas de formulario 1.1'!EU$1,#REF!,0)))</f>
        <v/>
      </c>
      <c r="EV206" s="56" t="str">
        <f t="array" ref="EV206">IF(DU206="","", INDEX(#REF!,MATCH(CONCATENATE('Respuestas de formulario 1.1'!$B206,DU206),#REF!,0),MATCH('Respuestas de formulario 1.1'!EV$1,#REF!,0)))</f>
        <v/>
      </c>
      <c r="EW206" s="45" t="str">
        <f t="array" ref="EW206">IF(DV206="","", INDEX(#REF!,MATCH(CONCATENATE('Respuestas de formulario 1.1'!$B206,DV206),#REF!,0),MATCH('Respuestas de formulario 1.1'!EW$1,#REF!,0)))</f>
        <v/>
      </c>
      <c r="EX206" s="45" t="str">
        <f t="array" ref="EX206">IF($DQ206="","", INDEX(#REF!,MATCH(CONCATENATE('Respuestas de formulario 1.1'!$B206,$DQ206),#REF!,0),MATCH('Respuestas de formulario 1.1'!EX$1,#REF!,0)))</f>
        <v/>
      </c>
      <c r="EY206" s="56" t="str">
        <f t="array" ref="EY206">IF($DQ206="","", INDEX(#REF!,MATCH(CONCATENATE('Respuestas de formulario 1.1'!$B206,$DQ206),#REF!,0),MATCH('Respuestas de formulario 1.1'!EY$1,#REF!,0)))</f>
        <v/>
      </c>
      <c r="EZ206" s="56" t="str">
        <f t="array" ref="EZ206">IF($DQ206="","", INDEX(#REF!,MATCH(CONCATENATE('Respuestas de formulario 1.1'!$B206,$DQ206),#REF!,0),MATCH('Respuestas de formulario 1.1'!EZ$1,#REF!,0)))</f>
        <v/>
      </c>
      <c r="FA206" s="56" t="str">
        <f t="array" ref="FA206">IF($DQ206="","", INDEX(#REF!,MATCH(CONCATENATE('Respuestas de formulario 1.1'!$B206,$DQ206),#REF!,0),MATCH('Respuestas de formulario 1.1'!FA$1,#REF!,0)))</f>
        <v/>
      </c>
      <c r="FB206" s="56" t="str">
        <f t="array" ref="FB206">IF($DQ206="","", INDEX(#REF!,MATCH(CONCATENATE('Respuestas de formulario 1.1'!$B206,$DQ206),#REF!,0),MATCH('Respuestas de formulario 1.1'!FB$1,#REF!,0)))</f>
        <v/>
      </c>
      <c r="FC206" s="56" t="str">
        <f t="array" ref="FC206">IF($DQ206="","", INDEX(#REF!,MATCH(CONCATENATE('Respuestas de formulario 1.1'!$B206,$DQ206),#REF!,0),MATCH('Respuestas de formulario 1.1'!FC$1,#REF!,0)))</f>
        <v/>
      </c>
      <c r="FD206" s="45" t="str">
        <f t="array" ref="FD206">IF($DQ206="","", INDEX(#REF!,MATCH(CONCATENATE('Respuestas de formulario 1.1'!$B206,$DQ206),#REF!,0),MATCH('Respuestas de formulario 1.1'!FD$1,#REF!,0)))</f>
        <v/>
      </c>
      <c r="FE206" s="45" t="str">
        <f t="array" ref="FE206">IF($DR206="","", INDEX(#REF!,MATCH(CONCATENATE(#REF!,$DR206),#REF!,0),MATCH(#REF!,#REF!,0)))</f>
        <v/>
      </c>
      <c r="FF206" s="56" t="str">
        <f t="array" ref="FF206">IF($DR206="","", INDEX(#REF!,MATCH(CONCATENATE(#REF!,$DR206),#REF!,0),MATCH(#REF!,#REF!,0)))</f>
        <v/>
      </c>
      <c r="FG206" s="56" t="str">
        <f t="array" ref="FG206">IF($DR206="","", INDEX(#REF!,MATCH(CONCATENATE(#REF!,$DR206),#REF!,0),MATCH(#REF!,#REF!,0)))</f>
        <v/>
      </c>
      <c r="FH206" s="56" t="str">
        <f t="array" ref="FH206">IF($DR206="","", INDEX(#REF!,MATCH(CONCATENATE(#REF!,$DR206),#REF!,0),MATCH(#REF!,#REF!,0)))</f>
        <v/>
      </c>
      <c r="FI206" s="56" t="str">
        <f t="array" ref="FI206">IF($DR206="","", INDEX(#REF!,MATCH(CONCATENATE(#REF!,$DR206),#REF!,0),MATCH(#REF!,#REF!,0)))</f>
        <v/>
      </c>
      <c r="FJ206" s="56" t="str">
        <f t="array" ref="FJ206">IF($DR206="","", INDEX(#REF!,MATCH(CONCATENATE(#REF!,$DR206),#REF!,0),MATCH(#REF!,#REF!,0)))</f>
        <v/>
      </c>
      <c r="FK206" s="45" t="str">
        <f t="array" ref="FK206">IF($DR206="","", INDEX(#REF!,MATCH(CONCATENATE(#REF!,$DR206),#REF!,0),MATCH(#REF!,#REF!,0)))</f>
        <v/>
      </c>
      <c r="FL206" s="45" t="str">
        <f t="array" ref="FL206">IF($DT206="","", INDEX(#REF!,MATCH(CONCATENATE('Respuestas de formulario 1.1'!$B206,$DS206),#REF!,0),MATCH('Respuestas de formulario 1.1'!FL$1,#REF!,0)))</f>
        <v/>
      </c>
      <c r="FM206" s="56" t="str">
        <f t="array" ref="FM206">IF($DT206="","", INDEX(#REF!,MATCH(CONCATENATE('Respuestas de formulario 1.1'!$B206,$DS206),#REF!,0),MATCH('Respuestas de formulario 1.1'!FM$1,#REF!,0)))</f>
        <v/>
      </c>
      <c r="FN206" s="56" t="str">
        <f t="array" ref="FN206">IF($DT206="","", INDEX(#REF!,MATCH(CONCATENATE('Respuestas de formulario 1.1'!$B206,$DS206),#REF!,0),MATCH('Respuestas de formulario 1.1'!FN$1,#REF!,0)))</f>
        <v/>
      </c>
      <c r="FO206" s="56" t="str">
        <f t="array" ref="FO206">IF($DT206="","", INDEX(#REF!,MATCH(CONCATENATE('Respuestas de formulario 1.1'!$B206,$DS206),#REF!,0),MATCH('Respuestas de formulario 1.1'!FO$1,#REF!,0)))</f>
        <v/>
      </c>
      <c r="FP206" s="56" t="str">
        <f t="array" ref="FP206">IF($DT206="","", INDEX(#REF!,MATCH(CONCATENATE('Respuestas de formulario 1.1'!$B206,$DS206),#REF!,0),MATCH('Respuestas de formulario 1.1'!FP$1,#REF!,0)))</f>
        <v/>
      </c>
      <c r="FQ206" s="56" t="str">
        <f t="array" ref="FQ206">IF($DT206="","", INDEX(#REF!,MATCH(CONCATENATE('Respuestas de formulario 1.1'!$B206,$DS206),#REF!,0),MATCH('Respuestas de formulario 1.1'!FQ$1,#REF!,0)))</f>
        <v/>
      </c>
      <c r="FR206" s="45" t="str">
        <f t="array" ref="FR206">IF($DT206="","", INDEX(#REF!,MATCH(CONCATENATE('Respuestas de formulario 1.1'!$B206,$DS206),#REF!,0),MATCH('Respuestas de formulario 1.1'!FR$1,#REF!,0)))</f>
        <v/>
      </c>
      <c r="FS206" s="45" t="str">
        <f t="array" ref="FS206">IF($DU206="","", INDEX(#REF!,MATCH(CONCATENATE('Respuestas de formulario 1.1'!$B206,$DT206),#REF!,0),MATCH('Respuestas de formulario 1.1'!FS$1,#REF!,0)))</f>
        <v/>
      </c>
      <c r="FT206" s="56" t="str">
        <f t="array" ref="FT206">IF($DU206="","", INDEX(#REF!,MATCH(CONCATENATE('Respuestas de formulario 1.1'!$B206,$DT206),#REF!,0),MATCH('Respuestas de formulario 1.1'!FT$1,#REF!,0)))</f>
        <v/>
      </c>
      <c r="FU206" s="56" t="str">
        <f t="array" ref="FU206">IF($DU206="","", INDEX(#REF!,MATCH(CONCATENATE('Respuestas de formulario 1.1'!$B206,$DT206),#REF!,0),MATCH('Respuestas de formulario 1.1'!FU$1,#REF!,0)))</f>
        <v/>
      </c>
      <c r="FV206" s="56" t="str">
        <f t="array" ref="FV206">IF($DU206="","", INDEX(#REF!,MATCH(CONCATENATE('Respuestas de formulario 1.1'!$B206,$DT206),#REF!,0),MATCH('Respuestas de formulario 1.1'!FV$1,#REF!,0)))</f>
        <v/>
      </c>
      <c r="FW206" s="56" t="str">
        <f t="array" ref="FW206">IF($DU206="","", INDEX(#REF!,MATCH(CONCATENATE('Respuestas de formulario 1.1'!$B206,$DT206),#REF!,0),MATCH('Respuestas de formulario 1.1'!FW$1,#REF!,0)))</f>
        <v/>
      </c>
      <c r="FX206" s="56" t="str">
        <f t="array" ref="FX206">IF($DU206="","", INDEX(#REF!,MATCH(CONCATENATE('Respuestas de formulario 1.1'!$B206,$DT206),#REF!,0),MATCH('Respuestas de formulario 1.1'!FX$1,#REF!,0)))</f>
        <v/>
      </c>
      <c r="FY206" s="45" t="str">
        <f t="array" ref="FY206">IF($DU206="","", INDEX(#REF!,MATCH(CONCATENATE('Respuestas de formulario 1.1'!$B206,$DT206),#REF!,0),MATCH('Respuestas de formulario 1.1'!FY$1,#REF!,0)))</f>
        <v/>
      </c>
      <c r="FZ206" s="3" t="s">
        <v>2860</v>
      </c>
      <c r="GA206" s="1" t="s">
        <v>6381</v>
      </c>
      <c r="GB206" s="5" t="s">
        <v>6382</v>
      </c>
      <c r="GC206" s="4" t="str">
        <f>HYPERLINK("https://drive.google.com/file/d/14R7_p-EBxuqyV_MNV6eBkifRq-ZhuOf3/view?usp=drivesdk","CASTELLANOS  VITELA DARIAN ELIZABET Formato de reinscripción y pago 2022-2")</f>
        <v>CASTELLANOS  VITELA DARIAN ELIZABET Formato de reinscripción y pago 2022-2</v>
      </c>
      <c r="GD206" s="1" t="s">
        <v>6383</v>
      </c>
      <c r="GE206" s="1"/>
      <c r="GF206" s="1"/>
      <c r="GG206" s="1"/>
      <c r="GH206" s="1"/>
      <c r="GI206" s="1" t="s">
        <v>6384</v>
      </c>
      <c r="GJ206" s="5" t="s">
        <v>6385</v>
      </c>
      <c r="GK206" s="5" t="str">
        <f>HYPERLINK("https://drive.google.com/file/d/1qRjTKKThjVcI0WpEC0eak7hvnAQlypjz/view?usp=drivesdk","CASTELLANOS  VITELA DARIAN ELIZABET Formato de reinscripción y pago 2022-2")</f>
        <v>CASTELLANOS  VITELA DARIAN ELIZABET Formato de reinscripción y pago 2022-2</v>
      </c>
      <c r="GL206" s="1" t="s">
        <v>6386</v>
      </c>
    </row>
    <row r="207" spans="1:194" ht="38.25" x14ac:dyDescent="0.2">
      <c r="A207" s="2">
        <v>45139.518920486109</v>
      </c>
      <c r="B207" s="1" t="s">
        <v>2391</v>
      </c>
      <c r="C207" s="1" t="s">
        <v>392</v>
      </c>
      <c r="D207" s="1" t="s">
        <v>1668</v>
      </c>
      <c r="E207" s="1" t="s">
        <v>2393</v>
      </c>
      <c r="F207" s="1" t="s">
        <v>223</v>
      </c>
      <c r="G207" s="5" t="s">
        <v>6387</v>
      </c>
      <c r="H207" s="41">
        <v>39012</v>
      </c>
      <c r="I207" s="1">
        <v>16</v>
      </c>
      <c r="J207" s="1">
        <v>5567574698</v>
      </c>
      <c r="K207" s="1">
        <v>5522300270</v>
      </c>
      <c r="L207" s="1" t="s">
        <v>2394</v>
      </c>
      <c r="M207" s="1">
        <v>21309060570468</v>
      </c>
      <c r="N207" s="1" t="s">
        <v>1108</v>
      </c>
      <c r="O207" s="1" t="s">
        <v>247</v>
      </c>
      <c r="P207" s="1" t="s">
        <v>278</v>
      </c>
      <c r="Q207" s="1" t="s">
        <v>248</v>
      </c>
      <c r="R207" s="1" t="s">
        <v>236</v>
      </c>
      <c r="S207" s="1" t="s">
        <v>228</v>
      </c>
      <c r="T207" s="1" t="s">
        <v>411</v>
      </c>
      <c r="U207" s="1" t="s">
        <v>289</v>
      </c>
      <c r="V207" s="1" t="s">
        <v>228</v>
      </c>
      <c r="W207" s="1" t="s">
        <v>2395</v>
      </c>
      <c r="X207" s="1" t="s">
        <v>289</v>
      </c>
      <c r="Y207" s="1" t="s">
        <v>2404</v>
      </c>
      <c r="Z207" s="1" t="s">
        <v>231</v>
      </c>
      <c r="AA207" s="1">
        <v>56570</v>
      </c>
      <c r="AB207" s="1" t="s">
        <v>2596</v>
      </c>
      <c r="AC207" s="1" t="s">
        <v>910</v>
      </c>
      <c r="AD207" s="1" t="s">
        <v>6388</v>
      </c>
      <c r="AE207" s="1" t="s">
        <v>2396</v>
      </c>
      <c r="AF207" s="1" t="s">
        <v>435</v>
      </c>
      <c r="AG207" s="1">
        <v>46</v>
      </c>
      <c r="AH207" s="5" t="s">
        <v>6389</v>
      </c>
      <c r="AI207" s="1">
        <v>5547080034</v>
      </c>
      <c r="AJ207" s="1">
        <v>5522300270</v>
      </c>
      <c r="AK207" s="1" t="s">
        <v>2397</v>
      </c>
      <c r="AL207" s="1" t="s">
        <v>2392</v>
      </c>
      <c r="AM207" s="1" t="s">
        <v>2398</v>
      </c>
      <c r="AN207" s="1" t="s">
        <v>2399</v>
      </c>
      <c r="AO207" s="1" t="s">
        <v>265</v>
      </c>
      <c r="AP207" s="1">
        <v>39</v>
      </c>
      <c r="AQ207" s="1" t="s">
        <v>454</v>
      </c>
      <c r="AR207" s="42">
        <v>0</v>
      </c>
      <c r="AS207" s="42">
        <v>0</v>
      </c>
      <c r="AT207" s="1">
        <v>5517702089</v>
      </c>
      <c r="AU207" s="1">
        <v>5522300270</v>
      </c>
      <c r="AV207" s="1" t="s">
        <v>2400</v>
      </c>
      <c r="AW207" s="5" t="s">
        <v>6390</v>
      </c>
      <c r="AX207" s="1" t="s">
        <v>392</v>
      </c>
      <c r="AY207" s="1" t="s">
        <v>2401</v>
      </c>
      <c r="AZ207" s="1" t="s">
        <v>2402</v>
      </c>
      <c r="BA207" s="1" t="s">
        <v>435</v>
      </c>
      <c r="BB207" s="1">
        <v>46</v>
      </c>
      <c r="BC207" s="1" t="s">
        <v>739</v>
      </c>
      <c r="BD207" s="43">
        <v>0.29166666666424135</v>
      </c>
      <c r="BE207" s="43">
        <v>0.29166666666424135</v>
      </c>
      <c r="BF207" s="1">
        <v>5547080034</v>
      </c>
      <c r="BG207" s="1">
        <v>5522300270</v>
      </c>
      <c r="BH207" s="1" t="s">
        <v>2397</v>
      </c>
      <c r="BI207" s="5" t="s">
        <v>6391</v>
      </c>
      <c r="BJ207" s="1" t="s">
        <v>236</v>
      </c>
      <c r="BL207" s="1">
        <v>1.6</v>
      </c>
      <c r="BM207" s="1">
        <v>51</v>
      </c>
      <c r="BN207" s="1" t="s">
        <v>236</v>
      </c>
      <c r="BO207" s="1" t="s">
        <v>236</v>
      </c>
      <c r="BP207" s="1" t="s">
        <v>6392</v>
      </c>
      <c r="BQ207" s="1" t="s">
        <v>228</v>
      </c>
      <c r="BR207" s="1" t="s">
        <v>237</v>
      </c>
      <c r="BS207" s="1" t="s">
        <v>236</v>
      </c>
      <c r="BT207" s="1" t="s">
        <v>457</v>
      </c>
      <c r="BU207" s="1" t="s">
        <v>228</v>
      </c>
      <c r="BW207" s="1" t="s">
        <v>272</v>
      </c>
      <c r="BX207" s="1">
        <v>90</v>
      </c>
      <c r="BY207" s="1">
        <v>240</v>
      </c>
      <c r="BZ207" s="1" t="s">
        <v>284</v>
      </c>
      <c r="CA207" s="1" t="s">
        <v>2403</v>
      </c>
      <c r="CB207" s="1" t="s">
        <v>240</v>
      </c>
      <c r="CC207" s="1" t="s">
        <v>1643</v>
      </c>
      <c r="CD207" s="1">
        <v>1500</v>
      </c>
      <c r="CE207" s="1">
        <v>1600</v>
      </c>
      <c r="CF207" s="1" t="s">
        <v>236</v>
      </c>
      <c r="CG207" s="1" t="s">
        <v>242</v>
      </c>
      <c r="CH207" s="1" t="s">
        <v>243</v>
      </c>
      <c r="CI207" s="1" t="s">
        <v>243</v>
      </c>
      <c r="CJ207" s="1" t="s">
        <v>2848</v>
      </c>
      <c r="CL207" s="5" t="s">
        <v>6393</v>
      </c>
      <c r="CM207" s="1">
        <v>63210694707</v>
      </c>
      <c r="CN207" s="1" t="s">
        <v>228</v>
      </c>
      <c r="CQ207" s="42">
        <v>0.29166666666424135</v>
      </c>
      <c r="CR207" s="42">
        <v>0.29166666666424135</v>
      </c>
      <c r="CT207" s="45" t="str">
        <f t="array" ref="CT207">IFERROR(INDEX(#REF!,MATCH('Respuestas de formulario 1.1'!$B207,#REF!,0),MATCH('Respuestas de formulario 1.1'!CT$1,#REF!,0)),"")</f>
        <v/>
      </c>
      <c r="CU207" s="56" t="str">
        <f t="array" ref="CU207">IFERROR(INDEX(#REF!,MATCH('Respuestas de formulario 1.1'!$B207,#REF!,0),MATCH('Respuestas de formulario 1.1'!CU$1,#REF!,0)),"")</f>
        <v/>
      </c>
      <c r="CV207" s="56" t="str">
        <f t="array" ref="CV207">IFERROR(INDEX(#REF!,MATCH('Respuestas de formulario 1.1'!$B207,#REF!,0),MATCH('Respuestas de formulario 1.1'!CV$1,#REF!,0)),"")</f>
        <v/>
      </c>
      <c r="CW207" s="56" t="str">
        <f t="array" ref="CW207">IFERROR(INDEX(#REF!,MATCH('Respuestas de formulario 1.1'!$B207,#REF!,0),MATCH('Respuestas de formulario 1.1'!CW$1,#REF!,0)),"")</f>
        <v/>
      </c>
      <c r="CX207" s="56" t="str">
        <f t="array" ref="CX207">IFERROR(INDEX(#REF!,MATCH('Respuestas de formulario 1.1'!$B207,#REF!,0),MATCH('Respuestas de formulario 1.1'!CX$1,#REF!,0)),"")</f>
        <v/>
      </c>
      <c r="CY207" s="56" t="str">
        <f t="array" ref="CY207">IFERROR(INDEX(#REF!,MATCH('Respuestas de formulario 1.1'!$B207,#REF!,0),MATCH('Respuestas de formulario 1.1'!CY$1,#REF!,0)),"")</f>
        <v/>
      </c>
      <c r="CZ207" s="57" t="str">
        <f t="array" ref="CZ207">IFERROR(INDEX(#REF!,MATCH('Respuestas de formulario 1.1'!$B207,#REF!,0),MATCH('Respuestas de formulario 1.1'!CZ$1,#REF!,0)),"")</f>
        <v/>
      </c>
      <c r="DA207" s="45" t="e">
        <f t="array" ref="DA207">INDEX(#REF!,MATCH('Respuestas de formulario 1.1'!$B207,#REF!,0),MATCH('Respuestas de formulario 1.1'!DA$1,#REF!,0))</f>
        <v>#REF!</v>
      </c>
      <c r="DB207" s="45" t="e">
        <f t="array" ref="DB207">INDEX(#REF!,MATCH('Respuestas de formulario 1.1'!$B207,#REF!,0),MATCH('Respuestas de formulario 1.1'!DB$1,#REF!,0))</f>
        <v>#REF!</v>
      </c>
      <c r="DC207" s="45" t="e">
        <f t="array" ref="DC207">INDEX(#REF!,MATCH('Respuestas de formulario 1.1'!$B207,#REF!,0),MATCH('Respuestas de formulario 1.1'!DC$1,#REF!,0))</f>
        <v>#REF!</v>
      </c>
      <c r="DD207" s="45" t="e">
        <f t="array" ref="DD207">INDEX(#REF!,MATCH('Respuestas de formulario 1.1'!$B207,#REF!,0),MATCH('Respuestas de formulario 1.1'!DD$1,#REF!,0))</f>
        <v>#REF!</v>
      </c>
      <c r="DE207" s="45" t="e">
        <f t="array" ref="DE207">INDEX(#REF!,MATCH('Respuestas de formulario 1.1'!$B207,#REF!,0),MATCH('Respuestas de formulario 1.1'!DE$1,#REF!,0))</f>
        <v>#REF!</v>
      </c>
      <c r="DF207" s="45" t="e">
        <f t="array" ref="DF207">INDEX(#REF!,MATCH('Respuestas de formulario 1.1'!$B207,#REF!,0),MATCH('Respuestas de formulario 1.1'!DF$1,#REF!,0))</f>
        <v>#REF!</v>
      </c>
      <c r="DG207" s="45" t="e">
        <f t="array" ref="DG207">INDEX(#REF!,MATCH('Respuestas de formulario 1.1'!$B207,#REF!,0),MATCH('Respuestas de formulario 1.1'!DG$1,#REF!,0))</f>
        <v>#REF!</v>
      </c>
      <c r="DH207" s="45" t="e">
        <f t="array" ref="DH207">INDEX(#REF!,MATCH('Respuestas de formulario 1.1'!$B207,#REF!,0),MATCH('Respuestas de formulario 1.1'!DH$1,#REF!,0))</f>
        <v>#REF!</v>
      </c>
      <c r="DI207" s="48" t="e">
        <f>VLOOKUP(CONCATENATE($DF207," TUTO ",$DC207),#REF!,3,0)</f>
        <v>#REF!</v>
      </c>
      <c r="DJ207" s="48" t="e">
        <f t="array" ref="DJ207">IF('Respuestas de formulario 1.1'!A207="","",INDEX(#REF!,MATCH('Respuestas de formulario 1.1'!B207,#REF!,0),MATCH('Respuestas de formulario 1.1'!$DH$1,#REF!,0)))</f>
        <v>#REF!</v>
      </c>
      <c r="DK207" s="52" t="str">
        <f>CONCATENATE("http://doc.google.com/uc?id=",MID('Respuestas de formulario 1.1'!G207,34,33))</f>
        <v>http://doc.google.com/uc?id=1LN-QrJQnyGGACaqikHCCSQWw_kravOGR</v>
      </c>
      <c r="DL207" s="49" t="str">
        <f>CONCATENATE("http://doc.google.com/uc?id=",MID('Respuestas de formulario 1.1'!AH207,34,33))</f>
        <v>http://doc.google.com/uc?id=1vfoGT1DpQ0OEk00-Y0oa-Mf_YatjVQAb</v>
      </c>
      <c r="DM207" s="50" t="str">
        <f>CONCATENATE("http://doc.google.com/uc?id=",MID('Respuestas de formulario 1.1'!AW207,34,33))</f>
        <v>http://doc.google.com/uc?id=1Jk7xWxdYn_HwvffR6jwFxH14OrL-Phnl</v>
      </c>
      <c r="DN207" s="53" t="str">
        <f>CONCATENATE("http://doc.google.com/uc?id=",MID('Respuestas de formulario 1.1'!$BI207,34,33))</f>
        <v>http://doc.google.com/uc?id=1b0RSpsZy8O7Gk8pWTRPM-b5zNeYsBwud</v>
      </c>
      <c r="DO207" s="45" t="str">
        <f>IFERROR(VLOOKUP(CONCATENATE('Respuestas de formulario 1.1'!$B207,MID('Respuestas de formulario 1.1'!DO$1,2,1)),#REF!,12,0),"")</f>
        <v/>
      </c>
      <c r="DP207" s="45" t="str">
        <f>IFERROR(VLOOKUP(CONCATENATE('Respuestas de formulario 1.1'!$B207,MID('Respuestas de formulario 1.1'!DP$1,2,1)),#REF!,12,0),"")</f>
        <v/>
      </c>
      <c r="DQ207" s="45" t="str">
        <f>IFERROR(VLOOKUP(CONCATENATE('Respuestas de formulario 1.1'!$B207,MID('Respuestas de formulario 1.1'!DQ$1,2,1)),#REF!,12,0),"")</f>
        <v/>
      </c>
      <c r="DR207" s="45" t="str">
        <f>IFERROR(VLOOKUP(CONCATENATE('Respuestas de formulario 1.1'!$B207,MID('Respuestas de formulario 1.1'!DR$1,2,1)),#REF!,12,0),"")</f>
        <v/>
      </c>
      <c r="DS207" s="45" t="str">
        <f>IFERROR(VLOOKUP(CONCATENATE('Respuestas de formulario 1.1'!$B207,MID('Respuestas de formulario 1.1'!DS$1,2,1)),#REF!,12,0),"")</f>
        <v/>
      </c>
      <c r="DT207" s="45" t="str">
        <f>IFERROR(VLOOKUP(CONCATENATE('Respuestas de formulario 1.1'!$B207,MID('Respuestas de formulario 1.1'!DT$1,2,1)),#REF!,12,0),"")</f>
        <v/>
      </c>
      <c r="DU207" s="45" t="str">
        <f>IFERROR(VLOOKUP(CONCATENATE('Respuestas de formulario 1.1'!$B207,MID('Respuestas de formulario 1.1'!DU$1,2,1)),#REF!,12,0),"")</f>
        <v/>
      </c>
      <c r="DV207" s="45" t="str">
        <f>IFERROR(VLOOKUP(CONCATENATE('Respuestas de formulario 1.1'!$B207,MID('Respuestas de formulario 1.1'!DV$1,2,1)),#REF!,12,0),"")</f>
        <v/>
      </c>
      <c r="DW207" s="45" t="str">
        <f>IFERROR(VLOOKUP(CONCATENATE('Respuestas de formulario 1.1'!$B207,MID('Respuestas de formulario 1.1'!DW$1,2,1)),#REF!,12,0),"")</f>
        <v/>
      </c>
      <c r="DX207" s="45" t="str">
        <f>IFERROR(VLOOKUP(CONCATENATE('Respuestas de formulario 1.1'!$B207,MID('Respuestas de formulario 1.1'!DX$1,2,1)),#REF!,12,0),"")</f>
        <v/>
      </c>
      <c r="DY207" s="45" t="str">
        <f>IFERROR(VLOOKUP(CONCATENATE('Respuestas de formulario 1.1'!$B207,MID('Respuestas de formulario 1.1'!DY$1,2,1)),#REF!,12,0),"")</f>
        <v/>
      </c>
      <c r="DZ207" s="45" t="str">
        <f>IFERROR(VLOOKUP(CONCATENATE('Respuestas de formulario 1.1'!$B207,MID('Respuestas de formulario 1.1'!DZ$1,2,1)),#REF!,12,0),"")</f>
        <v/>
      </c>
      <c r="EA207" s="45" t="str">
        <f>IFERROR(VLOOKUP(CONCATENATE('Respuestas de formulario 1.1'!$B207,MID('Respuestas de formulario 1.1'!EA$1,2,1)),#REF!,12,0),"")</f>
        <v/>
      </c>
      <c r="EB207" s="45" t="str">
        <f>IFERROR(VLOOKUP(CONCATENATE('Respuestas de formulario 1.1'!$B207,MID('Respuestas de formulario 1.1'!EB$1,2,1)),#REF!,12,0),"")</f>
        <v/>
      </c>
      <c r="EC207" s="45" t="str">
        <f>IFERROR(VLOOKUP(CONCATENATE('Respuestas de formulario 1.1'!$B207,MID('Respuestas de formulario 1.1'!EC$1,2,1)),#REF!,12,0),"")</f>
        <v/>
      </c>
      <c r="ED207" s="45" t="str">
        <f>IFERROR(VLOOKUP(CONCATENATE('Respuestas de formulario 1.1'!$B207,MID('Respuestas de formulario 1.1'!ED$1,2,1)),#REF!,12,0),"")</f>
        <v/>
      </c>
      <c r="EE207" s="45" t="str">
        <f>IFERROR(VLOOKUP(CONCATENATE('Respuestas de formulario 1.1'!$B207,MID('Respuestas de formulario 1.1'!EE$1,2,1)),#REF!,12,0),"")</f>
        <v/>
      </c>
      <c r="EF207" s="45" t="str">
        <f>IFERROR(VLOOKUP(CONCATENATE('Respuestas de formulario 1.1'!$B207,MID('Respuestas de formulario 1.1'!EF$1,2,1)),#REF!,12,0),"")</f>
        <v/>
      </c>
      <c r="EG207" s="45" t="str">
        <f>IFERROR(VLOOKUP(CONCATENATE('Respuestas de formulario 1.1'!$B207,MID('Respuestas de formulario 1.1'!EG$1,2,1)),#REF!,12,0),"")</f>
        <v/>
      </c>
      <c r="EH207" s="45" t="str">
        <f>IFERROR(VLOOKUP(CONCATENATE('Respuestas de formulario 1.1'!$B207,MID('Respuestas de formulario 1.1'!EH$1,2,1)),#REF!,12,0),"")</f>
        <v/>
      </c>
      <c r="EI207" s="45" t="str">
        <f>IFERROR(VLOOKUP(CONCATENATE('Respuestas de formulario 1.1'!$B207,MID('Respuestas de formulario 1.1'!EI$1,2,1)),#REF!,12,0),"")</f>
        <v/>
      </c>
      <c r="EJ207" s="45" t="str">
        <f t="array" ref="EJ207">IF(DO207="","", INDEX(#REF!,MATCH(CONCATENATE('Respuestas de formulario 1.1'!$B207,DO207),#REF!,0),MATCH('Respuestas de formulario 1.1'!EJ$1,#REF!,0)))</f>
        <v/>
      </c>
      <c r="EK207" s="56" t="str">
        <f t="array" ref="EK207">IF(DP207="","", INDEX(#REF!,MATCH(CONCATENATE('Respuestas de formulario 1.1'!$B207,DP207),#REF!,0),MATCH('Respuestas de formulario 1.1'!EK$1,#REF!,0)))</f>
        <v/>
      </c>
      <c r="EL207" s="56" t="str">
        <f t="array" ref="EL207">IF(DQ207="","", INDEX(#REF!,MATCH(CONCATENATE('Respuestas de formulario 1.1'!$B207,DQ207),#REF!,0),MATCH('Respuestas de formulario 1.1'!EL$1,#REF!,0)))</f>
        <v/>
      </c>
      <c r="EM207" s="56" t="str">
        <f t="array" ref="EM207">IF(DR207="","", INDEX(#REF!,MATCH(CONCATENATE('Respuestas de formulario 1.1'!$B207,DR207),#REF!,0),MATCH('Respuestas de formulario 1.1'!EM$1,#REF!,0)))</f>
        <v/>
      </c>
      <c r="EN207" s="56" t="str">
        <f t="array" ref="EN207">IF(DS207="","", INDEX(#REF!,MATCH(CONCATENATE('Respuestas de formulario 1.1'!$B207,DS207),#REF!,0),MATCH('Respuestas de formulario 1.1'!EN$1,#REF!,0)))</f>
        <v/>
      </c>
      <c r="EO207" s="56" t="str">
        <f t="array" ref="EO207">IF(DT207="","", INDEX(#REF!,MATCH(CONCATENATE('Respuestas de formulario 1.1'!$B207,DT207),#REF!,0),MATCH('Respuestas de formulario 1.1'!EO$1,#REF!,0)))</f>
        <v/>
      </c>
      <c r="EP207" s="45" t="str">
        <f t="array" ref="EP207">IF(DU207="","", INDEX(#REF!,MATCH(CONCATENATE('Respuestas de formulario 1.1'!$B207,DU207),#REF!,0),MATCH('Respuestas de formulario 1.1'!EP$1,#REF!,0)))</f>
        <v/>
      </c>
      <c r="EQ207" s="45" t="str">
        <f t="array" ref="EQ207">IF(DP207="","", INDEX(#REF!,MATCH(CONCATENATE('Respuestas de formulario 1.1'!$B207,DP207),#REF!,0),MATCH('Respuestas de formulario 1.1'!EQ$1,#REF!,0)))</f>
        <v/>
      </c>
      <c r="ER207" s="56" t="str">
        <f t="array" ref="ER207">IF(DQ207="","", INDEX(#REF!,MATCH(CONCATENATE('Respuestas de formulario 1.1'!$B207,DQ207),#REF!,0),MATCH('Respuestas de formulario 1.1'!ER$1,#REF!,0)))</f>
        <v/>
      </c>
      <c r="ES207" s="56" t="str">
        <f t="array" ref="ES207">IF(DR207="","", INDEX(#REF!,MATCH(CONCATENATE('Respuestas de formulario 1.1'!$B207,DR207),#REF!,0),MATCH('Respuestas de formulario 1.1'!ES$1,#REF!,0)))</f>
        <v/>
      </c>
      <c r="ET207" s="56" t="str">
        <f t="array" ref="ET207">IF(DS207="","", INDEX(#REF!,MATCH(CONCATENATE('Respuestas de formulario 1.1'!$B207,DS207),#REF!,0),MATCH('Respuestas de formulario 1.1'!ET$1,#REF!,0)))</f>
        <v/>
      </c>
      <c r="EU207" s="56" t="str">
        <f t="array" ref="EU207">IF(DT207="","", INDEX(#REF!,MATCH(CONCATENATE('Respuestas de formulario 1.1'!$B207,DT207),#REF!,0),MATCH('Respuestas de formulario 1.1'!EU$1,#REF!,0)))</f>
        <v/>
      </c>
      <c r="EV207" s="56" t="str">
        <f t="array" ref="EV207">IF(DU207="","", INDEX(#REF!,MATCH(CONCATENATE('Respuestas de formulario 1.1'!$B207,DU207),#REF!,0),MATCH('Respuestas de formulario 1.1'!EV$1,#REF!,0)))</f>
        <v/>
      </c>
      <c r="EW207" s="45" t="str">
        <f t="array" ref="EW207">IF(DV207="","", INDEX(#REF!,MATCH(CONCATENATE('Respuestas de formulario 1.1'!$B207,DV207),#REF!,0),MATCH('Respuestas de formulario 1.1'!EW$1,#REF!,0)))</f>
        <v/>
      </c>
      <c r="EX207" s="45" t="str">
        <f t="array" ref="EX207">IF($DQ207="","", INDEX(#REF!,MATCH(CONCATENATE('Respuestas de formulario 1.1'!$B207,$DQ207),#REF!,0),MATCH('Respuestas de formulario 1.1'!EX$1,#REF!,0)))</f>
        <v/>
      </c>
      <c r="EY207" s="56" t="str">
        <f t="array" ref="EY207">IF($DQ207="","", INDEX(#REF!,MATCH(CONCATENATE('Respuestas de formulario 1.1'!$B207,$DQ207),#REF!,0),MATCH('Respuestas de formulario 1.1'!EY$1,#REF!,0)))</f>
        <v/>
      </c>
      <c r="EZ207" s="56" t="str">
        <f t="array" ref="EZ207">IF($DQ207="","", INDEX(#REF!,MATCH(CONCATENATE('Respuestas de formulario 1.1'!$B207,$DQ207),#REF!,0),MATCH('Respuestas de formulario 1.1'!EZ$1,#REF!,0)))</f>
        <v/>
      </c>
      <c r="FA207" s="56" t="str">
        <f t="array" ref="FA207">IF($DQ207="","", INDEX(#REF!,MATCH(CONCATENATE('Respuestas de formulario 1.1'!$B207,$DQ207),#REF!,0),MATCH('Respuestas de formulario 1.1'!FA$1,#REF!,0)))</f>
        <v/>
      </c>
      <c r="FB207" s="56" t="str">
        <f t="array" ref="FB207">IF($DQ207="","", INDEX(#REF!,MATCH(CONCATENATE('Respuestas de formulario 1.1'!$B207,$DQ207),#REF!,0),MATCH('Respuestas de formulario 1.1'!FB$1,#REF!,0)))</f>
        <v/>
      </c>
      <c r="FC207" s="56" t="str">
        <f t="array" ref="FC207">IF($DQ207="","", INDEX(#REF!,MATCH(CONCATENATE('Respuestas de formulario 1.1'!$B207,$DQ207),#REF!,0),MATCH('Respuestas de formulario 1.1'!FC$1,#REF!,0)))</f>
        <v/>
      </c>
      <c r="FD207" s="45" t="str">
        <f t="array" ref="FD207">IF($DQ207="","", INDEX(#REF!,MATCH(CONCATENATE('Respuestas de formulario 1.1'!$B207,$DQ207),#REF!,0),MATCH('Respuestas de formulario 1.1'!FD$1,#REF!,0)))</f>
        <v/>
      </c>
      <c r="FE207" s="45" t="str">
        <f t="array" ref="FE207">IF($DR207="","", INDEX(#REF!,MATCH(CONCATENATE(#REF!,$DR207),#REF!,0),MATCH(#REF!,#REF!,0)))</f>
        <v/>
      </c>
      <c r="FF207" s="56" t="str">
        <f t="array" ref="FF207">IF($DR207="","", INDEX(#REF!,MATCH(CONCATENATE(#REF!,$DR207),#REF!,0),MATCH(#REF!,#REF!,0)))</f>
        <v/>
      </c>
      <c r="FG207" s="56" t="str">
        <f t="array" ref="FG207">IF($DR207="","", INDEX(#REF!,MATCH(CONCATENATE(#REF!,$DR207),#REF!,0),MATCH(#REF!,#REF!,0)))</f>
        <v/>
      </c>
      <c r="FH207" s="56" t="str">
        <f t="array" ref="FH207">IF($DR207="","", INDEX(#REF!,MATCH(CONCATENATE(#REF!,$DR207),#REF!,0),MATCH(#REF!,#REF!,0)))</f>
        <v/>
      </c>
      <c r="FI207" s="56" t="str">
        <f t="array" ref="FI207">IF($DR207="","", INDEX(#REF!,MATCH(CONCATENATE(#REF!,$DR207),#REF!,0),MATCH(#REF!,#REF!,0)))</f>
        <v/>
      </c>
      <c r="FJ207" s="56" t="str">
        <f t="array" ref="FJ207">IF($DR207="","", INDEX(#REF!,MATCH(CONCATENATE(#REF!,$DR207),#REF!,0),MATCH(#REF!,#REF!,0)))</f>
        <v/>
      </c>
      <c r="FK207" s="45" t="str">
        <f t="array" ref="FK207">IF($DR207="","", INDEX(#REF!,MATCH(CONCATENATE(#REF!,$DR207),#REF!,0),MATCH(#REF!,#REF!,0)))</f>
        <v/>
      </c>
      <c r="FL207" s="45" t="str">
        <f t="array" ref="FL207">IF($DT207="","", INDEX(#REF!,MATCH(CONCATENATE('Respuestas de formulario 1.1'!$B207,$DS207),#REF!,0),MATCH('Respuestas de formulario 1.1'!FL$1,#REF!,0)))</f>
        <v/>
      </c>
      <c r="FM207" s="56" t="str">
        <f t="array" ref="FM207">IF($DT207="","", INDEX(#REF!,MATCH(CONCATENATE('Respuestas de formulario 1.1'!$B207,$DS207),#REF!,0),MATCH('Respuestas de formulario 1.1'!FM$1,#REF!,0)))</f>
        <v/>
      </c>
      <c r="FN207" s="56" t="str">
        <f t="array" ref="FN207">IF($DT207="","", INDEX(#REF!,MATCH(CONCATENATE('Respuestas de formulario 1.1'!$B207,$DS207),#REF!,0),MATCH('Respuestas de formulario 1.1'!FN$1,#REF!,0)))</f>
        <v/>
      </c>
      <c r="FO207" s="56" t="str">
        <f t="array" ref="FO207">IF($DT207="","", INDEX(#REF!,MATCH(CONCATENATE('Respuestas de formulario 1.1'!$B207,$DS207),#REF!,0),MATCH('Respuestas de formulario 1.1'!FO$1,#REF!,0)))</f>
        <v/>
      </c>
      <c r="FP207" s="56" t="str">
        <f t="array" ref="FP207">IF($DT207="","", INDEX(#REF!,MATCH(CONCATENATE('Respuestas de formulario 1.1'!$B207,$DS207),#REF!,0),MATCH('Respuestas de formulario 1.1'!FP$1,#REF!,0)))</f>
        <v/>
      </c>
      <c r="FQ207" s="56" t="str">
        <f t="array" ref="FQ207">IF($DT207="","", INDEX(#REF!,MATCH(CONCATENATE('Respuestas de formulario 1.1'!$B207,$DS207),#REF!,0),MATCH('Respuestas de formulario 1.1'!FQ$1,#REF!,0)))</f>
        <v/>
      </c>
      <c r="FR207" s="45" t="str">
        <f t="array" ref="FR207">IF($DT207="","", INDEX(#REF!,MATCH(CONCATENATE('Respuestas de formulario 1.1'!$B207,$DS207),#REF!,0),MATCH('Respuestas de formulario 1.1'!FR$1,#REF!,0)))</f>
        <v/>
      </c>
      <c r="FS207" s="45" t="str">
        <f t="array" ref="FS207">IF($DU207="","", INDEX(#REF!,MATCH(CONCATENATE('Respuestas de formulario 1.1'!$B207,$DT207),#REF!,0),MATCH('Respuestas de formulario 1.1'!FS$1,#REF!,0)))</f>
        <v/>
      </c>
      <c r="FT207" s="56" t="str">
        <f t="array" ref="FT207">IF($DU207="","", INDEX(#REF!,MATCH(CONCATENATE('Respuestas de formulario 1.1'!$B207,$DT207),#REF!,0),MATCH('Respuestas de formulario 1.1'!FT$1,#REF!,0)))</f>
        <v/>
      </c>
      <c r="FU207" s="56" t="str">
        <f t="array" ref="FU207">IF($DU207="","", INDEX(#REF!,MATCH(CONCATENATE('Respuestas de formulario 1.1'!$B207,$DT207),#REF!,0),MATCH('Respuestas de formulario 1.1'!FU$1,#REF!,0)))</f>
        <v/>
      </c>
      <c r="FV207" s="56" t="str">
        <f t="array" ref="FV207">IF($DU207="","", INDEX(#REF!,MATCH(CONCATENATE('Respuestas de formulario 1.1'!$B207,$DT207),#REF!,0),MATCH('Respuestas de formulario 1.1'!FV$1,#REF!,0)))</f>
        <v/>
      </c>
      <c r="FW207" s="56" t="str">
        <f t="array" ref="FW207">IF($DU207="","", INDEX(#REF!,MATCH(CONCATENATE('Respuestas de formulario 1.1'!$B207,$DT207),#REF!,0),MATCH('Respuestas de formulario 1.1'!FW$1,#REF!,0)))</f>
        <v/>
      </c>
      <c r="FX207" s="56" t="str">
        <f t="array" ref="FX207">IF($DU207="","", INDEX(#REF!,MATCH(CONCATENATE('Respuestas de formulario 1.1'!$B207,$DT207),#REF!,0),MATCH('Respuestas de formulario 1.1'!FX$1,#REF!,0)))</f>
        <v/>
      </c>
      <c r="FY207" s="45" t="str">
        <f t="array" ref="FY207">IF($DU207="","", INDEX(#REF!,MATCH(CONCATENATE('Respuestas de formulario 1.1'!$B207,$DT207),#REF!,0),MATCH('Respuestas de formulario 1.1'!FY$1,#REF!,0)))</f>
        <v/>
      </c>
      <c r="FZ207" s="3" t="s">
        <v>2860</v>
      </c>
      <c r="GA207" s="1" t="s">
        <v>6394</v>
      </c>
      <c r="GB207" s="5" t="s">
        <v>6395</v>
      </c>
      <c r="GC207" s="4" t="str">
        <f>HYPERLINK("https://drive.google.com/file/d/1BSHdxNbC89_VUOkwhWL4A6NeogADi-jz/view?usp=drivesdk","HERNANDEZ  TERRAZAS NAOMI AOLANI  Formato de reinscripción y pago 2022-2")</f>
        <v>HERNANDEZ  TERRAZAS NAOMI AOLANI  Formato de reinscripción y pago 2022-2</v>
      </c>
      <c r="GD207" s="1" t="s">
        <v>6396</v>
      </c>
      <c r="GE207" s="1"/>
      <c r="GF207" s="1"/>
      <c r="GG207" s="1"/>
      <c r="GH207" s="1"/>
      <c r="GI207" s="1" t="s">
        <v>6397</v>
      </c>
      <c r="GJ207" s="5" t="s">
        <v>6398</v>
      </c>
      <c r="GK207" s="5" t="str">
        <f>HYPERLINK("https://drive.google.com/file/d/1m65hqJecrYuIWUTeroPd0OYyZVRK6bX6/view?usp=drivesdk","HERNANDEZ  TERRAZAS NAOMI AOLANI  Formato de reinscripción y pago 2022-2")</f>
        <v>HERNANDEZ  TERRAZAS NAOMI AOLANI  Formato de reinscripción y pago 2022-2</v>
      </c>
      <c r="GL207" s="1" t="s">
        <v>6399</v>
      </c>
    </row>
    <row r="208" spans="1:194" ht="38.25" x14ac:dyDescent="0.2">
      <c r="A208" s="2">
        <v>45139.519348773145</v>
      </c>
      <c r="B208" s="1" t="s">
        <v>2454</v>
      </c>
      <c r="C208" s="1" t="s">
        <v>683</v>
      </c>
      <c r="D208" s="1" t="s">
        <v>2420</v>
      </c>
      <c r="E208" s="1" t="s">
        <v>2455</v>
      </c>
      <c r="F208" s="1" t="s">
        <v>223</v>
      </c>
      <c r="G208" s="5" t="s">
        <v>6400</v>
      </c>
      <c r="H208" s="41">
        <v>38853</v>
      </c>
      <c r="I208" s="1">
        <v>17</v>
      </c>
      <c r="J208" s="1">
        <v>5610945397</v>
      </c>
      <c r="K208" s="1">
        <v>5610945397</v>
      </c>
      <c r="L208" s="1" t="s">
        <v>2456</v>
      </c>
      <c r="M208" s="1">
        <v>21315061180125</v>
      </c>
      <c r="N208" s="1" t="s">
        <v>1108</v>
      </c>
      <c r="O208" s="1" t="s">
        <v>225</v>
      </c>
      <c r="P208" s="1" t="s">
        <v>314</v>
      </c>
      <c r="Q208" s="1" t="s">
        <v>248</v>
      </c>
      <c r="R208" s="1" t="s">
        <v>236</v>
      </c>
      <c r="S208" s="1" t="s">
        <v>228</v>
      </c>
      <c r="T208" s="1" t="s">
        <v>411</v>
      </c>
      <c r="U208" s="1" t="s">
        <v>249</v>
      </c>
      <c r="V208" s="1" t="s">
        <v>228</v>
      </c>
      <c r="W208" s="1" t="s">
        <v>6401</v>
      </c>
      <c r="X208" s="1" t="s">
        <v>249</v>
      </c>
      <c r="Y208" s="1" t="s">
        <v>6402</v>
      </c>
      <c r="Z208" s="1" t="s">
        <v>240</v>
      </c>
      <c r="AA208" s="44" t="s">
        <v>602</v>
      </c>
      <c r="AB208" s="1" t="s">
        <v>6403</v>
      </c>
      <c r="AC208" s="1" t="s">
        <v>6404</v>
      </c>
      <c r="AD208" s="1" t="s">
        <v>6405</v>
      </c>
      <c r="AE208" s="1" t="s">
        <v>2457</v>
      </c>
      <c r="AF208" s="1" t="s">
        <v>461</v>
      </c>
      <c r="AG208" s="1">
        <v>42</v>
      </c>
      <c r="AH208" s="5" t="s">
        <v>6406</v>
      </c>
      <c r="AI208" s="1">
        <v>5610945397</v>
      </c>
      <c r="AJ208" s="1">
        <v>5610945397</v>
      </c>
      <c r="AK208" s="1" t="s">
        <v>6407</v>
      </c>
      <c r="AL208" s="1" t="s">
        <v>432</v>
      </c>
      <c r="AM208" s="1" t="s">
        <v>304</v>
      </c>
      <c r="AN208" s="1" t="s">
        <v>502</v>
      </c>
      <c r="AO208" s="1" t="s">
        <v>1228</v>
      </c>
      <c r="AP208" s="1">
        <v>44</v>
      </c>
      <c r="AQ208" s="1" t="s">
        <v>233</v>
      </c>
      <c r="AR208" s="42">
        <v>0.33958333333430346</v>
      </c>
      <c r="AS208" s="42">
        <v>0.38194444444525288</v>
      </c>
      <c r="AT208" s="1">
        <v>5618452708</v>
      </c>
      <c r="AU208" s="1">
        <v>5618452708</v>
      </c>
      <c r="AV208" s="1" t="s">
        <v>6408</v>
      </c>
      <c r="AW208" s="5" t="s">
        <v>6409</v>
      </c>
      <c r="AX208" s="1" t="s">
        <v>2420</v>
      </c>
      <c r="AY208" s="1" t="s">
        <v>771</v>
      </c>
      <c r="AZ208" s="1" t="s">
        <v>2248</v>
      </c>
      <c r="BA208" s="1" t="s">
        <v>1286</v>
      </c>
      <c r="BB208" s="1">
        <v>49</v>
      </c>
      <c r="BC208" s="1" t="s">
        <v>2529</v>
      </c>
      <c r="BD208" s="43">
        <v>0.20836805555154569</v>
      </c>
      <c r="BE208" s="43">
        <v>8.3356481482042E-2</v>
      </c>
      <c r="BF208" s="1">
        <v>5624547903</v>
      </c>
      <c r="BG208" s="1">
        <v>5624547903</v>
      </c>
      <c r="BH208" s="1" t="s">
        <v>6410</v>
      </c>
      <c r="BI208" s="5" t="s">
        <v>6411</v>
      </c>
      <c r="BJ208" s="1" t="s">
        <v>236</v>
      </c>
      <c r="BL208" s="1">
        <v>1.57</v>
      </c>
      <c r="BM208" s="1">
        <v>57</v>
      </c>
      <c r="BN208" s="1" t="s">
        <v>236</v>
      </c>
      <c r="BO208" s="1" t="s">
        <v>228</v>
      </c>
      <c r="BQ208" s="1" t="s">
        <v>228</v>
      </c>
      <c r="BR208" s="1" t="s">
        <v>237</v>
      </c>
      <c r="BS208" s="1" t="s">
        <v>228</v>
      </c>
      <c r="BT208" s="1" t="s">
        <v>237</v>
      </c>
      <c r="BU208" s="1" t="s">
        <v>228</v>
      </c>
      <c r="BW208" s="1" t="s">
        <v>349</v>
      </c>
      <c r="BX208" s="1">
        <v>20</v>
      </c>
      <c r="BY208" s="1">
        <v>50</v>
      </c>
      <c r="BZ208" s="1" t="s">
        <v>458</v>
      </c>
      <c r="CA208" s="1" t="s">
        <v>343</v>
      </c>
      <c r="CB208" s="1" t="s">
        <v>231</v>
      </c>
      <c r="CC208" s="1" t="s">
        <v>6412</v>
      </c>
      <c r="CD208" s="1">
        <v>500</v>
      </c>
      <c r="CE208" s="1">
        <v>500</v>
      </c>
      <c r="CF208" s="1" t="s">
        <v>236</v>
      </c>
      <c r="CG208" s="1" t="s">
        <v>242</v>
      </c>
      <c r="CH208" s="1" t="s">
        <v>243</v>
      </c>
      <c r="CI208" s="1" t="s">
        <v>243</v>
      </c>
      <c r="CJ208" s="1" t="s">
        <v>2848</v>
      </c>
      <c r="CL208" s="5" t="s">
        <v>6413</v>
      </c>
      <c r="CM208" s="1">
        <v>25220633694</v>
      </c>
      <c r="CN208" s="1" t="s">
        <v>228</v>
      </c>
      <c r="CQ208" s="42">
        <v>0.37986111111240461</v>
      </c>
      <c r="CR208" s="42">
        <v>0.38194444444525288</v>
      </c>
      <c r="CT208" s="45" t="str">
        <f t="array" ref="CT208">IFERROR(INDEX(#REF!,MATCH('Respuestas de formulario 1.1'!$B208,#REF!,0),MATCH('Respuestas de formulario 1.1'!CT$1,#REF!,0)),"")</f>
        <v/>
      </c>
      <c r="CU208" s="56" t="str">
        <f t="array" ref="CU208">IFERROR(INDEX(#REF!,MATCH('Respuestas de formulario 1.1'!$B208,#REF!,0),MATCH('Respuestas de formulario 1.1'!CU$1,#REF!,0)),"")</f>
        <v/>
      </c>
      <c r="CV208" s="56" t="str">
        <f t="array" ref="CV208">IFERROR(INDEX(#REF!,MATCH('Respuestas de formulario 1.1'!$B208,#REF!,0),MATCH('Respuestas de formulario 1.1'!CV$1,#REF!,0)),"")</f>
        <v/>
      </c>
      <c r="CW208" s="56" t="str">
        <f t="array" ref="CW208">IFERROR(INDEX(#REF!,MATCH('Respuestas de formulario 1.1'!$B208,#REF!,0),MATCH('Respuestas de formulario 1.1'!CW$1,#REF!,0)),"")</f>
        <v/>
      </c>
      <c r="CX208" s="56" t="str">
        <f t="array" ref="CX208">IFERROR(INDEX(#REF!,MATCH('Respuestas de formulario 1.1'!$B208,#REF!,0),MATCH('Respuestas de formulario 1.1'!CX$1,#REF!,0)),"")</f>
        <v/>
      </c>
      <c r="CY208" s="56" t="str">
        <f t="array" ref="CY208">IFERROR(INDEX(#REF!,MATCH('Respuestas de formulario 1.1'!$B208,#REF!,0),MATCH('Respuestas de formulario 1.1'!CY$1,#REF!,0)),"")</f>
        <v/>
      </c>
      <c r="CZ208" s="57" t="str">
        <f t="array" ref="CZ208">IFERROR(INDEX(#REF!,MATCH('Respuestas de formulario 1.1'!$B208,#REF!,0),MATCH('Respuestas de formulario 1.1'!CZ$1,#REF!,0)),"")</f>
        <v/>
      </c>
      <c r="DA208" s="45" t="e">
        <f t="array" ref="DA208">INDEX(#REF!,MATCH('Respuestas de formulario 1.1'!$B208,#REF!,0),MATCH('Respuestas de formulario 1.1'!DA$1,#REF!,0))</f>
        <v>#REF!</v>
      </c>
      <c r="DB208" s="45" t="e">
        <f t="array" ref="DB208">INDEX(#REF!,MATCH('Respuestas de formulario 1.1'!$B208,#REF!,0),MATCH('Respuestas de formulario 1.1'!DB$1,#REF!,0))</f>
        <v>#REF!</v>
      </c>
      <c r="DC208" s="45" t="e">
        <f t="array" ref="DC208">INDEX(#REF!,MATCH('Respuestas de formulario 1.1'!$B208,#REF!,0),MATCH('Respuestas de formulario 1.1'!DC$1,#REF!,0))</f>
        <v>#REF!</v>
      </c>
      <c r="DD208" s="45" t="e">
        <f t="array" ref="DD208">INDEX(#REF!,MATCH('Respuestas de formulario 1.1'!$B208,#REF!,0),MATCH('Respuestas de formulario 1.1'!DD$1,#REF!,0))</f>
        <v>#REF!</v>
      </c>
      <c r="DE208" s="45" t="e">
        <f t="array" ref="DE208">INDEX(#REF!,MATCH('Respuestas de formulario 1.1'!$B208,#REF!,0),MATCH('Respuestas de formulario 1.1'!DE$1,#REF!,0))</f>
        <v>#REF!</v>
      </c>
      <c r="DF208" s="45" t="e">
        <f t="array" ref="DF208">INDEX(#REF!,MATCH('Respuestas de formulario 1.1'!$B208,#REF!,0),MATCH('Respuestas de formulario 1.1'!DF$1,#REF!,0))</f>
        <v>#REF!</v>
      </c>
      <c r="DG208" s="45" t="e">
        <f t="array" ref="DG208">INDEX(#REF!,MATCH('Respuestas de formulario 1.1'!$B208,#REF!,0),MATCH('Respuestas de formulario 1.1'!DG$1,#REF!,0))</f>
        <v>#REF!</v>
      </c>
      <c r="DH208" s="45" t="e">
        <f t="array" ref="DH208">INDEX(#REF!,MATCH('Respuestas de formulario 1.1'!$B208,#REF!,0),MATCH('Respuestas de formulario 1.1'!DH$1,#REF!,0))</f>
        <v>#REF!</v>
      </c>
      <c r="DI208" s="48" t="e">
        <f>VLOOKUP(CONCATENATE($DF208," TUTO ",$DC208),#REF!,3,0)</f>
        <v>#REF!</v>
      </c>
      <c r="DJ208" s="48" t="e">
        <f t="array" ref="DJ208">IF('Respuestas de formulario 1.1'!A208="","",INDEX(#REF!,MATCH('Respuestas de formulario 1.1'!B208,#REF!,0),MATCH('Respuestas de formulario 1.1'!$DH$1,#REF!,0)))</f>
        <v>#REF!</v>
      </c>
      <c r="DK208" s="52" t="str">
        <f>CONCATENATE("http://doc.google.com/uc?id=",MID('Respuestas de formulario 1.1'!G208,34,33))</f>
        <v>http://doc.google.com/uc?id=1nAf6EKaZD-47Hlt60PtdsbasOI4VGBJD</v>
      </c>
      <c r="DL208" s="49" t="str">
        <f>CONCATENATE("http://doc.google.com/uc?id=",MID('Respuestas de formulario 1.1'!AH208,34,33))</f>
        <v>http://doc.google.com/uc?id=1QVQD8Sp62pblYgRZutg5oIgR-Nx2q0Rt</v>
      </c>
      <c r="DM208" s="50" t="str">
        <f>CONCATENATE("http://doc.google.com/uc?id=",MID('Respuestas de formulario 1.1'!AW208,34,33))</f>
        <v>http://doc.google.com/uc?id=14sc-FwMeKtbtCBRE0ofZzvsWBuMfSroh</v>
      </c>
      <c r="DN208" s="53" t="str">
        <f>CONCATENATE("http://doc.google.com/uc?id=",MID('Respuestas de formulario 1.1'!$BI208,34,33))</f>
        <v>http://doc.google.com/uc?id=1Rcin_39H3cqpHjYyY2G52sJNTpDJsQWS</v>
      </c>
      <c r="DO208" s="45" t="str">
        <f>IFERROR(VLOOKUP(CONCATENATE('Respuestas de formulario 1.1'!$B208,MID('Respuestas de formulario 1.1'!DO$1,2,1)),#REF!,12,0),"")</f>
        <v/>
      </c>
      <c r="DP208" s="45" t="str">
        <f>IFERROR(VLOOKUP(CONCATENATE('Respuestas de formulario 1.1'!$B208,MID('Respuestas de formulario 1.1'!DP$1,2,1)),#REF!,12,0),"")</f>
        <v/>
      </c>
      <c r="DQ208" s="45" t="str">
        <f>IFERROR(VLOOKUP(CONCATENATE('Respuestas de formulario 1.1'!$B208,MID('Respuestas de formulario 1.1'!DQ$1,2,1)),#REF!,12,0),"")</f>
        <v/>
      </c>
      <c r="DR208" s="45" t="str">
        <f>IFERROR(VLOOKUP(CONCATENATE('Respuestas de formulario 1.1'!$B208,MID('Respuestas de formulario 1.1'!DR$1,2,1)),#REF!,12,0),"")</f>
        <v/>
      </c>
      <c r="DS208" s="45" t="str">
        <f>IFERROR(VLOOKUP(CONCATENATE('Respuestas de formulario 1.1'!$B208,MID('Respuestas de formulario 1.1'!DS$1,2,1)),#REF!,12,0),"")</f>
        <v/>
      </c>
      <c r="DT208" s="45" t="str">
        <f>IFERROR(VLOOKUP(CONCATENATE('Respuestas de formulario 1.1'!$B208,MID('Respuestas de formulario 1.1'!DT$1,2,1)),#REF!,12,0),"")</f>
        <v/>
      </c>
      <c r="DU208" s="45" t="str">
        <f>IFERROR(VLOOKUP(CONCATENATE('Respuestas de formulario 1.1'!$B208,MID('Respuestas de formulario 1.1'!DU$1,2,1)),#REF!,12,0),"")</f>
        <v/>
      </c>
      <c r="DV208" s="45" t="str">
        <f>IFERROR(VLOOKUP(CONCATENATE('Respuestas de formulario 1.1'!$B208,MID('Respuestas de formulario 1.1'!DV$1,2,1)),#REF!,12,0),"")</f>
        <v/>
      </c>
      <c r="DW208" s="45" t="str">
        <f>IFERROR(VLOOKUP(CONCATENATE('Respuestas de formulario 1.1'!$B208,MID('Respuestas de formulario 1.1'!DW$1,2,1)),#REF!,12,0),"")</f>
        <v/>
      </c>
      <c r="DX208" s="45" t="str">
        <f>IFERROR(VLOOKUP(CONCATENATE('Respuestas de formulario 1.1'!$B208,MID('Respuestas de formulario 1.1'!DX$1,2,1)),#REF!,12,0),"")</f>
        <v/>
      </c>
      <c r="DY208" s="45" t="str">
        <f>IFERROR(VLOOKUP(CONCATENATE('Respuestas de formulario 1.1'!$B208,MID('Respuestas de formulario 1.1'!DY$1,2,1)),#REF!,12,0),"")</f>
        <v/>
      </c>
      <c r="DZ208" s="45" t="str">
        <f>IFERROR(VLOOKUP(CONCATENATE('Respuestas de formulario 1.1'!$B208,MID('Respuestas de formulario 1.1'!DZ$1,2,1)),#REF!,12,0),"")</f>
        <v/>
      </c>
      <c r="EA208" s="45" t="str">
        <f>IFERROR(VLOOKUP(CONCATENATE('Respuestas de formulario 1.1'!$B208,MID('Respuestas de formulario 1.1'!EA$1,2,1)),#REF!,12,0),"")</f>
        <v/>
      </c>
      <c r="EB208" s="45" t="str">
        <f>IFERROR(VLOOKUP(CONCATENATE('Respuestas de formulario 1.1'!$B208,MID('Respuestas de formulario 1.1'!EB$1,2,1)),#REF!,12,0),"")</f>
        <v/>
      </c>
      <c r="EC208" s="45" t="str">
        <f>IFERROR(VLOOKUP(CONCATENATE('Respuestas de formulario 1.1'!$B208,MID('Respuestas de formulario 1.1'!EC$1,2,1)),#REF!,12,0),"")</f>
        <v/>
      </c>
      <c r="ED208" s="45" t="str">
        <f>IFERROR(VLOOKUP(CONCATENATE('Respuestas de formulario 1.1'!$B208,MID('Respuestas de formulario 1.1'!ED$1,2,1)),#REF!,12,0),"")</f>
        <v/>
      </c>
      <c r="EE208" s="45" t="str">
        <f>IFERROR(VLOOKUP(CONCATENATE('Respuestas de formulario 1.1'!$B208,MID('Respuestas de formulario 1.1'!EE$1,2,1)),#REF!,12,0),"")</f>
        <v/>
      </c>
      <c r="EF208" s="45" t="str">
        <f>IFERROR(VLOOKUP(CONCATENATE('Respuestas de formulario 1.1'!$B208,MID('Respuestas de formulario 1.1'!EF$1,2,1)),#REF!,12,0),"")</f>
        <v/>
      </c>
      <c r="EG208" s="45" t="str">
        <f>IFERROR(VLOOKUP(CONCATENATE('Respuestas de formulario 1.1'!$B208,MID('Respuestas de formulario 1.1'!EG$1,2,1)),#REF!,12,0),"")</f>
        <v/>
      </c>
      <c r="EH208" s="45" t="str">
        <f>IFERROR(VLOOKUP(CONCATENATE('Respuestas de formulario 1.1'!$B208,MID('Respuestas de formulario 1.1'!EH$1,2,1)),#REF!,12,0),"")</f>
        <v/>
      </c>
      <c r="EI208" s="45" t="str">
        <f>IFERROR(VLOOKUP(CONCATENATE('Respuestas de formulario 1.1'!$B208,MID('Respuestas de formulario 1.1'!EI$1,2,1)),#REF!,12,0),"")</f>
        <v/>
      </c>
      <c r="EJ208" s="45" t="str">
        <f t="array" ref="EJ208">IF(DO208="","", INDEX(#REF!,MATCH(CONCATENATE('Respuestas de formulario 1.1'!$B208,DO208),#REF!,0),MATCH('Respuestas de formulario 1.1'!EJ$1,#REF!,0)))</f>
        <v/>
      </c>
      <c r="EK208" s="56" t="str">
        <f t="array" ref="EK208">IF(DP208="","", INDEX(#REF!,MATCH(CONCATENATE('Respuestas de formulario 1.1'!$B208,DP208),#REF!,0),MATCH('Respuestas de formulario 1.1'!EK$1,#REF!,0)))</f>
        <v/>
      </c>
      <c r="EL208" s="56" t="str">
        <f t="array" ref="EL208">IF(DQ208="","", INDEX(#REF!,MATCH(CONCATENATE('Respuestas de formulario 1.1'!$B208,DQ208),#REF!,0),MATCH('Respuestas de formulario 1.1'!EL$1,#REF!,0)))</f>
        <v/>
      </c>
      <c r="EM208" s="56" t="str">
        <f t="array" ref="EM208">IF(DR208="","", INDEX(#REF!,MATCH(CONCATENATE('Respuestas de formulario 1.1'!$B208,DR208),#REF!,0),MATCH('Respuestas de formulario 1.1'!EM$1,#REF!,0)))</f>
        <v/>
      </c>
      <c r="EN208" s="56" t="str">
        <f t="array" ref="EN208">IF(DS208="","", INDEX(#REF!,MATCH(CONCATENATE('Respuestas de formulario 1.1'!$B208,DS208),#REF!,0),MATCH('Respuestas de formulario 1.1'!EN$1,#REF!,0)))</f>
        <v/>
      </c>
      <c r="EO208" s="56" t="str">
        <f t="array" ref="EO208">IF(DT208="","", INDEX(#REF!,MATCH(CONCATENATE('Respuestas de formulario 1.1'!$B208,DT208),#REF!,0),MATCH('Respuestas de formulario 1.1'!EO$1,#REF!,0)))</f>
        <v/>
      </c>
      <c r="EP208" s="45" t="str">
        <f t="array" ref="EP208">IF(DU208="","", INDEX(#REF!,MATCH(CONCATENATE('Respuestas de formulario 1.1'!$B208,DU208),#REF!,0),MATCH('Respuestas de formulario 1.1'!EP$1,#REF!,0)))</f>
        <v/>
      </c>
      <c r="EQ208" s="45" t="str">
        <f t="array" ref="EQ208">IF(DP208="","", INDEX(#REF!,MATCH(CONCATENATE('Respuestas de formulario 1.1'!$B208,DP208),#REF!,0),MATCH('Respuestas de formulario 1.1'!EQ$1,#REF!,0)))</f>
        <v/>
      </c>
      <c r="ER208" s="56" t="str">
        <f t="array" ref="ER208">IF(DQ208="","", INDEX(#REF!,MATCH(CONCATENATE('Respuestas de formulario 1.1'!$B208,DQ208),#REF!,0),MATCH('Respuestas de formulario 1.1'!ER$1,#REF!,0)))</f>
        <v/>
      </c>
      <c r="ES208" s="56" t="str">
        <f t="array" ref="ES208">IF(DR208="","", INDEX(#REF!,MATCH(CONCATENATE('Respuestas de formulario 1.1'!$B208,DR208),#REF!,0),MATCH('Respuestas de formulario 1.1'!ES$1,#REF!,0)))</f>
        <v/>
      </c>
      <c r="ET208" s="56" t="str">
        <f t="array" ref="ET208">IF(DS208="","", INDEX(#REF!,MATCH(CONCATENATE('Respuestas de formulario 1.1'!$B208,DS208),#REF!,0),MATCH('Respuestas de formulario 1.1'!ET$1,#REF!,0)))</f>
        <v/>
      </c>
      <c r="EU208" s="56" t="str">
        <f t="array" ref="EU208">IF(DT208="","", INDEX(#REF!,MATCH(CONCATENATE('Respuestas de formulario 1.1'!$B208,DT208),#REF!,0),MATCH('Respuestas de formulario 1.1'!EU$1,#REF!,0)))</f>
        <v/>
      </c>
      <c r="EV208" s="56" t="str">
        <f t="array" ref="EV208">IF(DU208="","", INDEX(#REF!,MATCH(CONCATENATE('Respuestas de formulario 1.1'!$B208,DU208),#REF!,0),MATCH('Respuestas de formulario 1.1'!EV$1,#REF!,0)))</f>
        <v/>
      </c>
      <c r="EW208" s="45" t="str">
        <f t="array" ref="EW208">IF(DV208="","", INDEX(#REF!,MATCH(CONCATENATE('Respuestas de formulario 1.1'!$B208,DV208),#REF!,0),MATCH('Respuestas de formulario 1.1'!EW$1,#REF!,0)))</f>
        <v/>
      </c>
      <c r="EX208" s="45" t="str">
        <f t="array" ref="EX208">IF($DQ208="","", INDEX(#REF!,MATCH(CONCATENATE('Respuestas de formulario 1.1'!$B208,$DQ208),#REF!,0),MATCH('Respuestas de formulario 1.1'!EX$1,#REF!,0)))</f>
        <v/>
      </c>
      <c r="EY208" s="56" t="str">
        <f t="array" ref="EY208">IF($DQ208="","", INDEX(#REF!,MATCH(CONCATENATE('Respuestas de formulario 1.1'!$B208,$DQ208),#REF!,0),MATCH('Respuestas de formulario 1.1'!EY$1,#REF!,0)))</f>
        <v/>
      </c>
      <c r="EZ208" s="56" t="str">
        <f t="array" ref="EZ208">IF($DQ208="","", INDEX(#REF!,MATCH(CONCATENATE('Respuestas de formulario 1.1'!$B208,$DQ208),#REF!,0),MATCH('Respuestas de formulario 1.1'!EZ$1,#REF!,0)))</f>
        <v/>
      </c>
      <c r="FA208" s="56" t="str">
        <f t="array" ref="FA208">IF($DQ208="","", INDEX(#REF!,MATCH(CONCATENATE('Respuestas de formulario 1.1'!$B208,$DQ208),#REF!,0),MATCH('Respuestas de formulario 1.1'!FA$1,#REF!,0)))</f>
        <v/>
      </c>
      <c r="FB208" s="56" t="str">
        <f t="array" ref="FB208">IF($DQ208="","", INDEX(#REF!,MATCH(CONCATENATE('Respuestas de formulario 1.1'!$B208,$DQ208),#REF!,0),MATCH('Respuestas de formulario 1.1'!FB$1,#REF!,0)))</f>
        <v/>
      </c>
      <c r="FC208" s="56" t="str">
        <f t="array" ref="FC208">IF($DQ208="","", INDEX(#REF!,MATCH(CONCATENATE('Respuestas de formulario 1.1'!$B208,$DQ208),#REF!,0),MATCH('Respuestas de formulario 1.1'!FC$1,#REF!,0)))</f>
        <v/>
      </c>
      <c r="FD208" s="45" t="str">
        <f t="array" ref="FD208">IF($DQ208="","", INDEX(#REF!,MATCH(CONCATENATE('Respuestas de formulario 1.1'!$B208,$DQ208),#REF!,0),MATCH('Respuestas de formulario 1.1'!FD$1,#REF!,0)))</f>
        <v/>
      </c>
      <c r="FE208" s="45" t="str">
        <f t="array" ref="FE208">IF($DR208="","", INDEX(#REF!,MATCH(CONCATENATE(#REF!,$DR208),#REF!,0),MATCH(#REF!,#REF!,0)))</f>
        <v/>
      </c>
      <c r="FF208" s="56" t="str">
        <f t="array" ref="FF208">IF($DR208="","", INDEX(#REF!,MATCH(CONCATENATE(#REF!,$DR208),#REF!,0),MATCH(#REF!,#REF!,0)))</f>
        <v/>
      </c>
      <c r="FG208" s="56" t="str">
        <f t="array" ref="FG208">IF($DR208="","", INDEX(#REF!,MATCH(CONCATENATE(#REF!,$DR208),#REF!,0),MATCH(#REF!,#REF!,0)))</f>
        <v/>
      </c>
      <c r="FH208" s="56" t="str">
        <f t="array" ref="FH208">IF($DR208="","", INDEX(#REF!,MATCH(CONCATENATE(#REF!,$DR208),#REF!,0),MATCH(#REF!,#REF!,0)))</f>
        <v/>
      </c>
      <c r="FI208" s="56" t="str">
        <f t="array" ref="FI208">IF($DR208="","", INDEX(#REF!,MATCH(CONCATENATE(#REF!,$DR208),#REF!,0),MATCH(#REF!,#REF!,0)))</f>
        <v/>
      </c>
      <c r="FJ208" s="56" t="str">
        <f t="array" ref="FJ208">IF($DR208="","", INDEX(#REF!,MATCH(CONCATENATE(#REF!,$DR208),#REF!,0),MATCH(#REF!,#REF!,0)))</f>
        <v/>
      </c>
      <c r="FK208" s="45" t="str">
        <f t="array" ref="FK208">IF($DR208="","", INDEX(#REF!,MATCH(CONCATENATE(#REF!,$DR208),#REF!,0),MATCH(#REF!,#REF!,0)))</f>
        <v/>
      </c>
      <c r="FL208" s="45" t="str">
        <f t="array" ref="FL208">IF($DT208="","", INDEX(#REF!,MATCH(CONCATENATE('Respuestas de formulario 1.1'!$B208,$DS208),#REF!,0),MATCH('Respuestas de formulario 1.1'!FL$1,#REF!,0)))</f>
        <v/>
      </c>
      <c r="FM208" s="56" t="str">
        <f t="array" ref="FM208">IF($DT208="","", INDEX(#REF!,MATCH(CONCATENATE('Respuestas de formulario 1.1'!$B208,$DS208),#REF!,0),MATCH('Respuestas de formulario 1.1'!FM$1,#REF!,0)))</f>
        <v/>
      </c>
      <c r="FN208" s="56" t="str">
        <f t="array" ref="FN208">IF($DT208="","", INDEX(#REF!,MATCH(CONCATENATE('Respuestas de formulario 1.1'!$B208,$DS208),#REF!,0),MATCH('Respuestas de formulario 1.1'!FN$1,#REF!,0)))</f>
        <v/>
      </c>
      <c r="FO208" s="56" t="str">
        <f t="array" ref="FO208">IF($DT208="","", INDEX(#REF!,MATCH(CONCATENATE('Respuestas de formulario 1.1'!$B208,$DS208),#REF!,0),MATCH('Respuestas de formulario 1.1'!FO$1,#REF!,0)))</f>
        <v/>
      </c>
      <c r="FP208" s="56" t="str">
        <f t="array" ref="FP208">IF($DT208="","", INDEX(#REF!,MATCH(CONCATENATE('Respuestas de formulario 1.1'!$B208,$DS208),#REF!,0),MATCH('Respuestas de formulario 1.1'!FP$1,#REF!,0)))</f>
        <v/>
      </c>
      <c r="FQ208" s="56" t="str">
        <f t="array" ref="FQ208">IF($DT208="","", INDEX(#REF!,MATCH(CONCATENATE('Respuestas de formulario 1.1'!$B208,$DS208),#REF!,0),MATCH('Respuestas de formulario 1.1'!FQ$1,#REF!,0)))</f>
        <v/>
      </c>
      <c r="FR208" s="45" t="str">
        <f t="array" ref="FR208">IF($DT208="","", INDEX(#REF!,MATCH(CONCATENATE('Respuestas de formulario 1.1'!$B208,$DS208),#REF!,0),MATCH('Respuestas de formulario 1.1'!FR$1,#REF!,0)))</f>
        <v/>
      </c>
      <c r="FS208" s="45" t="str">
        <f t="array" ref="FS208">IF($DU208="","", INDEX(#REF!,MATCH(CONCATENATE('Respuestas de formulario 1.1'!$B208,$DT208),#REF!,0),MATCH('Respuestas de formulario 1.1'!FS$1,#REF!,0)))</f>
        <v/>
      </c>
      <c r="FT208" s="56" t="str">
        <f t="array" ref="FT208">IF($DU208="","", INDEX(#REF!,MATCH(CONCATENATE('Respuestas de formulario 1.1'!$B208,$DT208),#REF!,0),MATCH('Respuestas de formulario 1.1'!FT$1,#REF!,0)))</f>
        <v/>
      </c>
      <c r="FU208" s="56" t="str">
        <f t="array" ref="FU208">IF($DU208="","", INDEX(#REF!,MATCH(CONCATENATE('Respuestas de formulario 1.1'!$B208,$DT208),#REF!,0),MATCH('Respuestas de formulario 1.1'!FU$1,#REF!,0)))</f>
        <v/>
      </c>
      <c r="FV208" s="56" t="str">
        <f t="array" ref="FV208">IF($DU208="","", INDEX(#REF!,MATCH(CONCATENATE('Respuestas de formulario 1.1'!$B208,$DT208),#REF!,0),MATCH('Respuestas de formulario 1.1'!FV$1,#REF!,0)))</f>
        <v/>
      </c>
      <c r="FW208" s="56" t="str">
        <f t="array" ref="FW208">IF($DU208="","", INDEX(#REF!,MATCH(CONCATENATE('Respuestas de formulario 1.1'!$B208,$DT208),#REF!,0),MATCH('Respuestas de formulario 1.1'!FW$1,#REF!,0)))</f>
        <v/>
      </c>
      <c r="FX208" s="56" t="str">
        <f t="array" ref="FX208">IF($DU208="","", INDEX(#REF!,MATCH(CONCATENATE('Respuestas de formulario 1.1'!$B208,$DT208),#REF!,0),MATCH('Respuestas de formulario 1.1'!FX$1,#REF!,0)))</f>
        <v/>
      </c>
      <c r="FY208" s="45" t="str">
        <f t="array" ref="FY208">IF($DU208="","", INDEX(#REF!,MATCH(CONCATENATE('Respuestas de formulario 1.1'!$B208,$DT208),#REF!,0),MATCH('Respuestas de formulario 1.1'!FY$1,#REF!,0)))</f>
        <v/>
      </c>
      <c r="FZ208" s="3" t="s">
        <v>2860</v>
      </c>
      <c r="GA208" s="1" t="s">
        <v>6414</v>
      </c>
      <c r="GB208" s="5" t="s">
        <v>6415</v>
      </c>
      <c r="GC208" s="4" t="str">
        <f>HYPERLINK("https://drive.google.com/file/d/1eCJGogHZLjsrBC4fqoZYV060mrykUyTR/view?usp=drivesdk","JUAREZ  ACUAUTLA  EMILY Formato de reinscripción y pago 2022-2")</f>
        <v>JUAREZ  ACUAUTLA  EMILY Formato de reinscripción y pago 2022-2</v>
      </c>
      <c r="GD208" s="1" t="s">
        <v>6416</v>
      </c>
      <c r="GE208" s="1"/>
      <c r="GF208" s="1"/>
      <c r="GG208" s="1"/>
      <c r="GH208" s="1"/>
      <c r="GI208" s="1" t="s">
        <v>6417</v>
      </c>
      <c r="GJ208" s="5" t="s">
        <v>6418</v>
      </c>
      <c r="GK208" s="5" t="str">
        <f>HYPERLINK("https://drive.google.com/file/d/1xCQlncXYP3wcmCGuwdtjeGysl1dDjOj0/view?usp=drivesdk","JUAREZ  ACUAUTLA  EMILY Formato de reinscripción y pago 2022-2")</f>
        <v>JUAREZ  ACUAUTLA  EMILY Formato de reinscripción y pago 2022-2</v>
      </c>
      <c r="GL208" s="1" t="s">
        <v>6419</v>
      </c>
    </row>
    <row r="209" spans="1:194" ht="38.25" x14ac:dyDescent="0.2">
      <c r="A209" s="2">
        <v>45139.51947324074</v>
      </c>
      <c r="B209" s="1" t="s">
        <v>1402</v>
      </c>
      <c r="C209" s="1" t="s">
        <v>433</v>
      </c>
      <c r="D209" s="1" t="s">
        <v>244</v>
      </c>
      <c r="E209" s="1" t="s">
        <v>677</v>
      </c>
      <c r="F209" s="1" t="s">
        <v>262</v>
      </c>
      <c r="G209" s="5" t="s">
        <v>6420</v>
      </c>
      <c r="H209" s="41">
        <v>38773</v>
      </c>
      <c r="I209" s="1">
        <v>17</v>
      </c>
      <c r="J209" s="1">
        <v>5620734427</v>
      </c>
      <c r="K209" s="1">
        <v>5620711549</v>
      </c>
      <c r="L209" s="1" t="s">
        <v>1403</v>
      </c>
      <c r="M209" s="1">
        <v>21309060310263</v>
      </c>
      <c r="N209" s="1" t="s">
        <v>1108</v>
      </c>
      <c r="O209" s="1" t="s">
        <v>225</v>
      </c>
      <c r="P209" s="1" t="s">
        <v>226</v>
      </c>
      <c r="Q209" s="1" t="s">
        <v>315</v>
      </c>
      <c r="R209" s="1" t="s">
        <v>236</v>
      </c>
      <c r="S209" s="1" t="s">
        <v>236</v>
      </c>
      <c r="T209" s="1" t="s">
        <v>411</v>
      </c>
      <c r="U209" s="1" t="s">
        <v>249</v>
      </c>
      <c r="V209" s="1" t="s">
        <v>228</v>
      </c>
      <c r="W209" s="1" t="s">
        <v>6421</v>
      </c>
      <c r="X209" s="1" t="s">
        <v>393</v>
      </c>
      <c r="Y209" s="1" t="s">
        <v>670</v>
      </c>
      <c r="Z209" s="1" t="s">
        <v>240</v>
      </c>
      <c r="AA209" s="44" t="s">
        <v>707</v>
      </c>
      <c r="AB209" s="1">
        <v>263</v>
      </c>
      <c r="AC209" s="1" t="s">
        <v>713</v>
      </c>
      <c r="AD209" s="1" t="s">
        <v>2152</v>
      </c>
      <c r="AE209" s="1" t="s">
        <v>6422</v>
      </c>
      <c r="AF209" s="1" t="s">
        <v>265</v>
      </c>
      <c r="AG209" s="1">
        <v>35</v>
      </c>
      <c r="AH209" s="5" t="s">
        <v>6423</v>
      </c>
      <c r="AI209" s="1">
        <v>5620711549</v>
      </c>
      <c r="AJ209" s="1">
        <v>5620711549</v>
      </c>
      <c r="AK209" s="1"/>
      <c r="AL209" s="1" t="s">
        <v>259</v>
      </c>
      <c r="AM209" s="1" t="s">
        <v>827</v>
      </c>
      <c r="AN209" s="1" t="s">
        <v>613</v>
      </c>
      <c r="AO209" s="1" t="s">
        <v>435</v>
      </c>
      <c r="AP209" s="1">
        <v>38</v>
      </c>
      <c r="AQ209" s="1" t="s">
        <v>6424</v>
      </c>
      <c r="AR209" s="42">
        <v>0.25</v>
      </c>
      <c r="AS209" s="42">
        <v>0.25</v>
      </c>
      <c r="AT209" s="1">
        <v>5517308082</v>
      </c>
      <c r="AU209" s="1">
        <v>5517308082</v>
      </c>
      <c r="AV209" s="1"/>
      <c r="AW209" s="5" t="s">
        <v>6425</v>
      </c>
      <c r="AX209" s="1" t="s">
        <v>1924</v>
      </c>
      <c r="AY209" s="1" t="s">
        <v>1404</v>
      </c>
      <c r="AZ209" s="1" t="s">
        <v>515</v>
      </c>
      <c r="BA209" s="1" t="s">
        <v>453</v>
      </c>
      <c r="BB209" s="1">
        <v>50</v>
      </c>
      <c r="BC209" s="1" t="s">
        <v>1627</v>
      </c>
      <c r="BD209" s="43">
        <v>0.25</v>
      </c>
      <c r="BE209" s="43">
        <v>0.45833333333575865</v>
      </c>
      <c r="BF209" s="1">
        <v>5614885427</v>
      </c>
      <c r="BG209" s="1">
        <v>5614885427</v>
      </c>
      <c r="BH209" s="1"/>
      <c r="BI209" s="5" t="s">
        <v>6426</v>
      </c>
      <c r="BJ209" s="1" t="s">
        <v>236</v>
      </c>
      <c r="BL209" s="1">
        <v>176</v>
      </c>
      <c r="BM209" s="1">
        <v>64</v>
      </c>
      <c r="BN209" s="1" t="s">
        <v>236</v>
      </c>
      <c r="BO209" s="1" t="s">
        <v>228</v>
      </c>
      <c r="BQ209" s="1" t="s">
        <v>228</v>
      </c>
      <c r="BR209" s="1" t="s">
        <v>237</v>
      </c>
      <c r="BS209" s="1" t="s">
        <v>236</v>
      </c>
      <c r="BT209" s="1" t="s">
        <v>271</v>
      </c>
      <c r="BU209" s="1" t="s">
        <v>228</v>
      </c>
      <c r="BW209" s="1" t="s">
        <v>657</v>
      </c>
      <c r="BX209" s="1">
        <v>15</v>
      </c>
      <c r="BY209" s="1">
        <v>300</v>
      </c>
      <c r="BZ209" s="1" t="s">
        <v>406</v>
      </c>
      <c r="CA209" s="1" t="s">
        <v>6427</v>
      </c>
      <c r="CB209" s="1" t="s">
        <v>240</v>
      </c>
      <c r="CC209" s="1" t="s">
        <v>322</v>
      </c>
      <c r="CD209" s="1">
        <v>3000</v>
      </c>
      <c r="CE209" s="1">
        <v>2000</v>
      </c>
      <c r="CF209" s="1" t="s">
        <v>236</v>
      </c>
      <c r="CG209" s="1" t="s">
        <v>242</v>
      </c>
      <c r="CH209" s="1" t="s">
        <v>243</v>
      </c>
      <c r="CI209" s="1" t="s">
        <v>243</v>
      </c>
      <c r="CJ209" s="1" t="s">
        <v>2848</v>
      </c>
      <c r="CL209" s="5" t="s">
        <v>6428</v>
      </c>
      <c r="CM209" s="1" t="s">
        <v>6429</v>
      </c>
      <c r="CN209" s="1" t="s">
        <v>228</v>
      </c>
      <c r="CQ209" s="42">
        <v>0.5</v>
      </c>
      <c r="CR209" s="42">
        <v>0.5</v>
      </c>
      <c r="CT209" s="45" t="str">
        <f t="array" ref="CT209">IFERROR(INDEX(#REF!,MATCH('Respuestas de formulario 1.1'!$B209,#REF!,0),MATCH('Respuestas de formulario 1.1'!CT$1,#REF!,0)),"")</f>
        <v/>
      </c>
      <c r="CU209" s="56" t="str">
        <f t="array" ref="CU209">IFERROR(INDEX(#REF!,MATCH('Respuestas de formulario 1.1'!$B209,#REF!,0),MATCH('Respuestas de formulario 1.1'!CU$1,#REF!,0)),"")</f>
        <v/>
      </c>
      <c r="CV209" s="56" t="str">
        <f t="array" ref="CV209">IFERROR(INDEX(#REF!,MATCH('Respuestas de formulario 1.1'!$B209,#REF!,0),MATCH('Respuestas de formulario 1.1'!CV$1,#REF!,0)),"")</f>
        <v/>
      </c>
      <c r="CW209" s="56" t="str">
        <f t="array" ref="CW209">IFERROR(INDEX(#REF!,MATCH('Respuestas de formulario 1.1'!$B209,#REF!,0),MATCH('Respuestas de formulario 1.1'!CW$1,#REF!,0)),"")</f>
        <v/>
      </c>
      <c r="CX209" s="56" t="str">
        <f t="array" ref="CX209">IFERROR(INDEX(#REF!,MATCH('Respuestas de formulario 1.1'!$B209,#REF!,0),MATCH('Respuestas de formulario 1.1'!CX$1,#REF!,0)),"")</f>
        <v/>
      </c>
      <c r="CY209" s="56" t="str">
        <f t="array" ref="CY209">IFERROR(INDEX(#REF!,MATCH('Respuestas de formulario 1.1'!$B209,#REF!,0),MATCH('Respuestas de formulario 1.1'!CY$1,#REF!,0)),"")</f>
        <v/>
      </c>
      <c r="CZ209" s="57" t="str">
        <f t="array" ref="CZ209">IFERROR(INDEX(#REF!,MATCH('Respuestas de formulario 1.1'!$B209,#REF!,0),MATCH('Respuestas de formulario 1.1'!CZ$1,#REF!,0)),"")</f>
        <v/>
      </c>
      <c r="DA209" s="45" t="e">
        <f t="array" ref="DA209">INDEX(#REF!,MATCH('Respuestas de formulario 1.1'!$B209,#REF!,0),MATCH('Respuestas de formulario 1.1'!DA$1,#REF!,0))</f>
        <v>#REF!</v>
      </c>
      <c r="DB209" s="45" t="e">
        <f t="array" ref="DB209">INDEX(#REF!,MATCH('Respuestas de formulario 1.1'!$B209,#REF!,0),MATCH('Respuestas de formulario 1.1'!DB$1,#REF!,0))</f>
        <v>#REF!</v>
      </c>
      <c r="DC209" s="45" t="e">
        <f t="array" ref="DC209">INDEX(#REF!,MATCH('Respuestas de formulario 1.1'!$B209,#REF!,0),MATCH('Respuestas de formulario 1.1'!DC$1,#REF!,0))</f>
        <v>#REF!</v>
      </c>
      <c r="DD209" s="45" t="e">
        <f t="array" ref="DD209">INDEX(#REF!,MATCH('Respuestas de formulario 1.1'!$B209,#REF!,0),MATCH('Respuestas de formulario 1.1'!DD$1,#REF!,0))</f>
        <v>#REF!</v>
      </c>
      <c r="DE209" s="45" t="e">
        <f t="array" ref="DE209">INDEX(#REF!,MATCH('Respuestas de formulario 1.1'!$B209,#REF!,0),MATCH('Respuestas de formulario 1.1'!DE$1,#REF!,0))</f>
        <v>#REF!</v>
      </c>
      <c r="DF209" s="45" t="e">
        <f t="array" ref="DF209">INDEX(#REF!,MATCH('Respuestas de formulario 1.1'!$B209,#REF!,0),MATCH('Respuestas de formulario 1.1'!DF$1,#REF!,0))</f>
        <v>#REF!</v>
      </c>
      <c r="DG209" s="45" t="e">
        <f t="array" ref="DG209">INDEX(#REF!,MATCH('Respuestas de formulario 1.1'!$B209,#REF!,0),MATCH('Respuestas de formulario 1.1'!DG$1,#REF!,0))</f>
        <v>#REF!</v>
      </c>
      <c r="DH209" s="45" t="e">
        <f t="array" ref="DH209">INDEX(#REF!,MATCH('Respuestas de formulario 1.1'!$B209,#REF!,0),MATCH('Respuestas de formulario 1.1'!DH$1,#REF!,0))</f>
        <v>#REF!</v>
      </c>
      <c r="DI209" s="48" t="e">
        <f>VLOOKUP(CONCATENATE($DF209," TUTO ",$DC209),#REF!,3,0)</f>
        <v>#REF!</v>
      </c>
      <c r="DJ209" s="48" t="e">
        <f t="array" ref="DJ209">IF('Respuestas de formulario 1.1'!A209="","",INDEX(#REF!,MATCH('Respuestas de formulario 1.1'!B209,#REF!,0),MATCH('Respuestas de formulario 1.1'!$DH$1,#REF!,0)))</f>
        <v>#REF!</v>
      </c>
      <c r="DK209" s="52" t="str">
        <f>CONCATENATE("http://doc.google.com/uc?id=",MID('Respuestas de formulario 1.1'!G209,34,33))</f>
        <v>http://doc.google.com/uc?id=1T8DTRq7qJwOoEuXx-6eAAJQskn_PWQGF</v>
      </c>
      <c r="DL209" s="49" t="str">
        <f>CONCATENATE("http://doc.google.com/uc?id=",MID('Respuestas de formulario 1.1'!AH209,34,33))</f>
        <v>http://doc.google.com/uc?id=1_zWE-blxtnXYqP2T6j1eWQ0RkmXX8ZDa</v>
      </c>
      <c r="DM209" s="50" t="str">
        <f>CONCATENATE("http://doc.google.com/uc?id=",MID('Respuestas de formulario 1.1'!AW209,34,33))</f>
        <v>http://doc.google.com/uc?id=1ElrMT1GoimYPImac5SsoD2sMZmypa_PJ</v>
      </c>
      <c r="DN209" s="53" t="str">
        <f>CONCATENATE("http://doc.google.com/uc?id=",MID('Respuestas de formulario 1.1'!$BI209,34,33))</f>
        <v>http://doc.google.com/uc?id=1ibUNAyqXZSuD0pmxPLsDo_4DFL0HlKi3</v>
      </c>
      <c r="DO209" s="45" t="str">
        <f>IFERROR(VLOOKUP(CONCATENATE('Respuestas de formulario 1.1'!$B209,MID('Respuestas de formulario 1.1'!DO$1,2,1)),#REF!,12,0),"")</f>
        <v/>
      </c>
      <c r="DP209" s="45" t="str">
        <f>IFERROR(VLOOKUP(CONCATENATE('Respuestas de formulario 1.1'!$B209,MID('Respuestas de formulario 1.1'!DP$1,2,1)),#REF!,12,0),"")</f>
        <v/>
      </c>
      <c r="DQ209" s="45" t="str">
        <f>IFERROR(VLOOKUP(CONCATENATE('Respuestas de formulario 1.1'!$B209,MID('Respuestas de formulario 1.1'!DQ$1,2,1)),#REF!,12,0),"")</f>
        <v/>
      </c>
      <c r="DR209" s="45" t="str">
        <f>IFERROR(VLOOKUP(CONCATENATE('Respuestas de formulario 1.1'!$B209,MID('Respuestas de formulario 1.1'!DR$1,2,1)),#REF!,12,0),"")</f>
        <v/>
      </c>
      <c r="DS209" s="45" t="str">
        <f>IFERROR(VLOOKUP(CONCATENATE('Respuestas de formulario 1.1'!$B209,MID('Respuestas de formulario 1.1'!DS$1,2,1)),#REF!,12,0),"")</f>
        <v/>
      </c>
      <c r="DT209" s="45" t="str">
        <f>IFERROR(VLOOKUP(CONCATENATE('Respuestas de formulario 1.1'!$B209,MID('Respuestas de formulario 1.1'!DT$1,2,1)),#REF!,12,0),"")</f>
        <v/>
      </c>
      <c r="DU209" s="45" t="str">
        <f>IFERROR(VLOOKUP(CONCATENATE('Respuestas de formulario 1.1'!$B209,MID('Respuestas de formulario 1.1'!DU$1,2,1)),#REF!,12,0),"")</f>
        <v/>
      </c>
      <c r="DV209" s="45" t="str">
        <f>IFERROR(VLOOKUP(CONCATENATE('Respuestas de formulario 1.1'!$B209,MID('Respuestas de formulario 1.1'!DV$1,2,1)),#REF!,12,0),"")</f>
        <v/>
      </c>
      <c r="DW209" s="45" t="str">
        <f>IFERROR(VLOOKUP(CONCATENATE('Respuestas de formulario 1.1'!$B209,MID('Respuestas de formulario 1.1'!DW$1,2,1)),#REF!,12,0),"")</f>
        <v/>
      </c>
      <c r="DX209" s="45" t="str">
        <f>IFERROR(VLOOKUP(CONCATENATE('Respuestas de formulario 1.1'!$B209,MID('Respuestas de formulario 1.1'!DX$1,2,1)),#REF!,12,0),"")</f>
        <v/>
      </c>
      <c r="DY209" s="45" t="str">
        <f>IFERROR(VLOOKUP(CONCATENATE('Respuestas de formulario 1.1'!$B209,MID('Respuestas de formulario 1.1'!DY$1,2,1)),#REF!,12,0),"")</f>
        <v/>
      </c>
      <c r="DZ209" s="45" t="str">
        <f>IFERROR(VLOOKUP(CONCATENATE('Respuestas de formulario 1.1'!$B209,MID('Respuestas de formulario 1.1'!DZ$1,2,1)),#REF!,12,0),"")</f>
        <v/>
      </c>
      <c r="EA209" s="45" t="str">
        <f>IFERROR(VLOOKUP(CONCATENATE('Respuestas de formulario 1.1'!$B209,MID('Respuestas de formulario 1.1'!EA$1,2,1)),#REF!,12,0),"")</f>
        <v/>
      </c>
      <c r="EB209" s="45" t="str">
        <f>IFERROR(VLOOKUP(CONCATENATE('Respuestas de formulario 1.1'!$B209,MID('Respuestas de formulario 1.1'!EB$1,2,1)),#REF!,12,0),"")</f>
        <v/>
      </c>
      <c r="EC209" s="45" t="str">
        <f>IFERROR(VLOOKUP(CONCATENATE('Respuestas de formulario 1.1'!$B209,MID('Respuestas de formulario 1.1'!EC$1,2,1)),#REF!,12,0),"")</f>
        <v/>
      </c>
      <c r="ED209" s="45" t="str">
        <f>IFERROR(VLOOKUP(CONCATENATE('Respuestas de formulario 1.1'!$B209,MID('Respuestas de formulario 1.1'!ED$1,2,1)),#REF!,12,0),"")</f>
        <v/>
      </c>
      <c r="EE209" s="45" t="str">
        <f>IFERROR(VLOOKUP(CONCATENATE('Respuestas de formulario 1.1'!$B209,MID('Respuestas de formulario 1.1'!EE$1,2,1)),#REF!,12,0),"")</f>
        <v/>
      </c>
      <c r="EF209" s="45" t="str">
        <f>IFERROR(VLOOKUP(CONCATENATE('Respuestas de formulario 1.1'!$B209,MID('Respuestas de formulario 1.1'!EF$1,2,1)),#REF!,12,0),"")</f>
        <v/>
      </c>
      <c r="EG209" s="45" t="str">
        <f>IFERROR(VLOOKUP(CONCATENATE('Respuestas de formulario 1.1'!$B209,MID('Respuestas de formulario 1.1'!EG$1,2,1)),#REF!,12,0),"")</f>
        <v/>
      </c>
      <c r="EH209" s="45" t="str">
        <f>IFERROR(VLOOKUP(CONCATENATE('Respuestas de formulario 1.1'!$B209,MID('Respuestas de formulario 1.1'!EH$1,2,1)),#REF!,12,0),"")</f>
        <v/>
      </c>
      <c r="EI209" s="45" t="str">
        <f>IFERROR(VLOOKUP(CONCATENATE('Respuestas de formulario 1.1'!$B209,MID('Respuestas de formulario 1.1'!EI$1,2,1)),#REF!,12,0),"")</f>
        <v/>
      </c>
      <c r="EJ209" s="45" t="str">
        <f t="array" ref="EJ209">IF(DO209="","", INDEX(#REF!,MATCH(CONCATENATE('Respuestas de formulario 1.1'!$B209,DO209),#REF!,0),MATCH('Respuestas de formulario 1.1'!EJ$1,#REF!,0)))</f>
        <v/>
      </c>
      <c r="EK209" s="56" t="str">
        <f t="array" ref="EK209">IF(DP209="","", INDEX(#REF!,MATCH(CONCATENATE('Respuestas de formulario 1.1'!$B209,DP209),#REF!,0),MATCH('Respuestas de formulario 1.1'!EK$1,#REF!,0)))</f>
        <v/>
      </c>
      <c r="EL209" s="56" t="str">
        <f t="array" ref="EL209">IF(DQ209="","", INDEX(#REF!,MATCH(CONCATENATE('Respuestas de formulario 1.1'!$B209,DQ209),#REF!,0),MATCH('Respuestas de formulario 1.1'!EL$1,#REF!,0)))</f>
        <v/>
      </c>
      <c r="EM209" s="56" t="str">
        <f t="array" ref="EM209">IF(DR209="","", INDEX(#REF!,MATCH(CONCATENATE('Respuestas de formulario 1.1'!$B209,DR209),#REF!,0),MATCH('Respuestas de formulario 1.1'!EM$1,#REF!,0)))</f>
        <v/>
      </c>
      <c r="EN209" s="56" t="str">
        <f t="array" ref="EN209">IF(DS209="","", INDEX(#REF!,MATCH(CONCATENATE('Respuestas de formulario 1.1'!$B209,DS209),#REF!,0),MATCH('Respuestas de formulario 1.1'!EN$1,#REF!,0)))</f>
        <v/>
      </c>
      <c r="EO209" s="56" t="str">
        <f t="array" ref="EO209">IF(DT209="","", INDEX(#REF!,MATCH(CONCATENATE('Respuestas de formulario 1.1'!$B209,DT209),#REF!,0),MATCH('Respuestas de formulario 1.1'!EO$1,#REF!,0)))</f>
        <v/>
      </c>
      <c r="EP209" s="45" t="str">
        <f t="array" ref="EP209">IF(DU209="","", INDEX(#REF!,MATCH(CONCATENATE('Respuestas de formulario 1.1'!$B209,DU209),#REF!,0),MATCH('Respuestas de formulario 1.1'!EP$1,#REF!,0)))</f>
        <v/>
      </c>
      <c r="EQ209" s="45" t="str">
        <f t="array" ref="EQ209">IF(DP209="","", INDEX(#REF!,MATCH(CONCATENATE('Respuestas de formulario 1.1'!$B209,DP209),#REF!,0),MATCH('Respuestas de formulario 1.1'!EQ$1,#REF!,0)))</f>
        <v/>
      </c>
      <c r="ER209" s="56" t="str">
        <f t="array" ref="ER209">IF(DQ209="","", INDEX(#REF!,MATCH(CONCATENATE('Respuestas de formulario 1.1'!$B209,DQ209),#REF!,0),MATCH('Respuestas de formulario 1.1'!ER$1,#REF!,0)))</f>
        <v/>
      </c>
      <c r="ES209" s="56" t="str">
        <f t="array" ref="ES209">IF(DR209="","", INDEX(#REF!,MATCH(CONCATENATE('Respuestas de formulario 1.1'!$B209,DR209),#REF!,0),MATCH('Respuestas de formulario 1.1'!ES$1,#REF!,0)))</f>
        <v/>
      </c>
      <c r="ET209" s="56" t="str">
        <f t="array" ref="ET209">IF(DS209="","", INDEX(#REF!,MATCH(CONCATENATE('Respuestas de formulario 1.1'!$B209,DS209),#REF!,0),MATCH('Respuestas de formulario 1.1'!ET$1,#REF!,0)))</f>
        <v/>
      </c>
      <c r="EU209" s="56" t="str">
        <f t="array" ref="EU209">IF(DT209="","", INDEX(#REF!,MATCH(CONCATENATE('Respuestas de formulario 1.1'!$B209,DT209),#REF!,0),MATCH('Respuestas de formulario 1.1'!EU$1,#REF!,0)))</f>
        <v/>
      </c>
      <c r="EV209" s="56" t="str">
        <f t="array" ref="EV209">IF(DU209="","", INDEX(#REF!,MATCH(CONCATENATE('Respuestas de formulario 1.1'!$B209,DU209),#REF!,0),MATCH('Respuestas de formulario 1.1'!EV$1,#REF!,0)))</f>
        <v/>
      </c>
      <c r="EW209" s="45" t="str">
        <f t="array" ref="EW209">IF(DV209="","", INDEX(#REF!,MATCH(CONCATENATE('Respuestas de formulario 1.1'!$B209,DV209),#REF!,0),MATCH('Respuestas de formulario 1.1'!EW$1,#REF!,0)))</f>
        <v/>
      </c>
      <c r="EX209" s="45" t="str">
        <f t="array" ref="EX209">IF($DQ209="","", INDEX(#REF!,MATCH(CONCATENATE('Respuestas de formulario 1.1'!$B209,$DQ209),#REF!,0),MATCH('Respuestas de formulario 1.1'!EX$1,#REF!,0)))</f>
        <v/>
      </c>
      <c r="EY209" s="56" t="str">
        <f t="array" ref="EY209">IF($DQ209="","", INDEX(#REF!,MATCH(CONCATENATE('Respuestas de formulario 1.1'!$B209,$DQ209),#REF!,0),MATCH('Respuestas de formulario 1.1'!EY$1,#REF!,0)))</f>
        <v/>
      </c>
      <c r="EZ209" s="56" t="str">
        <f t="array" ref="EZ209">IF($DQ209="","", INDEX(#REF!,MATCH(CONCATENATE('Respuestas de formulario 1.1'!$B209,$DQ209),#REF!,0),MATCH('Respuestas de formulario 1.1'!EZ$1,#REF!,0)))</f>
        <v/>
      </c>
      <c r="FA209" s="56" t="str">
        <f t="array" ref="FA209">IF($DQ209="","", INDEX(#REF!,MATCH(CONCATENATE('Respuestas de formulario 1.1'!$B209,$DQ209),#REF!,0),MATCH('Respuestas de formulario 1.1'!FA$1,#REF!,0)))</f>
        <v/>
      </c>
      <c r="FB209" s="56" t="str">
        <f t="array" ref="FB209">IF($DQ209="","", INDEX(#REF!,MATCH(CONCATENATE('Respuestas de formulario 1.1'!$B209,$DQ209),#REF!,0),MATCH('Respuestas de formulario 1.1'!FB$1,#REF!,0)))</f>
        <v/>
      </c>
      <c r="FC209" s="56" t="str">
        <f t="array" ref="FC209">IF($DQ209="","", INDEX(#REF!,MATCH(CONCATENATE('Respuestas de formulario 1.1'!$B209,$DQ209),#REF!,0),MATCH('Respuestas de formulario 1.1'!FC$1,#REF!,0)))</f>
        <v/>
      </c>
      <c r="FD209" s="45" t="str">
        <f t="array" ref="FD209">IF($DQ209="","", INDEX(#REF!,MATCH(CONCATENATE('Respuestas de formulario 1.1'!$B209,$DQ209),#REF!,0),MATCH('Respuestas de formulario 1.1'!FD$1,#REF!,0)))</f>
        <v/>
      </c>
      <c r="FE209" s="45" t="str">
        <f t="array" ref="FE209">IF($DR209="","", INDEX(#REF!,MATCH(CONCATENATE(#REF!,$DR209),#REF!,0),MATCH(#REF!,#REF!,0)))</f>
        <v/>
      </c>
      <c r="FF209" s="56" t="str">
        <f t="array" ref="FF209">IF($DR209="","", INDEX(#REF!,MATCH(CONCATENATE(#REF!,$DR209),#REF!,0),MATCH(#REF!,#REF!,0)))</f>
        <v/>
      </c>
      <c r="FG209" s="56" t="str">
        <f t="array" ref="FG209">IF($DR209="","", INDEX(#REF!,MATCH(CONCATENATE(#REF!,$DR209),#REF!,0),MATCH(#REF!,#REF!,0)))</f>
        <v/>
      </c>
      <c r="FH209" s="56" t="str">
        <f t="array" ref="FH209">IF($DR209="","", INDEX(#REF!,MATCH(CONCATENATE(#REF!,$DR209),#REF!,0),MATCH(#REF!,#REF!,0)))</f>
        <v/>
      </c>
      <c r="FI209" s="56" t="str">
        <f t="array" ref="FI209">IF($DR209="","", INDEX(#REF!,MATCH(CONCATENATE(#REF!,$DR209),#REF!,0),MATCH(#REF!,#REF!,0)))</f>
        <v/>
      </c>
      <c r="FJ209" s="56" t="str">
        <f t="array" ref="FJ209">IF($DR209="","", INDEX(#REF!,MATCH(CONCATENATE(#REF!,$DR209),#REF!,0),MATCH(#REF!,#REF!,0)))</f>
        <v/>
      </c>
      <c r="FK209" s="45" t="str">
        <f t="array" ref="FK209">IF($DR209="","", INDEX(#REF!,MATCH(CONCATENATE(#REF!,$DR209),#REF!,0),MATCH(#REF!,#REF!,0)))</f>
        <v/>
      </c>
      <c r="FL209" s="45" t="str">
        <f t="array" ref="FL209">IF($DT209="","", INDEX(#REF!,MATCH(CONCATENATE('Respuestas de formulario 1.1'!$B209,$DS209),#REF!,0),MATCH('Respuestas de formulario 1.1'!FL$1,#REF!,0)))</f>
        <v/>
      </c>
      <c r="FM209" s="56" t="str">
        <f t="array" ref="FM209">IF($DT209="","", INDEX(#REF!,MATCH(CONCATENATE('Respuestas de formulario 1.1'!$B209,$DS209),#REF!,0),MATCH('Respuestas de formulario 1.1'!FM$1,#REF!,0)))</f>
        <v/>
      </c>
      <c r="FN209" s="56" t="str">
        <f t="array" ref="FN209">IF($DT209="","", INDEX(#REF!,MATCH(CONCATENATE('Respuestas de formulario 1.1'!$B209,$DS209),#REF!,0),MATCH('Respuestas de formulario 1.1'!FN$1,#REF!,0)))</f>
        <v/>
      </c>
      <c r="FO209" s="56" t="str">
        <f t="array" ref="FO209">IF($DT209="","", INDEX(#REF!,MATCH(CONCATENATE('Respuestas de formulario 1.1'!$B209,$DS209),#REF!,0),MATCH('Respuestas de formulario 1.1'!FO$1,#REF!,0)))</f>
        <v/>
      </c>
      <c r="FP209" s="56" t="str">
        <f t="array" ref="FP209">IF($DT209="","", INDEX(#REF!,MATCH(CONCATENATE('Respuestas de formulario 1.1'!$B209,$DS209),#REF!,0),MATCH('Respuestas de formulario 1.1'!FP$1,#REF!,0)))</f>
        <v/>
      </c>
      <c r="FQ209" s="56" t="str">
        <f t="array" ref="FQ209">IF($DT209="","", INDEX(#REF!,MATCH(CONCATENATE('Respuestas de formulario 1.1'!$B209,$DS209),#REF!,0),MATCH('Respuestas de formulario 1.1'!FQ$1,#REF!,0)))</f>
        <v/>
      </c>
      <c r="FR209" s="45" t="str">
        <f t="array" ref="FR209">IF($DT209="","", INDEX(#REF!,MATCH(CONCATENATE('Respuestas de formulario 1.1'!$B209,$DS209),#REF!,0),MATCH('Respuestas de formulario 1.1'!FR$1,#REF!,0)))</f>
        <v/>
      </c>
      <c r="FS209" s="45" t="str">
        <f t="array" ref="FS209">IF($DU209="","", INDEX(#REF!,MATCH(CONCATENATE('Respuestas de formulario 1.1'!$B209,$DT209),#REF!,0),MATCH('Respuestas de formulario 1.1'!FS$1,#REF!,0)))</f>
        <v/>
      </c>
      <c r="FT209" s="56" t="str">
        <f t="array" ref="FT209">IF($DU209="","", INDEX(#REF!,MATCH(CONCATENATE('Respuestas de formulario 1.1'!$B209,$DT209),#REF!,0),MATCH('Respuestas de formulario 1.1'!FT$1,#REF!,0)))</f>
        <v/>
      </c>
      <c r="FU209" s="56" t="str">
        <f t="array" ref="FU209">IF($DU209="","", INDEX(#REF!,MATCH(CONCATENATE('Respuestas de formulario 1.1'!$B209,$DT209),#REF!,0),MATCH('Respuestas de formulario 1.1'!FU$1,#REF!,0)))</f>
        <v/>
      </c>
      <c r="FV209" s="56" t="str">
        <f t="array" ref="FV209">IF($DU209="","", INDEX(#REF!,MATCH(CONCATENATE('Respuestas de formulario 1.1'!$B209,$DT209),#REF!,0),MATCH('Respuestas de formulario 1.1'!FV$1,#REF!,0)))</f>
        <v/>
      </c>
      <c r="FW209" s="56" t="str">
        <f t="array" ref="FW209">IF($DU209="","", INDEX(#REF!,MATCH(CONCATENATE('Respuestas de formulario 1.1'!$B209,$DT209),#REF!,0),MATCH('Respuestas de formulario 1.1'!FW$1,#REF!,0)))</f>
        <v/>
      </c>
      <c r="FX209" s="56" t="str">
        <f t="array" ref="FX209">IF($DU209="","", INDEX(#REF!,MATCH(CONCATENATE('Respuestas de formulario 1.1'!$B209,$DT209),#REF!,0),MATCH('Respuestas de formulario 1.1'!FX$1,#REF!,0)))</f>
        <v/>
      </c>
      <c r="FY209" s="45" t="str">
        <f t="array" ref="FY209">IF($DU209="","", INDEX(#REF!,MATCH(CONCATENATE('Respuestas de formulario 1.1'!$B209,$DT209),#REF!,0),MATCH('Respuestas de formulario 1.1'!FY$1,#REF!,0)))</f>
        <v/>
      </c>
      <c r="FZ209" s="3" t="s">
        <v>2860</v>
      </c>
      <c r="GA209" s="1" t="s">
        <v>6430</v>
      </c>
      <c r="GB209" s="5" t="s">
        <v>6431</v>
      </c>
      <c r="GC209" s="4" t="str">
        <f>HYPERLINK("https://drive.google.com/file/d/10jOrzRudAZo_kk7DravZW9hnc3aOMlQa/view?usp=drivesdk","MARTINEZ HERNANDEZ DIEGO Formato de reinscripción y pago 2022-2")</f>
        <v>MARTINEZ HERNANDEZ DIEGO Formato de reinscripción y pago 2022-2</v>
      </c>
      <c r="GD209" s="1" t="s">
        <v>6432</v>
      </c>
      <c r="GE209" s="1"/>
      <c r="GF209" s="1"/>
      <c r="GG209" s="1"/>
      <c r="GH209" s="1"/>
      <c r="GI209" s="1" t="s">
        <v>6433</v>
      </c>
      <c r="GJ209" s="5" t="s">
        <v>6434</v>
      </c>
      <c r="GK209" s="5" t="str">
        <f>HYPERLINK("https://drive.google.com/file/d/1Zswd_3RO1H7bztXFotFkcu7zxA52Xjuk/view?usp=drivesdk","MARTINEZ HERNANDEZ DIEGO Formato de reinscripción y pago 2022-2")</f>
        <v>MARTINEZ HERNANDEZ DIEGO Formato de reinscripción y pago 2022-2</v>
      </c>
      <c r="GL209" s="1" t="s">
        <v>6435</v>
      </c>
    </row>
    <row r="210" spans="1:194" ht="38.25" x14ac:dyDescent="0.2">
      <c r="A210" s="2">
        <v>45139.519555682869</v>
      </c>
      <c r="B210" s="1" t="s">
        <v>2164</v>
      </c>
      <c r="C210" s="1" t="s">
        <v>712</v>
      </c>
      <c r="D210" s="1" t="s">
        <v>1245</v>
      </c>
      <c r="E210" s="1" t="s">
        <v>2165</v>
      </c>
      <c r="F210" s="1" t="s">
        <v>223</v>
      </c>
      <c r="G210" s="5" t="s">
        <v>6436</v>
      </c>
      <c r="H210" s="41">
        <v>39321</v>
      </c>
      <c r="I210" s="1">
        <v>15</v>
      </c>
      <c r="J210" s="1">
        <v>5540270829</v>
      </c>
      <c r="K210" s="1">
        <v>5589221531</v>
      </c>
      <c r="L210" s="1" t="s">
        <v>2166</v>
      </c>
      <c r="M210" s="1">
        <v>22309060570132</v>
      </c>
      <c r="N210" s="1" t="s">
        <v>562</v>
      </c>
      <c r="O210" s="1" t="s">
        <v>247</v>
      </c>
      <c r="P210" s="1" t="s">
        <v>226</v>
      </c>
      <c r="Q210" s="1" t="s">
        <v>227</v>
      </c>
      <c r="R210" s="1" t="s">
        <v>236</v>
      </c>
      <c r="S210" s="1" t="s">
        <v>228</v>
      </c>
      <c r="T210" s="1" t="s">
        <v>229</v>
      </c>
      <c r="U210" s="1" t="s">
        <v>393</v>
      </c>
      <c r="V210" s="1" t="s">
        <v>228</v>
      </c>
      <c r="W210" s="1" t="s">
        <v>6437</v>
      </c>
      <c r="X210" s="1" t="s">
        <v>434</v>
      </c>
      <c r="Y210" s="1" t="s">
        <v>1802</v>
      </c>
      <c r="Z210" s="1" t="s">
        <v>231</v>
      </c>
      <c r="AA210" s="1">
        <v>56650</v>
      </c>
      <c r="AB210" s="1" t="s">
        <v>6438</v>
      </c>
      <c r="AC210" s="1" t="s">
        <v>472</v>
      </c>
      <c r="AD210" s="1" t="s">
        <v>6439</v>
      </c>
      <c r="AE210" s="1" t="s">
        <v>2167</v>
      </c>
      <c r="AF210" s="1" t="s">
        <v>586</v>
      </c>
      <c r="AG210" s="1">
        <v>19</v>
      </c>
      <c r="AH210" s="5" t="s">
        <v>6440</v>
      </c>
      <c r="AI210" s="1">
        <v>5564619640</v>
      </c>
      <c r="AJ210" s="1">
        <v>5589221531</v>
      </c>
      <c r="AK210" s="1" t="s">
        <v>6441</v>
      </c>
      <c r="AL210" s="1" t="s">
        <v>1538</v>
      </c>
      <c r="AM210" s="1" t="s">
        <v>2168</v>
      </c>
      <c r="AN210" s="1" t="s">
        <v>1337</v>
      </c>
      <c r="AO210" s="1" t="s">
        <v>265</v>
      </c>
      <c r="AP210" s="1">
        <v>40</v>
      </c>
      <c r="AQ210" s="1" t="s">
        <v>2169</v>
      </c>
      <c r="AR210" s="42">
        <v>0.58333333333575865</v>
      </c>
      <c r="AS210" s="42">
        <v>0.91666666666424135</v>
      </c>
      <c r="AT210" s="1">
        <v>5532505103</v>
      </c>
      <c r="AU210" s="1">
        <v>5543228293</v>
      </c>
      <c r="AV210" s="1" t="s">
        <v>2170</v>
      </c>
      <c r="AW210" s="5" t="s">
        <v>6442</v>
      </c>
      <c r="AX210" s="1" t="s">
        <v>712</v>
      </c>
      <c r="AY210" s="1" t="s">
        <v>507</v>
      </c>
      <c r="AZ210" s="1" t="s">
        <v>477</v>
      </c>
      <c r="BA210" s="1" t="s">
        <v>435</v>
      </c>
      <c r="BB210" s="1">
        <v>48</v>
      </c>
      <c r="BC210" s="1" t="s">
        <v>1707</v>
      </c>
      <c r="BD210" s="43">
        <v>0.29166666666424135</v>
      </c>
      <c r="BE210" s="43">
        <v>0.58333333333575865</v>
      </c>
      <c r="BF210" s="1">
        <v>5545902806</v>
      </c>
      <c r="BG210" s="1">
        <v>5543175254</v>
      </c>
      <c r="BH210" s="1" t="s">
        <v>2171</v>
      </c>
      <c r="BI210" s="5" t="s">
        <v>6443</v>
      </c>
      <c r="BJ210" s="1" t="s">
        <v>236</v>
      </c>
      <c r="BL210" s="1">
        <v>1.43</v>
      </c>
      <c r="BM210" s="1">
        <v>43</v>
      </c>
      <c r="BN210" s="1" t="s">
        <v>236</v>
      </c>
      <c r="BO210" s="1" t="s">
        <v>228</v>
      </c>
      <c r="BQ210" s="1" t="s">
        <v>228</v>
      </c>
      <c r="BR210" s="1" t="s">
        <v>237</v>
      </c>
      <c r="BS210" s="1" t="s">
        <v>228</v>
      </c>
      <c r="BT210" s="1" t="s">
        <v>237</v>
      </c>
      <c r="BU210" s="1" t="s">
        <v>228</v>
      </c>
      <c r="BW210" s="1" t="s">
        <v>238</v>
      </c>
      <c r="BX210" s="1">
        <v>90</v>
      </c>
      <c r="BY210" s="1">
        <v>300</v>
      </c>
      <c r="BZ210" s="1" t="s">
        <v>298</v>
      </c>
      <c r="CA210" s="1" t="s">
        <v>343</v>
      </c>
      <c r="CB210" s="1" t="s">
        <v>240</v>
      </c>
      <c r="CC210" s="1" t="s">
        <v>2514</v>
      </c>
      <c r="CD210" s="1">
        <v>1000</v>
      </c>
      <c r="CE210" s="1">
        <v>2000</v>
      </c>
      <c r="CF210" s="1" t="s">
        <v>236</v>
      </c>
      <c r="CG210" s="1" t="s">
        <v>242</v>
      </c>
      <c r="CH210" s="1" t="s">
        <v>243</v>
      </c>
      <c r="CI210" s="1" t="s">
        <v>243</v>
      </c>
      <c r="CJ210" s="1" t="s">
        <v>2848</v>
      </c>
      <c r="CL210" s="5" t="s">
        <v>6444</v>
      </c>
      <c r="CM210" s="44" t="s">
        <v>2172</v>
      </c>
      <c r="CN210" s="1" t="s">
        <v>228</v>
      </c>
      <c r="CQ210" s="42">
        <v>0.29166666666424135</v>
      </c>
      <c r="CR210" s="42">
        <v>0.58333333333575865</v>
      </c>
      <c r="CT210" s="45" t="str">
        <f t="array" ref="CT210">IFERROR(INDEX(#REF!,MATCH('Respuestas de formulario 1.1'!$B210,#REF!,0),MATCH('Respuestas de formulario 1.1'!CT$1,#REF!,0)),"")</f>
        <v/>
      </c>
      <c r="CU210" s="56" t="str">
        <f t="array" ref="CU210">IFERROR(INDEX(#REF!,MATCH('Respuestas de formulario 1.1'!$B210,#REF!,0),MATCH('Respuestas de formulario 1.1'!CU$1,#REF!,0)),"")</f>
        <v/>
      </c>
      <c r="CV210" s="56" t="str">
        <f t="array" ref="CV210">IFERROR(INDEX(#REF!,MATCH('Respuestas de formulario 1.1'!$B210,#REF!,0),MATCH('Respuestas de formulario 1.1'!CV$1,#REF!,0)),"")</f>
        <v/>
      </c>
      <c r="CW210" s="56" t="str">
        <f t="array" ref="CW210">IFERROR(INDEX(#REF!,MATCH('Respuestas de formulario 1.1'!$B210,#REF!,0),MATCH('Respuestas de formulario 1.1'!CW$1,#REF!,0)),"")</f>
        <v/>
      </c>
      <c r="CX210" s="56" t="str">
        <f t="array" ref="CX210">IFERROR(INDEX(#REF!,MATCH('Respuestas de formulario 1.1'!$B210,#REF!,0),MATCH('Respuestas de formulario 1.1'!CX$1,#REF!,0)),"")</f>
        <v/>
      </c>
      <c r="CY210" s="56" t="str">
        <f t="array" ref="CY210">IFERROR(INDEX(#REF!,MATCH('Respuestas de formulario 1.1'!$B210,#REF!,0),MATCH('Respuestas de formulario 1.1'!CY$1,#REF!,0)),"")</f>
        <v/>
      </c>
      <c r="CZ210" s="57" t="str">
        <f t="array" ref="CZ210">IFERROR(INDEX(#REF!,MATCH('Respuestas de formulario 1.1'!$B210,#REF!,0),MATCH('Respuestas de formulario 1.1'!CZ$1,#REF!,0)),"")</f>
        <v/>
      </c>
      <c r="DA210" s="45" t="e">
        <f t="array" ref="DA210">INDEX(#REF!,MATCH('Respuestas de formulario 1.1'!$B210,#REF!,0),MATCH('Respuestas de formulario 1.1'!DA$1,#REF!,0))</f>
        <v>#REF!</v>
      </c>
      <c r="DB210" s="45" t="e">
        <f t="array" ref="DB210">INDEX(#REF!,MATCH('Respuestas de formulario 1.1'!$B210,#REF!,0),MATCH('Respuestas de formulario 1.1'!DB$1,#REF!,0))</f>
        <v>#REF!</v>
      </c>
      <c r="DC210" s="45" t="e">
        <f t="array" ref="DC210">INDEX(#REF!,MATCH('Respuestas de formulario 1.1'!$B210,#REF!,0),MATCH('Respuestas de formulario 1.1'!DC$1,#REF!,0))</f>
        <v>#REF!</v>
      </c>
      <c r="DD210" s="45" t="e">
        <f t="array" ref="DD210">INDEX(#REF!,MATCH('Respuestas de formulario 1.1'!$B210,#REF!,0),MATCH('Respuestas de formulario 1.1'!DD$1,#REF!,0))</f>
        <v>#REF!</v>
      </c>
      <c r="DE210" s="45" t="e">
        <f t="array" ref="DE210">INDEX(#REF!,MATCH('Respuestas de formulario 1.1'!$B210,#REF!,0),MATCH('Respuestas de formulario 1.1'!DE$1,#REF!,0))</f>
        <v>#REF!</v>
      </c>
      <c r="DF210" s="45" t="e">
        <f t="array" ref="DF210">INDEX(#REF!,MATCH('Respuestas de formulario 1.1'!$B210,#REF!,0),MATCH('Respuestas de formulario 1.1'!DF$1,#REF!,0))</f>
        <v>#REF!</v>
      </c>
      <c r="DG210" s="45" t="e">
        <f t="array" ref="DG210">INDEX(#REF!,MATCH('Respuestas de formulario 1.1'!$B210,#REF!,0),MATCH('Respuestas de formulario 1.1'!DG$1,#REF!,0))</f>
        <v>#REF!</v>
      </c>
      <c r="DH210" s="45" t="e">
        <f t="array" ref="DH210">INDEX(#REF!,MATCH('Respuestas de formulario 1.1'!$B210,#REF!,0),MATCH('Respuestas de formulario 1.1'!DH$1,#REF!,0))</f>
        <v>#REF!</v>
      </c>
      <c r="DI210" s="48" t="e">
        <f>VLOOKUP(CONCATENATE($DF210," TUTO ",$DC210),#REF!,3,0)</f>
        <v>#REF!</v>
      </c>
      <c r="DJ210" s="48" t="e">
        <f t="array" ref="DJ210">IF('Respuestas de formulario 1.1'!A210="","",INDEX(#REF!,MATCH('Respuestas de formulario 1.1'!B210,#REF!,0),MATCH('Respuestas de formulario 1.1'!$DH$1,#REF!,0)))</f>
        <v>#REF!</v>
      </c>
      <c r="DK210" s="52" t="str">
        <f>CONCATENATE("http://doc.google.com/uc?id=",MID('Respuestas de formulario 1.1'!G210,34,33))</f>
        <v>http://doc.google.com/uc?id=1toMN3-v_GnQFruYDcLdgNIGdAB8yvIst</v>
      </c>
      <c r="DL210" s="49" t="str">
        <f>CONCATENATE("http://doc.google.com/uc?id=",MID('Respuestas de formulario 1.1'!AH210,34,33))</f>
        <v>http://doc.google.com/uc?id=1REsWz0VNNNYaAZ-1h7K7pJW2Dzn05e9e</v>
      </c>
      <c r="DM210" s="50" t="str">
        <f>CONCATENATE("http://doc.google.com/uc?id=",MID('Respuestas de formulario 1.1'!AW210,34,33))</f>
        <v>http://doc.google.com/uc?id=1nCAGS4ssDVtqww53V2jbzhAjLQbH0lNM</v>
      </c>
      <c r="DN210" s="53" t="str">
        <f>CONCATENATE("http://doc.google.com/uc?id=",MID('Respuestas de formulario 1.1'!$BI210,34,33))</f>
        <v>http://doc.google.com/uc?id=1I2PrnNoUWRuA0pOTertfsO3oHFpYrrHU</v>
      </c>
      <c r="DO210" s="45" t="str">
        <f>IFERROR(VLOOKUP(CONCATENATE('Respuestas de formulario 1.1'!$B210,MID('Respuestas de formulario 1.1'!DO$1,2,1)),#REF!,12,0),"")</f>
        <v/>
      </c>
      <c r="DP210" s="45" t="str">
        <f>IFERROR(VLOOKUP(CONCATENATE('Respuestas de formulario 1.1'!$B210,MID('Respuestas de formulario 1.1'!DP$1,2,1)),#REF!,12,0),"")</f>
        <v/>
      </c>
      <c r="DQ210" s="45" t="str">
        <f>IFERROR(VLOOKUP(CONCATENATE('Respuestas de formulario 1.1'!$B210,MID('Respuestas de formulario 1.1'!DQ$1,2,1)),#REF!,12,0),"")</f>
        <v/>
      </c>
      <c r="DR210" s="45" t="str">
        <f>IFERROR(VLOOKUP(CONCATENATE('Respuestas de formulario 1.1'!$B210,MID('Respuestas de formulario 1.1'!DR$1,2,1)),#REF!,12,0),"")</f>
        <v/>
      </c>
      <c r="DS210" s="45" t="str">
        <f>IFERROR(VLOOKUP(CONCATENATE('Respuestas de formulario 1.1'!$B210,MID('Respuestas de formulario 1.1'!DS$1,2,1)),#REF!,12,0),"")</f>
        <v/>
      </c>
      <c r="DT210" s="45" t="str">
        <f>IFERROR(VLOOKUP(CONCATENATE('Respuestas de formulario 1.1'!$B210,MID('Respuestas de formulario 1.1'!DT$1,2,1)),#REF!,12,0),"")</f>
        <v/>
      </c>
      <c r="DU210" s="45" t="str">
        <f>IFERROR(VLOOKUP(CONCATENATE('Respuestas de formulario 1.1'!$B210,MID('Respuestas de formulario 1.1'!DU$1,2,1)),#REF!,12,0),"")</f>
        <v/>
      </c>
      <c r="DV210" s="45" t="str">
        <f>IFERROR(VLOOKUP(CONCATENATE('Respuestas de formulario 1.1'!$B210,MID('Respuestas de formulario 1.1'!DV$1,2,1)),#REF!,12,0),"")</f>
        <v/>
      </c>
      <c r="DW210" s="45" t="str">
        <f>IFERROR(VLOOKUP(CONCATENATE('Respuestas de formulario 1.1'!$B210,MID('Respuestas de formulario 1.1'!DW$1,2,1)),#REF!,12,0),"")</f>
        <v/>
      </c>
      <c r="DX210" s="45" t="str">
        <f>IFERROR(VLOOKUP(CONCATENATE('Respuestas de formulario 1.1'!$B210,MID('Respuestas de formulario 1.1'!DX$1,2,1)),#REF!,12,0),"")</f>
        <v/>
      </c>
      <c r="DY210" s="45" t="str">
        <f>IFERROR(VLOOKUP(CONCATENATE('Respuestas de formulario 1.1'!$B210,MID('Respuestas de formulario 1.1'!DY$1,2,1)),#REF!,12,0),"")</f>
        <v/>
      </c>
      <c r="DZ210" s="45" t="str">
        <f>IFERROR(VLOOKUP(CONCATENATE('Respuestas de formulario 1.1'!$B210,MID('Respuestas de formulario 1.1'!DZ$1,2,1)),#REF!,12,0),"")</f>
        <v/>
      </c>
      <c r="EA210" s="45" t="str">
        <f>IFERROR(VLOOKUP(CONCATENATE('Respuestas de formulario 1.1'!$B210,MID('Respuestas de formulario 1.1'!EA$1,2,1)),#REF!,12,0),"")</f>
        <v/>
      </c>
      <c r="EB210" s="45" t="str">
        <f>IFERROR(VLOOKUP(CONCATENATE('Respuestas de formulario 1.1'!$B210,MID('Respuestas de formulario 1.1'!EB$1,2,1)),#REF!,12,0),"")</f>
        <v/>
      </c>
      <c r="EC210" s="45" t="str">
        <f>IFERROR(VLOOKUP(CONCATENATE('Respuestas de formulario 1.1'!$B210,MID('Respuestas de formulario 1.1'!EC$1,2,1)),#REF!,12,0),"")</f>
        <v/>
      </c>
      <c r="ED210" s="45" t="str">
        <f>IFERROR(VLOOKUP(CONCATENATE('Respuestas de formulario 1.1'!$B210,MID('Respuestas de formulario 1.1'!ED$1,2,1)),#REF!,12,0),"")</f>
        <v/>
      </c>
      <c r="EE210" s="45" t="str">
        <f>IFERROR(VLOOKUP(CONCATENATE('Respuestas de formulario 1.1'!$B210,MID('Respuestas de formulario 1.1'!EE$1,2,1)),#REF!,12,0),"")</f>
        <v/>
      </c>
      <c r="EF210" s="45" t="str">
        <f>IFERROR(VLOOKUP(CONCATENATE('Respuestas de formulario 1.1'!$B210,MID('Respuestas de formulario 1.1'!EF$1,2,1)),#REF!,12,0),"")</f>
        <v/>
      </c>
      <c r="EG210" s="45" t="str">
        <f>IFERROR(VLOOKUP(CONCATENATE('Respuestas de formulario 1.1'!$B210,MID('Respuestas de formulario 1.1'!EG$1,2,1)),#REF!,12,0),"")</f>
        <v/>
      </c>
      <c r="EH210" s="45" t="str">
        <f>IFERROR(VLOOKUP(CONCATENATE('Respuestas de formulario 1.1'!$B210,MID('Respuestas de formulario 1.1'!EH$1,2,1)),#REF!,12,0),"")</f>
        <v/>
      </c>
      <c r="EI210" s="45" t="str">
        <f>IFERROR(VLOOKUP(CONCATENATE('Respuestas de formulario 1.1'!$B210,MID('Respuestas de formulario 1.1'!EI$1,2,1)),#REF!,12,0),"")</f>
        <v/>
      </c>
      <c r="EJ210" s="45" t="str">
        <f t="array" ref="EJ210">IF(DO210="","", INDEX(#REF!,MATCH(CONCATENATE('Respuestas de formulario 1.1'!$B210,DO210),#REF!,0),MATCH('Respuestas de formulario 1.1'!EJ$1,#REF!,0)))</f>
        <v/>
      </c>
      <c r="EK210" s="56" t="str">
        <f t="array" ref="EK210">IF(DP210="","", INDEX(#REF!,MATCH(CONCATENATE('Respuestas de formulario 1.1'!$B210,DP210),#REF!,0),MATCH('Respuestas de formulario 1.1'!EK$1,#REF!,0)))</f>
        <v/>
      </c>
      <c r="EL210" s="56" t="str">
        <f t="array" ref="EL210">IF(DQ210="","", INDEX(#REF!,MATCH(CONCATENATE('Respuestas de formulario 1.1'!$B210,DQ210),#REF!,0),MATCH('Respuestas de formulario 1.1'!EL$1,#REF!,0)))</f>
        <v/>
      </c>
      <c r="EM210" s="56" t="str">
        <f t="array" ref="EM210">IF(DR210="","", INDEX(#REF!,MATCH(CONCATENATE('Respuestas de formulario 1.1'!$B210,DR210),#REF!,0),MATCH('Respuestas de formulario 1.1'!EM$1,#REF!,0)))</f>
        <v/>
      </c>
      <c r="EN210" s="56" t="str">
        <f t="array" ref="EN210">IF(DS210="","", INDEX(#REF!,MATCH(CONCATENATE('Respuestas de formulario 1.1'!$B210,DS210),#REF!,0),MATCH('Respuestas de formulario 1.1'!EN$1,#REF!,0)))</f>
        <v/>
      </c>
      <c r="EO210" s="56" t="str">
        <f t="array" ref="EO210">IF(DT210="","", INDEX(#REF!,MATCH(CONCATENATE('Respuestas de formulario 1.1'!$B210,DT210),#REF!,0),MATCH('Respuestas de formulario 1.1'!EO$1,#REF!,0)))</f>
        <v/>
      </c>
      <c r="EP210" s="45" t="str">
        <f t="array" ref="EP210">IF(DU210="","", INDEX(#REF!,MATCH(CONCATENATE('Respuestas de formulario 1.1'!$B210,DU210),#REF!,0),MATCH('Respuestas de formulario 1.1'!EP$1,#REF!,0)))</f>
        <v/>
      </c>
      <c r="EQ210" s="45" t="str">
        <f t="array" ref="EQ210">IF(DP210="","", INDEX(#REF!,MATCH(CONCATENATE('Respuestas de formulario 1.1'!$B210,DP210),#REF!,0),MATCH('Respuestas de formulario 1.1'!EQ$1,#REF!,0)))</f>
        <v/>
      </c>
      <c r="ER210" s="56" t="str">
        <f t="array" ref="ER210">IF(DQ210="","", INDEX(#REF!,MATCH(CONCATENATE('Respuestas de formulario 1.1'!$B210,DQ210),#REF!,0),MATCH('Respuestas de formulario 1.1'!ER$1,#REF!,0)))</f>
        <v/>
      </c>
      <c r="ES210" s="56" t="str">
        <f t="array" ref="ES210">IF(DR210="","", INDEX(#REF!,MATCH(CONCATENATE('Respuestas de formulario 1.1'!$B210,DR210),#REF!,0),MATCH('Respuestas de formulario 1.1'!ES$1,#REF!,0)))</f>
        <v/>
      </c>
      <c r="ET210" s="56" t="str">
        <f t="array" ref="ET210">IF(DS210="","", INDEX(#REF!,MATCH(CONCATENATE('Respuestas de formulario 1.1'!$B210,DS210),#REF!,0),MATCH('Respuestas de formulario 1.1'!ET$1,#REF!,0)))</f>
        <v/>
      </c>
      <c r="EU210" s="56" t="str">
        <f t="array" ref="EU210">IF(DT210="","", INDEX(#REF!,MATCH(CONCATENATE('Respuestas de formulario 1.1'!$B210,DT210),#REF!,0),MATCH('Respuestas de formulario 1.1'!EU$1,#REF!,0)))</f>
        <v/>
      </c>
      <c r="EV210" s="56" t="str">
        <f t="array" ref="EV210">IF(DU210="","", INDEX(#REF!,MATCH(CONCATENATE('Respuestas de formulario 1.1'!$B210,DU210),#REF!,0),MATCH('Respuestas de formulario 1.1'!EV$1,#REF!,0)))</f>
        <v/>
      </c>
      <c r="EW210" s="45" t="str">
        <f t="array" ref="EW210">IF(DV210="","", INDEX(#REF!,MATCH(CONCATENATE('Respuestas de formulario 1.1'!$B210,DV210),#REF!,0),MATCH('Respuestas de formulario 1.1'!EW$1,#REF!,0)))</f>
        <v/>
      </c>
      <c r="EX210" s="45" t="str">
        <f t="array" ref="EX210">IF($DQ210="","", INDEX(#REF!,MATCH(CONCATENATE('Respuestas de formulario 1.1'!$B210,$DQ210),#REF!,0),MATCH('Respuestas de formulario 1.1'!EX$1,#REF!,0)))</f>
        <v/>
      </c>
      <c r="EY210" s="56" t="str">
        <f t="array" ref="EY210">IF($DQ210="","", INDEX(#REF!,MATCH(CONCATENATE('Respuestas de formulario 1.1'!$B210,$DQ210),#REF!,0),MATCH('Respuestas de formulario 1.1'!EY$1,#REF!,0)))</f>
        <v/>
      </c>
      <c r="EZ210" s="56" t="str">
        <f t="array" ref="EZ210">IF($DQ210="","", INDEX(#REF!,MATCH(CONCATENATE('Respuestas de formulario 1.1'!$B210,$DQ210),#REF!,0),MATCH('Respuestas de formulario 1.1'!EZ$1,#REF!,0)))</f>
        <v/>
      </c>
      <c r="FA210" s="56" t="str">
        <f t="array" ref="FA210">IF($DQ210="","", INDEX(#REF!,MATCH(CONCATENATE('Respuestas de formulario 1.1'!$B210,$DQ210),#REF!,0),MATCH('Respuestas de formulario 1.1'!FA$1,#REF!,0)))</f>
        <v/>
      </c>
      <c r="FB210" s="56" t="str">
        <f t="array" ref="FB210">IF($DQ210="","", INDEX(#REF!,MATCH(CONCATENATE('Respuestas de formulario 1.1'!$B210,$DQ210),#REF!,0),MATCH('Respuestas de formulario 1.1'!FB$1,#REF!,0)))</f>
        <v/>
      </c>
      <c r="FC210" s="56" t="str">
        <f t="array" ref="FC210">IF($DQ210="","", INDEX(#REF!,MATCH(CONCATENATE('Respuestas de formulario 1.1'!$B210,$DQ210),#REF!,0),MATCH('Respuestas de formulario 1.1'!FC$1,#REF!,0)))</f>
        <v/>
      </c>
      <c r="FD210" s="45" t="str">
        <f t="array" ref="FD210">IF($DQ210="","", INDEX(#REF!,MATCH(CONCATENATE('Respuestas de formulario 1.1'!$B210,$DQ210),#REF!,0),MATCH('Respuestas de formulario 1.1'!FD$1,#REF!,0)))</f>
        <v/>
      </c>
      <c r="FE210" s="45" t="str">
        <f t="array" ref="FE210">IF($DR210="","", INDEX(#REF!,MATCH(CONCATENATE(#REF!,$DR210),#REF!,0),MATCH(#REF!,#REF!,0)))</f>
        <v/>
      </c>
      <c r="FF210" s="56" t="str">
        <f t="array" ref="FF210">IF($DR210="","", INDEX(#REF!,MATCH(CONCATENATE(#REF!,$DR210),#REF!,0),MATCH(#REF!,#REF!,0)))</f>
        <v/>
      </c>
      <c r="FG210" s="56" t="str">
        <f t="array" ref="FG210">IF($DR210="","", INDEX(#REF!,MATCH(CONCATENATE(#REF!,$DR210),#REF!,0),MATCH(#REF!,#REF!,0)))</f>
        <v/>
      </c>
      <c r="FH210" s="56" t="str">
        <f t="array" ref="FH210">IF($DR210="","", INDEX(#REF!,MATCH(CONCATENATE(#REF!,$DR210),#REF!,0),MATCH(#REF!,#REF!,0)))</f>
        <v/>
      </c>
      <c r="FI210" s="56" t="str">
        <f t="array" ref="FI210">IF($DR210="","", INDEX(#REF!,MATCH(CONCATENATE(#REF!,$DR210),#REF!,0),MATCH(#REF!,#REF!,0)))</f>
        <v/>
      </c>
      <c r="FJ210" s="56" t="str">
        <f t="array" ref="FJ210">IF($DR210="","", INDEX(#REF!,MATCH(CONCATENATE(#REF!,$DR210),#REF!,0),MATCH(#REF!,#REF!,0)))</f>
        <v/>
      </c>
      <c r="FK210" s="45" t="str">
        <f t="array" ref="FK210">IF($DR210="","", INDEX(#REF!,MATCH(CONCATENATE(#REF!,$DR210),#REF!,0),MATCH(#REF!,#REF!,0)))</f>
        <v/>
      </c>
      <c r="FL210" s="45" t="str">
        <f t="array" ref="FL210">IF($DT210="","", INDEX(#REF!,MATCH(CONCATENATE('Respuestas de formulario 1.1'!$B210,$DS210),#REF!,0),MATCH('Respuestas de formulario 1.1'!FL$1,#REF!,0)))</f>
        <v/>
      </c>
      <c r="FM210" s="56" t="str">
        <f t="array" ref="FM210">IF($DT210="","", INDEX(#REF!,MATCH(CONCATENATE('Respuestas de formulario 1.1'!$B210,$DS210),#REF!,0),MATCH('Respuestas de formulario 1.1'!FM$1,#REF!,0)))</f>
        <v/>
      </c>
      <c r="FN210" s="56" t="str">
        <f t="array" ref="FN210">IF($DT210="","", INDEX(#REF!,MATCH(CONCATENATE('Respuestas de formulario 1.1'!$B210,$DS210),#REF!,0),MATCH('Respuestas de formulario 1.1'!FN$1,#REF!,0)))</f>
        <v/>
      </c>
      <c r="FO210" s="56" t="str">
        <f t="array" ref="FO210">IF($DT210="","", INDEX(#REF!,MATCH(CONCATENATE('Respuestas de formulario 1.1'!$B210,$DS210),#REF!,0),MATCH('Respuestas de formulario 1.1'!FO$1,#REF!,0)))</f>
        <v/>
      </c>
      <c r="FP210" s="56" t="str">
        <f t="array" ref="FP210">IF($DT210="","", INDEX(#REF!,MATCH(CONCATENATE('Respuestas de formulario 1.1'!$B210,$DS210),#REF!,0),MATCH('Respuestas de formulario 1.1'!FP$1,#REF!,0)))</f>
        <v/>
      </c>
      <c r="FQ210" s="56" t="str">
        <f t="array" ref="FQ210">IF($DT210="","", INDEX(#REF!,MATCH(CONCATENATE('Respuestas de formulario 1.1'!$B210,$DS210),#REF!,0),MATCH('Respuestas de formulario 1.1'!FQ$1,#REF!,0)))</f>
        <v/>
      </c>
      <c r="FR210" s="45" t="str">
        <f t="array" ref="FR210">IF($DT210="","", INDEX(#REF!,MATCH(CONCATENATE('Respuestas de formulario 1.1'!$B210,$DS210),#REF!,0),MATCH('Respuestas de formulario 1.1'!FR$1,#REF!,0)))</f>
        <v/>
      </c>
      <c r="FS210" s="45" t="str">
        <f t="array" ref="FS210">IF($DU210="","", INDEX(#REF!,MATCH(CONCATENATE('Respuestas de formulario 1.1'!$B210,$DT210),#REF!,0),MATCH('Respuestas de formulario 1.1'!FS$1,#REF!,0)))</f>
        <v/>
      </c>
      <c r="FT210" s="56" t="str">
        <f t="array" ref="FT210">IF($DU210="","", INDEX(#REF!,MATCH(CONCATENATE('Respuestas de formulario 1.1'!$B210,$DT210),#REF!,0),MATCH('Respuestas de formulario 1.1'!FT$1,#REF!,0)))</f>
        <v/>
      </c>
      <c r="FU210" s="56" t="str">
        <f t="array" ref="FU210">IF($DU210="","", INDEX(#REF!,MATCH(CONCATENATE('Respuestas de formulario 1.1'!$B210,$DT210),#REF!,0),MATCH('Respuestas de formulario 1.1'!FU$1,#REF!,0)))</f>
        <v/>
      </c>
      <c r="FV210" s="56" t="str">
        <f t="array" ref="FV210">IF($DU210="","", INDEX(#REF!,MATCH(CONCATENATE('Respuestas de formulario 1.1'!$B210,$DT210),#REF!,0),MATCH('Respuestas de formulario 1.1'!FV$1,#REF!,0)))</f>
        <v/>
      </c>
      <c r="FW210" s="56" t="str">
        <f t="array" ref="FW210">IF($DU210="","", INDEX(#REF!,MATCH(CONCATENATE('Respuestas de formulario 1.1'!$B210,$DT210),#REF!,0),MATCH('Respuestas de formulario 1.1'!FW$1,#REF!,0)))</f>
        <v/>
      </c>
      <c r="FX210" s="56" t="str">
        <f t="array" ref="FX210">IF($DU210="","", INDEX(#REF!,MATCH(CONCATENATE('Respuestas de formulario 1.1'!$B210,$DT210),#REF!,0),MATCH('Respuestas de formulario 1.1'!FX$1,#REF!,0)))</f>
        <v/>
      </c>
      <c r="FY210" s="45" t="str">
        <f t="array" ref="FY210">IF($DU210="","", INDEX(#REF!,MATCH(CONCATENATE('Respuestas de formulario 1.1'!$B210,$DT210),#REF!,0),MATCH('Respuestas de formulario 1.1'!FY$1,#REF!,0)))</f>
        <v/>
      </c>
      <c r="FZ210" s="3" t="s">
        <v>2860</v>
      </c>
      <c r="GA210" s="1" t="s">
        <v>6445</v>
      </c>
      <c r="GB210" s="5" t="s">
        <v>6446</v>
      </c>
      <c r="GC210" s="4" t="str">
        <f>HYPERLINK("https://drive.google.com/file/d/1DKDZWjNsJvH5VdJ17BBFTvXcmSWuq90-/view?usp=drivesdk","DOMINGUEZ GRANADOS SAMANTHA Formato de reinscripción y pago 2022-2")</f>
        <v>DOMINGUEZ GRANADOS SAMANTHA Formato de reinscripción y pago 2022-2</v>
      </c>
      <c r="GD210" s="1" t="s">
        <v>6447</v>
      </c>
      <c r="GE210" s="1"/>
      <c r="GF210" s="1"/>
      <c r="GG210" s="1"/>
      <c r="GH210" s="1"/>
      <c r="GI210" s="1" t="s">
        <v>6448</v>
      </c>
      <c r="GJ210" s="5" t="s">
        <v>6449</v>
      </c>
      <c r="GK210" s="5" t="str">
        <f>HYPERLINK("https://drive.google.com/file/d/1gMc84JdbfblQztyI7GC_RRS3OATgkR7B/view?usp=drivesdk","DOMINGUEZ GRANADOS SAMANTHA Formato de reinscripción y pago 2022-2")</f>
        <v>DOMINGUEZ GRANADOS SAMANTHA Formato de reinscripción y pago 2022-2</v>
      </c>
      <c r="GL210" s="1" t="s">
        <v>6450</v>
      </c>
    </row>
    <row r="211" spans="1:194" ht="38.25" x14ac:dyDescent="0.2">
      <c r="A211" s="2">
        <v>45139.520591192129</v>
      </c>
      <c r="B211" s="1" t="s">
        <v>1757</v>
      </c>
      <c r="C211" s="1" t="s">
        <v>525</v>
      </c>
      <c r="D211" s="1" t="s">
        <v>1218</v>
      </c>
      <c r="E211" s="1" t="s">
        <v>6451</v>
      </c>
      <c r="F211" s="1" t="s">
        <v>262</v>
      </c>
      <c r="G211" s="5" t="s">
        <v>6452</v>
      </c>
      <c r="H211" s="41">
        <v>38729</v>
      </c>
      <c r="I211" s="1">
        <v>17</v>
      </c>
      <c r="J211" s="1">
        <v>5614394498</v>
      </c>
      <c r="K211" s="1">
        <v>5557732432</v>
      </c>
      <c r="L211" s="1" t="s">
        <v>1758</v>
      </c>
      <c r="M211" s="1">
        <v>21309060570377</v>
      </c>
      <c r="N211" s="1" t="s">
        <v>1108</v>
      </c>
      <c r="O211" s="1" t="s">
        <v>247</v>
      </c>
      <c r="P211" s="1" t="s">
        <v>278</v>
      </c>
      <c r="Q211" s="1" t="s">
        <v>227</v>
      </c>
      <c r="R211" s="1" t="s">
        <v>236</v>
      </c>
      <c r="S211" s="1" t="s">
        <v>228</v>
      </c>
      <c r="T211" s="1" t="s">
        <v>229</v>
      </c>
      <c r="U211" s="1" t="s">
        <v>249</v>
      </c>
      <c r="V211" s="1" t="s">
        <v>228</v>
      </c>
      <c r="W211" s="1" t="s">
        <v>6453</v>
      </c>
      <c r="X211" s="1" t="s">
        <v>249</v>
      </c>
      <c r="Y211" s="1" t="s">
        <v>2640</v>
      </c>
      <c r="Z211" s="1" t="s">
        <v>240</v>
      </c>
      <c r="AA211" s="44" t="s">
        <v>530</v>
      </c>
      <c r="AB211" s="1">
        <v>5</v>
      </c>
      <c r="AC211" s="1">
        <v>39</v>
      </c>
      <c r="AD211" s="1" t="s">
        <v>6454</v>
      </c>
      <c r="AE211" s="1" t="s">
        <v>6455</v>
      </c>
      <c r="AF211" s="1" t="s">
        <v>461</v>
      </c>
      <c r="AG211" s="1">
        <v>46</v>
      </c>
      <c r="AH211" s="5" t="s">
        <v>6456</v>
      </c>
      <c r="AI211" s="1">
        <v>5530867251</v>
      </c>
      <c r="AJ211" s="1">
        <v>5557732432</v>
      </c>
      <c r="AK211" s="1"/>
      <c r="AL211" s="1" t="s">
        <v>525</v>
      </c>
      <c r="AM211" s="1" t="s">
        <v>1759</v>
      </c>
      <c r="AN211" s="1" t="s">
        <v>1760</v>
      </c>
      <c r="AO211" s="1" t="s">
        <v>420</v>
      </c>
      <c r="AP211" s="1">
        <v>49</v>
      </c>
      <c r="AQ211" s="1" t="s">
        <v>663</v>
      </c>
      <c r="AR211" s="42">
        <v>0.33333333333575865</v>
      </c>
      <c r="AS211" s="42">
        <v>0.25</v>
      </c>
      <c r="AT211" s="1">
        <v>5591097060</v>
      </c>
      <c r="AU211" s="1">
        <v>5557732432</v>
      </c>
      <c r="AV211" s="1"/>
      <c r="AW211" s="5" t="s">
        <v>6457</v>
      </c>
      <c r="AX211" s="1" t="s">
        <v>525</v>
      </c>
      <c r="AY211" s="1" t="s">
        <v>1547</v>
      </c>
      <c r="AZ211" s="1" t="s">
        <v>6458</v>
      </c>
      <c r="BA211" s="1" t="s">
        <v>403</v>
      </c>
      <c r="BB211" s="1">
        <v>28</v>
      </c>
      <c r="BC211" s="1" t="s">
        <v>546</v>
      </c>
      <c r="BD211" s="43">
        <v>0.41666666666424135</v>
      </c>
      <c r="BE211" s="43">
        <v>0.33333333333575865</v>
      </c>
      <c r="BF211" s="1">
        <v>5552186105</v>
      </c>
      <c r="BG211" s="1">
        <v>5557732432</v>
      </c>
      <c r="BH211" s="1"/>
      <c r="BI211" s="5" t="s">
        <v>6459</v>
      </c>
      <c r="BJ211" s="1" t="s">
        <v>236</v>
      </c>
      <c r="BL211" s="1">
        <v>1.72</v>
      </c>
      <c r="BM211" s="1">
        <v>85</v>
      </c>
      <c r="BN211" s="1" t="s">
        <v>236</v>
      </c>
      <c r="BO211" s="1" t="s">
        <v>228</v>
      </c>
      <c r="BQ211" s="1" t="s">
        <v>228</v>
      </c>
      <c r="BR211" s="1" t="s">
        <v>237</v>
      </c>
      <c r="BS211" s="1" t="s">
        <v>228</v>
      </c>
      <c r="BT211" s="1" t="s">
        <v>237</v>
      </c>
      <c r="BU211" s="1" t="s">
        <v>228</v>
      </c>
      <c r="BW211" s="1" t="s">
        <v>272</v>
      </c>
      <c r="BX211" s="1">
        <v>40</v>
      </c>
      <c r="BY211" s="1">
        <v>200</v>
      </c>
      <c r="BZ211" s="1" t="s">
        <v>1752</v>
      </c>
      <c r="CA211" s="1" t="s">
        <v>343</v>
      </c>
      <c r="CB211" s="1" t="s">
        <v>240</v>
      </c>
      <c r="CC211" s="1" t="s">
        <v>274</v>
      </c>
      <c r="CD211" s="1">
        <v>2000</v>
      </c>
      <c r="CE211" s="1">
        <v>1500</v>
      </c>
      <c r="CF211" s="1" t="s">
        <v>236</v>
      </c>
      <c r="CG211" s="1" t="s">
        <v>242</v>
      </c>
      <c r="CH211" s="1" t="s">
        <v>243</v>
      </c>
      <c r="CI211" s="1" t="s">
        <v>243</v>
      </c>
      <c r="CJ211" s="1" t="s">
        <v>2848</v>
      </c>
      <c r="CL211" s="5" t="s">
        <v>6460</v>
      </c>
      <c r="CM211" s="44" t="s">
        <v>1761</v>
      </c>
      <c r="CN211" s="1" t="s">
        <v>228</v>
      </c>
      <c r="CQ211" s="42">
        <v>0.33333333333575865</v>
      </c>
      <c r="CR211" s="42">
        <v>0.25</v>
      </c>
      <c r="CT211" s="45" t="str">
        <f t="array" ref="CT211">IFERROR(INDEX(#REF!,MATCH('Respuestas de formulario 1.1'!$B211,#REF!,0),MATCH('Respuestas de formulario 1.1'!CT$1,#REF!,0)),"")</f>
        <v/>
      </c>
      <c r="CU211" s="56" t="str">
        <f t="array" ref="CU211">IFERROR(INDEX(#REF!,MATCH('Respuestas de formulario 1.1'!$B211,#REF!,0),MATCH('Respuestas de formulario 1.1'!CU$1,#REF!,0)),"")</f>
        <v/>
      </c>
      <c r="CV211" s="56" t="str">
        <f t="array" ref="CV211">IFERROR(INDEX(#REF!,MATCH('Respuestas de formulario 1.1'!$B211,#REF!,0),MATCH('Respuestas de formulario 1.1'!CV$1,#REF!,0)),"")</f>
        <v/>
      </c>
      <c r="CW211" s="56" t="str">
        <f t="array" ref="CW211">IFERROR(INDEX(#REF!,MATCH('Respuestas de formulario 1.1'!$B211,#REF!,0),MATCH('Respuestas de formulario 1.1'!CW$1,#REF!,0)),"")</f>
        <v/>
      </c>
      <c r="CX211" s="56" t="str">
        <f t="array" ref="CX211">IFERROR(INDEX(#REF!,MATCH('Respuestas de formulario 1.1'!$B211,#REF!,0),MATCH('Respuestas de formulario 1.1'!CX$1,#REF!,0)),"")</f>
        <v/>
      </c>
      <c r="CY211" s="56" t="str">
        <f t="array" ref="CY211">IFERROR(INDEX(#REF!,MATCH('Respuestas de formulario 1.1'!$B211,#REF!,0),MATCH('Respuestas de formulario 1.1'!CY$1,#REF!,0)),"")</f>
        <v/>
      </c>
      <c r="CZ211" s="57" t="str">
        <f t="array" ref="CZ211">IFERROR(INDEX(#REF!,MATCH('Respuestas de formulario 1.1'!$B211,#REF!,0),MATCH('Respuestas de formulario 1.1'!CZ$1,#REF!,0)),"")</f>
        <v/>
      </c>
      <c r="DA211" s="45" t="e">
        <f t="array" ref="DA211">INDEX(#REF!,MATCH('Respuestas de formulario 1.1'!$B211,#REF!,0),MATCH('Respuestas de formulario 1.1'!DA$1,#REF!,0))</f>
        <v>#REF!</v>
      </c>
      <c r="DB211" s="45" t="e">
        <f t="array" ref="DB211">INDEX(#REF!,MATCH('Respuestas de formulario 1.1'!$B211,#REF!,0),MATCH('Respuestas de formulario 1.1'!DB$1,#REF!,0))</f>
        <v>#REF!</v>
      </c>
      <c r="DC211" s="45" t="e">
        <f t="array" ref="DC211">INDEX(#REF!,MATCH('Respuestas de formulario 1.1'!$B211,#REF!,0),MATCH('Respuestas de formulario 1.1'!DC$1,#REF!,0))</f>
        <v>#REF!</v>
      </c>
      <c r="DD211" s="45" t="e">
        <f t="array" ref="DD211">INDEX(#REF!,MATCH('Respuestas de formulario 1.1'!$B211,#REF!,0),MATCH('Respuestas de formulario 1.1'!DD$1,#REF!,0))</f>
        <v>#REF!</v>
      </c>
      <c r="DE211" s="45" t="e">
        <f t="array" ref="DE211">INDEX(#REF!,MATCH('Respuestas de formulario 1.1'!$B211,#REF!,0),MATCH('Respuestas de formulario 1.1'!DE$1,#REF!,0))</f>
        <v>#REF!</v>
      </c>
      <c r="DF211" s="45" t="e">
        <f t="array" ref="DF211">INDEX(#REF!,MATCH('Respuestas de formulario 1.1'!$B211,#REF!,0),MATCH('Respuestas de formulario 1.1'!DF$1,#REF!,0))</f>
        <v>#REF!</v>
      </c>
      <c r="DG211" s="45" t="e">
        <f t="array" ref="DG211">INDEX(#REF!,MATCH('Respuestas de formulario 1.1'!$B211,#REF!,0),MATCH('Respuestas de formulario 1.1'!DG$1,#REF!,0))</f>
        <v>#REF!</v>
      </c>
      <c r="DH211" s="45" t="e">
        <f t="array" ref="DH211">INDEX(#REF!,MATCH('Respuestas de formulario 1.1'!$B211,#REF!,0),MATCH('Respuestas de formulario 1.1'!DH$1,#REF!,0))</f>
        <v>#REF!</v>
      </c>
      <c r="DI211" s="48" t="e">
        <f>VLOOKUP(CONCATENATE($DF211," TUTO ",$DC211),#REF!,3,0)</f>
        <v>#REF!</v>
      </c>
      <c r="DJ211" s="48" t="e">
        <f t="array" ref="DJ211">IF('Respuestas de formulario 1.1'!A211="","",INDEX(#REF!,MATCH('Respuestas de formulario 1.1'!B211,#REF!,0),MATCH('Respuestas de formulario 1.1'!$DH$1,#REF!,0)))</f>
        <v>#REF!</v>
      </c>
      <c r="DK211" s="52" t="str">
        <f>CONCATENATE("http://doc.google.com/uc?id=",MID('Respuestas de formulario 1.1'!G211,34,33))</f>
        <v>http://doc.google.com/uc?id=1dUp4_pgebp4gyhp2LlMnizAk1IxMyxYQ</v>
      </c>
      <c r="DL211" s="49" t="str">
        <f>CONCATENATE("http://doc.google.com/uc?id=",MID('Respuestas de formulario 1.1'!AH211,34,33))</f>
        <v>http://doc.google.com/uc?id=172bLHCh2VlLHM5_MVPh138txgOhzCKEA</v>
      </c>
      <c r="DM211" s="50" t="str">
        <f>CONCATENATE("http://doc.google.com/uc?id=",MID('Respuestas de formulario 1.1'!AW211,34,33))</f>
        <v>http://doc.google.com/uc?id=1nanar5BCetKslfK8T49Qd-lvsIscE_8f</v>
      </c>
      <c r="DN211" s="53" t="str">
        <f>CONCATENATE("http://doc.google.com/uc?id=",MID('Respuestas de formulario 1.1'!$BI211,34,33))</f>
        <v>http://doc.google.com/uc?id=1gcHBfa1P6Sx3Y9BBWRMshyaThU_I6tNc</v>
      </c>
      <c r="DO211" s="45" t="str">
        <f>IFERROR(VLOOKUP(CONCATENATE('Respuestas de formulario 1.1'!$B211,MID('Respuestas de formulario 1.1'!DO$1,2,1)),#REF!,12,0),"")</f>
        <v/>
      </c>
      <c r="DP211" s="45" t="str">
        <f>IFERROR(VLOOKUP(CONCATENATE('Respuestas de formulario 1.1'!$B211,MID('Respuestas de formulario 1.1'!DP$1,2,1)),#REF!,12,0),"")</f>
        <v/>
      </c>
      <c r="DQ211" s="45" t="str">
        <f>IFERROR(VLOOKUP(CONCATENATE('Respuestas de formulario 1.1'!$B211,MID('Respuestas de formulario 1.1'!DQ$1,2,1)),#REF!,12,0),"")</f>
        <v/>
      </c>
      <c r="DR211" s="45" t="str">
        <f>IFERROR(VLOOKUP(CONCATENATE('Respuestas de formulario 1.1'!$B211,MID('Respuestas de formulario 1.1'!DR$1,2,1)),#REF!,12,0),"")</f>
        <v/>
      </c>
      <c r="DS211" s="45" t="str">
        <f>IFERROR(VLOOKUP(CONCATENATE('Respuestas de formulario 1.1'!$B211,MID('Respuestas de formulario 1.1'!DS$1,2,1)),#REF!,12,0),"")</f>
        <v/>
      </c>
      <c r="DT211" s="45" t="str">
        <f>IFERROR(VLOOKUP(CONCATENATE('Respuestas de formulario 1.1'!$B211,MID('Respuestas de formulario 1.1'!DT$1,2,1)),#REF!,12,0),"")</f>
        <v/>
      </c>
      <c r="DU211" s="45" t="str">
        <f>IFERROR(VLOOKUP(CONCATENATE('Respuestas de formulario 1.1'!$B211,MID('Respuestas de formulario 1.1'!DU$1,2,1)),#REF!,12,0),"")</f>
        <v/>
      </c>
      <c r="DV211" s="45" t="str">
        <f>IFERROR(VLOOKUP(CONCATENATE('Respuestas de formulario 1.1'!$B211,MID('Respuestas de formulario 1.1'!DV$1,2,1)),#REF!,12,0),"")</f>
        <v/>
      </c>
      <c r="DW211" s="45" t="str">
        <f>IFERROR(VLOOKUP(CONCATENATE('Respuestas de formulario 1.1'!$B211,MID('Respuestas de formulario 1.1'!DW$1,2,1)),#REF!,12,0),"")</f>
        <v/>
      </c>
      <c r="DX211" s="45" t="str">
        <f>IFERROR(VLOOKUP(CONCATENATE('Respuestas de formulario 1.1'!$B211,MID('Respuestas de formulario 1.1'!DX$1,2,1)),#REF!,12,0),"")</f>
        <v/>
      </c>
      <c r="DY211" s="45" t="str">
        <f>IFERROR(VLOOKUP(CONCATENATE('Respuestas de formulario 1.1'!$B211,MID('Respuestas de formulario 1.1'!DY$1,2,1)),#REF!,12,0),"")</f>
        <v/>
      </c>
      <c r="DZ211" s="45" t="str">
        <f>IFERROR(VLOOKUP(CONCATENATE('Respuestas de formulario 1.1'!$B211,MID('Respuestas de formulario 1.1'!DZ$1,2,1)),#REF!,12,0),"")</f>
        <v/>
      </c>
      <c r="EA211" s="45" t="str">
        <f>IFERROR(VLOOKUP(CONCATENATE('Respuestas de formulario 1.1'!$B211,MID('Respuestas de formulario 1.1'!EA$1,2,1)),#REF!,12,0),"")</f>
        <v/>
      </c>
      <c r="EB211" s="45" t="str">
        <f>IFERROR(VLOOKUP(CONCATENATE('Respuestas de formulario 1.1'!$B211,MID('Respuestas de formulario 1.1'!EB$1,2,1)),#REF!,12,0),"")</f>
        <v/>
      </c>
      <c r="EC211" s="45" t="str">
        <f>IFERROR(VLOOKUP(CONCATENATE('Respuestas de formulario 1.1'!$B211,MID('Respuestas de formulario 1.1'!EC$1,2,1)),#REF!,12,0),"")</f>
        <v/>
      </c>
      <c r="ED211" s="45" t="str">
        <f>IFERROR(VLOOKUP(CONCATENATE('Respuestas de formulario 1.1'!$B211,MID('Respuestas de formulario 1.1'!ED$1,2,1)),#REF!,12,0),"")</f>
        <v/>
      </c>
      <c r="EE211" s="45" t="str">
        <f>IFERROR(VLOOKUP(CONCATENATE('Respuestas de formulario 1.1'!$B211,MID('Respuestas de formulario 1.1'!EE$1,2,1)),#REF!,12,0),"")</f>
        <v/>
      </c>
      <c r="EF211" s="45" t="str">
        <f>IFERROR(VLOOKUP(CONCATENATE('Respuestas de formulario 1.1'!$B211,MID('Respuestas de formulario 1.1'!EF$1,2,1)),#REF!,12,0),"")</f>
        <v/>
      </c>
      <c r="EG211" s="45" t="str">
        <f>IFERROR(VLOOKUP(CONCATENATE('Respuestas de formulario 1.1'!$B211,MID('Respuestas de formulario 1.1'!EG$1,2,1)),#REF!,12,0),"")</f>
        <v/>
      </c>
      <c r="EH211" s="45" t="str">
        <f>IFERROR(VLOOKUP(CONCATENATE('Respuestas de formulario 1.1'!$B211,MID('Respuestas de formulario 1.1'!EH$1,2,1)),#REF!,12,0),"")</f>
        <v/>
      </c>
      <c r="EI211" s="45" t="str">
        <f>IFERROR(VLOOKUP(CONCATENATE('Respuestas de formulario 1.1'!$B211,MID('Respuestas de formulario 1.1'!EI$1,2,1)),#REF!,12,0),"")</f>
        <v/>
      </c>
      <c r="EJ211" s="45" t="str">
        <f t="array" ref="EJ211">IF(DO211="","", INDEX(#REF!,MATCH(CONCATENATE('Respuestas de formulario 1.1'!$B211,DO211),#REF!,0),MATCH('Respuestas de formulario 1.1'!EJ$1,#REF!,0)))</f>
        <v/>
      </c>
      <c r="EK211" s="56" t="str">
        <f t="array" ref="EK211">IF(DP211="","", INDEX(#REF!,MATCH(CONCATENATE('Respuestas de formulario 1.1'!$B211,DP211),#REF!,0),MATCH('Respuestas de formulario 1.1'!EK$1,#REF!,0)))</f>
        <v/>
      </c>
      <c r="EL211" s="56" t="str">
        <f t="array" ref="EL211">IF(DQ211="","", INDEX(#REF!,MATCH(CONCATENATE('Respuestas de formulario 1.1'!$B211,DQ211),#REF!,0),MATCH('Respuestas de formulario 1.1'!EL$1,#REF!,0)))</f>
        <v/>
      </c>
      <c r="EM211" s="56" t="str">
        <f t="array" ref="EM211">IF(DR211="","", INDEX(#REF!,MATCH(CONCATENATE('Respuestas de formulario 1.1'!$B211,DR211),#REF!,0),MATCH('Respuestas de formulario 1.1'!EM$1,#REF!,0)))</f>
        <v/>
      </c>
      <c r="EN211" s="56" t="str">
        <f t="array" ref="EN211">IF(DS211="","", INDEX(#REF!,MATCH(CONCATENATE('Respuestas de formulario 1.1'!$B211,DS211),#REF!,0),MATCH('Respuestas de formulario 1.1'!EN$1,#REF!,0)))</f>
        <v/>
      </c>
      <c r="EO211" s="56" t="str">
        <f t="array" ref="EO211">IF(DT211="","", INDEX(#REF!,MATCH(CONCATENATE('Respuestas de formulario 1.1'!$B211,DT211),#REF!,0),MATCH('Respuestas de formulario 1.1'!EO$1,#REF!,0)))</f>
        <v/>
      </c>
      <c r="EP211" s="45" t="str">
        <f t="array" ref="EP211">IF(DU211="","", INDEX(#REF!,MATCH(CONCATENATE('Respuestas de formulario 1.1'!$B211,DU211),#REF!,0),MATCH('Respuestas de formulario 1.1'!EP$1,#REF!,0)))</f>
        <v/>
      </c>
      <c r="EQ211" s="45" t="str">
        <f t="array" ref="EQ211">IF(DP211="","", INDEX(#REF!,MATCH(CONCATENATE('Respuestas de formulario 1.1'!$B211,DP211),#REF!,0),MATCH('Respuestas de formulario 1.1'!EQ$1,#REF!,0)))</f>
        <v/>
      </c>
      <c r="ER211" s="56" t="str">
        <f t="array" ref="ER211">IF(DQ211="","", INDEX(#REF!,MATCH(CONCATENATE('Respuestas de formulario 1.1'!$B211,DQ211),#REF!,0),MATCH('Respuestas de formulario 1.1'!ER$1,#REF!,0)))</f>
        <v/>
      </c>
      <c r="ES211" s="56" t="str">
        <f t="array" ref="ES211">IF(DR211="","", INDEX(#REF!,MATCH(CONCATENATE('Respuestas de formulario 1.1'!$B211,DR211),#REF!,0),MATCH('Respuestas de formulario 1.1'!ES$1,#REF!,0)))</f>
        <v/>
      </c>
      <c r="ET211" s="56" t="str">
        <f t="array" ref="ET211">IF(DS211="","", INDEX(#REF!,MATCH(CONCATENATE('Respuestas de formulario 1.1'!$B211,DS211),#REF!,0),MATCH('Respuestas de formulario 1.1'!ET$1,#REF!,0)))</f>
        <v/>
      </c>
      <c r="EU211" s="56" t="str">
        <f t="array" ref="EU211">IF(DT211="","", INDEX(#REF!,MATCH(CONCATENATE('Respuestas de formulario 1.1'!$B211,DT211),#REF!,0),MATCH('Respuestas de formulario 1.1'!EU$1,#REF!,0)))</f>
        <v/>
      </c>
      <c r="EV211" s="56" t="str">
        <f t="array" ref="EV211">IF(DU211="","", INDEX(#REF!,MATCH(CONCATENATE('Respuestas de formulario 1.1'!$B211,DU211),#REF!,0),MATCH('Respuestas de formulario 1.1'!EV$1,#REF!,0)))</f>
        <v/>
      </c>
      <c r="EW211" s="45" t="str">
        <f t="array" ref="EW211">IF(DV211="","", INDEX(#REF!,MATCH(CONCATENATE('Respuestas de formulario 1.1'!$B211,DV211),#REF!,0),MATCH('Respuestas de formulario 1.1'!EW$1,#REF!,0)))</f>
        <v/>
      </c>
      <c r="EX211" s="45" t="str">
        <f t="array" ref="EX211">IF($DQ211="","", INDEX(#REF!,MATCH(CONCATENATE('Respuestas de formulario 1.1'!$B211,$DQ211),#REF!,0),MATCH('Respuestas de formulario 1.1'!EX$1,#REF!,0)))</f>
        <v/>
      </c>
      <c r="EY211" s="56" t="str">
        <f t="array" ref="EY211">IF($DQ211="","", INDEX(#REF!,MATCH(CONCATENATE('Respuestas de formulario 1.1'!$B211,$DQ211),#REF!,0),MATCH('Respuestas de formulario 1.1'!EY$1,#REF!,0)))</f>
        <v/>
      </c>
      <c r="EZ211" s="56" t="str">
        <f t="array" ref="EZ211">IF($DQ211="","", INDEX(#REF!,MATCH(CONCATENATE('Respuestas de formulario 1.1'!$B211,$DQ211),#REF!,0),MATCH('Respuestas de formulario 1.1'!EZ$1,#REF!,0)))</f>
        <v/>
      </c>
      <c r="FA211" s="56" t="str">
        <f t="array" ref="FA211">IF($DQ211="","", INDEX(#REF!,MATCH(CONCATENATE('Respuestas de formulario 1.1'!$B211,$DQ211),#REF!,0),MATCH('Respuestas de formulario 1.1'!FA$1,#REF!,0)))</f>
        <v/>
      </c>
      <c r="FB211" s="56" t="str">
        <f t="array" ref="FB211">IF($DQ211="","", INDEX(#REF!,MATCH(CONCATENATE('Respuestas de formulario 1.1'!$B211,$DQ211),#REF!,0),MATCH('Respuestas de formulario 1.1'!FB$1,#REF!,0)))</f>
        <v/>
      </c>
      <c r="FC211" s="56" t="str">
        <f t="array" ref="FC211">IF($DQ211="","", INDEX(#REF!,MATCH(CONCATENATE('Respuestas de formulario 1.1'!$B211,$DQ211),#REF!,0),MATCH('Respuestas de formulario 1.1'!FC$1,#REF!,0)))</f>
        <v/>
      </c>
      <c r="FD211" s="45" t="str">
        <f t="array" ref="FD211">IF($DQ211="","", INDEX(#REF!,MATCH(CONCATENATE('Respuestas de formulario 1.1'!$B211,$DQ211),#REF!,0),MATCH('Respuestas de formulario 1.1'!FD$1,#REF!,0)))</f>
        <v/>
      </c>
      <c r="FE211" s="45" t="str">
        <f t="array" ref="FE211">IF($DR211="","", INDEX(#REF!,MATCH(CONCATENATE(#REF!,$DR211),#REF!,0),MATCH(#REF!,#REF!,0)))</f>
        <v/>
      </c>
      <c r="FF211" s="56" t="str">
        <f t="array" ref="FF211">IF($DR211="","", INDEX(#REF!,MATCH(CONCATENATE(#REF!,$DR211),#REF!,0),MATCH(#REF!,#REF!,0)))</f>
        <v/>
      </c>
      <c r="FG211" s="56" t="str">
        <f t="array" ref="FG211">IF($DR211="","", INDEX(#REF!,MATCH(CONCATENATE(#REF!,$DR211),#REF!,0),MATCH(#REF!,#REF!,0)))</f>
        <v/>
      </c>
      <c r="FH211" s="56" t="str">
        <f t="array" ref="FH211">IF($DR211="","", INDEX(#REF!,MATCH(CONCATENATE(#REF!,$DR211),#REF!,0),MATCH(#REF!,#REF!,0)))</f>
        <v/>
      </c>
      <c r="FI211" s="56" t="str">
        <f t="array" ref="FI211">IF($DR211="","", INDEX(#REF!,MATCH(CONCATENATE(#REF!,$DR211),#REF!,0),MATCH(#REF!,#REF!,0)))</f>
        <v/>
      </c>
      <c r="FJ211" s="56" t="str">
        <f t="array" ref="FJ211">IF($DR211="","", INDEX(#REF!,MATCH(CONCATENATE(#REF!,$DR211),#REF!,0),MATCH(#REF!,#REF!,0)))</f>
        <v/>
      </c>
      <c r="FK211" s="45" t="str">
        <f t="array" ref="FK211">IF($DR211="","", INDEX(#REF!,MATCH(CONCATENATE(#REF!,$DR211),#REF!,0),MATCH(#REF!,#REF!,0)))</f>
        <v/>
      </c>
      <c r="FL211" s="45" t="str">
        <f t="array" ref="FL211">IF($DT211="","", INDEX(#REF!,MATCH(CONCATENATE('Respuestas de formulario 1.1'!$B211,$DS211),#REF!,0),MATCH('Respuestas de formulario 1.1'!FL$1,#REF!,0)))</f>
        <v/>
      </c>
      <c r="FM211" s="56" t="str">
        <f t="array" ref="FM211">IF($DT211="","", INDEX(#REF!,MATCH(CONCATENATE('Respuestas de formulario 1.1'!$B211,$DS211),#REF!,0),MATCH('Respuestas de formulario 1.1'!FM$1,#REF!,0)))</f>
        <v/>
      </c>
      <c r="FN211" s="56" t="str">
        <f t="array" ref="FN211">IF($DT211="","", INDEX(#REF!,MATCH(CONCATENATE('Respuestas de formulario 1.1'!$B211,$DS211),#REF!,0),MATCH('Respuestas de formulario 1.1'!FN$1,#REF!,0)))</f>
        <v/>
      </c>
      <c r="FO211" s="56" t="str">
        <f t="array" ref="FO211">IF($DT211="","", INDEX(#REF!,MATCH(CONCATENATE('Respuestas de formulario 1.1'!$B211,$DS211),#REF!,0),MATCH('Respuestas de formulario 1.1'!FO$1,#REF!,0)))</f>
        <v/>
      </c>
      <c r="FP211" s="56" t="str">
        <f t="array" ref="FP211">IF($DT211="","", INDEX(#REF!,MATCH(CONCATENATE('Respuestas de formulario 1.1'!$B211,$DS211),#REF!,0),MATCH('Respuestas de formulario 1.1'!FP$1,#REF!,0)))</f>
        <v/>
      </c>
      <c r="FQ211" s="56" t="str">
        <f t="array" ref="FQ211">IF($DT211="","", INDEX(#REF!,MATCH(CONCATENATE('Respuestas de formulario 1.1'!$B211,$DS211),#REF!,0),MATCH('Respuestas de formulario 1.1'!FQ$1,#REF!,0)))</f>
        <v/>
      </c>
      <c r="FR211" s="45" t="str">
        <f t="array" ref="FR211">IF($DT211="","", INDEX(#REF!,MATCH(CONCATENATE('Respuestas de formulario 1.1'!$B211,$DS211),#REF!,0),MATCH('Respuestas de formulario 1.1'!FR$1,#REF!,0)))</f>
        <v/>
      </c>
      <c r="FS211" s="45" t="str">
        <f t="array" ref="FS211">IF($DU211="","", INDEX(#REF!,MATCH(CONCATENATE('Respuestas de formulario 1.1'!$B211,$DT211),#REF!,0),MATCH('Respuestas de formulario 1.1'!FS$1,#REF!,0)))</f>
        <v/>
      </c>
      <c r="FT211" s="56" t="str">
        <f t="array" ref="FT211">IF($DU211="","", INDEX(#REF!,MATCH(CONCATENATE('Respuestas de formulario 1.1'!$B211,$DT211),#REF!,0),MATCH('Respuestas de formulario 1.1'!FT$1,#REF!,0)))</f>
        <v/>
      </c>
      <c r="FU211" s="56" t="str">
        <f t="array" ref="FU211">IF($DU211="","", INDEX(#REF!,MATCH(CONCATENATE('Respuestas de formulario 1.1'!$B211,$DT211),#REF!,0),MATCH('Respuestas de formulario 1.1'!FU$1,#REF!,0)))</f>
        <v/>
      </c>
      <c r="FV211" s="56" t="str">
        <f t="array" ref="FV211">IF($DU211="","", INDEX(#REF!,MATCH(CONCATENATE('Respuestas de formulario 1.1'!$B211,$DT211),#REF!,0),MATCH('Respuestas de formulario 1.1'!FV$1,#REF!,0)))</f>
        <v/>
      </c>
      <c r="FW211" s="56" t="str">
        <f t="array" ref="FW211">IF($DU211="","", INDEX(#REF!,MATCH(CONCATENATE('Respuestas de formulario 1.1'!$B211,$DT211),#REF!,0),MATCH('Respuestas de formulario 1.1'!FW$1,#REF!,0)))</f>
        <v/>
      </c>
      <c r="FX211" s="56" t="str">
        <f t="array" ref="FX211">IF($DU211="","", INDEX(#REF!,MATCH(CONCATENATE('Respuestas de formulario 1.1'!$B211,$DT211),#REF!,0),MATCH('Respuestas de formulario 1.1'!FX$1,#REF!,0)))</f>
        <v/>
      </c>
      <c r="FY211" s="45" t="str">
        <f t="array" ref="FY211">IF($DU211="","", INDEX(#REF!,MATCH(CONCATENATE('Respuestas de formulario 1.1'!$B211,$DT211),#REF!,0),MATCH('Respuestas de formulario 1.1'!FY$1,#REF!,0)))</f>
        <v/>
      </c>
      <c r="FZ211" s="3" t="s">
        <v>2860</v>
      </c>
      <c r="GA211" s="1" t="s">
        <v>6461</v>
      </c>
      <c r="GB211" s="5" t="s">
        <v>6462</v>
      </c>
      <c r="GC211" s="4" t="str">
        <f>HYPERLINK("https://drive.google.com/file/d/1lQHUf7-hRE-j2F-1xRkUfuJnZ8Wol1QI/view?usp=drivesdk","FLORES ZAMORA BRAYAN  Formato de reinscripción y pago 2022-2")</f>
        <v>FLORES ZAMORA BRAYAN  Formato de reinscripción y pago 2022-2</v>
      </c>
      <c r="GD211" s="1" t="s">
        <v>6463</v>
      </c>
      <c r="GE211" s="1"/>
      <c r="GF211" s="1"/>
      <c r="GG211" s="1"/>
      <c r="GH211" s="1"/>
      <c r="GI211" s="1" t="s">
        <v>6464</v>
      </c>
      <c r="GJ211" s="5" t="s">
        <v>6465</v>
      </c>
      <c r="GK211" s="5" t="str">
        <f>HYPERLINK("https://drive.google.com/file/d/11k8bNBl0euUOmmNFsA4wkkRDgGMMvEtM/view?usp=drivesdk","FLORES ZAMORA BRAYAN  Formato de reinscripción y pago 2022-2")</f>
        <v>FLORES ZAMORA BRAYAN  Formato de reinscripción y pago 2022-2</v>
      </c>
      <c r="GL211" s="1" t="s">
        <v>6466</v>
      </c>
    </row>
    <row r="212" spans="1:194" ht="38.25" x14ac:dyDescent="0.2">
      <c r="A212" s="2">
        <v>45142.730735775462</v>
      </c>
      <c r="B212" s="1" t="s">
        <v>76</v>
      </c>
      <c r="C212" s="1" t="s">
        <v>1375</v>
      </c>
      <c r="D212" s="1" t="s">
        <v>1351</v>
      </c>
      <c r="E212" s="1" t="s">
        <v>2407</v>
      </c>
      <c r="F212" s="1" t="s">
        <v>262</v>
      </c>
      <c r="G212" s="5" t="s">
        <v>6467</v>
      </c>
      <c r="H212" s="41">
        <v>38795</v>
      </c>
      <c r="I212" s="1">
        <v>17</v>
      </c>
      <c r="J212" s="1">
        <v>5584720012</v>
      </c>
      <c r="K212" s="1">
        <v>5617617062</v>
      </c>
      <c r="L212" s="1" t="s">
        <v>2408</v>
      </c>
      <c r="M212" s="1">
        <v>22309060570047</v>
      </c>
      <c r="N212" s="1" t="s">
        <v>562</v>
      </c>
      <c r="O212" s="1" t="s">
        <v>225</v>
      </c>
      <c r="P212" s="1" t="s">
        <v>278</v>
      </c>
      <c r="Q212" s="1" t="s">
        <v>227</v>
      </c>
      <c r="R212" s="1" t="s">
        <v>236</v>
      </c>
      <c r="S212" s="1" t="s">
        <v>228</v>
      </c>
      <c r="T212" s="1" t="s">
        <v>229</v>
      </c>
      <c r="U212" s="1" t="s">
        <v>249</v>
      </c>
      <c r="V212" s="1" t="s">
        <v>228</v>
      </c>
      <c r="W212" s="1" t="s">
        <v>6468</v>
      </c>
      <c r="X212" s="1" t="s">
        <v>249</v>
      </c>
      <c r="Y212" s="1" t="s">
        <v>6469</v>
      </c>
      <c r="Z212" s="1" t="s">
        <v>240</v>
      </c>
      <c r="AA212" s="44" t="s">
        <v>386</v>
      </c>
      <c r="AB212" s="1">
        <v>4</v>
      </c>
      <c r="AC212" s="1">
        <v>502</v>
      </c>
      <c r="AD212" s="1" t="s">
        <v>6470</v>
      </c>
      <c r="AE212" s="1" t="s">
        <v>6471</v>
      </c>
      <c r="AF212" s="1" t="s">
        <v>265</v>
      </c>
      <c r="AG212" s="1">
        <v>36</v>
      </c>
      <c r="AH212" s="5" t="s">
        <v>6472</v>
      </c>
      <c r="AI212" s="1">
        <v>5584720012</v>
      </c>
      <c r="AJ212" s="1">
        <v>5584720012</v>
      </c>
      <c r="AK212" s="1" t="s">
        <v>2411</v>
      </c>
      <c r="AL212" s="1" t="s">
        <v>2162</v>
      </c>
      <c r="AM212" s="1" t="s">
        <v>682</v>
      </c>
      <c r="AN212" s="1" t="s">
        <v>6473</v>
      </c>
      <c r="AO212" s="1" t="s">
        <v>435</v>
      </c>
      <c r="AP212" s="1">
        <v>36</v>
      </c>
      <c r="AQ212" s="1" t="s">
        <v>2410</v>
      </c>
      <c r="AR212" s="42">
        <v>0.33333333333575865</v>
      </c>
      <c r="AS212" s="42">
        <v>0.33333333333575865</v>
      </c>
      <c r="AT212" s="1">
        <v>5553856999</v>
      </c>
      <c r="AU212" s="1">
        <v>5624029219</v>
      </c>
      <c r="AV212" s="1" t="s">
        <v>2412</v>
      </c>
      <c r="AW212" s="5" t="s">
        <v>6474</v>
      </c>
      <c r="AX212" s="1" t="s">
        <v>2162</v>
      </c>
      <c r="AY212" s="1" t="s">
        <v>286</v>
      </c>
      <c r="AZ212" s="1" t="s">
        <v>762</v>
      </c>
      <c r="BA212" s="1" t="s">
        <v>1354</v>
      </c>
      <c r="BB212" s="1">
        <v>63</v>
      </c>
      <c r="BC212" s="1" t="s">
        <v>1635</v>
      </c>
      <c r="BD212" s="43">
        <v>0</v>
      </c>
      <c r="BE212" s="43">
        <v>0</v>
      </c>
      <c r="BF212" s="1">
        <v>5510994036</v>
      </c>
      <c r="BG212" s="1">
        <v>5584720012</v>
      </c>
      <c r="BH212" s="1" t="s">
        <v>6475</v>
      </c>
      <c r="BI212" s="5" t="s">
        <v>6476</v>
      </c>
      <c r="BJ212" s="1" t="s">
        <v>236</v>
      </c>
      <c r="BL212" s="1">
        <v>1.75</v>
      </c>
      <c r="BM212" s="1">
        <v>63</v>
      </c>
      <c r="BN212" s="1" t="s">
        <v>236</v>
      </c>
      <c r="BO212" s="1" t="s">
        <v>228</v>
      </c>
      <c r="BQ212" s="1" t="s">
        <v>228</v>
      </c>
      <c r="BR212" s="1" t="s">
        <v>237</v>
      </c>
      <c r="BS212" s="1" t="s">
        <v>236</v>
      </c>
      <c r="BT212" s="1" t="s">
        <v>462</v>
      </c>
      <c r="BU212" s="1" t="s">
        <v>228</v>
      </c>
      <c r="BW212" s="1" t="s">
        <v>388</v>
      </c>
      <c r="BX212" s="1">
        <v>40</v>
      </c>
      <c r="BY212" s="1">
        <v>150</v>
      </c>
      <c r="BZ212" s="1" t="s">
        <v>1539</v>
      </c>
      <c r="CA212" s="1" t="s">
        <v>343</v>
      </c>
      <c r="CB212" s="1" t="s">
        <v>240</v>
      </c>
      <c r="CC212" s="1" t="s">
        <v>274</v>
      </c>
      <c r="CD212" s="1">
        <v>1500</v>
      </c>
      <c r="CE212" s="1">
        <v>1500</v>
      </c>
      <c r="CF212" s="1" t="s">
        <v>236</v>
      </c>
      <c r="CG212" s="1" t="s">
        <v>242</v>
      </c>
      <c r="CH212" s="1" t="s">
        <v>243</v>
      </c>
      <c r="CI212" s="1" t="s">
        <v>243</v>
      </c>
      <c r="CJ212" s="1" t="s">
        <v>2848</v>
      </c>
      <c r="CL212" s="5" t="s">
        <v>6477</v>
      </c>
      <c r="CM212" s="44" t="s">
        <v>2413</v>
      </c>
      <c r="CN212" s="1" t="s">
        <v>228</v>
      </c>
      <c r="CQ212" s="42">
        <v>0.33333333333575865</v>
      </c>
      <c r="CR212" s="42">
        <v>0.33333333333575865</v>
      </c>
      <c r="CT212" s="45" t="str">
        <f t="array" ref="CT212">IFERROR(INDEX(#REF!,MATCH('Respuestas de formulario 1.1'!$B212,#REF!,0),MATCH('Respuestas de formulario 1.1'!CT$1,#REF!,0)),"")</f>
        <v/>
      </c>
      <c r="CU212" s="56" t="str">
        <f t="array" ref="CU212">IFERROR(INDEX(#REF!,MATCH('Respuestas de formulario 1.1'!$B212,#REF!,0),MATCH('Respuestas de formulario 1.1'!CU$1,#REF!,0)),"")</f>
        <v/>
      </c>
      <c r="CV212" s="56" t="str">
        <f t="array" ref="CV212">IFERROR(INDEX(#REF!,MATCH('Respuestas de formulario 1.1'!$B212,#REF!,0),MATCH('Respuestas de formulario 1.1'!CV$1,#REF!,0)),"")</f>
        <v/>
      </c>
      <c r="CW212" s="56" t="str">
        <f t="array" ref="CW212">IFERROR(INDEX(#REF!,MATCH('Respuestas de formulario 1.1'!$B212,#REF!,0),MATCH('Respuestas de formulario 1.1'!CW$1,#REF!,0)),"")</f>
        <v/>
      </c>
      <c r="CX212" s="56" t="str">
        <f t="array" ref="CX212">IFERROR(INDEX(#REF!,MATCH('Respuestas de formulario 1.1'!$B212,#REF!,0),MATCH('Respuestas de formulario 1.1'!CX$1,#REF!,0)),"")</f>
        <v/>
      </c>
      <c r="CY212" s="56" t="str">
        <f t="array" ref="CY212">IFERROR(INDEX(#REF!,MATCH('Respuestas de formulario 1.1'!$B212,#REF!,0),MATCH('Respuestas de formulario 1.1'!CY$1,#REF!,0)),"")</f>
        <v/>
      </c>
      <c r="CZ212" s="57" t="str">
        <f t="array" ref="CZ212">IFERROR(INDEX(#REF!,MATCH('Respuestas de formulario 1.1'!$B212,#REF!,0),MATCH('Respuestas de formulario 1.1'!CZ$1,#REF!,0)),"")</f>
        <v/>
      </c>
      <c r="DA212" s="45" t="e">
        <f t="array" ref="DA212">INDEX(#REF!,MATCH('Respuestas de formulario 1.1'!$B212,#REF!,0),MATCH('Respuestas de formulario 1.1'!DA$1,#REF!,0))</f>
        <v>#REF!</v>
      </c>
      <c r="DB212" s="45" t="e">
        <f t="array" ref="DB212">INDEX(#REF!,MATCH('Respuestas de formulario 1.1'!$B212,#REF!,0),MATCH('Respuestas de formulario 1.1'!DB$1,#REF!,0))</f>
        <v>#REF!</v>
      </c>
      <c r="DC212" s="45" t="e">
        <f t="array" ref="DC212">INDEX(#REF!,MATCH('Respuestas de formulario 1.1'!$B212,#REF!,0),MATCH('Respuestas de formulario 1.1'!DC$1,#REF!,0))</f>
        <v>#REF!</v>
      </c>
      <c r="DD212" s="45" t="e">
        <f t="array" ref="DD212">INDEX(#REF!,MATCH('Respuestas de formulario 1.1'!$B212,#REF!,0),MATCH('Respuestas de formulario 1.1'!DD$1,#REF!,0))</f>
        <v>#REF!</v>
      </c>
      <c r="DE212" s="45" t="e">
        <f t="array" ref="DE212">INDEX(#REF!,MATCH('Respuestas de formulario 1.1'!$B212,#REF!,0),MATCH('Respuestas de formulario 1.1'!DE$1,#REF!,0))</f>
        <v>#REF!</v>
      </c>
      <c r="DF212" s="45" t="e">
        <f t="array" ref="DF212">INDEX(#REF!,MATCH('Respuestas de formulario 1.1'!$B212,#REF!,0),MATCH('Respuestas de formulario 1.1'!DF$1,#REF!,0))</f>
        <v>#REF!</v>
      </c>
      <c r="DG212" s="45" t="e">
        <f t="array" ref="DG212">INDEX(#REF!,MATCH('Respuestas de formulario 1.1'!$B212,#REF!,0),MATCH('Respuestas de formulario 1.1'!DG$1,#REF!,0))</f>
        <v>#REF!</v>
      </c>
      <c r="DH212" s="45" t="e">
        <f t="array" ref="DH212">INDEX(#REF!,MATCH('Respuestas de formulario 1.1'!$B212,#REF!,0),MATCH('Respuestas de formulario 1.1'!DH$1,#REF!,0))</f>
        <v>#REF!</v>
      </c>
      <c r="DI212" s="48" t="e">
        <f>VLOOKUP(CONCATENATE($DF212," TUTO ",$DC212),#REF!,3,0)</f>
        <v>#REF!</v>
      </c>
      <c r="DJ212" s="48" t="e">
        <f t="array" ref="DJ212">IF('Respuestas de formulario 1.1'!A212="","",INDEX(#REF!,MATCH('Respuestas de formulario 1.1'!B212,#REF!,0),MATCH('Respuestas de formulario 1.1'!$DH$1,#REF!,0)))</f>
        <v>#REF!</v>
      </c>
      <c r="DK212" s="52" t="str">
        <f>CONCATENATE("http://doc.google.com/uc?id=",MID('Respuestas de formulario 1.1'!G212,34,33))</f>
        <v>http://doc.google.com/uc?id=11z6o4j3m6oew9uNT0esh8bPgGcZPqQLk</v>
      </c>
      <c r="DL212" s="49" t="str">
        <f>CONCATENATE("http://doc.google.com/uc?id=",MID('Respuestas de formulario 1.1'!AH212,34,33))</f>
        <v>http://doc.google.com/uc?id=1EFrjbQ29k9VT9lQSHFhOCBP4mgeJ7jcM</v>
      </c>
      <c r="DM212" s="50" t="str">
        <f>CONCATENATE("http://doc.google.com/uc?id=",MID('Respuestas de formulario 1.1'!AW212,34,33))</f>
        <v>http://doc.google.com/uc?id=1B7xdCPStD6WLZsGPfE4t3OwtGZPOGCRU</v>
      </c>
      <c r="DN212" s="53" t="str">
        <f>CONCATENATE("http://doc.google.com/uc?id=",MID('Respuestas de formulario 1.1'!$BI212,34,33))</f>
        <v>http://doc.google.com/uc?id=1oZlDO_nKWbJD0iOoafh_mHuuOI1esWfy</v>
      </c>
      <c r="DO212" s="45" t="str">
        <f>IFERROR(VLOOKUP(CONCATENATE('Respuestas de formulario 1.1'!$B212,MID('Respuestas de formulario 1.1'!DO$1,2,1)),#REF!,12,0),"")</f>
        <v/>
      </c>
      <c r="DP212" s="45" t="str">
        <f>IFERROR(VLOOKUP(CONCATENATE('Respuestas de formulario 1.1'!$B212,MID('Respuestas de formulario 1.1'!DP$1,2,1)),#REF!,12,0),"")</f>
        <v/>
      </c>
      <c r="DQ212" s="45" t="str">
        <f>IFERROR(VLOOKUP(CONCATENATE('Respuestas de formulario 1.1'!$B212,MID('Respuestas de formulario 1.1'!DQ$1,2,1)),#REF!,12,0),"")</f>
        <v/>
      </c>
      <c r="DR212" s="45" t="str">
        <f>IFERROR(VLOOKUP(CONCATENATE('Respuestas de formulario 1.1'!$B212,MID('Respuestas de formulario 1.1'!DR$1,2,1)),#REF!,12,0),"")</f>
        <v/>
      </c>
      <c r="DS212" s="45" t="str">
        <f>IFERROR(VLOOKUP(CONCATENATE('Respuestas de formulario 1.1'!$B212,MID('Respuestas de formulario 1.1'!DS$1,2,1)),#REF!,12,0),"")</f>
        <v/>
      </c>
      <c r="DT212" s="45" t="str">
        <f>IFERROR(VLOOKUP(CONCATENATE('Respuestas de formulario 1.1'!$B212,MID('Respuestas de formulario 1.1'!DT$1,2,1)),#REF!,12,0),"")</f>
        <v/>
      </c>
      <c r="DU212" s="45" t="str">
        <f>IFERROR(VLOOKUP(CONCATENATE('Respuestas de formulario 1.1'!$B212,MID('Respuestas de formulario 1.1'!DU$1,2,1)),#REF!,12,0),"")</f>
        <v/>
      </c>
      <c r="DV212" s="45" t="str">
        <f>IFERROR(VLOOKUP(CONCATENATE('Respuestas de formulario 1.1'!$B212,MID('Respuestas de formulario 1.1'!DV$1,2,1)),#REF!,12,0),"")</f>
        <v/>
      </c>
      <c r="DW212" s="45" t="str">
        <f>IFERROR(VLOOKUP(CONCATENATE('Respuestas de formulario 1.1'!$B212,MID('Respuestas de formulario 1.1'!DW$1,2,1)),#REF!,12,0),"")</f>
        <v/>
      </c>
      <c r="DX212" s="45" t="str">
        <f>IFERROR(VLOOKUP(CONCATENATE('Respuestas de formulario 1.1'!$B212,MID('Respuestas de formulario 1.1'!DX$1,2,1)),#REF!,12,0),"")</f>
        <v/>
      </c>
      <c r="DY212" s="45" t="str">
        <f>IFERROR(VLOOKUP(CONCATENATE('Respuestas de formulario 1.1'!$B212,MID('Respuestas de formulario 1.1'!DY$1,2,1)),#REF!,12,0),"")</f>
        <v/>
      </c>
      <c r="DZ212" s="45" t="str">
        <f>IFERROR(VLOOKUP(CONCATENATE('Respuestas de formulario 1.1'!$B212,MID('Respuestas de formulario 1.1'!DZ$1,2,1)),#REF!,12,0),"")</f>
        <v/>
      </c>
      <c r="EA212" s="45" t="str">
        <f>IFERROR(VLOOKUP(CONCATENATE('Respuestas de formulario 1.1'!$B212,MID('Respuestas de formulario 1.1'!EA$1,2,1)),#REF!,12,0),"")</f>
        <v/>
      </c>
      <c r="EB212" s="45" t="str">
        <f>IFERROR(VLOOKUP(CONCATENATE('Respuestas de formulario 1.1'!$B212,MID('Respuestas de formulario 1.1'!EB$1,2,1)),#REF!,12,0),"")</f>
        <v/>
      </c>
      <c r="EC212" s="45" t="str">
        <f>IFERROR(VLOOKUP(CONCATENATE('Respuestas de formulario 1.1'!$B212,MID('Respuestas de formulario 1.1'!EC$1,2,1)),#REF!,12,0),"")</f>
        <v/>
      </c>
      <c r="ED212" s="45" t="str">
        <f>IFERROR(VLOOKUP(CONCATENATE('Respuestas de formulario 1.1'!$B212,MID('Respuestas de formulario 1.1'!ED$1,2,1)),#REF!,12,0),"")</f>
        <v/>
      </c>
      <c r="EE212" s="45" t="str">
        <f>IFERROR(VLOOKUP(CONCATENATE('Respuestas de formulario 1.1'!$B212,MID('Respuestas de formulario 1.1'!EE$1,2,1)),#REF!,12,0),"")</f>
        <v/>
      </c>
      <c r="EF212" s="45" t="str">
        <f>IFERROR(VLOOKUP(CONCATENATE('Respuestas de formulario 1.1'!$B212,MID('Respuestas de formulario 1.1'!EF$1,2,1)),#REF!,12,0),"")</f>
        <v/>
      </c>
      <c r="EG212" s="45" t="str">
        <f>IFERROR(VLOOKUP(CONCATENATE('Respuestas de formulario 1.1'!$B212,MID('Respuestas de formulario 1.1'!EG$1,2,1)),#REF!,12,0),"")</f>
        <v/>
      </c>
      <c r="EH212" s="45" t="str">
        <f>IFERROR(VLOOKUP(CONCATENATE('Respuestas de formulario 1.1'!$B212,MID('Respuestas de formulario 1.1'!EH$1,2,1)),#REF!,12,0),"")</f>
        <v/>
      </c>
      <c r="EI212" s="45" t="str">
        <f>IFERROR(VLOOKUP(CONCATENATE('Respuestas de formulario 1.1'!$B212,MID('Respuestas de formulario 1.1'!EI$1,2,1)),#REF!,12,0),"")</f>
        <v/>
      </c>
      <c r="EJ212" s="45" t="str">
        <f t="array" ref="EJ212">IF(DO212="","", INDEX(#REF!,MATCH(CONCATENATE('Respuestas de formulario 1.1'!$B212,DO212),#REF!,0),MATCH('Respuestas de formulario 1.1'!EJ$1,#REF!,0)))</f>
        <v/>
      </c>
      <c r="EK212" s="56" t="str">
        <f t="array" ref="EK212">IF(DP212="","", INDEX(#REF!,MATCH(CONCATENATE('Respuestas de formulario 1.1'!$B212,DP212),#REF!,0),MATCH('Respuestas de formulario 1.1'!EK$1,#REF!,0)))</f>
        <v/>
      </c>
      <c r="EL212" s="56" t="str">
        <f t="array" ref="EL212">IF(DQ212="","", INDEX(#REF!,MATCH(CONCATENATE('Respuestas de formulario 1.1'!$B212,DQ212),#REF!,0),MATCH('Respuestas de formulario 1.1'!EL$1,#REF!,0)))</f>
        <v/>
      </c>
      <c r="EM212" s="56" t="str">
        <f t="array" ref="EM212">IF(DR212="","", INDEX(#REF!,MATCH(CONCATENATE('Respuestas de formulario 1.1'!$B212,DR212),#REF!,0),MATCH('Respuestas de formulario 1.1'!EM$1,#REF!,0)))</f>
        <v/>
      </c>
      <c r="EN212" s="56" t="str">
        <f t="array" ref="EN212">IF(DS212="","", INDEX(#REF!,MATCH(CONCATENATE('Respuestas de formulario 1.1'!$B212,DS212),#REF!,0),MATCH('Respuestas de formulario 1.1'!EN$1,#REF!,0)))</f>
        <v/>
      </c>
      <c r="EO212" s="56" t="str">
        <f t="array" ref="EO212">IF(DT212="","", INDEX(#REF!,MATCH(CONCATENATE('Respuestas de formulario 1.1'!$B212,DT212),#REF!,0),MATCH('Respuestas de formulario 1.1'!EO$1,#REF!,0)))</f>
        <v/>
      </c>
      <c r="EP212" s="45" t="str">
        <f t="array" ref="EP212">IF(DU212="","", INDEX(#REF!,MATCH(CONCATENATE('Respuestas de formulario 1.1'!$B212,DU212),#REF!,0),MATCH('Respuestas de formulario 1.1'!EP$1,#REF!,0)))</f>
        <v/>
      </c>
      <c r="EQ212" s="45" t="str">
        <f t="array" ref="EQ212">IF(DP212="","", INDEX(#REF!,MATCH(CONCATENATE('Respuestas de formulario 1.1'!$B212,DP212),#REF!,0),MATCH('Respuestas de formulario 1.1'!EQ$1,#REF!,0)))</f>
        <v/>
      </c>
      <c r="ER212" s="56" t="str">
        <f t="array" ref="ER212">IF(DQ212="","", INDEX(#REF!,MATCH(CONCATENATE('Respuestas de formulario 1.1'!$B212,DQ212),#REF!,0),MATCH('Respuestas de formulario 1.1'!ER$1,#REF!,0)))</f>
        <v/>
      </c>
      <c r="ES212" s="56" t="str">
        <f t="array" ref="ES212">IF(DR212="","", INDEX(#REF!,MATCH(CONCATENATE('Respuestas de formulario 1.1'!$B212,DR212),#REF!,0),MATCH('Respuestas de formulario 1.1'!ES$1,#REF!,0)))</f>
        <v/>
      </c>
      <c r="ET212" s="56" t="str">
        <f t="array" ref="ET212">IF(DS212="","", INDEX(#REF!,MATCH(CONCATENATE('Respuestas de formulario 1.1'!$B212,DS212),#REF!,0),MATCH('Respuestas de formulario 1.1'!ET$1,#REF!,0)))</f>
        <v/>
      </c>
      <c r="EU212" s="56" t="str">
        <f t="array" ref="EU212">IF(DT212="","", INDEX(#REF!,MATCH(CONCATENATE('Respuestas de formulario 1.1'!$B212,DT212),#REF!,0),MATCH('Respuestas de formulario 1.1'!EU$1,#REF!,0)))</f>
        <v/>
      </c>
      <c r="EV212" s="56" t="str">
        <f t="array" ref="EV212">IF(DU212="","", INDEX(#REF!,MATCH(CONCATENATE('Respuestas de formulario 1.1'!$B212,DU212),#REF!,0),MATCH('Respuestas de formulario 1.1'!EV$1,#REF!,0)))</f>
        <v/>
      </c>
      <c r="EW212" s="45" t="str">
        <f t="array" ref="EW212">IF(DV212="","", INDEX(#REF!,MATCH(CONCATENATE('Respuestas de formulario 1.1'!$B212,DV212),#REF!,0),MATCH('Respuestas de formulario 1.1'!EW$1,#REF!,0)))</f>
        <v/>
      </c>
      <c r="EX212" s="45" t="str">
        <f t="array" ref="EX212">IF($DQ212="","", INDEX(#REF!,MATCH(CONCATENATE('Respuestas de formulario 1.1'!$B212,$DQ212),#REF!,0),MATCH('Respuestas de formulario 1.1'!EX$1,#REF!,0)))</f>
        <v/>
      </c>
      <c r="EY212" s="56" t="str">
        <f t="array" ref="EY212">IF($DQ212="","", INDEX(#REF!,MATCH(CONCATENATE('Respuestas de formulario 1.1'!$B212,$DQ212),#REF!,0),MATCH('Respuestas de formulario 1.1'!EY$1,#REF!,0)))</f>
        <v/>
      </c>
      <c r="EZ212" s="56" t="str">
        <f t="array" ref="EZ212">IF($DQ212="","", INDEX(#REF!,MATCH(CONCATENATE('Respuestas de formulario 1.1'!$B212,$DQ212),#REF!,0),MATCH('Respuestas de formulario 1.1'!EZ$1,#REF!,0)))</f>
        <v/>
      </c>
      <c r="FA212" s="56" t="str">
        <f t="array" ref="FA212">IF($DQ212="","", INDEX(#REF!,MATCH(CONCATENATE('Respuestas de formulario 1.1'!$B212,$DQ212),#REF!,0),MATCH('Respuestas de formulario 1.1'!FA$1,#REF!,0)))</f>
        <v/>
      </c>
      <c r="FB212" s="56" t="str">
        <f t="array" ref="FB212">IF($DQ212="","", INDEX(#REF!,MATCH(CONCATENATE('Respuestas de formulario 1.1'!$B212,$DQ212),#REF!,0),MATCH('Respuestas de formulario 1.1'!FB$1,#REF!,0)))</f>
        <v/>
      </c>
      <c r="FC212" s="56" t="str">
        <f t="array" ref="FC212">IF($DQ212="","", INDEX(#REF!,MATCH(CONCATENATE('Respuestas de formulario 1.1'!$B212,$DQ212),#REF!,0),MATCH('Respuestas de formulario 1.1'!FC$1,#REF!,0)))</f>
        <v/>
      </c>
      <c r="FD212" s="45" t="str">
        <f t="array" ref="FD212">IF($DQ212="","", INDEX(#REF!,MATCH(CONCATENATE('Respuestas de formulario 1.1'!$B212,$DQ212),#REF!,0),MATCH('Respuestas de formulario 1.1'!FD$1,#REF!,0)))</f>
        <v/>
      </c>
      <c r="FE212" s="45" t="str">
        <f t="array" ref="FE212">IF($DR212="","", INDEX(#REF!,MATCH(CONCATENATE(#REF!,$DR212),#REF!,0),MATCH(#REF!,#REF!,0)))</f>
        <v/>
      </c>
      <c r="FF212" s="56" t="str">
        <f t="array" ref="FF212">IF($DR212="","", INDEX(#REF!,MATCH(CONCATENATE(#REF!,$DR212),#REF!,0),MATCH(#REF!,#REF!,0)))</f>
        <v/>
      </c>
      <c r="FG212" s="56" t="str">
        <f t="array" ref="FG212">IF($DR212="","", INDEX(#REF!,MATCH(CONCATENATE(#REF!,$DR212),#REF!,0),MATCH(#REF!,#REF!,0)))</f>
        <v/>
      </c>
      <c r="FH212" s="56" t="str">
        <f t="array" ref="FH212">IF($DR212="","", INDEX(#REF!,MATCH(CONCATENATE(#REF!,$DR212),#REF!,0),MATCH(#REF!,#REF!,0)))</f>
        <v/>
      </c>
      <c r="FI212" s="56" t="str">
        <f t="array" ref="FI212">IF($DR212="","", INDEX(#REF!,MATCH(CONCATENATE(#REF!,$DR212),#REF!,0),MATCH(#REF!,#REF!,0)))</f>
        <v/>
      </c>
      <c r="FJ212" s="56" t="str">
        <f t="array" ref="FJ212">IF($DR212="","", INDEX(#REF!,MATCH(CONCATENATE(#REF!,$DR212),#REF!,0),MATCH(#REF!,#REF!,0)))</f>
        <v/>
      </c>
      <c r="FK212" s="45" t="str">
        <f t="array" ref="FK212">IF($DR212="","", INDEX(#REF!,MATCH(CONCATENATE(#REF!,$DR212),#REF!,0),MATCH(#REF!,#REF!,0)))</f>
        <v/>
      </c>
      <c r="FL212" s="45" t="str">
        <f t="array" ref="FL212">IF($DT212="","", INDEX(#REF!,MATCH(CONCATENATE('Respuestas de formulario 1.1'!$B212,$DS212),#REF!,0),MATCH('Respuestas de formulario 1.1'!FL$1,#REF!,0)))</f>
        <v/>
      </c>
      <c r="FM212" s="56" t="str">
        <f t="array" ref="FM212">IF($DT212="","", INDEX(#REF!,MATCH(CONCATENATE('Respuestas de formulario 1.1'!$B212,$DS212),#REF!,0),MATCH('Respuestas de formulario 1.1'!FM$1,#REF!,0)))</f>
        <v/>
      </c>
      <c r="FN212" s="56" t="str">
        <f t="array" ref="FN212">IF($DT212="","", INDEX(#REF!,MATCH(CONCATENATE('Respuestas de formulario 1.1'!$B212,$DS212),#REF!,0),MATCH('Respuestas de formulario 1.1'!FN$1,#REF!,0)))</f>
        <v/>
      </c>
      <c r="FO212" s="56" t="str">
        <f t="array" ref="FO212">IF($DT212="","", INDEX(#REF!,MATCH(CONCATENATE('Respuestas de formulario 1.1'!$B212,$DS212),#REF!,0),MATCH('Respuestas de formulario 1.1'!FO$1,#REF!,0)))</f>
        <v/>
      </c>
      <c r="FP212" s="56" t="str">
        <f t="array" ref="FP212">IF($DT212="","", INDEX(#REF!,MATCH(CONCATENATE('Respuestas de formulario 1.1'!$B212,$DS212),#REF!,0),MATCH('Respuestas de formulario 1.1'!FP$1,#REF!,0)))</f>
        <v/>
      </c>
      <c r="FQ212" s="56" t="str">
        <f t="array" ref="FQ212">IF($DT212="","", INDEX(#REF!,MATCH(CONCATENATE('Respuestas de formulario 1.1'!$B212,$DS212),#REF!,0),MATCH('Respuestas de formulario 1.1'!FQ$1,#REF!,0)))</f>
        <v/>
      </c>
      <c r="FR212" s="45" t="str">
        <f t="array" ref="FR212">IF($DT212="","", INDEX(#REF!,MATCH(CONCATENATE('Respuestas de formulario 1.1'!$B212,$DS212),#REF!,0),MATCH('Respuestas de formulario 1.1'!FR$1,#REF!,0)))</f>
        <v/>
      </c>
      <c r="FS212" s="45" t="str">
        <f t="array" ref="FS212">IF($DU212="","", INDEX(#REF!,MATCH(CONCATENATE('Respuestas de formulario 1.1'!$B212,$DT212),#REF!,0),MATCH('Respuestas de formulario 1.1'!FS$1,#REF!,0)))</f>
        <v/>
      </c>
      <c r="FT212" s="56" t="str">
        <f t="array" ref="FT212">IF($DU212="","", INDEX(#REF!,MATCH(CONCATENATE('Respuestas de formulario 1.1'!$B212,$DT212),#REF!,0),MATCH('Respuestas de formulario 1.1'!FT$1,#REF!,0)))</f>
        <v/>
      </c>
      <c r="FU212" s="56" t="str">
        <f t="array" ref="FU212">IF($DU212="","", INDEX(#REF!,MATCH(CONCATENATE('Respuestas de formulario 1.1'!$B212,$DT212),#REF!,0),MATCH('Respuestas de formulario 1.1'!FU$1,#REF!,0)))</f>
        <v/>
      </c>
      <c r="FV212" s="56" t="str">
        <f t="array" ref="FV212">IF($DU212="","", INDEX(#REF!,MATCH(CONCATENATE('Respuestas de formulario 1.1'!$B212,$DT212),#REF!,0),MATCH('Respuestas de formulario 1.1'!FV$1,#REF!,0)))</f>
        <v/>
      </c>
      <c r="FW212" s="56" t="str">
        <f t="array" ref="FW212">IF($DU212="","", INDEX(#REF!,MATCH(CONCATENATE('Respuestas de formulario 1.1'!$B212,$DT212),#REF!,0),MATCH('Respuestas de formulario 1.1'!FW$1,#REF!,0)))</f>
        <v/>
      </c>
      <c r="FX212" s="56" t="str">
        <f t="array" ref="FX212">IF($DU212="","", INDEX(#REF!,MATCH(CONCATENATE('Respuestas de formulario 1.1'!$B212,$DT212),#REF!,0),MATCH('Respuestas de formulario 1.1'!FX$1,#REF!,0)))</f>
        <v/>
      </c>
      <c r="FY212" s="45" t="str">
        <f t="array" ref="FY212">IF($DU212="","", INDEX(#REF!,MATCH(CONCATENATE('Respuestas de formulario 1.1'!$B212,$DT212),#REF!,0),MATCH('Respuestas de formulario 1.1'!FY$1,#REF!,0)))</f>
        <v/>
      </c>
      <c r="FZ212" s="3" t="s">
        <v>2860</v>
      </c>
      <c r="GA212" s="1" t="s">
        <v>6478</v>
      </c>
      <c r="GB212" s="5" t="s">
        <v>6479</v>
      </c>
      <c r="GC212" s="4" t="str">
        <f>HYPERLINK("https://drive.google.com/file/d/1_Q3hwZs5iZ4QSMdQaw59YtcgjJzO4Tz2/view?usp=drivesdk","FRANCO  GUEVARA  VICTOR JOSUE  Formato de reinscripción y pago 2022-2")</f>
        <v>FRANCO  GUEVARA  VICTOR JOSUE  Formato de reinscripción y pago 2022-2</v>
      </c>
      <c r="GD212" s="1" t="s">
        <v>6480</v>
      </c>
      <c r="GE212" s="1"/>
      <c r="GF212" s="1"/>
      <c r="GG212" s="1"/>
      <c r="GH212" s="1"/>
      <c r="GI212" s="1" t="s">
        <v>6481</v>
      </c>
      <c r="GJ212" s="5" t="s">
        <v>6482</v>
      </c>
      <c r="GK212" s="5" t="str">
        <f>HYPERLINK("https://drive.google.com/file/d/1OywOEwR_w2mSZYXORbIyiqHqZoMBlt5-/view?usp=drivesdk","FRANCO  GUEVARA  VICTOR JOSUE  Formato de reinscripción y pago 2022-2")</f>
        <v>FRANCO  GUEVARA  VICTOR JOSUE  Formato de reinscripción y pago 2022-2</v>
      </c>
      <c r="GL212" s="1" t="s">
        <v>6483</v>
      </c>
    </row>
    <row r="213" spans="1:194" ht="38.25" x14ac:dyDescent="0.2">
      <c r="A213" s="2">
        <v>45139.521009502314</v>
      </c>
      <c r="B213" s="1" t="s">
        <v>1912</v>
      </c>
      <c r="C213" s="1" t="s">
        <v>928</v>
      </c>
      <c r="D213" s="1" t="s">
        <v>1549</v>
      </c>
      <c r="E213" s="1" t="s">
        <v>1913</v>
      </c>
      <c r="F213" s="1" t="s">
        <v>262</v>
      </c>
      <c r="G213" s="5" t="s">
        <v>6484</v>
      </c>
      <c r="H213" s="41">
        <v>38952</v>
      </c>
      <c r="I213" s="1">
        <v>16</v>
      </c>
      <c r="J213" s="1">
        <v>5583938829</v>
      </c>
      <c r="K213" s="1">
        <v>5522363008</v>
      </c>
      <c r="L213" s="1" t="s">
        <v>1914</v>
      </c>
      <c r="M213" s="1">
        <v>21309060570756</v>
      </c>
      <c r="N213" s="1" t="s">
        <v>1108</v>
      </c>
      <c r="O213" s="1" t="s">
        <v>225</v>
      </c>
      <c r="P213" s="1" t="s">
        <v>226</v>
      </c>
      <c r="Q213" s="1" t="s">
        <v>315</v>
      </c>
      <c r="R213" s="1" t="s">
        <v>236</v>
      </c>
      <c r="S213" s="1" t="s">
        <v>228</v>
      </c>
      <c r="T213" s="1" t="s">
        <v>411</v>
      </c>
      <c r="U213" s="1" t="s">
        <v>249</v>
      </c>
      <c r="V213" s="1" t="s">
        <v>228</v>
      </c>
      <c r="W213" s="1" t="s">
        <v>6485</v>
      </c>
      <c r="X213" s="1" t="s">
        <v>249</v>
      </c>
      <c r="Y213" s="1" t="s">
        <v>431</v>
      </c>
      <c r="Z213" s="1" t="s">
        <v>240</v>
      </c>
      <c r="AA213" s="44" t="s">
        <v>428</v>
      </c>
      <c r="AB213" s="1" t="s">
        <v>6486</v>
      </c>
      <c r="AC213" s="44" t="s">
        <v>659</v>
      </c>
      <c r="AD213" s="1" t="s">
        <v>6487</v>
      </c>
      <c r="AE213" s="1" t="s">
        <v>6488</v>
      </c>
      <c r="AF213" s="1" t="s">
        <v>461</v>
      </c>
      <c r="AG213" s="1">
        <v>36</v>
      </c>
      <c r="AH213" s="5" t="s">
        <v>6489</v>
      </c>
      <c r="AI213" s="1">
        <v>5570072862</v>
      </c>
      <c r="AJ213" s="1">
        <v>5570072862</v>
      </c>
      <c r="AK213" s="1" t="s">
        <v>1915</v>
      </c>
      <c r="AL213" s="1" t="s">
        <v>928</v>
      </c>
      <c r="AM213" s="1" t="s">
        <v>1418</v>
      </c>
      <c r="AN213" s="1" t="s">
        <v>6490</v>
      </c>
      <c r="AO213" s="1" t="s">
        <v>461</v>
      </c>
      <c r="AP213" s="1">
        <v>36</v>
      </c>
      <c r="AQ213" s="1" t="s">
        <v>6491</v>
      </c>
      <c r="AR213" s="42">
        <v>0.375</v>
      </c>
      <c r="AS213" s="42">
        <v>0.75</v>
      </c>
      <c r="AT213" s="1">
        <v>5570072862</v>
      </c>
      <c r="AU213" s="1">
        <v>5570072862</v>
      </c>
      <c r="AV213" s="1" t="s">
        <v>1915</v>
      </c>
      <c r="AW213" s="5" t="s">
        <v>6492</v>
      </c>
      <c r="AX213" s="1" t="s">
        <v>928</v>
      </c>
      <c r="AY213" s="1" t="s">
        <v>1418</v>
      </c>
      <c r="AZ213" s="1" t="s">
        <v>6493</v>
      </c>
      <c r="BA213" s="1" t="s">
        <v>580</v>
      </c>
      <c r="BB213" s="1">
        <v>36</v>
      </c>
      <c r="BC213" s="1" t="s">
        <v>6491</v>
      </c>
      <c r="BD213" s="43">
        <v>0.375</v>
      </c>
      <c r="BE213" s="43">
        <v>0.75</v>
      </c>
      <c r="BF213" s="1">
        <v>5570072862</v>
      </c>
      <c r="BG213" s="1">
        <v>5570072862</v>
      </c>
      <c r="BH213" s="1" t="s">
        <v>1915</v>
      </c>
      <c r="BI213" s="5" t="s">
        <v>6494</v>
      </c>
      <c r="BJ213" s="1" t="s">
        <v>236</v>
      </c>
      <c r="BL213" s="1">
        <v>164</v>
      </c>
      <c r="BM213" s="1">
        <v>71</v>
      </c>
      <c r="BN213" s="1" t="s">
        <v>228</v>
      </c>
      <c r="BO213" s="1" t="s">
        <v>228</v>
      </c>
      <c r="BQ213" s="1" t="s">
        <v>228</v>
      </c>
      <c r="BR213" s="1" t="s">
        <v>237</v>
      </c>
      <c r="BS213" s="1" t="s">
        <v>228</v>
      </c>
      <c r="BT213" s="1" t="s">
        <v>237</v>
      </c>
      <c r="BU213" s="1" t="s">
        <v>228</v>
      </c>
      <c r="BW213" s="1" t="s">
        <v>349</v>
      </c>
      <c r="BX213" s="1">
        <v>30</v>
      </c>
      <c r="BY213" s="1">
        <v>12</v>
      </c>
      <c r="BZ213" s="1" t="s">
        <v>1517</v>
      </c>
      <c r="CA213" s="1" t="s">
        <v>2143</v>
      </c>
      <c r="CB213" s="1" t="s">
        <v>240</v>
      </c>
      <c r="CC213" s="1" t="s">
        <v>274</v>
      </c>
      <c r="CD213" s="1">
        <v>6000</v>
      </c>
      <c r="CE213" s="1">
        <v>1000</v>
      </c>
      <c r="CF213" s="1" t="s">
        <v>236</v>
      </c>
      <c r="CG213" s="1" t="s">
        <v>242</v>
      </c>
      <c r="CH213" s="1" t="s">
        <v>243</v>
      </c>
      <c r="CI213" s="1" t="s">
        <v>243</v>
      </c>
      <c r="CJ213" s="1" t="s">
        <v>2848</v>
      </c>
      <c r="CL213" s="5" t="s">
        <v>6495</v>
      </c>
      <c r="CM213" s="44" t="s">
        <v>6496</v>
      </c>
      <c r="CN213" s="1" t="s">
        <v>228</v>
      </c>
      <c r="CQ213" s="42">
        <v>0.375</v>
      </c>
      <c r="CR213" s="42">
        <v>0.75</v>
      </c>
      <c r="CT213" s="45" t="str">
        <f t="array" ref="CT213">IFERROR(INDEX(#REF!,MATCH('Respuestas de formulario 1.1'!$B213,#REF!,0),MATCH('Respuestas de formulario 1.1'!CT$1,#REF!,0)),"")</f>
        <v/>
      </c>
      <c r="CU213" s="56" t="str">
        <f t="array" ref="CU213">IFERROR(INDEX(#REF!,MATCH('Respuestas de formulario 1.1'!$B213,#REF!,0),MATCH('Respuestas de formulario 1.1'!CU$1,#REF!,0)),"")</f>
        <v/>
      </c>
      <c r="CV213" s="56" t="str">
        <f t="array" ref="CV213">IFERROR(INDEX(#REF!,MATCH('Respuestas de formulario 1.1'!$B213,#REF!,0),MATCH('Respuestas de formulario 1.1'!CV$1,#REF!,0)),"")</f>
        <v/>
      </c>
      <c r="CW213" s="56" t="str">
        <f t="array" ref="CW213">IFERROR(INDEX(#REF!,MATCH('Respuestas de formulario 1.1'!$B213,#REF!,0),MATCH('Respuestas de formulario 1.1'!CW$1,#REF!,0)),"")</f>
        <v/>
      </c>
      <c r="CX213" s="56" t="str">
        <f t="array" ref="CX213">IFERROR(INDEX(#REF!,MATCH('Respuestas de formulario 1.1'!$B213,#REF!,0),MATCH('Respuestas de formulario 1.1'!CX$1,#REF!,0)),"")</f>
        <v/>
      </c>
      <c r="CY213" s="56" t="str">
        <f t="array" ref="CY213">IFERROR(INDEX(#REF!,MATCH('Respuestas de formulario 1.1'!$B213,#REF!,0),MATCH('Respuestas de formulario 1.1'!CY$1,#REF!,0)),"")</f>
        <v/>
      </c>
      <c r="CZ213" s="57" t="str">
        <f t="array" ref="CZ213">IFERROR(INDEX(#REF!,MATCH('Respuestas de formulario 1.1'!$B213,#REF!,0),MATCH('Respuestas de formulario 1.1'!CZ$1,#REF!,0)),"")</f>
        <v/>
      </c>
      <c r="DA213" s="45" t="e">
        <f t="array" ref="DA213">INDEX(#REF!,MATCH('Respuestas de formulario 1.1'!$B213,#REF!,0),MATCH('Respuestas de formulario 1.1'!DA$1,#REF!,0))</f>
        <v>#REF!</v>
      </c>
      <c r="DB213" s="45" t="e">
        <f t="array" ref="DB213">INDEX(#REF!,MATCH('Respuestas de formulario 1.1'!$B213,#REF!,0),MATCH('Respuestas de formulario 1.1'!DB$1,#REF!,0))</f>
        <v>#REF!</v>
      </c>
      <c r="DC213" s="45" t="e">
        <f t="array" ref="DC213">INDEX(#REF!,MATCH('Respuestas de formulario 1.1'!$B213,#REF!,0),MATCH('Respuestas de formulario 1.1'!DC$1,#REF!,0))</f>
        <v>#REF!</v>
      </c>
      <c r="DD213" s="45" t="e">
        <f t="array" ref="DD213">INDEX(#REF!,MATCH('Respuestas de formulario 1.1'!$B213,#REF!,0),MATCH('Respuestas de formulario 1.1'!DD$1,#REF!,0))</f>
        <v>#REF!</v>
      </c>
      <c r="DE213" s="45" t="e">
        <f t="array" ref="DE213">INDEX(#REF!,MATCH('Respuestas de formulario 1.1'!$B213,#REF!,0),MATCH('Respuestas de formulario 1.1'!DE$1,#REF!,0))</f>
        <v>#REF!</v>
      </c>
      <c r="DF213" s="45" t="e">
        <f t="array" ref="DF213">INDEX(#REF!,MATCH('Respuestas de formulario 1.1'!$B213,#REF!,0),MATCH('Respuestas de formulario 1.1'!DF$1,#REF!,0))</f>
        <v>#REF!</v>
      </c>
      <c r="DG213" s="45" t="e">
        <f t="array" ref="DG213">INDEX(#REF!,MATCH('Respuestas de formulario 1.1'!$B213,#REF!,0),MATCH('Respuestas de formulario 1.1'!DG$1,#REF!,0))</f>
        <v>#REF!</v>
      </c>
      <c r="DH213" s="45" t="e">
        <f t="array" ref="DH213">INDEX(#REF!,MATCH('Respuestas de formulario 1.1'!$B213,#REF!,0),MATCH('Respuestas de formulario 1.1'!DH$1,#REF!,0))</f>
        <v>#REF!</v>
      </c>
      <c r="DI213" s="48" t="e">
        <f>VLOOKUP(CONCATENATE($DF213," TUTO ",$DC213),#REF!,3,0)</f>
        <v>#REF!</v>
      </c>
      <c r="DJ213" s="48" t="e">
        <f t="array" ref="DJ213">IF('Respuestas de formulario 1.1'!A213="","",INDEX(#REF!,MATCH('Respuestas de formulario 1.1'!B213,#REF!,0),MATCH('Respuestas de formulario 1.1'!$DH$1,#REF!,0)))</f>
        <v>#REF!</v>
      </c>
      <c r="DK213" s="52" t="str">
        <f>CONCATENATE("http://doc.google.com/uc?id=",MID('Respuestas de formulario 1.1'!G213,34,33))</f>
        <v>http://doc.google.com/uc?id=1M8Y57ooKx3Be6TllzR0z98O536MnSRmw</v>
      </c>
      <c r="DL213" s="49" t="str">
        <f>CONCATENATE("http://doc.google.com/uc?id=",MID('Respuestas de formulario 1.1'!AH213,34,33))</f>
        <v>http://doc.google.com/uc?id=1xlTn3_ic3BsnQGkbFer3MideV2HT_37s</v>
      </c>
      <c r="DM213" s="50" t="str">
        <f>CONCATENATE("http://doc.google.com/uc?id=",MID('Respuestas de formulario 1.1'!AW213,34,33))</f>
        <v>http://doc.google.com/uc?id=1ezGLA_2Rqavwq9QdgAc8ZXuoiiuqXv6S</v>
      </c>
      <c r="DN213" s="53" t="str">
        <f>CONCATENATE("http://doc.google.com/uc?id=",MID('Respuestas de formulario 1.1'!$BI213,34,33))</f>
        <v>http://doc.google.com/uc?id=1SxG-r7am17Io_xWur9JhbEjuWyxKFiOx</v>
      </c>
      <c r="DO213" s="45" t="str">
        <f>IFERROR(VLOOKUP(CONCATENATE('Respuestas de formulario 1.1'!$B213,MID('Respuestas de formulario 1.1'!DO$1,2,1)),#REF!,12,0),"")</f>
        <v/>
      </c>
      <c r="DP213" s="45" t="str">
        <f>IFERROR(VLOOKUP(CONCATENATE('Respuestas de formulario 1.1'!$B213,MID('Respuestas de formulario 1.1'!DP$1,2,1)),#REF!,12,0),"")</f>
        <v/>
      </c>
      <c r="DQ213" s="45" t="str">
        <f>IFERROR(VLOOKUP(CONCATENATE('Respuestas de formulario 1.1'!$B213,MID('Respuestas de formulario 1.1'!DQ$1,2,1)),#REF!,12,0),"")</f>
        <v/>
      </c>
      <c r="DR213" s="45" t="str">
        <f>IFERROR(VLOOKUP(CONCATENATE('Respuestas de formulario 1.1'!$B213,MID('Respuestas de formulario 1.1'!DR$1,2,1)),#REF!,12,0),"")</f>
        <v/>
      </c>
      <c r="DS213" s="45" t="str">
        <f>IFERROR(VLOOKUP(CONCATENATE('Respuestas de formulario 1.1'!$B213,MID('Respuestas de formulario 1.1'!DS$1,2,1)),#REF!,12,0),"")</f>
        <v/>
      </c>
      <c r="DT213" s="45" t="str">
        <f>IFERROR(VLOOKUP(CONCATENATE('Respuestas de formulario 1.1'!$B213,MID('Respuestas de formulario 1.1'!DT$1,2,1)),#REF!,12,0),"")</f>
        <v/>
      </c>
      <c r="DU213" s="45" t="str">
        <f>IFERROR(VLOOKUP(CONCATENATE('Respuestas de formulario 1.1'!$B213,MID('Respuestas de formulario 1.1'!DU$1,2,1)),#REF!,12,0),"")</f>
        <v/>
      </c>
      <c r="DV213" s="45" t="str">
        <f>IFERROR(VLOOKUP(CONCATENATE('Respuestas de formulario 1.1'!$B213,MID('Respuestas de formulario 1.1'!DV$1,2,1)),#REF!,12,0),"")</f>
        <v/>
      </c>
      <c r="DW213" s="45" t="str">
        <f>IFERROR(VLOOKUP(CONCATENATE('Respuestas de formulario 1.1'!$B213,MID('Respuestas de formulario 1.1'!DW$1,2,1)),#REF!,12,0),"")</f>
        <v/>
      </c>
      <c r="DX213" s="45" t="str">
        <f>IFERROR(VLOOKUP(CONCATENATE('Respuestas de formulario 1.1'!$B213,MID('Respuestas de formulario 1.1'!DX$1,2,1)),#REF!,12,0),"")</f>
        <v/>
      </c>
      <c r="DY213" s="45" t="str">
        <f>IFERROR(VLOOKUP(CONCATENATE('Respuestas de formulario 1.1'!$B213,MID('Respuestas de formulario 1.1'!DY$1,2,1)),#REF!,12,0),"")</f>
        <v/>
      </c>
      <c r="DZ213" s="45" t="str">
        <f>IFERROR(VLOOKUP(CONCATENATE('Respuestas de formulario 1.1'!$B213,MID('Respuestas de formulario 1.1'!DZ$1,2,1)),#REF!,12,0),"")</f>
        <v/>
      </c>
      <c r="EA213" s="45" t="str">
        <f>IFERROR(VLOOKUP(CONCATENATE('Respuestas de formulario 1.1'!$B213,MID('Respuestas de formulario 1.1'!EA$1,2,1)),#REF!,12,0),"")</f>
        <v/>
      </c>
      <c r="EB213" s="45" t="str">
        <f>IFERROR(VLOOKUP(CONCATENATE('Respuestas de formulario 1.1'!$B213,MID('Respuestas de formulario 1.1'!EB$1,2,1)),#REF!,12,0),"")</f>
        <v/>
      </c>
      <c r="EC213" s="45" t="str">
        <f>IFERROR(VLOOKUP(CONCATENATE('Respuestas de formulario 1.1'!$B213,MID('Respuestas de formulario 1.1'!EC$1,2,1)),#REF!,12,0),"")</f>
        <v/>
      </c>
      <c r="ED213" s="45" t="str">
        <f>IFERROR(VLOOKUP(CONCATENATE('Respuestas de formulario 1.1'!$B213,MID('Respuestas de formulario 1.1'!ED$1,2,1)),#REF!,12,0),"")</f>
        <v/>
      </c>
      <c r="EE213" s="45" t="str">
        <f>IFERROR(VLOOKUP(CONCATENATE('Respuestas de formulario 1.1'!$B213,MID('Respuestas de formulario 1.1'!EE$1,2,1)),#REF!,12,0),"")</f>
        <v/>
      </c>
      <c r="EF213" s="45" t="str">
        <f>IFERROR(VLOOKUP(CONCATENATE('Respuestas de formulario 1.1'!$B213,MID('Respuestas de formulario 1.1'!EF$1,2,1)),#REF!,12,0),"")</f>
        <v/>
      </c>
      <c r="EG213" s="45" t="str">
        <f>IFERROR(VLOOKUP(CONCATENATE('Respuestas de formulario 1.1'!$B213,MID('Respuestas de formulario 1.1'!EG$1,2,1)),#REF!,12,0),"")</f>
        <v/>
      </c>
      <c r="EH213" s="45" t="str">
        <f>IFERROR(VLOOKUP(CONCATENATE('Respuestas de formulario 1.1'!$B213,MID('Respuestas de formulario 1.1'!EH$1,2,1)),#REF!,12,0),"")</f>
        <v/>
      </c>
      <c r="EI213" s="45" t="str">
        <f>IFERROR(VLOOKUP(CONCATENATE('Respuestas de formulario 1.1'!$B213,MID('Respuestas de formulario 1.1'!EI$1,2,1)),#REF!,12,0),"")</f>
        <v/>
      </c>
      <c r="EJ213" s="45" t="str">
        <f t="array" ref="EJ213">IF(DO213="","", INDEX(#REF!,MATCH(CONCATENATE('Respuestas de formulario 1.1'!$B213,DO213),#REF!,0),MATCH('Respuestas de formulario 1.1'!EJ$1,#REF!,0)))</f>
        <v/>
      </c>
      <c r="EK213" s="56" t="str">
        <f t="array" ref="EK213">IF(DP213="","", INDEX(#REF!,MATCH(CONCATENATE('Respuestas de formulario 1.1'!$B213,DP213),#REF!,0),MATCH('Respuestas de formulario 1.1'!EK$1,#REF!,0)))</f>
        <v/>
      </c>
      <c r="EL213" s="56" t="str">
        <f t="array" ref="EL213">IF(DQ213="","", INDEX(#REF!,MATCH(CONCATENATE('Respuestas de formulario 1.1'!$B213,DQ213),#REF!,0),MATCH('Respuestas de formulario 1.1'!EL$1,#REF!,0)))</f>
        <v/>
      </c>
      <c r="EM213" s="56" t="str">
        <f t="array" ref="EM213">IF(DR213="","", INDEX(#REF!,MATCH(CONCATENATE('Respuestas de formulario 1.1'!$B213,DR213),#REF!,0),MATCH('Respuestas de formulario 1.1'!EM$1,#REF!,0)))</f>
        <v/>
      </c>
      <c r="EN213" s="56" t="str">
        <f t="array" ref="EN213">IF(DS213="","", INDEX(#REF!,MATCH(CONCATENATE('Respuestas de formulario 1.1'!$B213,DS213),#REF!,0),MATCH('Respuestas de formulario 1.1'!EN$1,#REF!,0)))</f>
        <v/>
      </c>
      <c r="EO213" s="56" t="str">
        <f t="array" ref="EO213">IF(DT213="","", INDEX(#REF!,MATCH(CONCATENATE('Respuestas de formulario 1.1'!$B213,DT213),#REF!,0),MATCH('Respuestas de formulario 1.1'!EO$1,#REF!,0)))</f>
        <v/>
      </c>
      <c r="EP213" s="45" t="str">
        <f t="array" ref="EP213">IF(DU213="","", INDEX(#REF!,MATCH(CONCATENATE('Respuestas de formulario 1.1'!$B213,DU213),#REF!,0),MATCH('Respuestas de formulario 1.1'!EP$1,#REF!,0)))</f>
        <v/>
      </c>
      <c r="EQ213" s="45" t="str">
        <f t="array" ref="EQ213">IF(DP213="","", INDEX(#REF!,MATCH(CONCATENATE('Respuestas de formulario 1.1'!$B213,DP213),#REF!,0),MATCH('Respuestas de formulario 1.1'!EQ$1,#REF!,0)))</f>
        <v/>
      </c>
      <c r="ER213" s="56" t="str">
        <f t="array" ref="ER213">IF(DQ213="","", INDEX(#REF!,MATCH(CONCATENATE('Respuestas de formulario 1.1'!$B213,DQ213),#REF!,0),MATCH('Respuestas de formulario 1.1'!ER$1,#REF!,0)))</f>
        <v/>
      </c>
      <c r="ES213" s="56" t="str">
        <f t="array" ref="ES213">IF(DR213="","", INDEX(#REF!,MATCH(CONCATENATE('Respuestas de formulario 1.1'!$B213,DR213),#REF!,0),MATCH('Respuestas de formulario 1.1'!ES$1,#REF!,0)))</f>
        <v/>
      </c>
      <c r="ET213" s="56" t="str">
        <f t="array" ref="ET213">IF(DS213="","", INDEX(#REF!,MATCH(CONCATENATE('Respuestas de formulario 1.1'!$B213,DS213),#REF!,0),MATCH('Respuestas de formulario 1.1'!ET$1,#REF!,0)))</f>
        <v/>
      </c>
      <c r="EU213" s="56" t="str">
        <f t="array" ref="EU213">IF(DT213="","", INDEX(#REF!,MATCH(CONCATENATE('Respuestas de formulario 1.1'!$B213,DT213),#REF!,0),MATCH('Respuestas de formulario 1.1'!EU$1,#REF!,0)))</f>
        <v/>
      </c>
      <c r="EV213" s="56" t="str">
        <f t="array" ref="EV213">IF(DU213="","", INDEX(#REF!,MATCH(CONCATENATE('Respuestas de formulario 1.1'!$B213,DU213),#REF!,0),MATCH('Respuestas de formulario 1.1'!EV$1,#REF!,0)))</f>
        <v/>
      </c>
      <c r="EW213" s="45" t="str">
        <f t="array" ref="EW213">IF(DV213="","", INDEX(#REF!,MATCH(CONCATENATE('Respuestas de formulario 1.1'!$B213,DV213),#REF!,0),MATCH('Respuestas de formulario 1.1'!EW$1,#REF!,0)))</f>
        <v/>
      </c>
      <c r="EX213" s="45" t="str">
        <f t="array" ref="EX213">IF($DQ213="","", INDEX(#REF!,MATCH(CONCATENATE('Respuestas de formulario 1.1'!$B213,$DQ213),#REF!,0),MATCH('Respuestas de formulario 1.1'!EX$1,#REF!,0)))</f>
        <v/>
      </c>
      <c r="EY213" s="56" t="str">
        <f t="array" ref="EY213">IF($DQ213="","", INDEX(#REF!,MATCH(CONCATENATE('Respuestas de formulario 1.1'!$B213,$DQ213),#REF!,0),MATCH('Respuestas de formulario 1.1'!EY$1,#REF!,0)))</f>
        <v/>
      </c>
      <c r="EZ213" s="56" t="str">
        <f t="array" ref="EZ213">IF($DQ213="","", INDEX(#REF!,MATCH(CONCATENATE('Respuestas de formulario 1.1'!$B213,$DQ213),#REF!,0),MATCH('Respuestas de formulario 1.1'!EZ$1,#REF!,0)))</f>
        <v/>
      </c>
      <c r="FA213" s="56" t="str">
        <f t="array" ref="FA213">IF($DQ213="","", INDEX(#REF!,MATCH(CONCATENATE('Respuestas de formulario 1.1'!$B213,$DQ213),#REF!,0),MATCH('Respuestas de formulario 1.1'!FA$1,#REF!,0)))</f>
        <v/>
      </c>
      <c r="FB213" s="56" t="str">
        <f t="array" ref="FB213">IF($DQ213="","", INDEX(#REF!,MATCH(CONCATENATE('Respuestas de formulario 1.1'!$B213,$DQ213),#REF!,0),MATCH('Respuestas de formulario 1.1'!FB$1,#REF!,0)))</f>
        <v/>
      </c>
      <c r="FC213" s="56" t="str">
        <f t="array" ref="FC213">IF($DQ213="","", INDEX(#REF!,MATCH(CONCATENATE('Respuestas de formulario 1.1'!$B213,$DQ213),#REF!,0),MATCH('Respuestas de formulario 1.1'!FC$1,#REF!,0)))</f>
        <v/>
      </c>
      <c r="FD213" s="45" t="str">
        <f t="array" ref="FD213">IF($DQ213="","", INDEX(#REF!,MATCH(CONCATENATE('Respuestas de formulario 1.1'!$B213,$DQ213),#REF!,0),MATCH('Respuestas de formulario 1.1'!FD$1,#REF!,0)))</f>
        <v/>
      </c>
      <c r="FE213" s="45" t="str">
        <f t="array" ref="FE213">IF($DR213="","", INDEX(#REF!,MATCH(CONCATENATE(#REF!,$DR213),#REF!,0),MATCH(#REF!,#REF!,0)))</f>
        <v/>
      </c>
      <c r="FF213" s="56" t="str">
        <f t="array" ref="FF213">IF($DR213="","", INDEX(#REF!,MATCH(CONCATENATE(#REF!,$DR213),#REF!,0),MATCH(#REF!,#REF!,0)))</f>
        <v/>
      </c>
      <c r="FG213" s="56" t="str">
        <f t="array" ref="FG213">IF($DR213="","", INDEX(#REF!,MATCH(CONCATENATE(#REF!,$DR213),#REF!,0),MATCH(#REF!,#REF!,0)))</f>
        <v/>
      </c>
      <c r="FH213" s="56" t="str">
        <f t="array" ref="FH213">IF($DR213="","", INDEX(#REF!,MATCH(CONCATENATE(#REF!,$DR213),#REF!,0),MATCH(#REF!,#REF!,0)))</f>
        <v/>
      </c>
      <c r="FI213" s="56" t="str">
        <f t="array" ref="FI213">IF($DR213="","", INDEX(#REF!,MATCH(CONCATENATE(#REF!,$DR213),#REF!,0),MATCH(#REF!,#REF!,0)))</f>
        <v/>
      </c>
      <c r="FJ213" s="56" t="str">
        <f t="array" ref="FJ213">IF($DR213="","", INDEX(#REF!,MATCH(CONCATENATE(#REF!,$DR213),#REF!,0),MATCH(#REF!,#REF!,0)))</f>
        <v/>
      </c>
      <c r="FK213" s="45" t="str">
        <f t="array" ref="FK213">IF($DR213="","", INDEX(#REF!,MATCH(CONCATENATE(#REF!,$DR213),#REF!,0),MATCH(#REF!,#REF!,0)))</f>
        <v/>
      </c>
      <c r="FL213" s="45" t="str">
        <f t="array" ref="FL213">IF($DT213="","", INDEX(#REF!,MATCH(CONCATENATE('Respuestas de formulario 1.1'!$B213,$DS213),#REF!,0),MATCH('Respuestas de formulario 1.1'!FL$1,#REF!,0)))</f>
        <v/>
      </c>
      <c r="FM213" s="56" t="str">
        <f t="array" ref="FM213">IF($DT213="","", INDEX(#REF!,MATCH(CONCATENATE('Respuestas de formulario 1.1'!$B213,$DS213),#REF!,0),MATCH('Respuestas de formulario 1.1'!FM$1,#REF!,0)))</f>
        <v/>
      </c>
      <c r="FN213" s="56" t="str">
        <f t="array" ref="FN213">IF($DT213="","", INDEX(#REF!,MATCH(CONCATENATE('Respuestas de formulario 1.1'!$B213,$DS213),#REF!,0),MATCH('Respuestas de formulario 1.1'!FN$1,#REF!,0)))</f>
        <v/>
      </c>
      <c r="FO213" s="56" t="str">
        <f t="array" ref="FO213">IF($DT213="","", INDEX(#REF!,MATCH(CONCATENATE('Respuestas de formulario 1.1'!$B213,$DS213),#REF!,0),MATCH('Respuestas de formulario 1.1'!FO$1,#REF!,0)))</f>
        <v/>
      </c>
      <c r="FP213" s="56" t="str">
        <f t="array" ref="FP213">IF($DT213="","", INDEX(#REF!,MATCH(CONCATENATE('Respuestas de formulario 1.1'!$B213,$DS213),#REF!,0),MATCH('Respuestas de formulario 1.1'!FP$1,#REF!,0)))</f>
        <v/>
      </c>
      <c r="FQ213" s="56" t="str">
        <f t="array" ref="FQ213">IF($DT213="","", INDEX(#REF!,MATCH(CONCATENATE('Respuestas de formulario 1.1'!$B213,$DS213),#REF!,0),MATCH('Respuestas de formulario 1.1'!FQ$1,#REF!,0)))</f>
        <v/>
      </c>
      <c r="FR213" s="45" t="str">
        <f t="array" ref="FR213">IF($DT213="","", INDEX(#REF!,MATCH(CONCATENATE('Respuestas de formulario 1.1'!$B213,$DS213),#REF!,0),MATCH('Respuestas de formulario 1.1'!FR$1,#REF!,0)))</f>
        <v/>
      </c>
      <c r="FS213" s="45" t="str">
        <f t="array" ref="FS213">IF($DU213="","", INDEX(#REF!,MATCH(CONCATENATE('Respuestas de formulario 1.1'!$B213,$DT213),#REF!,0),MATCH('Respuestas de formulario 1.1'!FS$1,#REF!,0)))</f>
        <v/>
      </c>
      <c r="FT213" s="56" t="str">
        <f t="array" ref="FT213">IF($DU213="","", INDEX(#REF!,MATCH(CONCATENATE('Respuestas de formulario 1.1'!$B213,$DT213),#REF!,0),MATCH('Respuestas de formulario 1.1'!FT$1,#REF!,0)))</f>
        <v/>
      </c>
      <c r="FU213" s="56" t="str">
        <f t="array" ref="FU213">IF($DU213="","", INDEX(#REF!,MATCH(CONCATENATE('Respuestas de formulario 1.1'!$B213,$DT213),#REF!,0),MATCH('Respuestas de formulario 1.1'!FU$1,#REF!,0)))</f>
        <v/>
      </c>
      <c r="FV213" s="56" t="str">
        <f t="array" ref="FV213">IF($DU213="","", INDEX(#REF!,MATCH(CONCATENATE('Respuestas de formulario 1.1'!$B213,$DT213),#REF!,0),MATCH('Respuestas de formulario 1.1'!FV$1,#REF!,0)))</f>
        <v/>
      </c>
      <c r="FW213" s="56" t="str">
        <f t="array" ref="FW213">IF($DU213="","", INDEX(#REF!,MATCH(CONCATENATE('Respuestas de formulario 1.1'!$B213,$DT213),#REF!,0),MATCH('Respuestas de formulario 1.1'!FW$1,#REF!,0)))</f>
        <v/>
      </c>
      <c r="FX213" s="56" t="str">
        <f t="array" ref="FX213">IF($DU213="","", INDEX(#REF!,MATCH(CONCATENATE('Respuestas de formulario 1.1'!$B213,$DT213),#REF!,0),MATCH('Respuestas de formulario 1.1'!FX$1,#REF!,0)))</f>
        <v/>
      </c>
      <c r="FY213" s="45" t="str">
        <f t="array" ref="FY213">IF($DU213="","", INDEX(#REF!,MATCH(CONCATENATE('Respuestas de formulario 1.1'!$B213,$DT213),#REF!,0),MATCH('Respuestas de formulario 1.1'!FY$1,#REF!,0)))</f>
        <v/>
      </c>
      <c r="FZ213" s="3" t="s">
        <v>2860</v>
      </c>
      <c r="GA213" s="1" t="s">
        <v>6497</v>
      </c>
      <c r="GB213" s="5" t="s">
        <v>6498</v>
      </c>
      <c r="GC213" s="4" t="str">
        <f>HYPERLINK("https://drive.google.com/file/d/1bxB83rUbO8fZgCuhMe4q_f3QxYQi1yWL/view?usp=drivesdk","VAZQUEZ  CARRILLO  CHRISTIAN  Formato de reinscripción y pago 2022-2")</f>
        <v>VAZQUEZ  CARRILLO  CHRISTIAN  Formato de reinscripción y pago 2022-2</v>
      </c>
      <c r="GD213" s="1" t="s">
        <v>6499</v>
      </c>
      <c r="GE213" s="1"/>
      <c r="GF213" s="1"/>
      <c r="GG213" s="1"/>
      <c r="GH213" s="1"/>
      <c r="GI213" s="1" t="s">
        <v>6500</v>
      </c>
      <c r="GJ213" s="5" t="s">
        <v>6501</v>
      </c>
      <c r="GK213" s="5" t="str">
        <f>HYPERLINK("https://drive.google.com/file/d/17hf_voohVSanSn2xxSc8drIbvDaVIpto/view?usp=drivesdk","VAZQUEZ  CARRILLO  CHRISTIAN  Formato de reinscripción y pago 2022-2")</f>
        <v>VAZQUEZ  CARRILLO  CHRISTIAN  Formato de reinscripción y pago 2022-2</v>
      </c>
      <c r="GL213" s="1" t="s">
        <v>6502</v>
      </c>
    </row>
    <row r="214" spans="1:194" ht="38.25" x14ac:dyDescent="0.2">
      <c r="A214" s="2">
        <v>45139.523049930554</v>
      </c>
      <c r="B214" s="1" t="s">
        <v>2633</v>
      </c>
      <c r="C214" s="1" t="s">
        <v>245</v>
      </c>
      <c r="D214" s="1" t="s">
        <v>474</v>
      </c>
      <c r="E214" s="1" t="s">
        <v>2634</v>
      </c>
      <c r="F214" s="1" t="s">
        <v>223</v>
      </c>
      <c r="G214" s="5" t="s">
        <v>6503</v>
      </c>
      <c r="H214" s="41">
        <v>39332</v>
      </c>
      <c r="I214" s="1">
        <v>15</v>
      </c>
      <c r="J214" s="1">
        <v>5572010159</v>
      </c>
      <c r="K214" s="1">
        <v>5581509865</v>
      </c>
      <c r="L214" s="1" t="s">
        <v>2635</v>
      </c>
      <c r="M214" s="1">
        <v>22309060570837</v>
      </c>
      <c r="N214" s="1" t="s">
        <v>562</v>
      </c>
      <c r="O214" s="1" t="s">
        <v>225</v>
      </c>
      <c r="P214" s="1" t="s">
        <v>226</v>
      </c>
      <c r="Q214" s="1" t="s">
        <v>263</v>
      </c>
      <c r="R214" s="1" t="s">
        <v>236</v>
      </c>
      <c r="S214" s="1" t="s">
        <v>228</v>
      </c>
      <c r="T214" s="1" t="s">
        <v>229</v>
      </c>
      <c r="U214" s="1" t="s">
        <v>249</v>
      </c>
      <c r="V214" s="1" t="s">
        <v>228</v>
      </c>
      <c r="W214" s="1" t="s">
        <v>2636</v>
      </c>
      <c r="X214" s="1" t="s">
        <v>249</v>
      </c>
      <c r="Y214" s="1" t="s">
        <v>6504</v>
      </c>
      <c r="Z214" s="1" t="s">
        <v>240</v>
      </c>
      <c r="AA214" s="44" t="s">
        <v>930</v>
      </c>
      <c r="AB214" s="1" t="s">
        <v>6505</v>
      </c>
      <c r="AC214" s="1" t="s">
        <v>1956</v>
      </c>
      <c r="AD214" s="1" t="s">
        <v>6506</v>
      </c>
      <c r="AE214" s="1" t="s">
        <v>6507</v>
      </c>
      <c r="AF214" s="1" t="s">
        <v>461</v>
      </c>
      <c r="AG214" s="1">
        <v>47</v>
      </c>
      <c r="AH214" s="5" t="s">
        <v>6508</v>
      </c>
      <c r="AI214" s="1">
        <v>5581509865</v>
      </c>
      <c r="AJ214" s="1">
        <v>5581509865</v>
      </c>
      <c r="AK214" s="1" t="s">
        <v>2638</v>
      </c>
      <c r="AL214" s="1" t="s">
        <v>1074</v>
      </c>
      <c r="AM214" s="1" t="s">
        <v>474</v>
      </c>
      <c r="AN214" s="1" t="s">
        <v>6509</v>
      </c>
      <c r="AO214" s="1" t="s">
        <v>1261</v>
      </c>
      <c r="AP214" s="1">
        <v>74</v>
      </c>
      <c r="AQ214" s="1" t="s">
        <v>1917</v>
      </c>
      <c r="AR214" s="42">
        <v>0.29166666666424135</v>
      </c>
      <c r="AS214" s="42">
        <v>0.79166666666424135</v>
      </c>
      <c r="AT214" s="1">
        <v>5512430427</v>
      </c>
      <c r="AU214" s="1">
        <v>5551982101</v>
      </c>
      <c r="AV214" s="1" t="s">
        <v>2637</v>
      </c>
      <c r="AW214" s="5" t="s">
        <v>6510</v>
      </c>
      <c r="AX214" s="1" t="s">
        <v>245</v>
      </c>
      <c r="AY214" s="1" t="s">
        <v>474</v>
      </c>
      <c r="AZ214" s="1" t="s">
        <v>2134</v>
      </c>
      <c r="BA214" s="1" t="s">
        <v>403</v>
      </c>
      <c r="BB214" s="1">
        <v>19</v>
      </c>
      <c r="BC214" s="1" t="s">
        <v>6511</v>
      </c>
      <c r="BD214" s="43">
        <v>0.5</v>
      </c>
      <c r="BE214" s="43">
        <v>0.875</v>
      </c>
      <c r="BF214" s="1">
        <v>5581899072</v>
      </c>
      <c r="BG214" s="1">
        <v>5581899072</v>
      </c>
      <c r="BH214" s="1" t="s">
        <v>6512</v>
      </c>
      <c r="BI214" s="5" t="s">
        <v>6513</v>
      </c>
      <c r="BJ214" s="1" t="s">
        <v>236</v>
      </c>
      <c r="BL214" s="1">
        <v>155</v>
      </c>
      <c r="BM214" s="1">
        <v>44</v>
      </c>
      <c r="BN214" s="1" t="s">
        <v>236</v>
      </c>
      <c r="BO214" s="1" t="s">
        <v>228</v>
      </c>
      <c r="BQ214" s="1" t="s">
        <v>228</v>
      </c>
      <c r="BR214" s="1" t="s">
        <v>237</v>
      </c>
      <c r="BS214" s="1" t="s">
        <v>236</v>
      </c>
      <c r="BT214" s="1" t="s">
        <v>271</v>
      </c>
      <c r="BU214" s="1" t="s">
        <v>228</v>
      </c>
      <c r="BW214" s="1" t="s">
        <v>238</v>
      </c>
      <c r="BX214" s="1">
        <v>180</v>
      </c>
      <c r="BY214" s="1">
        <v>300</v>
      </c>
      <c r="BZ214" s="1" t="s">
        <v>791</v>
      </c>
      <c r="CA214" s="1" t="s">
        <v>273</v>
      </c>
      <c r="CB214" s="1" t="s">
        <v>240</v>
      </c>
      <c r="CC214" s="1" t="s">
        <v>300</v>
      </c>
      <c r="CD214" s="1">
        <v>1500</v>
      </c>
      <c r="CE214" s="1">
        <v>2000</v>
      </c>
      <c r="CF214" s="1" t="s">
        <v>236</v>
      </c>
      <c r="CG214" s="1" t="s">
        <v>242</v>
      </c>
      <c r="CH214" s="1" t="s">
        <v>243</v>
      </c>
      <c r="CI214" s="1" t="s">
        <v>243</v>
      </c>
      <c r="CJ214" s="1" t="s">
        <v>2848</v>
      </c>
      <c r="CL214" s="5" t="s">
        <v>6514</v>
      </c>
      <c r="CM214" s="1">
        <v>11220791526</v>
      </c>
      <c r="CN214" s="1" t="s">
        <v>228</v>
      </c>
      <c r="CQ214" s="42">
        <v>0.33333333333575865</v>
      </c>
      <c r="CR214" s="42">
        <v>0.75</v>
      </c>
      <c r="CT214" s="45" t="str">
        <f t="array" ref="CT214">IFERROR(INDEX(#REF!,MATCH('Respuestas de formulario 1.1'!$B214,#REF!,0),MATCH('Respuestas de formulario 1.1'!CT$1,#REF!,0)),"")</f>
        <v/>
      </c>
      <c r="CU214" s="56" t="str">
        <f t="array" ref="CU214">IFERROR(INDEX(#REF!,MATCH('Respuestas de formulario 1.1'!$B214,#REF!,0),MATCH('Respuestas de formulario 1.1'!CU$1,#REF!,0)),"")</f>
        <v/>
      </c>
      <c r="CV214" s="56" t="str">
        <f t="array" ref="CV214">IFERROR(INDEX(#REF!,MATCH('Respuestas de formulario 1.1'!$B214,#REF!,0),MATCH('Respuestas de formulario 1.1'!CV$1,#REF!,0)),"")</f>
        <v/>
      </c>
      <c r="CW214" s="56" t="str">
        <f t="array" ref="CW214">IFERROR(INDEX(#REF!,MATCH('Respuestas de formulario 1.1'!$B214,#REF!,0),MATCH('Respuestas de formulario 1.1'!CW$1,#REF!,0)),"")</f>
        <v/>
      </c>
      <c r="CX214" s="56" t="str">
        <f t="array" ref="CX214">IFERROR(INDEX(#REF!,MATCH('Respuestas de formulario 1.1'!$B214,#REF!,0),MATCH('Respuestas de formulario 1.1'!CX$1,#REF!,0)),"")</f>
        <v/>
      </c>
      <c r="CY214" s="56" t="str">
        <f t="array" ref="CY214">IFERROR(INDEX(#REF!,MATCH('Respuestas de formulario 1.1'!$B214,#REF!,0),MATCH('Respuestas de formulario 1.1'!CY$1,#REF!,0)),"")</f>
        <v/>
      </c>
      <c r="CZ214" s="57" t="str">
        <f t="array" ref="CZ214">IFERROR(INDEX(#REF!,MATCH('Respuestas de formulario 1.1'!$B214,#REF!,0),MATCH('Respuestas de formulario 1.1'!CZ$1,#REF!,0)),"")</f>
        <v/>
      </c>
      <c r="DA214" s="45" t="e">
        <f t="array" ref="DA214">INDEX(#REF!,MATCH('Respuestas de formulario 1.1'!$B214,#REF!,0),MATCH('Respuestas de formulario 1.1'!DA$1,#REF!,0))</f>
        <v>#REF!</v>
      </c>
      <c r="DB214" s="45" t="e">
        <f t="array" ref="DB214">INDEX(#REF!,MATCH('Respuestas de formulario 1.1'!$B214,#REF!,0),MATCH('Respuestas de formulario 1.1'!DB$1,#REF!,0))</f>
        <v>#REF!</v>
      </c>
      <c r="DC214" s="45" t="e">
        <f t="array" ref="DC214">INDEX(#REF!,MATCH('Respuestas de formulario 1.1'!$B214,#REF!,0),MATCH('Respuestas de formulario 1.1'!DC$1,#REF!,0))</f>
        <v>#REF!</v>
      </c>
      <c r="DD214" s="45" t="e">
        <f t="array" ref="DD214">INDEX(#REF!,MATCH('Respuestas de formulario 1.1'!$B214,#REF!,0),MATCH('Respuestas de formulario 1.1'!DD$1,#REF!,0))</f>
        <v>#REF!</v>
      </c>
      <c r="DE214" s="45" t="e">
        <f t="array" ref="DE214">INDEX(#REF!,MATCH('Respuestas de formulario 1.1'!$B214,#REF!,0),MATCH('Respuestas de formulario 1.1'!DE$1,#REF!,0))</f>
        <v>#REF!</v>
      </c>
      <c r="DF214" s="45" t="e">
        <f t="array" ref="DF214">INDEX(#REF!,MATCH('Respuestas de formulario 1.1'!$B214,#REF!,0),MATCH('Respuestas de formulario 1.1'!DF$1,#REF!,0))</f>
        <v>#REF!</v>
      </c>
      <c r="DG214" s="45" t="e">
        <f t="array" ref="DG214">INDEX(#REF!,MATCH('Respuestas de formulario 1.1'!$B214,#REF!,0),MATCH('Respuestas de formulario 1.1'!DG$1,#REF!,0))</f>
        <v>#REF!</v>
      </c>
      <c r="DH214" s="45" t="e">
        <f t="array" ref="DH214">INDEX(#REF!,MATCH('Respuestas de formulario 1.1'!$B214,#REF!,0),MATCH('Respuestas de formulario 1.1'!DH$1,#REF!,0))</f>
        <v>#REF!</v>
      </c>
      <c r="DI214" s="48" t="e">
        <f>VLOOKUP(CONCATENATE($DF214," TUTO ",$DC214),#REF!,3,0)</f>
        <v>#REF!</v>
      </c>
      <c r="DJ214" s="48" t="e">
        <f t="array" ref="DJ214">IF('Respuestas de formulario 1.1'!A214="","",INDEX(#REF!,MATCH('Respuestas de formulario 1.1'!B214,#REF!,0),MATCH('Respuestas de formulario 1.1'!$DH$1,#REF!,0)))</f>
        <v>#REF!</v>
      </c>
      <c r="DK214" s="52" t="str">
        <f>CONCATENATE("http://doc.google.com/uc?id=",MID('Respuestas de formulario 1.1'!G214,34,33))</f>
        <v>http://doc.google.com/uc?id=1g3cT0vmkDJxoRtKaIICDzWzHEZDw4fID</v>
      </c>
      <c r="DL214" s="49" t="str">
        <f>CONCATENATE("http://doc.google.com/uc?id=",MID('Respuestas de formulario 1.1'!AH214,34,33))</f>
        <v>http://doc.google.com/uc?id=1J1I2YOYDypmEvnuADBen_O8jwwwzscg4</v>
      </c>
      <c r="DM214" s="50" t="str">
        <f>CONCATENATE("http://doc.google.com/uc?id=",MID('Respuestas de formulario 1.1'!AW214,34,33))</f>
        <v>http://doc.google.com/uc?id=1JHGv9uB3fMREbKV-qk7vYDhtNGVTPMoB</v>
      </c>
      <c r="DN214" s="53" t="str">
        <f>CONCATENATE("http://doc.google.com/uc?id=",MID('Respuestas de formulario 1.1'!$BI214,34,33))</f>
        <v>http://doc.google.com/uc?id=1XNBnoe4K9QU3eKwPwZrl9EYgtnq6dRDQ</v>
      </c>
      <c r="DO214" s="45" t="str">
        <f>IFERROR(VLOOKUP(CONCATENATE('Respuestas de formulario 1.1'!$B214,MID('Respuestas de formulario 1.1'!DO$1,2,1)),#REF!,12,0),"")</f>
        <v/>
      </c>
      <c r="DP214" s="45" t="str">
        <f>IFERROR(VLOOKUP(CONCATENATE('Respuestas de formulario 1.1'!$B214,MID('Respuestas de formulario 1.1'!DP$1,2,1)),#REF!,12,0),"")</f>
        <v/>
      </c>
      <c r="DQ214" s="45" t="str">
        <f>IFERROR(VLOOKUP(CONCATENATE('Respuestas de formulario 1.1'!$B214,MID('Respuestas de formulario 1.1'!DQ$1,2,1)),#REF!,12,0),"")</f>
        <v/>
      </c>
      <c r="DR214" s="45" t="str">
        <f>IFERROR(VLOOKUP(CONCATENATE('Respuestas de formulario 1.1'!$B214,MID('Respuestas de formulario 1.1'!DR$1,2,1)),#REF!,12,0),"")</f>
        <v/>
      </c>
      <c r="DS214" s="45" t="str">
        <f>IFERROR(VLOOKUP(CONCATENATE('Respuestas de formulario 1.1'!$B214,MID('Respuestas de formulario 1.1'!DS$1,2,1)),#REF!,12,0),"")</f>
        <v/>
      </c>
      <c r="DT214" s="45" t="str">
        <f>IFERROR(VLOOKUP(CONCATENATE('Respuestas de formulario 1.1'!$B214,MID('Respuestas de formulario 1.1'!DT$1,2,1)),#REF!,12,0),"")</f>
        <v/>
      </c>
      <c r="DU214" s="45" t="str">
        <f>IFERROR(VLOOKUP(CONCATENATE('Respuestas de formulario 1.1'!$B214,MID('Respuestas de formulario 1.1'!DU$1,2,1)),#REF!,12,0),"")</f>
        <v/>
      </c>
      <c r="DV214" s="45" t="str">
        <f>IFERROR(VLOOKUP(CONCATENATE('Respuestas de formulario 1.1'!$B214,MID('Respuestas de formulario 1.1'!DV$1,2,1)),#REF!,12,0),"")</f>
        <v/>
      </c>
      <c r="DW214" s="45" t="str">
        <f>IFERROR(VLOOKUP(CONCATENATE('Respuestas de formulario 1.1'!$B214,MID('Respuestas de formulario 1.1'!DW$1,2,1)),#REF!,12,0),"")</f>
        <v/>
      </c>
      <c r="DX214" s="45" t="str">
        <f>IFERROR(VLOOKUP(CONCATENATE('Respuestas de formulario 1.1'!$B214,MID('Respuestas de formulario 1.1'!DX$1,2,1)),#REF!,12,0),"")</f>
        <v/>
      </c>
      <c r="DY214" s="45" t="str">
        <f>IFERROR(VLOOKUP(CONCATENATE('Respuestas de formulario 1.1'!$B214,MID('Respuestas de formulario 1.1'!DY$1,2,1)),#REF!,12,0),"")</f>
        <v/>
      </c>
      <c r="DZ214" s="45" t="str">
        <f>IFERROR(VLOOKUP(CONCATENATE('Respuestas de formulario 1.1'!$B214,MID('Respuestas de formulario 1.1'!DZ$1,2,1)),#REF!,12,0),"")</f>
        <v/>
      </c>
      <c r="EA214" s="45" t="str">
        <f>IFERROR(VLOOKUP(CONCATENATE('Respuestas de formulario 1.1'!$B214,MID('Respuestas de formulario 1.1'!EA$1,2,1)),#REF!,12,0),"")</f>
        <v/>
      </c>
      <c r="EB214" s="45" t="str">
        <f>IFERROR(VLOOKUP(CONCATENATE('Respuestas de formulario 1.1'!$B214,MID('Respuestas de formulario 1.1'!EB$1,2,1)),#REF!,12,0),"")</f>
        <v/>
      </c>
      <c r="EC214" s="45" t="str">
        <f>IFERROR(VLOOKUP(CONCATENATE('Respuestas de formulario 1.1'!$B214,MID('Respuestas de formulario 1.1'!EC$1,2,1)),#REF!,12,0),"")</f>
        <v/>
      </c>
      <c r="ED214" s="45" t="str">
        <f>IFERROR(VLOOKUP(CONCATENATE('Respuestas de formulario 1.1'!$B214,MID('Respuestas de formulario 1.1'!ED$1,2,1)),#REF!,12,0),"")</f>
        <v/>
      </c>
      <c r="EE214" s="45" t="str">
        <f>IFERROR(VLOOKUP(CONCATENATE('Respuestas de formulario 1.1'!$B214,MID('Respuestas de formulario 1.1'!EE$1,2,1)),#REF!,12,0),"")</f>
        <v/>
      </c>
      <c r="EF214" s="45" t="str">
        <f>IFERROR(VLOOKUP(CONCATENATE('Respuestas de formulario 1.1'!$B214,MID('Respuestas de formulario 1.1'!EF$1,2,1)),#REF!,12,0),"")</f>
        <v/>
      </c>
      <c r="EG214" s="45" t="str">
        <f>IFERROR(VLOOKUP(CONCATENATE('Respuestas de formulario 1.1'!$B214,MID('Respuestas de formulario 1.1'!EG$1,2,1)),#REF!,12,0),"")</f>
        <v/>
      </c>
      <c r="EH214" s="45" t="str">
        <f>IFERROR(VLOOKUP(CONCATENATE('Respuestas de formulario 1.1'!$B214,MID('Respuestas de formulario 1.1'!EH$1,2,1)),#REF!,12,0),"")</f>
        <v/>
      </c>
      <c r="EI214" s="45" t="str">
        <f>IFERROR(VLOOKUP(CONCATENATE('Respuestas de formulario 1.1'!$B214,MID('Respuestas de formulario 1.1'!EI$1,2,1)),#REF!,12,0),"")</f>
        <v/>
      </c>
      <c r="EJ214" s="45" t="str">
        <f t="array" ref="EJ214">IF(DO214="","", INDEX(#REF!,MATCH(CONCATENATE('Respuestas de formulario 1.1'!$B214,DO214),#REF!,0),MATCH('Respuestas de formulario 1.1'!EJ$1,#REF!,0)))</f>
        <v/>
      </c>
      <c r="EK214" s="56" t="str">
        <f t="array" ref="EK214">IF(DP214="","", INDEX(#REF!,MATCH(CONCATENATE('Respuestas de formulario 1.1'!$B214,DP214),#REF!,0),MATCH('Respuestas de formulario 1.1'!EK$1,#REF!,0)))</f>
        <v/>
      </c>
      <c r="EL214" s="56" t="str">
        <f t="array" ref="EL214">IF(DQ214="","", INDEX(#REF!,MATCH(CONCATENATE('Respuestas de formulario 1.1'!$B214,DQ214),#REF!,0),MATCH('Respuestas de formulario 1.1'!EL$1,#REF!,0)))</f>
        <v/>
      </c>
      <c r="EM214" s="56" t="str">
        <f t="array" ref="EM214">IF(DR214="","", INDEX(#REF!,MATCH(CONCATENATE('Respuestas de formulario 1.1'!$B214,DR214),#REF!,0),MATCH('Respuestas de formulario 1.1'!EM$1,#REF!,0)))</f>
        <v/>
      </c>
      <c r="EN214" s="56" t="str">
        <f t="array" ref="EN214">IF(DS214="","", INDEX(#REF!,MATCH(CONCATENATE('Respuestas de formulario 1.1'!$B214,DS214),#REF!,0),MATCH('Respuestas de formulario 1.1'!EN$1,#REF!,0)))</f>
        <v/>
      </c>
      <c r="EO214" s="56" t="str">
        <f t="array" ref="EO214">IF(DT214="","", INDEX(#REF!,MATCH(CONCATENATE('Respuestas de formulario 1.1'!$B214,DT214),#REF!,0),MATCH('Respuestas de formulario 1.1'!EO$1,#REF!,0)))</f>
        <v/>
      </c>
      <c r="EP214" s="45" t="str">
        <f t="array" ref="EP214">IF(DU214="","", INDEX(#REF!,MATCH(CONCATENATE('Respuestas de formulario 1.1'!$B214,DU214),#REF!,0),MATCH('Respuestas de formulario 1.1'!EP$1,#REF!,0)))</f>
        <v/>
      </c>
      <c r="EQ214" s="45" t="str">
        <f t="array" ref="EQ214">IF(DP214="","", INDEX(#REF!,MATCH(CONCATENATE('Respuestas de formulario 1.1'!$B214,DP214),#REF!,0),MATCH('Respuestas de formulario 1.1'!EQ$1,#REF!,0)))</f>
        <v/>
      </c>
      <c r="ER214" s="56" t="str">
        <f t="array" ref="ER214">IF(DQ214="","", INDEX(#REF!,MATCH(CONCATENATE('Respuestas de formulario 1.1'!$B214,DQ214),#REF!,0),MATCH('Respuestas de formulario 1.1'!ER$1,#REF!,0)))</f>
        <v/>
      </c>
      <c r="ES214" s="56" t="str">
        <f t="array" ref="ES214">IF(DR214="","", INDEX(#REF!,MATCH(CONCATENATE('Respuestas de formulario 1.1'!$B214,DR214),#REF!,0),MATCH('Respuestas de formulario 1.1'!ES$1,#REF!,0)))</f>
        <v/>
      </c>
      <c r="ET214" s="56" t="str">
        <f t="array" ref="ET214">IF(DS214="","", INDEX(#REF!,MATCH(CONCATENATE('Respuestas de formulario 1.1'!$B214,DS214),#REF!,0),MATCH('Respuestas de formulario 1.1'!ET$1,#REF!,0)))</f>
        <v/>
      </c>
      <c r="EU214" s="56" t="str">
        <f t="array" ref="EU214">IF(DT214="","", INDEX(#REF!,MATCH(CONCATENATE('Respuestas de formulario 1.1'!$B214,DT214),#REF!,0),MATCH('Respuestas de formulario 1.1'!EU$1,#REF!,0)))</f>
        <v/>
      </c>
      <c r="EV214" s="56" t="str">
        <f t="array" ref="EV214">IF(DU214="","", INDEX(#REF!,MATCH(CONCATENATE('Respuestas de formulario 1.1'!$B214,DU214),#REF!,0),MATCH('Respuestas de formulario 1.1'!EV$1,#REF!,0)))</f>
        <v/>
      </c>
      <c r="EW214" s="45" t="str">
        <f t="array" ref="EW214">IF(DV214="","", INDEX(#REF!,MATCH(CONCATENATE('Respuestas de formulario 1.1'!$B214,DV214),#REF!,0),MATCH('Respuestas de formulario 1.1'!EW$1,#REF!,0)))</f>
        <v/>
      </c>
      <c r="EX214" s="45" t="str">
        <f t="array" ref="EX214">IF($DQ214="","", INDEX(#REF!,MATCH(CONCATENATE('Respuestas de formulario 1.1'!$B214,$DQ214),#REF!,0),MATCH('Respuestas de formulario 1.1'!EX$1,#REF!,0)))</f>
        <v/>
      </c>
      <c r="EY214" s="56" t="str">
        <f t="array" ref="EY214">IF($DQ214="","", INDEX(#REF!,MATCH(CONCATENATE('Respuestas de formulario 1.1'!$B214,$DQ214),#REF!,0),MATCH('Respuestas de formulario 1.1'!EY$1,#REF!,0)))</f>
        <v/>
      </c>
      <c r="EZ214" s="56" t="str">
        <f t="array" ref="EZ214">IF($DQ214="","", INDEX(#REF!,MATCH(CONCATENATE('Respuestas de formulario 1.1'!$B214,$DQ214),#REF!,0),MATCH('Respuestas de formulario 1.1'!EZ$1,#REF!,0)))</f>
        <v/>
      </c>
      <c r="FA214" s="56" t="str">
        <f t="array" ref="FA214">IF($DQ214="","", INDEX(#REF!,MATCH(CONCATENATE('Respuestas de formulario 1.1'!$B214,$DQ214),#REF!,0),MATCH('Respuestas de formulario 1.1'!FA$1,#REF!,0)))</f>
        <v/>
      </c>
      <c r="FB214" s="56" t="str">
        <f t="array" ref="FB214">IF($DQ214="","", INDEX(#REF!,MATCH(CONCATENATE('Respuestas de formulario 1.1'!$B214,$DQ214),#REF!,0),MATCH('Respuestas de formulario 1.1'!FB$1,#REF!,0)))</f>
        <v/>
      </c>
      <c r="FC214" s="56" t="str">
        <f t="array" ref="FC214">IF($DQ214="","", INDEX(#REF!,MATCH(CONCATENATE('Respuestas de formulario 1.1'!$B214,$DQ214),#REF!,0),MATCH('Respuestas de formulario 1.1'!FC$1,#REF!,0)))</f>
        <v/>
      </c>
      <c r="FD214" s="45" t="str">
        <f t="array" ref="FD214">IF($DQ214="","", INDEX(#REF!,MATCH(CONCATENATE('Respuestas de formulario 1.1'!$B214,$DQ214),#REF!,0),MATCH('Respuestas de formulario 1.1'!FD$1,#REF!,0)))</f>
        <v/>
      </c>
      <c r="FE214" s="45" t="str">
        <f t="array" ref="FE214">IF($DR214="","", INDEX(#REF!,MATCH(CONCATENATE(#REF!,$DR214),#REF!,0),MATCH(#REF!,#REF!,0)))</f>
        <v/>
      </c>
      <c r="FF214" s="56" t="str">
        <f t="array" ref="FF214">IF($DR214="","", INDEX(#REF!,MATCH(CONCATENATE(#REF!,$DR214),#REF!,0),MATCH(#REF!,#REF!,0)))</f>
        <v/>
      </c>
      <c r="FG214" s="56" t="str">
        <f t="array" ref="FG214">IF($DR214="","", INDEX(#REF!,MATCH(CONCATENATE(#REF!,$DR214),#REF!,0),MATCH(#REF!,#REF!,0)))</f>
        <v/>
      </c>
      <c r="FH214" s="56" t="str">
        <f t="array" ref="FH214">IF($DR214="","", INDEX(#REF!,MATCH(CONCATENATE(#REF!,$DR214),#REF!,0),MATCH(#REF!,#REF!,0)))</f>
        <v/>
      </c>
      <c r="FI214" s="56" t="str">
        <f t="array" ref="FI214">IF($DR214="","", INDEX(#REF!,MATCH(CONCATENATE(#REF!,$DR214),#REF!,0),MATCH(#REF!,#REF!,0)))</f>
        <v/>
      </c>
      <c r="FJ214" s="56" t="str">
        <f t="array" ref="FJ214">IF($DR214="","", INDEX(#REF!,MATCH(CONCATENATE(#REF!,$DR214),#REF!,0),MATCH(#REF!,#REF!,0)))</f>
        <v/>
      </c>
      <c r="FK214" s="45" t="str">
        <f t="array" ref="FK214">IF($DR214="","", INDEX(#REF!,MATCH(CONCATENATE(#REF!,$DR214),#REF!,0),MATCH(#REF!,#REF!,0)))</f>
        <v/>
      </c>
      <c r="FL214" s="45" t="str">
        <f t="array" ref="FL214">IF($DT214="","", INDEX(#REF!,MATCH(CONCATENATE('Respuestas de formulario 1.1'!$B214,$DS214),#REF!,0),MATCH('Respuestas de formulario 1.1'!FL$1,#REF!,0)))</f>
        <v/>
      </c>
      <c r="FM214" s="56" t="str">
        <f t="array" ref="FM214">IF($DT214="","", INDEX(#REF!,MATCH(CONCATENATE('Respuestas de formulario 1.1'!$B214,$DS214),#REF!,0),MATCH('Respuestas de formulario 1.1'!FM$1,#REF!,0)))</f>
        <v/>
      </c>
      <c r="FN214" s="56" t="str">
        <f t="array" ref="FN214">IF($DT214="","", INDEX(#REF!,MATCH(CONCATENATE('Respuestas de formulario 1.1'!$B214,$DS214),#REF!,0),MATCH('Respuestas de formulario 1.1'!FN$1,#REF!,0)))</f>
        <v/>
      </c>
      <c r="FO214" s="56" t="str">
        <f t="array" ref="FO214">IF($DT214="","", INDEX(#REF!,MATCH(CONCATENATE('Respuestas de formulario 1.1'!$B214,$DS214),#REF!,0),MATCH('Respuestas de formulario 1.1'!FO$1,#REF!,0)))</f>
        <v/>
      </c>
      <c r="FP214" s="56" t="str">
        <f t="array" ref="FP214">IF($DT214="","", INDEX(#REF!,MATCH(CONCATENATE('Respuestas de formulario 1.1'!$B214,$DS214),#REF!,0),MATCH('Respuestas de formulario 1.1'!FP$1,#REF!,0)))</f>
        <v/>
      </c>
      <c r="FQ214" s="56" t="str">
        <f t="array" ref="FQ214">IF($DT214="","", INDEX(#REF!,MATCH(CONCATENATE('Respuestas de formulario 1.1'!$B214,$DS214),#REF!,0),MATCH('Respuestas de formulario 1.1'!FQ$1,#REF!,0)))</f>
        <v/>
      </c>
      <c r="FR214" s="45" t="str">
        <f t="array" ref="FR214">IF($DT214="","", INDEX(#REF!,MATCH(CONCATENATE('Respuestas de formulario 1.1'!$B214,$DS214),#REF!,0),MATCH('Respuestas de formulario 1.1'!FR$1,#REF!,0)))</f>
        <v/>
      </c>
      <c r="FS214" s="45" t="str">
        <f t="array" ref="FS214">IF($DU214="","", INDEX(#REF!,MATCH(CONCATENATE('Respuestas de formulario 1.1'!$B214,$DT214),#REF!,0),MATCH('Respuestas de formulario 1.1'!FS$1,#REF!,0)))</f>
        <v/>
      </c>
      <c r="FT214" s="56" t="str">
        <f t="array" ref="FT214">IF($DU214="","", INDEX(#REF!,MATCH(CONCATENATE('Respuestas de formulario 1.1'!$B214,$DT214),#REF!,0),MATCH('Respuestas de formulario 1.1'!FT$1,#REF!,0)))</f>
        <v/>
      </c>
      <c r="FU214" s="56" t="str">
        <f t="array" ref="FU214">IF($DU214="","", INDEX(#REF!,MATCH(CONCATENATE('Respuestas de formulario 1.1'!$B214,$DT214),#REF!,0),MATCH('Respuestas de formulario 1.1'!FU$1,#REF!,0)))</f>
        <v/>
      </c>
      <c r="FV214" s="56" t="str">
        <f t="array" ref="FV214">IF($DU214="","", INDEX(#REF!,MATCH(CONCATENATE('Respuestas de formulario 1.1'!$B214,$DT214),#REF!,0),MATCH('Respuestas de formulario 1.1'!FV$1,#REF!,0)))</f>
        <v/>
      </c>
      <c r="FW214" s="56" t="str">
        <f t="array" ref="FW214">IF($DU214="","", INDEX(#REF!,MATCH(CONCATENATE('Respuestas de formulario 1.1'!$B214,$DT214),#REF!,0),MATCH('Respuestas de formulario 1.1'!FW$1,#REF!,0)))</f>
        <v/>
      </c>
      <c r="FX214" s="56" t="str">
        <f t="array" ref="FX214">IF($DU214="","", INDEX(#REF!,MATCH(CONCATENATE('Respuestas de formulario 1.1'!$B214,$DT214),#REF!,0),MATCH('Respuestas de formulario 1.1'!FX$1,#REF!,0)))</f>
        <v/>
      </c>
      <c r="FY214" s="45" t="str">
        <f t="array" ref="FY214">IF($DU214="","", INDEX(#REF!,MATCH(CONCATENATE('Respuestas de formulario 1.1'!$B214,$DT214),#REF!,0),MATCH('Respuestas de formulario 1.1'!FY$1,#REF!,0)))</f>
        <v/>
      </c>
      <c r="FZ214" s="3" t="s">
        <v>2860</v>
      </c>
      <c r="GA214" s="1" t="s">
        <v>6515</v>
      </c>
      <c r="GB214" s="5" t="s">
        <v>6516</v>
      </c>
      <c r="GC214" s="4" t="str">
        <f>HYPERLINK("https://drive.google.com/file/d/1dwW_1xbviZ4HuoRccQ7dt-csw6_dsEkL/view?usp=drivesdk","LOPEZ CRUZ LAURA YOSELINE Formato de reinscripción y pago 2022-2")</f>
        <v>LOPEZ CRUZ LAURA YOSELINE Formato de reinscripción y pago 2022-2</v>
      </c>
      <c r="GD214" s="1" t="s">
        <v>6517</v>
      </c>
      <c r="GE214" s="1"/>
      <c r="GF214" s="1"/>
      <c r="GG214" s="1"/>
      <c r="GH214" s="1"/>
      <c r="GI214" s="1" t="s">
        <v>6518</v>
      </c>
      <c r="GJ214" s="5" t="s">
        <v>6519</v>
      </c>
      <c r="GK214" s="5" t="str">
        <f>HYPERLINK("https://drive.google.com/file/d/1jG0kn-yOF8AVSI8Mk_VXPvahevkmPizo/view?usp=drivesdk","LOPEZ CRUZ LAURA YOSELINE Formato de reinscripción y pago 2022-2")</f>
        <v>LOPEZ CRUZ LAURA YOSELINE Formato de reinscripción y pago 2022-2</v>
      </c>
      <c r="GL214" s="1" t="s">
        <v>6520</v>
      </c>
    </row>
    <row r="215" spans="1:194" ht="38.25" x14ac:dyDescent="0.2">
      <c r="A215" s="2">
        <v>45139.523462164347</v>
      </c>
      <c r="B215" s="1" t="s">
        <v>2332</v>
      </c>
      <c r="C215" s="1" t="s">
        <v>574</v>
      </c>
      <c r="D215" s="1" t="s">
        <v>2333</v>
      </c>
      <c r="E215" s="1" t="s">
        <v>2334</v>
      </c>
      <c r="F215" s="1" t="s">
        <v>223</v>
      </c>
      <c r="G215" s="5" t="s">
        <v>6521</v>
      </c>
      <c r="H215" s="41">
        <v>38895</v>
      </c>
      <c r="I215" s="1">
        <v>17</v>
      </c>
      <c r="J215" s="1">
        <v>5538874167</v>
      </c>
      <c r="K215" s="1">
        <v>5528350030</v>
      </c>
      <c r="L215" s="1" t="s">
        <v>2335</v>
      </c>
      <c r="M215" s="1">
        <v>21309060570512</v>
      </c>
      <c r="N215" s="1" t="s">
        <v>1108</v>
      </c>
      <c r="O215" s="1" t="s">
        <v>247</v>
      </c>
      <c r="P215" s="1" t="s">
        <v>226</v>
      </c>
      <c r="Q215" s="1" t="s">
        <v>227</v>
      </c>
      <c r="R215" s="1" t="s">
        <v>236</v>
      </c>
      <c r="S215" s="1" t="s">
        <v>228</v>
      </c>
      <c r="T215" s="1" t="s">
        <v>411</v>
      </c>
      <c r="U215" s="1" t="s">
        <v>249</v>
      </c>
      <c r="V215" s="1" t="s">
        <v>228</v>
      </c>
      <c r="W215" s="1" t="s">
        <v>6522</v>
      </c>
      <c r="X215" s="1" t="s">
        <v>249</v>
      </c>
      <c r="Y215" s="1" t="s">
        <v>1932</v>
      </c>
      <c r="Z215" s="1" t="s">
        <v>240</v>
      </c>
      <c r="AA215" s="44" t="s">
        <v>555</v>
      </c>
      <c r="AB215" s="1" t="s">
        <v>6523</v>
      </c>
      <c r="AC215" s="1">
        <v>16</v>
      </c>
      <c r="AD215" s="1" t="s">
        <v>6524</v>
      </c>
      <c r="AE215" s="1" t="s">
        <v>6525</v>
      </c>
      <c r="AF215" s="1" t="s">
        <v>586</v>
      </c>
      <c r="AG215" s="1">
        <v>30</v>
      </c>
      <c r="AH215" s="5" t="s">
        <v>6526</v>
      </c>
      <c r="AI215" s="1">
        <v>5546898751</v>
      </c>
      <c r="AJ215" s="1">
        <v>5528350030</v>
      </c>
      <c r="AK215" s="1" t="s">
        <v>2339</v>
      </c>
      <c r="AL215" s="1" t="s">
        <v>574</v>
      </c>
      <c r="AM215" s="1" t="s">
        <v>2333</v>
      </c>
      <c r="AN215" s="1" t="s">
        <v>913</v>
      </c>
      <c r="AO215" s="1" t="s">
        <v>403</v>
      </c>
      <c r="AP215" s="1">
        <v>33</v>
      </c>
      <c r="AQ215" s="1" t="s">
        <v>1896</v>
      </c>
      <c r="AR215" s="42">
        <v>0.33333333333575865</v>
      </c>
      <c r="AS215" s="42">
        <v>0.66666666666424135</v>
      </c>
      <c r="AT215" s="1">
        <v>5578444791</v>
      </c>
      <c r="AU215" s="1">
        <v>5528350030</v>
      </c>
      <c r="AV215" s="1" t="s">
        <v>2336</v>
      </c>
      <c r="AW215" s="5" t="s">
        <v>6527</v>
      </c>
      <c r="AX215" s="1" t="s">
        <v>6528</v>
      </c>
      <c r="AY215" s="1" t="s">
        <v>2337</v>
      </c>
      <c r="AZ215" s="1" t="s">
        <v>1786</v>
      </c>
      <c r="BA215" s="1" t="s">
        <v>461</v>
      </c>
      <c r="BB215" s="1">
        <v>53</v>
      </c>
      <c r="BC215" s="1" t="s">
        <v>328</v>
      </c>
      <c r="BD215" s="43">
        <v>0.25</v>
      </c>
      <c r="BE215" s="43">
        <v>0.95833333333575865</v>
      </c>
      <c r="BF215" s="1">
        <v>5548811508</v>
      </c>
      <c r="BG215" s="1">
        <v>5528350030</v>
      </c>
      <c r="BH215" s="1" t="s">
        <v>2338</v>
      </c>
      <c r="BI215" s="5" t="s">
        <v>6529</v>
      </c>
      <c r="BJ215" s="1" t="s">
        <v>236</v>
      </c>
      <c r="BL215" s="1">
        <v>163</v>
      </c>
      <c r="BM215" s="1">
        <v>70</v>
      </c>
      <c r="BN215" s="1" t="s">
        <v>228</v>
      </c>
      <c r="BO215" s="1" t="s">
        <v>228</v>
      </c>
      <c r="BQ215" s="1" t="s">
        <v>228</v>
      </c>
      <c r="BR215" s="1" t="s">
        <v>237</v>
      </c>
      <c r="BS215" s="1" t="s">
        <v>228</v>
      </c>
      <c r="BT215" s="1" t="s">
        <v>237</v>
      </c>
      <c r="BU215" s="1" t="s">
        <v>228</v>
      </c>
      <c r="BW215" s="1" t="s">
        <v>238</v>
      </c>
      <c r="BX215" s="1">
        <v>150</v>
      </c>
      <c r="BY215" s="1">
        <v>210</v>
      </c>
      <c r="BZ215" s="1" t="s">
        <v>253</v>
      </c>
      <c r="CA215" s="1" t="s">
        <v>343</v>
      </c>
      <c r="CB215" s="1" t="s">
        <v>240</v>
      </c>
      <c r="CC215" s="1" t="s">
        <v>255</v>
      </c>
      <c r="CD215" s="1">
        <v>1000</v>
      </c>
      <c r="CE215" s="1">
        <v>2000</v>
      </c>
      <c r="CF215" s="1" t="s">
        <v>236</v>
      </c>
      <c r="CG215" s="1" t="s">
        <v>242</v>
      </c>
      <c r="CH215" s="1" t="s">
        <v>243</v>
      </c>
      <c r="CI215" s="1" t="s">
        <v>243</v>
      </c>
      <c r="CJ215" s="1" t="s">
        <v>2848</v>
      </c>
      <c r="CL215" s="5" t="s">
        <v>6530</v>
      </c>
      <c r="CM215" s="44" t="s">
        <v>2340</v>
      </c>
      <c r="CN215" s="1" t="s">
        <v>228</v>
      </c>
      <c r="CQ215" s="42">
        <v>0.29166666666424135</v>
      </c>
      <c r="CR215" s="42">
        <v>0.79166666666424135</v>
      </c>
      <c r="CT215" s="45" t="str">
        <f t="array" ref="CT215">IFERROR(INDEX(#REF!,MATCH('Respuestas de formulario 1.1'!$B215,#REF!,0),MATCH('Respuestas de formulario 1.1'!CT$1,#REF!,0)),"")</f>
        <v/>
      </c>
      <c r="CU215" s="56" t="str">
        <f t="array" ref="CU215">IFERROR(INDEX(#REF!,MATCH('Respuestas de formulario 1.1'!$B215,#REF!,0),MATCH('Respuestas de formulario 1.1'!CU$1,#REF!,0)),"")</f>
        <v/>
      </c>
      <c r="CV215" s="56" t="str">
        <f t="array" ref="CV215">IFERROR(INDEX(#REF!,MATCH('Respuestas de formulario 1.1'!$B215,#REF!,0),MATCH('Respuestas de formulario 1.1'!CV$1,#REF!,0)),"")</f>
        <v/>
      </c>
      <c r="CW215" s="56" t="str">
        <f t="array" ref="CW215">IFERROR(INDEX(#REF!,MATCH('Respuestas de formulario 1.1'!$B215,#REF!,0),MATCH('Respuestas de formulario 1.1'!CW$1,#REF!,0)),"")</f>
        <v/>
      </c>
      <c r="CX215" s="56" t="str">
        <f t="array" ref="CX215">IFERROR(INDEX(#REF!,MATCH('Respuestas de formulario 1.1'!$B215,#REF!,0),MATCH('Respuestas de formulario 1.1'!CX$1,#REF!,0)),"")</f>
        <v/>
      </c>
      <c r="CY215" s="56" t="str">
        <f t="array" ref="CY215">IFERROR(INDEX(#REF!,MATCH('Respuestas de formulario 1.1'!$B215,#REF!,0),MATCH('Respuestas de formulario 1.1'!CY$1,#REF!,0)),"")</f>
        <v/>
      </c>
      <c r="CZ215" s="57" t="str">
        <f t="array" ref="CZ215">IFERROR(INDEX(#REF!,MATCH('Respuestas de formulario 1.1'!$B215,#REF!,0),MATCH('Respuestas de formulario 1.1'!CZ$1,#REF!,0)),"")</f>
        <v/>
      </c>
      <c r="DA215" s="45" t="e">
        <f t="array" ref="DA215">INDEX(#REF!,MATCH('Respuestas de formulario 1.1'!$B215,#REF!,0),MATCH('Respuestas de formulario 1.1'!DA$1,#REF!,0))</f>
        <v>#REF!</v>
      </c>
      <c r="DB215" s="45" t="e">
        <f t="array" ref="DB215">INDEX(#REF!,MATCH('Respuestas de formulario 1.1'!$B215,#REF!,0),MATCH('Respuestas de formulario 1.1'!DB$1,#REF!,0))</f>
        <v>#REF!</v>
      </c>
      <c r="DC215" s="45" t="e">
        <f t="array" ref="DC215">INDEX(#REF!,MATCH('Respuestas de formulario 1.1'!$B215,#REF!,0),MATCH('Respuestas de formulario 1.1'!DC$1,#REF!,0))</f>
        <v>#REF!</v>
      </c>
      <c r="DD215" s="45" t="e">
        <f t="array" ref="DD215">INDEX(#REF!,MATCH('Respuestas de formulario 1.1'!$B215,#REF!,0),MATCH('Respuestas de formulario 1.1'!DD$1,#REF!,0))</f>
        <v>#REF!</v>
      </c>
      <c r="DE215" s="45" t="e">
        <f t="array" ref="DE215">INDEX(#REF!,MATCH('Respuestas de formulario 1.1'!$B215,#REF!,0),MATCH('Respuestas de formulario 1.1'!DE$1,#REF!,0))</f>
        <v>#REF!</v>
      </c>
      <c r="DF215" s="45" t="e">
        <f t="array" ref="DF215">INDEX(#REF!,MATCH('Respuestas de formulario 1.1'!$B215,#REF!,0),MATCH('Respuestas de formulario 1.1'!DF$1,#REF!,0))</f>
        <v>#REF!</v>
      </c>
      <c r="DG215" s="45" t="e">
        <f t="array" ref="DG215">INDEX(#REF!,MATCH('Respuestas de formulario 1.1'!$B215,#REF!,0),MATCH('Respuestas de formulario 1.1'!DG$1,#REF!,0))</f>
        <v>#REF!</v>
      </c>
      <c r="DH215" s="45" t="e">
        <f t="array" ref="DH215">INDEX(#REF!,MATCH('Respuestas de formulario 1.1'!$B215,#REF!,0),MATCH('Respuestas de formulario 1.1'!DH$1,#REF!,0))</f>
        <v>#REF!</v>
      </c>
      <c r="DI215" s="48" t="e">
        <f>VLOOKUP(CONCATENATE($DF215," TUTO ",$DC215),#REF!,3,0)</f>
        <v>#REF!</v>
      </c>
      <c r="DJ215" s="48" t="e">
        <f t="array" ref="DJ215">IF('Respuestas de formulario 1.1'!A215="","",INDEX(#REF!,MATCH('Respuestas de formulario 1.1'!B215,#REF!,0),MATCH('Respuestas de formulario 1.1'!$DH$1,#REF!,0)))</f>
        <v>#REF!</v>
      </c>
      <c r="DK215" s="52" t="str">
        <f>CONCATENATE("http://doc.google.com/uc?id=",MID('Respuestas de formulario 1.1'!G215,34,33))</f>
        <v>http://doc.google.com/uc?id=1wmGvDWbBAHrQgvW1GtAIC30jhzKXHArk</v>
      </c>
      <c r="DL215" s="49" t="str">
        <f>CONCATENATE("http://doc.google.com/uc?id=",MID('Respuestas de formulario 1.1'!AH215,34,33))</f>
        <v>http://doc.google.com/uc?id=12v1tQmPvQpN1V8hppO7apSrdHeWlcoeg</v>
      </c>
      <c r="DM215" s="50" t="str">
        <f>CONCATENATE("http://doc.google.com/uc?id=",MID('Respuestas de formulario 1.1'!AW215,34,33))</f>
        <v>http://doc.google.com/uc?id=1U0D_Q5LSoOAVaCSZUqBUFtAGXmUn3NPu</v>
      </c>
      <c r="DN215" s="53" t="str">
        <f>CONCATENATE("http://doc.google.com/uc?id=",MID('Respuestas de formulario 1.1'!$BI215,34,33))</f>
        <v>http://doc.google.com/uc?id=1T41hWDcVK7vQtfLrRoK0R3Zt3Z8YTWD7</v>
      </c>
      <c r="DO215" s="45" t="str">
        <f>IFERROR(VLOOKUP(CONCATENATE('Respuestas de formulario 1.1'!$B215,MID('Respuestas de formulario 1.1'!DO$1,2,1)),#REF!,12,0),"")</f>
        <v/>
      </c>
      <c r="DP215" s="45" t="str">
        <f>IFERROR(VLOOKUP(CONCATENATE('Respuestas de formulario 1.1'!$B215,MID('Respuestas de formulario 1.1'!DP$1,2,1)),#REF!,12,0),"")</f>
        <v/>
      </c>
      <c r="DQ215" s="45" t="str">
        <f>IFERROR(VLOOKUP(CONCATENATE('Respuestas de formulario 1.1'!$B215,MID('Respuestas de formulario 1.1'!DQ$1,2,1)),#REF!,12,0),"")</f>
        <v/>
      </c>
      <c r="DR215" s="45" t="str">
        <f>IFERROR(VLOOKUP(CONCATENATE('Respuestas de formulario 1.1'!$B215,MID('Respuestas de formulario 1.1'!DR$1,2,1)),#REF!,12,0),"")</f>
        <v/>
      </c>
      <c r="DS215" s="45" t="str">
        <f>IFERROR(VLOOKUP(CONCATENATE('Respuestas de formulario 1.1'!$B215,MID('Respuestas de formulario 1.1'!DS$1,2,1)),#REF!,12,0),"")</f>
        <v/>
      </c>
      <c r="DT215" s="45" t="str">
        <f>IFERROR(VLOOKUP(CONCATENATE('Respuestas de formulario 1.1'!$B215,MID('Respuestas de formulario 1.1'!DT$1,2,1)),#REF!,12,0),"")</f>
        <v/>
      </c>
      <c r="DU215" s="45" t="str">
        <f>IFERROR(VLOOKUP(CONCATENATE('Respuestas de formulario 1.1'!$B215,MID('Respuestas de formulario 1.1'!DU$1,2,1)),#REF!,12,0),"")</f>
        <v/>
      </c>
      <c r="DV215" s="45" t="str">
        <f>IFERROR(VLOOKUP(CONCATENATE('Respuestas de formulario 1.1'!$B215,MID('Respuestas de formulario 1.1'!DV$1,2,1)),#REF!,12,0),"")</f>
        <v/>
      </c>
      <c r="DW215" s="45" t="str">
        <f>IFERROR(VLOOKUP(CONCATENATE('Respuestas de formulario 1.1'!$B215,MID('Respuestas de formulario 1.1'!DW$1,2,1)),#REF!,12,0),"")</f>
        <v/>
      </c>
      <c r="DX215" s="45" t="str">
        <f>IFERROR(VLOOKUP(CONCATENATE('Respuestas de formulario 1.1'!$B215,MID('Respuestas de formulario 1.1'!DX$1,2,1)),#REF!,12,0),"")</f>
        <v/>
      </c>
      <c r="DY215" s="45" t="str">
        <f>IFERROR(VLOOKUP(CONCATENATE('Respuestas de formulario 1.1'!$B215,MID('Respuestas de formulario 1.1'!DY$1,2,1)),#REF!,12,0),"")</f>
        <v/>
      </c>
      <c r="DZ215" s="45" t="str">
        <f>IFERROR(VLOOKUP(CONCATENATE('Respuestas de formulario 1.1'!$B215,MID('Respuestas de formulario 1.1'!DZ$1,2,1)),#REF!,12,0),"")</f>
        <v/>
      </c>
      <c r="EA215" s="45" t="str">
        <f>IFERROR(VLOOKUP(CONCATENATE('Respuestas de formulario 1.1'!$B215,MID('Respuestas de formulario 1.1'!EA$1,2,1)),#REF!,12,0),"")</f>
        <v/>
      </c>
      <c r="EB215" s="45" t="str">
        <f>IFERROR(VLOOKUP(CONCATENATE('Respuestas de formulario 1.1'!$B215,MID('Respuestas de formulario 1.1'!EB$1,2,1)),#REF!,12,0),"")</f>
        <v/>
      </c>
      <c r="EC215" s="45" t="str">
        <f>IFERROR(VLOOKUP(CONCATENATE('Respuestas de formulario 1.1'!$B215,MID('Respuestas de formulario 1.1'!EC$1,2,1)),#REF!,12,0),"")</f>
        <v/>
      </c>
      <c r="ED215" s="45" t="str">
        <f>IFERROR(VLOOKUP(CONCATENATE('Respuestas de formulario 1.1'!$B215,MID('Respuestas de formulario 1.1'!ED$1,2,1)),#REF!,12,0),"")</f>
        <v/>
      </c>
      <c r="EE215" s="45" t="str">
        <f>IFERROR(VLOOKUP(CONCATENATE('Respuestas de formulario 1.1'!$B215,MID('Respuestas de formulario 1.1'!EE$1,2,1)),#REF!,12,0),"")</f>
        <v/>
      </c>
      <c r="EF215" s="45" t="str">
        <f>IFERROR(VLOOKUP(CONCATENATE('Respuestas de formulario 1.1'!$B215,MID('Respuestas de formulario 1.1'!EF$1,2,1)),#REF!,12,0),"")</f>
        <v/>
      </c>
      <c r="EG215" s="45" t="str">
        <f>IFERROR(VLOOKUP(CONCATENATE('Respuestas de formulario 1.1'!$B215,MID('Respuestas de formulario 1.1'!EG$1,2,1)),#REF!,12,0),"")</f>
        <v/>
      </c>
      <c r="EH215" s="45" t="str">
        <f>IFERROR(VLOOKUP(CONCATENATE('Respuestas de formulario 1.1'!$B215,MID('Respuestas de formulario 1.1'!EH$1,2,1)),#REF!,12,0),"")</f>
        <v/>
      </c>
      <c r="EI215" s="45" t="str">
        <f>IFERROR(VLOOKUP(CONCATENATE('Respuestas de formulario 1.1'!$B215,MID('Respuestas de formulario 1.1'!EI$1,2,1)),#REF!,12,0),"")</f>
        <v/>
      </c>
      <c r="EJ215" s="45" t="str">
        <f t="array" ref="EJ215">IF(DO215="","", INDEX(#REF!,MATCH(CONCATENATE('Respuestas de formulario 1.1'!$B215,DO215),#REF!,0),MATCH('Respuestas de formulario 1.1'!EJ$1,#REF!,0)))</f>
        <v/>
      </c>
      <c r="EK215" s="56" t="str">
        <f t="array" ref="EK215">IF(DP215="","", INDEX(#REF!,MATCH(CONCATENATE('Respuestas de formulario 1.1'!$B215,DP215),#REF!,0),MATCH('Respuestas de formulario 1.1'!EK$1,#REF!,0)))</f>
        <v/>
      </c>
      <c r="EL215" s="56" t="str">
        <f t="array" ref="EL215">IF(DQ215="","", INDEX(#REF!,MATCH(CONCATENATE('Respuestas de formulario 1.1'!$B215,DQ215),#REF!,0),MATCH('Respuestas de formulario 1.1'!EL$1,#REF!,0)))</f>
        <v/>
      </c>
      <c r="EM215" s="56" t="str">
        <f t="array" ref="EM215">IF(DR215="","", INDEX(#REF!,MATCH(CONCATENATE('Respuestas de formulario 1.1'!$B215,DR215),#REF!,0),MATCH('Respuestas de formulario 1.1'!EM$1,#REF!,0)))</f>
        <v/>
      </c>
      <c r="EN215" s="56" t="str">
        <f t="array" ref="EN215">IF(DS215="","", INDEX(#REF!,MATCH(CONCATENATE('Respuestas de formulario 1.1'!$B215,DS215),#REF!,0),MATCH('Respuestas de formulario 1.1'!EN$1,#REF!,0)))</f>
        <v/>
      </c>
      <c r="EO215" s="56" t="str">
        <f t="array" ref="EO215">IF(DT215="","", INDEX(#REF!,MATCH(CONCATENATE('Respuestas de formulario 1.1'!$B215,DT215),#REF!,0),MATCH('Respuestas de formulario 1.1'!EO$1,#REF!,0)))</f>
        <v/>
      </c>
      <c r="EP215" s="45" t="str">
        <f t="array" ref="EP215">IF(DU215="","", INDEX(#REF!,MATCH(CONCATENATE('Respuestas de formulario 1.1'!$B215,DU215),#REF!,0),MATCH('Respuestas de formulario 1.1'!EP$1,#REF!,0)))</f>
        <v/>
      </c>
      <c r="EQ215" s="45" t="str">
        <f t="array" ref="EQ215">IF(DP215="","", INDEX(#REF!,MATCH(CONCATENATE('Respuestas de formulario 1.1'!$B215,DP215),#REF!,0),MATCH('Respuestas de formulario 1.1'!EQ$1,#REF!,0)))</f>
        <v/>
      </c>
      <c r="ER215" s="56" t="str">
        <f t="array" ref="ER215">IF(DQ215="","", INDEX(#REF!,MATCH(CONCATENATE('Respuestas de formulario 1.1'!$B215,DQ215),#REF!,0),MATCH('Respuestas de formulario 1.1'!ER$1,#REF!,0)))</f>
        <v/>
      </c>
      <c r="ES215" s="56" t="str">
        <f t="array" ref="ES215">IF(DR215="","", INDEX(#REF!,MATCH(CONCATENATE('Respuestas de formulario 1.1'!$B215,DR215),#REF!,0),MATCH('Respuestas de formulario 1.1'!ES$1,#REF!,0)))</f>
        <v/>
      </c>
      <c r="ET215" s="56" t="str">
        <f t="array" ref="ET215">IF(DS215="","", INDEX(#REF!,MATCH(CONCATENATE('Respuestas de formulario 1.1'!$B215,DS215),#REF!,0),MATCH('Respuestas de formulario 1.1'!ET$1,#REF!,0)))</f>
        <v/>
      </c>
      <c r="EU215" s="56" t="str">
        <f t="array" ref="EU215">IF(DT215="","", INDEX(#REF!,MATCH(CONCATENATE('Respuestas de formulario 1.1'!$B215,DT215),#REF!,0),MATCH('Respuestas de formulario 1.1'!EU$1,#REF!,0)))</f>
        <v/>
      </c>
      <c r="EV215" s="56" t="str">
        <f t="array" ref="EV215">IF(DU215="","", INDEX(#REF!,MATCH(CONCATENATE('Respuestas de formulario 1.1'!$B215,DU215),#REF!,0),MATCH('Respuestas de formulario 1.1'!EV$1,#REF!,0)))</f>
        <v/>
      </c>
      <c r="EW215" s="45" t="str">
        <f t="array" ref="EW215">IF(DV215="","", INDEX(#REF!,MATCH(CONCATENATE('Respuestas de formulario 1.1'!$B215,DV215),#REF!,0),MATCH('Respuestas de formulario 1.1'!EW$1,#REF!,0)))</f>
        <v/>
      </c>
      <c r="EX215" s="45" t="str">
        <f t="array" ref="EX215">IF($DQ215="","", INDEX(#REF!,MATCH(CONCATENATE('Respuestas de formulario 1.1'!$B215,$DQ215),#REF!,0),MATCH('Respuestas de formulario 1.1'!EX$1,#REF!,0)))</f>
        <v/>
      </c>
      <c r="EY215" s="56" t="str">
        <f t="array" ref="EY215">IF($DQ215="","", INDEX(#REF!,MATCH(CONCATENATE('Respuestas de formulario 1.1'!$B215,$DQ215),#REF!,0),MATCH('Respuestas de formulario 1.1'!EY$1,#REF!,0)))</f>
        <v/>
      </c>
      <c r="EZ215" s="56" t="str">
        <f t="array" ref="EZ215">IF($DQ215="","", INDEX(#REF!,MATCH(CONCATENATE('Respuestas de formulario 1.1'!$B215,$DQ215),#REF!,0),MATCH('Respuestas de formulario 1.1'!EZ$1,#REF!,0)))</f>
        <v/>
      </c>
      <c r="FA215" s="56" t="str">
        <f t="array" ref="FA215">IF($DQ215="","", INDEX(#REF!,MATCH(CONCATENATE('Respuestas de formulario 1.1'!$B215,$DQ215),#REF!,0),MATCH('Respuestas de formulario 1.1'!FA$1,#REF!,0)))</f>
        <v/>
      </c>
      <c r="FB215" s="56" t="str">
        <f t="array" ref="FB215">IF($DQ215="","", INDEX(#REF!,MATCH(CONCATENATE('Respuestas de formulario 1.1'!$B215,$DQ215),#REF!,0),MATCH('Respuestas de formulario 1.1'!FB$1,#REF!,0)))</f>
        <v/>
      </c>
      <c r="FC215" s="56" t="str">
        <f t="array" ref="FC215">IF($DQ215="","", INDEX(#REF!,MATCH(CONCATENATE('Respuestas de formulario 1.1'!$B215,$DQ215),#REF!,0),MATCH('Respuestas de formulario 1.1'!FC$1,#REF!,0)))</f>
        <v/>
      </c>
      <c r="FD215" s="45" t="str">
        <f t="array" ref="FD215">IF($DQ215="","", INDEX(#REF!,MATCH(CONCATENATE('Respuestas de formulario 1.1'!$B215,$DQ215),#REF!,0),MATCH('Respuestas de formulario 1.1'!FD$1,#REF!,0)))</f>
        <v/>
      </c>
      <c r="FE215" s="45" t="str">
        <f t="array" ref="FE215">IF($DR215="","", INDEX(#REF!,MATCH(CONCATENATE(#REF!,$DR215),#REF!,0),MATCH(#REF!,#REF!,0)))</f>
        <v/>
      </c>
      <c r="FF215" s="56" t="str">
        <f t="array" ref="FF215">IF($DR215="","", INDEX(#REF!,MATCH(CONCATENATE(#REF!,$DR215),#REF!,0),MATCH(#REF!,#REF!,0)))</f>
        <v/>
      </c>
      <c r="FG215" s="56" t="str">
        <f t="array" ref="FG215">IF($DR215="","", INDEX(#REF!,MATCH(CONCATENATE(#REF!,$DR215),#REF!,0),MATCH(#REF!,#REF!,0)))</f>
        <v/>
      </c>
      <c r="FH215" s="56" t="str">
        <f t="array" ref="FH215">IF($DR215="","", INDEX(#REF!,MATCH(CONCATENATE(#REF!,$DR215),#REF!,0),MATCH(#REF!,#REF!,0)))</f>
        <v/>
      </c>
      <c r="FI215" s="56" t="str">
        <f t="array" ref="FI215">IF($DR215="","", INDEX(#REF!,MATCH(CONCATENATE(#REF!,$DR215),#REF!,0),MATCH(#REF!,#REF!,0)))</f>
        <v/>
      </c>
      <c r="FJ215" s="56" t="str">
        <f t="array" ref="FJ215">IF($DR215="","", INDEX(#REF!,MATCH(CONCATENATE(#REF!,$DR215),#REF!,0),MATCH(#REF!,#REF!,0)))</f>
        <v/>
      </c>
      <c r="FK215" s="45" t="str">
        <f t="array" ref="FK215">IF($DR215="","", INDEX(#REF!,MATCH(CONCATENATE(#REF!,$DR215),#REF!,0),MATCH(#REF!,#REF!,0)))</f>
        <v/>
      </c>
      <c r="FL215" s="45" t="str">
        <f t="array" ref="FL215">IF($DT215="","", INDEX(#REF!,MATCH(CONCATENATE('Respuestas de formulario 1.1'!$B215,$DS215),#REF!,0),MATCH('Respuestas de formulario 1.1'!FL$1,#REF!,0)))</f>
        <v/>
      </c>
      <c r="FM215" s="56" t="str">
        <f t="array" ref="FM215">IF($DT215="","", INDEX(#REF!,MATCH(CONCATENATE('Respuestas de formulario 1.1'!$B215,$DS215),#REF!,0),MATCH('Respuestas de formulario 1.1'!FM$1,#REF!,0)))</f>
        <v/>
      </c>
      <c r="FN215" s="56" t="str">
        <f t="array" ref="FN215">IF($DT215="","", INDEX(#REF!,MATCH(CONCATENATE('Respuestas de formulario 1.1'!$B215,$DS215),#REF!,0),MATCH('Respuestas de formulario 1.1'!FN$1,#REF!,0)))</f>
        <v/>
      </c>
      <c r="FO215" s="56" t="str">
        <f t="array" ref="FO215">IF($DT215="","", INDEX(#REF!,MATCH(CONCATENATE('Respuestas de formulario 1.1'!$B215,$DS215),#REF!,0),MATCH('Respuestas de formulario 1.1'!FO$1,#REF!,0)))</f>
        <v/>
      </c>
      <c r="FP215" s="56" t="str">
        <f t="array" ref="FP215">IF($DT215="","", INDEX(#REF!,MATCH(CONCATENATE('Respuestas de formulario 1.1'!$B215,$DS215),#REF!,0),MATCH('Respuestas de formulario 1.1'!FP$1,#REF!,0)))</f>
        <v/>
      </c>
      <c r="FQ215" s="56" t="str">
        <f t="array" ref="FQ215">IF($DT215="","", INDEX(#REF!,MATCH(CONCATENATE('Respuestas de formulario 1.1'!$B215,$DS215),#REF!,0),MATCH('Respuestas de formulario 1.1'!FQ$1,#REF!,0)))</f>
        <v/>
      </c>
      <c r="FR215" s="45" t="str">
        <f t="array" ref="FR215">IF($DT215="","", INDEX(#REF!,MATCH(CONCATENATE('Respuestas de formulario 1.1'!$B215,$DS215),#REF!,0),MATCH('Respuestas de formulario 1.1'!FR$1,#REF!,0)))</f>
        <v/>
      </c>
      <c r="FS215" s="45" t="str">
        <f t="array" ref="FS215">IF($DU215="","", INDEX(#REF!,MATCH(CONCATENATE('Respuestas de formulario 1.1'!$B215,$DT215),#REF!,0),MATCH('Respuestas de formulario 1.1'!FS$1,#REF!,0)))</f>
        <v/>
      </c>
      <c r="FT215" s="56" t="str">
        <f t="array" ref="FT215">IF($DU215="","", INDEX(#REF!,MATCH(CONCATENATE('Respuestas de formulario 1.1'!$B215,$DT215),#REF!,0),MATCH('Respuestas de formulario 1.1'!FT$1,#REF!,0)))</f>
        <v/>
      </c>
      <c r="FU215" s="56" t="str">
        <f t="array" ref="FU215">IF($DU215="","", INDEX(#REF!,MATCH(CONCATENATE('Respuestas de formulario 1.1'!$B215,$DT215),#REF!,0),MATCH('Respuestas de formulario 1.1'!FU$1,#REF!,0)))</f>
        <v/>
      </c>
      <c r="FV215" s="56" t="str">
        <f t="array" ref="FV215">IF($DU215="","", INDEX(#REF!,MATCH(CONCATENATE('Respuestas de formulario 1.1'!$B215,$DT215),#REF!,0),MATCH('Respuestas de formulario 1.1'!FV$1,#REF!,0)))</f>
        <v/>
      </c>
      <c r="FW215" s="56" t="str">
        <f t="array" ref="FW215">IF($DU215="","", INDEX(#REF!,MATCH(CONCATENATE('Respuestas de formulario 1.1'!$B215,$DT215),#REF!,0),MATCH('Respuestas de formulario 1.1'!FW$1,#REF!,0)))</f>
        <v/>
      </c>
      <c r="FX215" s="56" t="str">
        <f t="array" ref="FX215">IF($DU215="","", INDEX(#REF!,MATCH(CONCATENATE('Respuestas de formulario 1.1'!$B215,$DT215),#REF!,0),MATCH('Respuestas de formulario 1.1'!FX$1,#REF!,0)))</f>
        <v/>
      </c>
      <c r="FY215" s="45" t="str">
        <f t="array" ref="FY215">IF($DU215="","", INDEX(#REF!,MATCH(CONCATENATE('Respuestas de formulario 1.1'!$B215,$DT215),#REF!,0),MATCH('Respuestas de formulario 1.1'!FY$1,#REF!,0)))</f>
        <v/>
      </c>
      <c r="FZ215" s="3" t="s">
        <v>2860</v>
      </c>
      <c r="GA215" s="1" t="s">
        <v>6531</v>
      </c>
      <c r="GB215" s="5" t="s">
        <v>6532</v>
      </c>
      <c r="GC215" s="4" t="str">
        <f>HYPERLINK("https://drive.google.com/file/d/1MVaikJ-GvWoejJ7J8WKCPmCTnapivji3/view?usp=drivesdk","ROSAS TIBURCIO ARELI QUETZALLY Formato de reinscripción y pago 2022-2")</f>
        <v>ROSAS TIBURCIO ARELI QUETZALLY Formato de reinscripción y pago 2022-2</v>
      </c>
      <c r="GD215" s="1" t="s">
        <v>6533</v>
      </c>
      <c r="GE215" s="1"/>
      <c r="GF215" s="1"/>
      <c r="GG215" s="1"/>
      <c r="GH215" s="1"/>
      <c r="GI215" s="1" t="s">
        <v>6534</v>
      </c>
      <c r="GJ215" s="5" t="s">
        <v>6535</v>
      </c>
      <c r="GK215" s="5" t="str">
        <f>HYPERLINK("https://drive.google.com/file/d/1xM4gfALDPji1Z3-aupWj91arfY-Tdn1Y/view?usp=drivesdk","ROSAS TIBURCIO ARELI QUETZALLY Formato de reinscripción y pago 2022-2")</f>
        <v>ROSAS TIBURCIO ARELI QUETZALLY Formato de reinscripción y pago 2022-2</v>
      </c>
      <c r="GL215" s="1" t="s">
        <v>6536</v>
      </c>
    </row>
    <row r="216" spans="1:194" ht="38.25" x14ac:dyDescent="0.2">
      <c r="A216" s="2">
        <v>45139.844610381944</v>
      </c>
      <c r="B216" s="1" t="s">
        <v>2222</v>
      </c>
      <c r="C216" s="1" t="s">
        <v>1632</v>
      </c>
      <c r="D216" s="1" t="s">
        <v>304</v>
      </c>
      <c r="E216" s="1" t="s">
        <v>2223</v>
      </c>
      <c r="F216" s="1" t="s">
        <v>262</v>
      </c>
      <c r="G216" s="5" t="s">
        <v>6537</v>
      </c>
      <c r="H216" s="41">
        <v>38892</v>
      </c>
      <c r="I216" s="1">
        <v>17</v>
      </c>
      <c r="J216" s="1">
        <v>5632376649</v>
      </c>
      <c r="K216" s="1">
        <v>5557454148</v>
      </c>
      <c r="L216" s="1" t="s">
        <v>2224</v>
      </c>
      <c r="M216" s="1">
        <v>21309060570532</v>
      </c>
      <c r="N216" s="1" t="s">
        <v>1108</v>
      </c>
      <c r="O216" s="1" t="s">
        <v>225</v>
      </c>
      <c r="P216" s="1" t="s">
        <v>226</v>
      </c>
      <c r="Q216" s="1" t="s">
        <v>227</v>
      </c>
      <c r="R216" s="1" t="s">
        <v>236</v>
      </c>
      <c r="S216" s="1" t="s">
        <v>228</v>
      </c>
      <c r="T216" s="1" t="s">
        <v>411</v>
      </c>
      <c r="U216" s="1" t="s">
        <v>249</v>
      </c>
      <c r="V216" s="1" t="s">
        <v>228</v>
      </c>
      <c r="W216" s="1" t="s">
        <v>6538</v>
      </c>
      <c r="X216" s="1" t="s">
        <v>249</v>
      </c>
      <c r="Y216" s="1" t="s">
        <v>1790</v>
      </c>
      <c r="Z216" s="1" t="s">
        <v>240</v>
      </c>
      <c r="AA216" s="44" t="s">
        <v>530</v>
      </c>
      <c r="AB216" s="1">
        <v>24</v>
      </c>
      <c r="AC216" s="1">
        <v>21</v>
      </c>
      <c r="AD216" s="1" t="s">
        <v>6539</v>
      </c>
      <c r="AE216" s="1" t="s">
        <v>6540</v>
      </c>
      <c r="AF216" s="1" t="s">
        <v>435</v>
      </c>
      <c r="AG216" s="1">
        <v>55</v>
      </c>
      <c r="AH216" s="5" t="s">
        <v>6541</v>
      </c>
      <c r="AI216" s="1">
        <v>5632376824</v>
      </c>
      <c r="AJ216" s="1">
        <v>5557454148</v>
      </c>
      <c r="AK216" s="1"/>
      <c r="AL216" s="1" t="s">
        <v>304</v>
      </c>
      <c r="AM216" s="1" t="s">
        <v>251</v>
      </c>
      <c r="AN216" s="1" t="s">
        <v>2175</v>
      </c>
      <c r="AO216" s="1" t="s">
        <v>453</v>
      </c>
      <c r="AP216" s="1">
        <v>56</v>
      </c>
      <c r="AQ216" s="1" t="s">
        <v>235</v>
      </c>
      <c r="AR216" s="42">
        <v>0.33333333333575865</v>
      </c>
      <c r="AS216" s="42">
        <v>0.75</v>
      </c>
      <c r="AT216" s="1">
        <v>5536712841</v>
      </c>
      <c r="AU216" s="1">
        <v>5557454148</v>
      </c>
      <c r="AV216" s="1"/>
      <c r="AW216" s="5" t="s">
        <v>6542</v>
      </c>
      <c r="AX216" s="1" t="s">
        <v>304</v>
      </c>
      <c r="AY216" s="1" t="s">
        <v>251</v>
      </c>
      <c r="AZ216" s="1" t="s">
        <v>741</v>
      </c>
      <c r="BA216" s="1" t="s">
        <v>265</v>
      </c>
      <c r="BB216" s="1">
        <v>55</v>
      </c>
      <c r="BC216" s="1" t="s">
        <v>454</v>
      </c>
      <c r="BD216" s="43">
        <v>0</v>
      </c>
      <c r="BE216" s="43">
        <v>0</v>
      </c>
      <c r="BF216" s="1">
        <v>5536534423</v>
      </c>
      <c r="BG216" s="1">
        <v>5557454148</v>
      </c>
      <c r="BH216" s="1"/>
      <c r="BI216" s="5" t="s">
        <v>6543</v>
      </c>
      <c r="BJ216" s="1" t="s">
        <v>236</v>
      </c>
      <c r="BL216" s="1">
        <v>1.67</v>
      </c>
      <c r="BM216" s="1">
        <v>78</v>
      </c>
      <c r="BN216" s="1" t="s">
        <v>236</v>
      </c>
      <c r="BO216" s="1" t="s">
        <v>236</v>
      </c>
      <c r="BP216" s="1" t="s">
        <v>6544</v>
      </c>
      <c r="BQ216" s="1" t="s">
        <v>228</v>
      </c>
      <c r="BR216" s="1" t="s">
        <v>237</v>
      </c>
      <c r="BS216" s="1" t="s">
        <v>228</v>
      </c>
      <c r="BT216" s="1" t="s">
        <v>237</v>
      </c>
      <c r="BU216" s="1" t="s">
        <v>236</v>
      </c>
      <c r="BV216" s="4" t="s">
        <v>6545</v>
      </c>
      <c r="BW216" s="1" t="s">
        <v>238</v>
      </c>
      <c r="BX216" s="1">
        <v>45</v>
      </c>
      <c r="BY216" s="1">
        <v>250</v>
      </c>
      <c r="BZ216" s="1" t="s">
        <v>1973</v>
      </c>
      <c r="CA216" s="1" t="s">
        <v>615</v>
      </c>
      <c r="CB216" s="1" t="s">
        <v>240</v>
      </c>
      <c r="CC216" s="1" t="s">
        <v>322</v>
      </c>
      <c r="CD216" s="1">
        <v>400</v>
      </c>
      <c r="CE216" s="1">
        <v>2750</v>
      </c>
      <c r="CF216" s="1" t="s">
        <v>236</v>
      </c>
      <c r="CG216" s="1" t="s">
        <v>242</v>
      </c>
      <c r="CH216" s="1" t="s">
        <v>243</v>
      </c>
      <c r="CI216" s="1" t="s">
        <v>243</v>
      </c>
      <c r="CJ216" s="1" t="s">
        <v>2848</v>
      </c>
      <c r="CL216" s="5" t="s">
        <v>6546</v>
      </c>
      <c r="CM216" s="44" t="s">
        <v>2226</v>
      </c>
      <c r="CN216" s="1" t="s">
        <v>228</v>
      </c>
      <c r="CQ216" s="42">
        <v>0.35416666666424135</v>
      </c>
      <c r="CR216" s="42">
        <v>0.77083333333575865</v>
      </c>
      <c r="CT216" s="45" t="str">
        <f t="array" ref="CT216">IFERROR(INDEX(#REF!,MATCH('Respuestas de formulario 1.1'!$B216,#REF!,0),MATCH('Respuestas de formulario 1.1'!CT$1,#REF!,0)),"")</f>
        <v/>
      </c>
      <c r="CU216" s="56" t="str">
        <f t="array" ref="CU216">IFERROR(INDEX(#REF!,MATCH('Respuestas de formulario 1.1'!$B216,#REF!,0),MATCH('Respuestas de formulario 1.1'!CU$1,#REF!,0)),"")</f>
        <v/>
      </c>
      <c r="CV216" s="56" t="str">
        <f t="array" ref="CV216">IFERROR(INDEX(#REF!,MATCH('Respuestas de formulario 1.1'!$B216,#REF!,0),MATCH('Respuestas de formulario 1.1'!CV$1,#REF!,0)),"")</f>
        <v/>
      </c>
      <c r="CW216" s="56" t="str">
        <f t="array" ref="CW216">IFERROR(INDEX(#REF!,MATCH('Respuestas de formulario 1.1'!$B216,#REF!,0),MATCH('Respuestas de formulario 1.1'!CW$1,#REF!,0)),"")</f>
        <v/>
      </c>
      <c r="CX216" s="56" t="str">
        <f t="array" ref="CX216">IFERROR(INDEX(#REF!,MATCH('Respuestas de formulario 1.1'!$B216,#REF!,0),MATCH('Respuestas de formulario 1.1'!CX$1,#REF!,0)),"")</f>
        <v/>
      </c>
      <c r="CY216" s="56" t="str">
        <f t="array" ref="CY216">IFERROR(INDEX(#REF!,MATCH('Respuestas de formulario 1.1'!$B216,#REF!,0),MATCH('Respuestas de formulario 1.1'!CY$1,#REF!,0)),"")</f>
        <v/>
      </c>
      <c r="CZ216" s="57" t="str">
        <f t="array" ref="CZ216">IFERROR(INDEX(#REF!,MATCH('Respuestas de formulario 1.1'!$B216,#REF!,0),MATCH('Respuestas de formulario 1.1'!CZ$1,#REF!,0)),"")</f>
        <v/>
      </c>
      <c r="DA216" s="45" t="e">
        <f t="array" ref="DA216">INDEX(#REF!,MATCH('Respuestas de formulario 1.1'!$B216,#REF!,0),MATCH('Respuestas de formulario 1.1'!DA$1,#REF!,0))</f>
        <v>#REF!</v>
      </c>
      <c r="DB216" s="45" t="e">
        <f t="array" ref="DB216">INDEX(#REF!,MATCH('Respuestas de formulario 1.1'!$B216,#REF!,0),MATCH('Respuestas de formulario 1.1'!DB$1,#REF!,0))</f>
        <v>#REF!</v>
      </c>
      <c r="DC216" s="45" t="e">
        <f t="array" ref="DC216">INDEX(#REF!,MATCH('Respuestas de formulario 1.1'!$B216,#REF!,0),MATCH('Respuestas de formulario 1.1'!DC$1,#REF!,0))</f>
        <v>#REF!</v>
      </c>
      <c r="DD216" s="45" t="e">
        <f t="array" ref="DD216">INDEX(#REF!,MATCH('Respuestas de formulario 1.1'!$B216,#REF!,0),MATCH('Respuestas de formulario 1.1'!DD$1,#REF!,0))</f>
        <v>#REF!</v>
      </c>
      <c r="DE216" s="45" t="e">
        <f t="array" ref="DE216">INDEX(#REF!,MATCH('Respuestas de formulario 1.1'!$B216,#REF!,0),MATCH('Respuestas de formulario 1.1'!DE$1,#REF!,0))</f>
        <v>#REF!</v>
      </c>
      <c r="DF216" s="45" t="e">
        <f t="array" ref="DF216">INDEX(#REF!,MATCH('Respuestas de formulario 1.1'!$B216,#REF!,0),MATCH('Respuestas de formulario 1.1'!DF$1,#REF!,0))</f>
        <v>#REF!</v>
      </c>
      <c r="DG216" s="45" t="e">
        <f t="array" ref="DG216">INDEX(#REF!,MATCH('Respuestas de formulario 1.1'!$B216,#REF!,0),MATCH('Respuestas de formulario 1.1'!DG$1,#REF!,0))</f>
        <v>#REF!</v>
      </c>
      <c r="DH216" s="45" t="e">
        <f t="array" ref="DH216">INDEX(#REF!,MATCH('Respuestas de formulario 1.1'!$B216,#REF!,0),MATCH('Respuestas de formulario 1.1'!DH$1,#REF!,0))</f>
        <v>#REF!</v>
      </c>
      <c r="DI216" s="48" t="e">
        <f>VLOOKUP(CONCATENATE($DF216," TUTO ",$DC216),#REF!,3,0)</f>
        <v>#REF!</v>
      </c>
      <c r="DJ216" s="48" t="e">
        <f t="array" ref="DJ216">IF('Respuestas de formulario 1.1'!A216="","",INDEX(#REF!,MATCH('Respuestas de formulario 1.1'!B216,#REF!,0),MATCH('Respuestas de formulario 1.1'!$DH$1,#REF!,0)))</f>
        <v>#REF!</v>
      </c>
      <c r="DK216" s="52" t="str">
        <f>CONCATENATE("http://doc.google.com/uc?id=",MID('Respuestas de formulario 1.1'!G216,34,33))</f>
        <v>http://doc.google.com/uc?id=1FUq0oVrlmE2b6jcW5M3vpQ8BPrdqul10</v>
      </c>
      <c r="DL216" s="49" t="str">
        <f>CONCATENATE("http://doc.google.com/uc?id=",MID('Respuestas de formulario 1.1'!AH216,34,33))</f>
        <v>http://doc.google.com/uc?id=1e0eoXQL_nsyy41TIW2-DJyUkaMCyF0uh</v>
      </c>
      <c r="DM216" s="50" t="str">
        <f>CONCATENATE("http://doc.google.com/uc?id=",MID('Respuestas de formulario 1.1'!AW216,34,33))</f>
        <v>http://doc.google.com/uc?id=19-8c4etrSHiR9qxon6qq3rbulqX0YAAI</v>
      </c>
      <c r="DN216" s="53" t="str">
        <f>CONCATENATE("http://doc.google.com/uc?id=",MID('Respuestas de formulario 1.1'!$BI216,34,33))</f>
        <v>http://doc.google.com/uc?id=1mgYJ_zNVlYPsl08FMGEMx5u-PgPbYUBc</v>
      </c>
      <c r="DO216" s="45" t="str">
        <f>IFERROR(VLOOKUP(CONCATENATE('Respuestas de formulario 1.1'!$B216,MID('Respuestas de formulario 1.1'!DO$1,2,1)),#REF!,12,0),"")</f>
        <v/>
      </c>
      <c r="DP216" s="45" t="str">
        <f>IFERROR(VLOOKUP(CONCATENATE('Respuestas de formulario 1.1'!$B216,MID('Respuestas de formulario 1.1'!DP$1,2,1)),#REF!,12,0),"")</f>
        <v/>
      </c>
      <c r="DQ216" s="45" t="str">
        <f>IFERROR(VLOOKUP(CONCATENATE('Respuestas de formulario 1.1'!$B216,MID('Respuestas de formulario 1.1'!DQ$1,2,1)),#REF!,12,0),"")</f>
        <v/>
      </c>
      <c r="DR216" s="45" t="str">
        <f>IFERROR(VLOOKUP(CONCATENATE('Respuestas de formulario 1.1'!$B216,MID('Respuestas de formulario 1.1'!DR$1,2,1)),#REF!,12,0),"")</f>
        <v/>
      </c>
      <c r="DS216" s="45" t="str">
        <f>IFERROR(VLOOKUP(CONCATENATE('Respuestas de formulario 1.1'!$B216,MID('Respuestas de formulario 1.1'!DS$1,2,1)),#REF!,12,0),"")</f>
        <v/>
      </c>
      <c r="DT216" s="45" t="str">
        <f>IFERROR(VLOOKUP(CONCATENATE('Respuestas de formulario 1.1'!$B216,MID('Respuestas de formulario 1.1'!DT$1,2,1)),#REF!,12,0),"")</f>
        <v/>
      </c>
      <c r="DU216" s="45" t="str">
        <f>IFERROR(VLOOKUP(CONCATENATE('Respuestas de formulario 1.1'!$B216,MID('Respuestas de formulario 1.1'!DU$1,2,1)),#REF!,12,0),"")</f>
        <v/>
      </c>
      <c r="DV216" s="45" t="str">
        <f>IFERROR(VLOOKUP(CONCATENATE('Respuestas de formulario 1.1'!$B216,MID('Respuestas de formulario 1.1'!DV$1,2,1)),#REF!,12,0),"")</f>
        <v/>
      </c>
      <c r="DW216" s="45" t="str">
        <f>IFERROR(VLOOKUP(CONCATENATE('Respuestas de formulario 1.1'!$B216,MID('Respuestas de formulario 1.1'!DW$1,2,1)),#REF!,12,0),"")</f>
        <v/>
      </c>
      <c r="DX216" s="45" t="str">
        <f>IFERROR(VLOOKUP(CONCATENATE('Respuestas de formulario 1.1'!$B216,MID('Respuestas de formulario 1.1'!DX$1,2,1)),#REF!,12,0),"")</f>
        <v/>
      </c>
      <c r="DY216" s="45" t="str">
        <f>IFERROR(VLOOKUP(CONCATENATE('Respuestas de formulario 1.1'!$B216,MID('Respuestas de formulario 1.1'!DY$1,2,1)),#REF!,12,0),"")</f>
        <v/>
      </c>
      <c r="DZ216" s="45" t="str">
        <f>IFERROR(VLOOKUP(CONCATENATE('Respuestas de formulario 1.1'!$B216,MID('Respuestas de formulario 1.1'!DZ$1,2,1)),#REF!,12,0),"")</f>
        <v/>
      </c>
      <c r="EA216" s="45" t="str">
        <f>IFERROR(VLOOKUP(CONCATENATE('Respuestas de formulario 1.1'!$B216,MID('Respuestas de formulario 1.1'!EA$1,2,1)),#REF!,12,0),"")</f>
        <v/>
      </c>
      <c r="EB216" s="45" t="str">
        <f>IFERROR(VLOOKUP(CONCATENATE('Respuestas de formulario 1.1'!$B216,MID('Respuestas de formulario 1.1'!EB$1,2,1)),#REF!,12,0),"")</f>
        <v/>
      </c>
      <c r="EC216" s="45" t="str">
        <f>IFERROR(VLOOKUP(CONCATENATE('Respuestas de formulario 1.1'!$B216,MID('Respuestas de formulario 1.1'!EC$1,2,1)),#REF!,12,0),"")</f>
        <v/>
      </c>
      <c r="ED216" s="45" t="str">
        <f>IFERROR(VLOOKUP(CONCATENATE('Respuestas de formulario 1.1'!$B216,MID('Respuestas de formulario 1.1'!ED$1,2,1)),#REF!,12,0),"")</f>
        <v/>
      </c>
      <c r="EE216" s="45" t="str">
        <f>IFERROR(VLOOKUP(CONCATENATE('Respuestas de formulario 1.1'!$B216,MID('Respuestas de formulario 1.1'!EE$1,2,1)),#REF!,12,0),"")</f>
        <v/>
      </c>
      <c r="EF216" s="45" t="str">
        <f>IFERROR(VLOOKUP(CONCATENATE('Respuestas de formulario 1.1'!$B216,MID('Respuestas de formulario 1.1'!EF$1,2,1)),#REF!,12,0),"")</f>
        <v/>
      </c>
      <c r="EG216" s="45" t="str">
        <f>IFERROR(VLOOKUP(CONCATENATE('Respuestas de formulario 1.1'!$B216,MID('Respuestas de formulario 1.1'!EG$1,2,1)),#REF!,12,0),"")</f>
        <v/>
      </c>
      <c r="EH216" s="45" t="str">
        <f>IFERROR(VLOOKUP(CONCATENATE('Respuestas de formulario 1.1'!$B216,MID('Respuestas de formulario 1.1'!EH$1,2,1)),#REF!,12,0),"")</f>
        <v/>
      </c>
      <c r="EI216" s="45" t="str">
        <f>IFERROR(VLOOKUP(CONCATENATE('Respuestas de formulario 1.1'!$B216,MID('Respuestas de formulario 1.1'!EI$1,2,1)),#REF!,12,0),"")</f>
        <v/>
      </c>
      <c r="EJ216" s="45" t="str">
        <f t="array" ref="EJ216">IF(DO216="","", INDEX(#REF!,MATCH(CONCATENATE('Respuestas de formulario 1.1'!$B216,DO216),#REF!,0),MATCH('Respuestas de formulario 1.1'!EJ$1,#REF!,0)))</f>
        <v/>
      </c>
      <c r="EK216" s="56" t="str">
        <f t="array" ref="EK216">IF(DP216="","", INDEX(#REF!,MATCH(CONCATENATE('Respuestas de formulario 1.1'!$B216,DP216),#REF!,0),MATCH('Respuestas de formulario 1.1'!EK$1,#REF!,0)))</f>
        <v/>
      </c>
      <c r="EL216" s="56" t="str">
        <f t="array" ref="EL216">IF(DQ216="","", INDEX(#REF!,MATCH(CONCATENATE('Respuestas de formulario 1.1'!$B216,DQ216),#REF!,0),MATCH('Respuestas de formulario 1.1'!EL$1,#REF!,0)))</f>
        <v/>
      </c>
      <c r="EM216" s="56" t="str">
        <f t="array" ref="EM216">IF(DR216="","", INDEX(#REF!,MATCH(CONCATENATE('Respuestas de formulario 1.1'!$B216,DR216),#REF!,0),MATCH('Respuestas de formulario 1.1'!EM$1,#REF!,0)))</f>
        <v/>
      </c>
      <c r="EN216" s="56" t="str">
        <f t="array" ref="EN216">IF(DS216="","", INDEX(#REF!,MATCH(CONCATENATE('Respuestas de formulario 1.1'!$B216,DS216),#REF!,0),MATCH('Respuestas de formulario 1.1'!EN$1,#REF!,0)))</f>
        <v/>
      </c>
      <c r="EO216" s="56" t="str">
        <f t="array" ref="EO216">IF(DT216="","", INDEX(#REF!,MATCH(CONCATENATE('Respuestas de formulario 1.1'!$B216,DT216),#REF!,0),MATCH('Respuestas de formulario 1.1'!EO$1,#REF!,0)))</f>
        <v/>
      </c>
      <c r="EP216" s="45" t="str">
        <f t="array" ref="EP216">IF(DU216="","", INDEX(#REF!,MATCH(CONCATENATE('Respuestas de formulario 1.1'!$B216,DU216),#REF!,0),MATCH('Respuestas de formulario 1.1'!EP$1,#REF!,0)))</f>
        <v/>
      </c>
      <c r="EQ216" s="45" t="str">
        <f t="array" ref="EQ216">IF(DP216="","", INDEX(#REF!,MATCH(CONCATENATE('Respuestas de formulario 1.1'!$B216,DP216),#REF!,0),MATCH('Respuestas de formulario 1.1'!EQ$1,#REF!,0)))</f>
        <v/>
      </c>
      <c r="ER216" s="56" t="str">
        <f t="array" ref="ER216">IF(DQ216="","", INDEX(#REF!,MATCH(CONCATENATE('Respuestas de formulario 1.1'!$B216,DQ216),#REF!,0),MATCH('Respuestas de formulario 1.1'!ER$1,#REF!,0)))</f>
        <v/>
      </c>
      <c r="ES216" s="56" t="str">
        <f t="array" ref="ES216">IF(DR216="","", INDEX(#REF!,MATCH(CONCATENATE('Respuestas de formulario 1.1'!$B216,DR216),#REF!,0),MATCH('Respuestas de formulario 1.1'!ES$1,#REF!,0)))</f>
        <v/>
      </c>
      <c r="ET216" s="56" t="str">
        <f t="array" ref="ET216">IF(DS216="","", INDEX(#REF!,MATCH(CONCATENATE('Respuestas de formulario 1.1'!$B216,DS216),#REF!,0),MATCH('Respuestas de formulario 1.1'!ET$1,#REF!,0)))</f>
        <v/>
      </c>
      <c r="EU216" s="56" t="str">
        <f t="array" ref="EU216">IF(DT216="","", INDEX(#REF!,MATCH(CONCATENATE('Respuestas de formulario 1.1'!$B216,DT216),#REF!,0),MATCH('Respuestas de formulario 1.1'!EU$1,#REF!,0)))</f>
        <v/>
      </c>
      <c r="EV216" s="56" t="str">
        <f t="array" ref="EV216">IF(DU216="","", INDEX(#REF!,MATCH(CONCATENATE('Respuestas de formulario 1.1'!$B216,DU216),#REF!,0),MATCH('Respuestas de formulario 1.1'!EV$1,#REF!,0)))</f>
        <v/>
      </c>
      <c r="EW216" s="45" t="str">
        <f t="array" ref="EW216">IF(DV216="","", INDEX(#REF!,MATCH(CONCATENATE('Respuestas de formulario 1.1'!$B216,DV216),#REF!,0),MATCH('Respuestas de formulario 1.1'!EW$1,#REF!,0)))</f>
        <v/>
      </c>
      <c r="EX216" s="45" t="str">
        <f t="array" ref="EX216">IF($DQ216="","", INDEX(#REF!,MATCH(CONCATENATE('Respuestas de formulario 1.1'!$B216,$DQ216),#REF!,0),MATCH('Respuestas de formulario 1.1'!EX$1,#REF!,0)))</f>
        <v/>
      </c>
      <c r="EY216" s="56" t="str">
        <f t="array" ref="EY216">IF($DQ216="","", INDEX(#REF!,MATCH(CONCATENATE('Respuestas de formulario 1.1'!$B216,$DQ216),#REF!,0),MATCH('Respuestas de formulario 1.1'!EY$1,#REF!,0)))</f>
        <v/>
      </c>
      <c r="EZ216" s="56" t="str">
        <f t="array" ref="EZ216">IF($DQ216="","", INDEX(#REF!,MATCH(CONCATENATE('Respuestas de formulario 1.1'!$B216,$DQ216),#REF!,0),MATCH('Respuestas de formulario 1.1'!EZ$1,#REF!,0)))</f>
        <v/>
      </c>
      <c r="FA216" s="56" t="str">
        <f t="array" ref="FA216">IF($DQ216="","", INDEX(#REF!,MATCH(CONCATENATE('Respuestas de formulario 1.1'!$B216,$DQ216),#REF!,0),MATCH('Respuestas de formulario 1.1'!FA$1,#REF!,0)))</f>
        <v/>
      </c>
      <c r="FB216" s="56" t="str">
        <f t="array" ref="FB216">IF($DQ216="","", INDEX(#REF!,MATCH(CONCATENATE('Respuestas de formulario 1.1'!$B216,$DQ216),#REF!,0),MATCH('Respuestas de formulario 1.1'!FB$1,#REF!,0)))</f>
        <v/>
      </c>
      <c r="FC216" s="56" t="str">
        <f t="array" ref="FC216">IF($DQ216="","", INDEX(#REF!,MATCH(CONCATENATE('Respuestas de formulario 1.1'!$B216,$DQ216),#REF!,0),MATCH('Respuestas de formulario 1.1'!FC$1,#REF!,0)))</f>
        <v/>
      </c>
      <c r="FD216" s="45" t="str">
        <f t="array" ref="FD216">IF($DQ216="","", INDEX(#REF!,MATCH(CONCATENATE('Respuestas de formulario 1.1'!$B216,$DQ216),#REF!,0),MATCH('Respuestas de formulario 1.1'!FD$1,#REF!,0)))</f>
        <v/>
      </c>
      <c r="FE216" s="45" t="str">
        <f t="array" ref="FE216">IF($DR216="","", INDEX(#REF!,MATCH(CONCATENATE(#REF!,$DR216),#REF!,0),MATCH(#REF!,#REF!,0)))</f>
        <v/>
      </c>
      <c r="FF216" s="56" t="str">
        <f t="array" ref="FF216">IF($DR216="","", INDEX(#REF!,MATCH(CONCATENATE(#REF!,$DR216),#REF!,0),MATCH(#REF!,#REF!,0)))</f>
        <v/>
      </c>
      <c r="FG216" s="56" t="str">
        <f t="array" ref="FG216">IF($DR216="","", INDEX(#REF!,MATCH(CONCATENATE(#REF!,$DR216),#REF!,0),MATCH(#REF!,#REF!,0)))</f>
        <v/>
      </c>
      <c r="FH216" s="56" t="str">
        <f t="array" ref="FH216">IF($DR216="","", INDEX(#REF!,MATCH(CONCATENATE(#REF!,$DR216),#REF!,0),MATCH(#REF!,#REF!,0)))</f>
        <v/>
      </c>
      <c r="FI216" s="56" t="str">
        <f t="array" ref="FI216">IF($DR216="","", INDEX(#REF!,MATCH(CONCATENATE(#REF!,$DR216),#REF!,0),MATCH(#REF!,#REF!,0)))</f>
        <v/>
      </c>
      <c r="FJ216" s="56" t="str">
        <f t="array" ref="FJ216">IF($DR216="","", INDEX(#REF!,MATCH(CONCATENATE(#REF!,$DR216),#REF!,0),MATCH(#REF!,#REF!,0)))</f>
        <v/>
      </c>
      <c r="FK216" s="45" t="str">
        <f t="array" ref="FK216">IF($DR216="","", INDEX(#REF!,MATCH(CONCATENATE(#REF!,$DR216),#REF!,0),MATCH(#REF!,#REF!,0)))</f>
        <v/>
      </c>
      <c r="FL216" s="45" t="str">
        <f t="array" ref="FL216">IF($DT216="","", INDEX(#REF!,MATCH(CONCATENATE('Respuestas de formulario 1.1'!$B216,$DS216),#REF!,0),MATCH('Respuestas de formulario 1.1'!FL$1,#REF!,0)))</f>
        <v/>
      </c>
      <c r="FM216" s="56" t="str">
        <f t="array" ref="FM216">IF($DT216="","", INDEX(#REF!,MATCH(CONCATENATE('Respuestas de formulario 1.1'!$B216,$DS216),#REF!,0),MATCH('Respuestas de formulario 1.1'!FM$1,#REF!,0)))</f>
        <v/>
      </c>
      <c r="FN216" s="56" t="str">
        <f t="array" ref="FN216">IF($DT216="","", INDEX(#REF!,MATCH(CONCATENATE('Respuestas de formulario 1.1'!$B216,$DS216),#REF!,0),MATCH('Respuestas de formulario 1.1'!FN$1,#REF!,0)))</f>
        <v/>
      </c>
      <c r="FO216" s="56" t="str">
        <f t="array" ref="FO216">IF($DT216="","", INDEX(#REF!,MATCH(CONCATENATE('Respuestas de formulario 1.1'!$B216,$DS216),#REF!,0),MATCH('Respuestas de formulario 1.1'!FO$1,#REF!,0)))</f>
        <v/>
      </c>
      <c r="FP216" s="56" t="str">
        <f t="array" ref="FP216">IF($DT216="","", INDEX(#REF!,MATCH(CONCATENATE('Respuestas de formulario 1.1'!$B216,$DS216),#REF!,0),MATCH('Respuestas de formulario 1.1'!FP$1,#REF!,0)))</f>
        <v/>
      </c>
      <c r="FQ216" s="56" t="str">
        <f t="array" ref="FQ216">IF($DT216="","", INDEX(#REF!,MATCH(CONCATENATE('Respuestas de formulario 1.1'!$B216,$DS216),#REF!,0),MATCH('Respuestas de formulario 1.1'!FQ$1,#REF!,0)))</f>
        <v/>
      </c>
      <c r="FR216" s="45" t="str">
        <f t="array" ref="FR216">IF($DT216="","", INDEX(#REF!,MATCH(CONCATENATE('Respuestas de formulario 1.1'!$B216,$DS216),#REF!,0),MATCH('Respuestas de formulario 1.1'!FR$1,#REF!,0)))</f>
        <v/>
      </c>
      <c r="FS216" s="45" t="str">
        <f t="array" ref="FS216">IF($DU216="","", INDEX(#REF!,MATCH(CONCATENATE('Respuestas de formulario 1.1'!$B216,$DT216),#REF!,0),MATCH('Respuestas de formulario 1.1'!FS$1,#REF!,0)))</f>
        <v/>
      </c>
      <c r="FT216" s="56" t="str">
        <f t="array" ref="FT216">IF($DU216="","", INDEX(#REF!,MATCH(CONCATENATE('Respuestas de formulario 1.1'!$B216,$DT216),#REF!,0),MATCH('Respuestas de formulario 1.1'!FT$1,#REF!,0)))</f>
        <v/>
      </c>
      <c r="FU216" s="56" t="str">
        <f t="array" ref="FU216">IF($DU216="","", INDEX(#REF!,MATCH(CONCATENATE('Respuestas de formulario 1.1'!$B216,$DT216),#REF!,0),MATCH('Respuestas de formulario 1.1'!FU$1,#REF!,0)))</f>
        <v/>
      </c>
      <c r="FV216" s="56" t="str">
        <f t="array" ref="FV216">IF($DU216="","", INDEX(#REF!,MATCH(CONCATENATE('Respuestas de formulario 1.1'!$B216,$DT216),#REF!,0),MATCH('Respuestas de formulario 1.1'!FV$1,#REF!,0)))</f>
        <v/>
      </c>
      <c r="FW216" s="56" t="str">
        <f t="array" ref="FW216">IF($DU216="","", INDEX(#REF!,MATCH(CONCATENATE('Respuestas de formulario 1.1'!$B216,$DT216),#REF!,0),MATCH('Respuestas de formulario 1.1'!FW$1,#REF!,0)))</f>
        <v/>
      </c>
      <c r="FX216" s="56" t="str">
        <f t="array" ref="FX216">IF($DU216="","", INDEX(#REF!,MATCH(CONCATENATE('Respuestas de formulario 1.1'!$B216,$DT216),#REF!,0),MATCH('Respuestas de formulario 1.1'!FX$1,#REF!,0)))</f>
        <v/>
      </c>
      <c r="FY216" s="45" t="str">
        <f t="array" ref="FY216">IF($DU216="","", INDEX(#REF!,MATCH(CONCATENATE('Respuestas de formulario 1.1'!$B216,$DT216),#REF!,0),MATCH('Respuestas de formulario 1.1'!FY$1,#REF!,0)))</f>
        <v/>
      </c>
      <c r="FZ216" s="3" t="s">
        <v>2860</v>
      </c>
      <c r="GA216" s="1" t="s">
        <v>6547</v>
      </c>
      <c r="GB216" s="5" t="s">
        <v>6548</v>
      </c>
      <c r="GC216" s="4" t="str">
        <f>HYPERLINK("https://drive.google.com/file/d/1faXb_vNOPlD5yL4Mtfbns7pVgjfN0f6F/view?usp=drivesdk","ESTRADA  GARCIA JOSE ENRIQUE  Formato de reinscripción y pago 2022-2")</f>
        <v>ESTRADA  GARCIA JOSE ENRIQUE  Formato de reinscripción y pago 2022-2</v>
      </c>
      <c r="GD216" s="1" t="s">
        <v>6549</v>
      </c>
      <c r="GE216" s="1"/>
      <c r="GF216" s="1"/>
      <c r="GG216" s="1"/>
      <c r="GH216" s="1"/>
      <c r="GI216" s="1" t="s">
        <v>6550</v>
      </c>
      <c r="GJ216" s="5" t="s">
        <v>6551</v>
      </c>
      <c r="GK216" s="5" t="str">
        <f>HYPERLINK("https://drive.google.com/file/d/1lMEFGe3m-QSyv2rRM50GRuAu9CrD-uUJ/view?usp=drivesdk","ESTRADA  GARCIA JOSE ENRIQUE  Formato de reinscripción y pago 2022-2")</f>
        <v>ESTRADA  GARCIA JOSE ENRIQUE  Formato de reinscripción y pago 2022-2</v>
      </c>
      <c r="GL216" s="1" t="s">
        <v>6552</v>
      </c>
    </row>
    <row r="217" spans="1:194" ht="38.25" x14ac:dyDescent="0.2">
      <c r="A217" s="2">
        <v>45139.524104479162</v>
      </c>
      <c r="B217" s="1" t="s">
        <v>65</v>
      </c>
      <c r="C217" s="1" t="s">
        <v>474</v>
      </c>
      <c r="D217" s="1" t="s">
        <v>543</v>
      </c>
      <c r="E217" s="1" t="s">
        <v>1456</v>
      </c>
      <c r="F217" s="1" t="s">
        <v>223</v>
      </c>
      <c r="G217" s="5" t="s">
        <v>6553</v>
      </c>
      <c r="H217" s="41">
        <v>39001</v>
      </c>
      <c r="I217" s="1">
        <v>16</v>
      </c>
      <c r="J217" s="1">
        <v>5539235041</v>
      </c>
      <c r="K217" s="1">
        <v>5554290048</v>
      </c>
      <c r="L217" s="1" t="s">
        <v>1457</v>
      </c>
      <c r="M217" s="1">
        <v>21309060570249</v>
      </c>
      <c r="N217" s="1" t="s">
        <v>1108</v>
      </c>
      <c r="O217" s="1" t="s">
        <v>247</v>
      </c>
      <c r="P217" s="1" t="s">
        <v>278</v>
      </c>
      <c r="Q217" s="1" t="s">
        <v>263</v>
      </c>
      <c r="R217" s="1" t="s">
        <v>236</v>
      </c>
      <c r="S217" s="1" t="s">
        <v>228</v>
      </c>
      <c r="T217" s="1" t="s">
        <v>229</v>
      </c>
      <c r="U217" s="1" t="s">
        <v>249</v>
      </c>
      <c r="V217" s="1" t="s">
        <v>228</v>
      </c>
      <c r="W217" s="1" t="s">
        <v>6554</v>
      </c>
      <c r="X217" s="1" t="s">
        <v>249</v>
      </c>
      <c r="Y217" s="1" t="s">
        <v>1918</v>
      </c>
      <c r="Z217" s="1" t="s">
        <v>240</v>
      </c>
      <c r="AA217" s="44" t="s">
        <v>1328</v>
      </c>
      <c r="AB217" s="1" t="s">
        <v>1458</v>
      </c>
      <c r="AC217" s="1" t="s">
        <v>1459</v>
      </c>
      <c r="AD217" s="1" t="s">
        <v>6555</v>
      </c>
      <c r="AE217" s="1" t="s">
        <v>1460</v>
      </c>
      <c r="AF217" s="1" t="s">
        <v>968</v>
      </c>
      <c r="AG217" s="1">
        <v>61</v>
      </c>
      <c r="AH217" s="5" t="s">
        <v>6556</v>
      </c>
      <c r="AI217" s="1">
        <v>5521720258</v>
      </c>
      <c r="AJ217" s="1">
        <v>5554290048</v>
      </c>
      <c r="AK217" s="1" t="s">
        <v>6557</v>
      </c>
      <c r="AL217" s="1" t="s">
        <v>543</v>
      </c>
      <c r="AM217" s="1" t="s">
        <v>6558</v>
      </c>
      <c r="AN217" s="1" t="s">
        <v>1461</v>
      </c>
      <c r="AO217" s="1" t="s">
        <v>580</v>
      </c>
      <c r="AP217" s="1">
        <v>38</v>
      </c>
      <c r="AQ217" s="1" t="s">
        <v>6559</v>
      </c>
      <c r="AR217" s="42">
        <v>0.33333333333575865</v>
      </c>
      <c r="AS217" s="42">
        <v>0.16666666666424135</v>
      </c>
      <c r="AT217" s="1">
        <v>5519147672</v>
      </c>
      <c r="AU217" s="1">
        <v>5554290048</v>
      </c>
      <c r="AV217" s="1" t="s">
        <v>1462</v>
      </c>
      <c r="AW217" s="5" t="s">
        <v>6560</v>
      </c>
      <c r="AX217" s="1" t="s">
        <v>474</v>
      </c>
      <c r="AY217" s="1" t="s">
        <v>329</v>
      </c>
      <c r="AZ217" s="1" t="s">
        <v>1463</v>
      </c>
      <c r="BA217" s="1" t="s">
        <v>420</v>
      </c>
      <c r="BB217" s="1">
        <v>37</v>
      </c>
      <c r="BC217" s="1" t="s">
        <v>546</v>
      </c>
      <c r="BD217" s="43">
        <v>0.33333333333575865</v>
      </c>
      <c r="BE217" s="43">
        <v>0.33333333333575865</v>
      </c>
      <c r="BF217" s="1">
        <v>5543635710</v>
      </c>
      <c r="BG217" s="1">
        <v>5543635710</v>
      </c>
      <c r="BH217" s="1" t="s">
        <v>6561</v>
      </c>
      <c r="BI217" s="5" t="s">
        <v>6562</v>
      </c>
      <c r="BJ217" s="1" t="s">
        <v>236</v>
      </c>
      <c r="BL217" s="1">
        <v>1.5</v>
      </c>
      <c r="BM217" s="1">
        <v>55</v>
      </c>
      <c r="BN217" s="1" t="s">
        <v>236</v>
      </c>
      <c r="BO217" s="1" t="s">
        <v>228</v>
      </c>
      <c r="BQ217" s="1" t="s">
        <v>228</v>
      </c>
      <c r="BR217" s="1" t="s">
        <v>237</v>
      </c>
      <c r="BS217" s="1" t="s">
        <v>228</v>
      </c>
      <c r="BT217" s="1" t="s">
        <v>237</v>
      </c>
      <c r="BU217" s="1" t="s">
        <v>228</v>
      </c>
      <c r="BW217" s="1" t="s">
        <v>272</v>
      </c>
      <c r="BX217" s="1">
        <v>40</v>
      </c>
      <c r="BY217" s="1">
        <v>20</v>
      </c>
      <c r="BZ217" s="1" t="s">
        <v>253</v>
      </c>
      <c r="CA217" s="1" t="s">
        <v>1464</v>
      </c>
      <c r="CB217" s="1" t="s">
        <v>240</v>
      </c>
      <c r="CC217" s="1" t="s">
        <v>255</v>
      </c>
      <c r="CD217" s="1">
        <v>2000</v>
      </c>
      <c r="CE217" s="1">
        <v>1000</v>
      </c>
      <c r="CF217" s="1" t="s">
        <v>236</v>
      </c>
      <c r="CG217" s="1" t="s">
        <v>242</v>
      </c>
      <c r="CH217" s="1" t="s">
        <v>243</v>
      </c>
      <c r="CI217" s="1" t="s">
        <v>243</v>
      </c>
      <c r="CJ217" s="1" t="s">
        <v>2848</v>
      </c>
      <c r="CL217" s="5" t="s">
        <v>6563</v>
      </c>
      <c r="CM217" s="44" t="s">
        <v>6564</v>
      </c>
      <c r="CN217" s="1" t="s">
        <v>228</v>
      </c>
      <c r="CQ217" s="42">
        <v>0</v>
      </c>
      <c r="CR217" s="42">
        <v>0</v>
      </c>
      <c r="CT217" s="45" t="str">
        <f t="array" ref="CT217">IFERROR(INDEX(#REF!,MATCH('Respuestas de formulario 1.1'!$B217,#REF!,0),MATCH('Respuestas de formulario 1.1'!CT$1,#REF!,0)),"")</f>
        <v/>
      </c>
      <c r="CU217" s="56" t="str">
        <f t="array" ref="CU217">IFERROR(INDEX(#REF!,MATCH('Respuestas de formulario 1.1'!$B217,#REF!,0),MATCH('Respuestas de formulario 1.1'!CU$1,#REF!,0)),"")</f>
        <v/>
      </c>
      <c r="CV217" s="56" t="str">
        <f t="array" ref="CV217">IFERROR(INDEX(#REF!,MATCH('Respuestas de formulario 1.1'!$B217,#REF!,0),MATCH('Respuestas de formulario 1.1'!CV$1,#REF!,0)),"")</f>
        <v/>
      </c>
      <c r="CW217" s="56" t="str">
        <f t="array" ref="CW217">IFERROR(INDEX(#REF!,MATCH('Respuestas de formulario 1.1'!$B217,#REF!,0),MATCH('Respuestas de formulario 1.1'!CW$1,#REF!,0)),"")</f>
        <v/>
      </c>
      <c r="CX217" s="56" t="str">
        <f t="array" ref="CX217">IFERROR(INDEX(#REF!,MATCH('Respuestas de formulario 1.1'!$B217,#REF!,0),MATCH('Respuestas de formulario 1.1'!CX$1,#REF!,0)),"")</f>
        <v/>
      </c>
      <c r="CY217" s="56" t="str">
        <f t="array" ref="CY217">IFERROR(INDEX(#REF!,MATCH('Respuestas de formulario 1.1'!$B217,#REF!,0),MATCH('Respuestas de formulario 1.1'!CY$1,#REF!,0)),"")</f>
        <v/>
      </c>
      <c r="CZ217" s="57" t="str">
        <f t="array" ref="CZ217">IFERROR(INDEX(#REF!,MATCH('Respuestas de formulario 1.1'!$B217,#REF!,0),MATCH('Respuestas de formulario 1.1'!CZ$1,#REF!,0)),"")</f>
        <v/>
      </c>
      <c r="DA217" s="45" t="e">
        <f t="array" ref="DA217">INDEX(#REF!,MATCH('Respuestas de formulario 1.1'!$B217,#REF!,0),MATCH('Respuestas de formulario 1.1'!DA$1,#REF!,0))</f>
        <v>#REF!</v>
      </c>
      <c r="DB217" s="45" t="e">
        <f t="array" ref="DB217">INDEX(#REF!,MATCH('Respuestas de formulario 1.1'!$B217,#REF!,0),MATCH('Respuestas de formulario 1.1'!DB$1,#REF!,0))</f>
        <v>#REF!</v>
      </c>
      <c r="DC217" s="45" t="e">
        <f t="array" ref="DC217">INDEX(#REF!,MATCH('Respuestas de formulario 1.1'!$B217,#REF!,0),MATCH('Respuestas de formulario 1.1'!DC$1,#REF!,0))</f>
        <v>#REF!</v>
      </c>
      <c r="DD217" s="45" t="e">
        <f t="array" ref="DD217">INDEX(#REF!,MATCH('Respuestas de formulario 1.1'!$B217,#REF!,0),MATCH('Respuestas de formulario 1.1'!DD$1,#REF!,0))</f>
        <v>#REF!</v>
      </c>
      <c r="DE217" s="45" t="e">
        <f t="array" ref="DE217">INDEX(#REF!,MATCH('Respuestas de formulario 1.1'!$B217,#REF!,0),MATCH('Respuestas de formulario 1.1'!DE$1,#REF!,0))</f>
        <v>#REF!</v>
      </c>
      <c r="DF217" s="45" t="e">
        <f t="array" ref="DF217">INDEX(#REF!,MATCH('Respuestas de formulario 1.1'!$B217,#REF!,0),MATCH('Respuestas de formulario 1.1'!DF$1,#REF!,0))</f>
        <v>#REF!</v>
      </c>
      <c r="DG217" s="45" t="e">
        <f t="array" ref="DG217">INDEX(#REF!,MATCH('Respuestas de formulario 1.1'!$B217,#REF!,0),MATCH('Respuestas de formulario 1.1'!DG$1,#REF!,0))</f>
        <v>#REF!</v>
      </c>
      <c r="DH217" s="45" t="e">
        <f t="array" ref="DH217">INDEX(#REF!,MATCH('Respuestas de formulario 1.1'!$B217,#REF!,0),MATCH('Respuestas de formulario 1.1'!DH$1,#REF!,0))</f>
        <v>#REF!</v>
      </c>
      <c r="DI217" s="48" t="e">
        <f>VLOOKUP(CONCATENATE($DF217," TUTO ",$DC217),#REF!,3,0)</f>
        <v>#REF!</v>
      </c>
      <c r="DJ217" s="48" t="e">
        <f t="array" ref="DJ217">IF('Respuestas de formulario 1.1'!A217="","",INDEX(#REF!,MATCH('Respuestas de formulario 1.1'!B217,#REF!,0),MATCH('Respuestas de formulario 1.1'!$DH$1,#REF!,0)))</f>
        <v>#REF!</v>
      </c>
      <c r="DK217" s="52" t="str">
        <f>CONCATENATE("http://doc.google.com/uc?id=",MID('Respuestas de formulario 1.1'!G217,34,33))</f>
        <v>http://doc.google.com/uc?id=1_gOtsRkNZGU04CWIEklkwT2kpRbe7c6c</v>
      </c>
      <c r="DL217" s="49" t="str">
        <f>CONCATENATE("http://doc.google.com/uc?id=",MID('Respuestas de formulario 1.1'!AH217,34,33))</f>
        <v>http://doc.google.com/uc?id=19QNdev3uvcPdMZQQguQbLnTS4ZcICPIi</v>
      </c>
      <c r="DM217" s="50" t="str">
        <f>CONCATENATE("http://doc.google.com/uc?id=",MID('Respuestas de formulario 1.1'!AW217,34,33))</f>
        <v>http://doc.google.com/uc?id=1mw3WsKG-UpBcbvW1csOHom0Va49slvkZ</v>
      </c>
      <c r="DN217" s="53" t="str">
        <f>CONCATENATE("http://doc.google.com/uc?id=",MID('Respuestas de formulario 1.1'!$BI217,34,33))</f>
        <v>http://doc.google.com/uc?id=15pyhotYcWVAOWg6AbOjItxQ6B-z_599Q</v>
      </c>
      <c r="DO217" s="45" t="str">
        <f>IFERROR(VLOOKUP(CONCATENATE('Respuestas de formulario 1.1'!$B217,MID('Respuestas de formulario 1.1'!DO$1,2,1)),#REF!,12,0),"")</f>
        <v/>
      </c>
      <c r="DP217" s="45" t="str">
        <f>IFERROR(VLOOKUP(CONCATENATE('Respuestas de formulario 1.1'!$B217,MID('Respuestas de formulario 1.1'!DP$1,2,1)),#REF!,12,0),"")</f>
        <v/>
      </c>
      <c r="DQ217" s="45" t="str">
        <f>IFERROR(VLOOKUP(CONCATENATE('Respuestas de formulario 1.1'!$B217,MID('Respuestas de formulario 1.1'!DQ$1,2,1)),#REF!,12,0),"")</f>
        <v/>
      </c>
      <c r="DR217" s="45" t="str">
        <f>IFERROR(VLOOKUP(CONCATENATE('Respuestas de formulario 1.1'!$B217,MID('Respuestas de formulario 1.1'!DR$1,2,1)),#REF!,12,0),"")</f>
        <v/>
      </c>
      <c r="DS217" s="45" t="str">
        <f>IFERROR(VLOOKUP(CONCATENATE('Respuestas de formulario 1.1'!$B217,MID('Respuestas de formulario 1.1'!DS$1,2,1)),#REF!,12,0),"")</f>
        <v/>
      </c>
      <c r="DT217" s="45" t="str">
        <f>IFERROR(VLOOKUP(CONCATENATE('Respuestas de formulario 1.1'!$B217,MID('Respuestas de formulario 1.1'!DT$1,2,1)),#REF!,12,0),"")</f>
        <v/>
      </c>
      <c r="DU217" s="45" t="str">
        <f>IFERROR(VLOOKUP(CONCATENATE('Respuestas de formulario 1.1'!$B217,MID('Respuestas de formulario 1.1'!DU$1,2,1)),#REF!,12,0),"")</f>
        <v/>
      </c>
      <c r="DV217" s="45" t="str">
        <f>IFERROR(VLOOKUP(CONCATENATE('Respuestas de formulario 1.1'!$B217,MID('Respuestas de formulario 1.1'!DV$1,2,1)),#REF!,12,0),"")</f>
        <v/>
      </c>
      <c r="DW217" s="45" t="str">
        <f>IFERROR(VLOOKUP(CONCATENATE('Respuestas de formulario 1.1'!$B217,MID('Respuestas de formulario 1.1'!DW$1,2,1)),#REF!,12,0),"")</f>
        <v/>
      </c>
      <c r="DX217" s="45" t="str">
        <f>IFERROR(VLOOKUP(CONCATENATE('Respuestas de formulario 1.1'!$B217,MID('Respuestas de formulario 1.1'!DX$1,2,1)),#REF!,12,0),"")</f>
        <v/>
      </c>
      <c r="DY217" s="45" t="str">
        <f>IFERROR(VLOOKUP(CONCATENATE('Respuestas de formulario 1.1'!$B217,MID('Respuestas de formulario 1.1'!DY$1,2,1)),#REF!,12,0),"")</f>
        <v/>
      </c>
      <c r="DZ217" s="45" t="str">
        <f>IFERROR(VLOOKUP(CONCATENATE('Respuestas de formulario 1.1'!$B217,MID('Respuestas de formulario 1.1'!DZ$1,2,1)),#REF!,12,0),"")</f>
        <v/>
      </c>
      <c r="EA217" s="45" t="str">
        <f>IFERROR(VLOOKUP(CONCATENATE('Respuestas de formulario 1.1'!$B217,MID('Respuestas de formulario 1.1'!EA$1,2,1)),#REF!,12,0),"")</f>
        <v/>
      </c>
      <c r="EB217" s="45" t="str">
        <f>IFERROR(VLOOKUP(CONCATENATE('Respuestas de formulario 1.1'!$B217,MID('Respuestas de formulario 1.1'!EB$1,2,1)),#REF!,12,0),"")</f>
        <v/>
      </c>
      <c r="EC217" s="45" t="str">
        <f>IFERROR(VLOOKUP(CONCATENATE('Respuestas de formulario 1.1'!$B217,MID('Respuestas de formulario 1.1'!EC$1,2,1)),#REF!,12,0),"")</f>
        <v/>
      </c>
      <c r="ED217" s="45" t="str">
        <f>IFERROR(VLOOKUP(CONCATENATE('Respuestas de formulario 1.1'!$B217,MID('Respuestas de formulario 1.1'!ED$1,2,1)),#REF!,12,0),"")</f>
        <v/>
      </c>
      <c r="EE217" s="45" t="str">
        <f>IFERROR(VLOOKUP(CONCATENATE('Respuestas de formulario 1.1'!$B217,MID('Respuestas de formulario 1.1'!EE$1,2,1)),#REF!,12,0),"")</f>
        <v/>
      </c>
      <c r="EF217" s="45" t="str">
        <f>IFERROR(VLOOKUP(CONCATENATE('Respuestas de formulario 1.1'!$B217,MID('Respuestas de formulario 1.1'!EF$1,2,1)),#REF!,12,0),"")</f>
        <v/>
      </c>
      <c r="EG217" s="45" t="str">
        <f>IFERROR(VLOOKUP(CONCATENATE('Respuestas de formulario 1.1'!$B217,MID('Respuestas de formulario 1.1'!EG$1,2,1)),#REF!,12,0),"")</f>
        <v/>
      </c>
      <c r="EH217" s="45" t="str">
        <f>IFERROR(VLOOKUP(CONCATENATE('Respuestas de formulario 1.1'!$B217,MID('Respuestas de formulario 1.1'!EH$1,2,1)),#REF!,12,0),"")</f>
        <v/>
      </c>
      <c r="EI217" s="45" t="str">
        <f>IFERROR(VLOOKUP(CONCATENATE('Respuestas de formulario 1.1'!$B217,MID('Respuestas de formulario 1.1'!EI$1,2,1)),#REF!,12,0),"")</f>
        <v/>
      </c>
      <c r="EJ217" s="45" t="str">
        <f t="array" ref="EJ217">IF(DO217="","", INDEX(#REF!,MATCH(CONCATENATE('Respuestas de formulario 1.1'!$B217,DO217),#REF!,0),MATCH('Respuestas de formulario 1.1'!EJ$1,#REF!,0)))</f>
        <v/>
      </c>
      <c r="EK217" s="56" t="str">
        <f t="array" ref="EK217">IF(DP217="","", INDEX(#REF!,MATCH(CONCATENATE('Respuestas de formulario 1.1'!$B217,DP217),#REF!,0),MATCH('Respuestas de formulario 1.1'!EK$1,#REF!,0)))</f>
        <v/>
      </c>
      <c r="EL217" s="56" t="str">
        <f t="array" ref="EL217">IF(DQ217="","", INDEX(#REF!,MATCH(CONCATENATE('Respuestas de formulario 1.1'!$B217,DQ217),#REF!,0),MATCH('Respuestas de formulario 1.1'!EL$1,#REF!,0)))</f>
        <v/>
      </c>
      <c r="EM217" s="56" t="str">
        <f t="array" ref="EM217">IF(DR217="","", INDEX(#REF!,MATCH(CONCATENATE('Respuestas de formulario 1.1'!$B217,DR217),#REF!,0),MATCH('Respuestas de formulario 1.1'!EM$1,#REF!,0)))</f>
        <v/>
      </c>
      <c r="EN217" s="56" t="str">
        <f t="array" ref="EN217">IF(DS217="","", INDEX(#REF!,MATCH(CONCATENATE('Respuestas de formulario 1.1'!$B217,DS217),#REF!,0),MATCH('Respuestas de formulario 1.1'!EN$1,#REF!,0)))</f>
        <v/>
      </c>
      <c r="EO217" s="56" t="str">
        <f t="array" ref="EO217">IF(DT217="","", INDEX(#REF!,MATCH(CONCATENATE('Respuestas de formulario 1.1'!$B217,DT217),#REF!,0),MATCH('Respuestas de formulario 1.1'!EO$1,#REF!,0)))</f>
        <v/>
      </c>
      <c r="EP217" s="45" t="str">
        <f t="array" ref="EP217">IF(DU217="","", INDEX(#REF!,MATCH(CONCATENATE('Respuestas de formulario 1.1'!$B217,DU217),#REF!,0),MATCH('Respuestas de formulario 1.1'!EP$1,#REF!,0)))</f>
        <v/>
      </c>
      <c r="EQ217" s="45" t="str">
        <f t="array" ref="EQ217">IF(DP217="","", INDEX(#REF!,MATCH(CONCATENATE('Respuestas de formulario 1.1'!$B217,DP217),#REF!,0),MATCH('Respuestas de formulario 1.1'!EQ$1,#REF!,0)))</f>
        <v/>
      </c>
      <c r="ER217" s="56" t="str">
        <f t="array" ref="ER217">IF(DQ217="","", INDEX(#REF!,MATCH(CONCATENATE('Respuestas de formulario 1.1'!$B217,DQ217),#REF!,0),MATCH('Respuestas de formulario 1.1'!ER$1,#REF!,0)))</f>
        <v/>
      </c>
      <c r="ES217" s="56" t="str">
        <f t="array" ref="ES217">IF(DR217="","", INDEX(#REF!,MATCH(CONCATENATE('Respuestas de formulario 1.1'!$B217,DR217),#REF!,0),MATCH('Respuestas de formulario 1.1'!ES$1,#REF!,0)))</f>
        <v/>
      </c>
      <c r="ET217" s="56" t="str">
        <f t="array" ref="ET217">IF(DS217="","", INDEX(#REF!,MATCH(CONCATENATE('Respuestas de formulario 1.1'!$B217,DS217),#REF!,0),MATCH('Respuestas de formulario 1.1'!ET$1,#REF!,0)))</f>
        <v/>
      </c>
      <c r="EU217" s="56" t="str">
        <f t="array" ref="EU217">IF(DT217="","", INDEX(#REF!,MATCH(CONCATENATE('Respuestas de formulario 1.1'!$B217,DT217),#REF!,0),MATCH('Respuestas de formulario 1.1'!EU$1,#REF!,0)))</f>
        <v/>
      </c>
      <c r="EV217" s="56" t="str">
        <f t="array" ref="EV217">IF(DU217="","", INDEX(#REF!,MATCH(CONCATENATE('Respuestas de formulario 1.1'!$B217,DU217),#REF!,0),MATCH('Respuestas de formulario 1.1'!EV$1,#REF!,0)))</f>
        <v/>
      </c>
      <c r="EW217" s="45" t="str">
        <f t="array" ref="EW217">IF(DV217="","", INDEX(#REF!,MATCH(CONCATENATE('Respuestas de formulario 1.1'!$B217,DV217),#REF!,0),MATCH('Respuestas de formulario 1.1'!EW$1,#REF!,0)))</f>
        <v/>
      </c>
      <c r="EX217" s="45" t="str">
        <f t="array" ref="EX217">IF($DQ217="","", INDEX(#REF!,MATCH(CONCATENATE('Respuestas de formulario 1.1'!$B217,$DQ217),#REF!,0),MATCH('Respuestas de formulario 1.1'!EX$1,#REF!,0)))</f>
        <v/>
      </c>
      <c r="EY217" s="56" t="str">
        <f t="array" ref="EY217">IF($DQ217="","", INDEX(#REF!,MATCH(CONCATENATE('Respuestas de formulario 1.1'!$B217,$DQ217),#REF!,0),MATCH('Respuestas de formulario 1.1'!EY$1,#REF!,0)))</f>
        <v/>
      </c>
      <c r="EZ217" s="56" t="str">
        <f t="array" ref="EZ217">IF($DQ217="","", INDEX(#REF!,MATCH(CONCATENATE('Respuestas de formulario 1.1'!$B217,$DQ217),#REF!,0),MATCH('Respuestas de formulario 1.1'!EZ$1,#REF!,0)))</f>
        <v/>
      </c>
      <c r="FA217" s="56" t="str">
        <f t="array" ref="FA217">IF($DQ217="","", INDEX(#REF!,MATCH(CONCATENATE('Respuestas de formulario 1.1'!$B217,$DQ217),#REF!,0),MATCH('Respuestas de formulario 1.1'!FA$1,#REF!,0)))</f>
        <v/>
      </c>
      <c r="FB217" s="56" t="str">
        <f t="array" ref="FB217">IF($DQ217="","", INDEX(#REF!,MATCH(CONCATENATE('Respuestas de formulario 1.1'!$B217,$DQ217),#REF!,0),MATCH('Respuestas de formulario 1.1'!FB$1,#REF!,0)))</f>
        <v/>
      </c>
      <c r="FC217" s="56" t="str">
        <f t="array" ref="FC217">IF($DQ217="","", INDEX(#REF!,MATCH(CONCATENATE('Respuestas de formulario 1.1'!$B217,$DQ217),#REF!,0),MATCH('Respuestas de formulario 1.1'!FC$1,#REF!,0)))</f>
        <v/>
      </c>
      <c r="FD217" s="45" t="str">
        <f t="array" ref="FD217">IF($DQ217="","", INDEX(#REF!,MATCH(CONCATENATE('Respuestas de formulario 1.1'!$B217,$DQ217),#REF!,0),MATCH('Respuestas de formulario 1.1'!FD$1,#REF!,0)))</f>
        <v/>
      </c>
      <c r="FE217" s="45" t="str">
        <f t="array" ref="FE217">IF($DR217="","", INDEX(#REF!,MATCH(CONCATENATE(#REF!,$DR217),#REF!,0),MATCH(#REF!,#REF!,0)))</f>
        <v/>
      </c>
      <c r="FF217" s="56" t="str">
        <f t="array" ref="FF217">IF($DR217="","", INDEX(#REF!,MATCH(CONCATENATE(#REF!,$DR217),#REF!,0),MATCH(#REF!,#REF!,0)))</f>
        <v/>
      </c>
      <c r="FG217" s="56" t="str">
        <f t="array" ref="FG217">IF($DR217="","", INDEX(#REF!,MATCH(CONCATENATE(#REF!,$DR217),#REF!,0),MATCH(#REF!,#REF!,0)))</f>
        <v/>
      </c>
      <c r="FH217" s="56" t="str">
        <f t="array" ref="FH217">IF($DR217="","", INDEX(#REF!,MATCH(CONCATENATE(#REF!,$DR217),#REF!,0),MATCH(#REF!,#REF!,0)))</f>
        <v/>
      </c>
      <c r="FI217" s="56" t="str">
        <f t="array" ref="FI217">IF($DR217="","", INDEX(#REF!,MATCH(CONCATENATE(#REF!,$DR217),#REF!,0),MATCH(#REF!,#REF!,0)))</f>
        <v/>
      </c>
      <c r="FJ217" s="56" t="str">
        <f t="array" ref="FJ217">IF($DR217="","", INDEX(#REF!,MATCH(CONCATENATE(#REF!,$DR217),#REF!,0),MATCH(#REF!,#REF!,0)))</f>
        <v/>
      </c>
      <c r="FK217" s="45" t="str">
        <f t="array" ref="FK217">IF($DR217="","", INDEX(#REF!,MATCH(CONCATENATE(#REF!,$DR217),#REF!,0),MATCH(#REF!,#REF!,0)))</f>
        <v/>
      </c>
      <c r="FL217" s="45" t="str">
        <f t="array" ref="FL217">IF($DT217="","", INDEX(#REF!,MATCH(CONCATENATE('Respuestas de formulario 1.1'!$B217,$DS217),#REF!,0),MATCH('Respuestas de formulario 1.1'!FL$1,#REF!,0)))</f>
        <v/>
      </c>
      <c r="FM217" s="56" t="str">
        <f t="array" ref="FM217">IF($DT217="","", INDEX(#REF!,MATCH(CONCATENATE('Respuestas de formulario 1.1'!$B217,$DS217),#REF!,0),MATCH('Respuestas de formulario 1.1'!FM$1,#REF!,0)))</f>
        <v/>
      </c>
      <c r="FN217" s="56" t="str">
        <f t="array" ref="FN217">IF($DT217="","", INDEX(#REF!,MATCH(CONCATENATE('Respuestas de formulario 1.1'!$B217,$DS217),#REF!,0),MATCH('Respuestas de formulario 1.1'!FN$1,#REF!,0)))</f>
        <v/>
      </c>
      <c r="FO217" s="56" t="str">
        <f t="array" ref="FO217">IF($DT217="","", INDEX(#REF!,MATCH(CONCATENATE('Respuestas de formulario 1.1'!$B217,$DS217),#REF!,0),MATCH('Respuestas de formulario 1.1'!FO$1,#REF!,0)))</f>
        <v/>
      </c>
      <c r="FP217" s="56" t="str">
        <f t="array" ref="FP217">IF($DT217="","", INDEX(#REF!,MATCH(CONCATENATE('Respuestas de formulario 1.1'!$B217,$DS217),#REF!,0),MATCH('Respuestas de formulario 1.1'!FP$1,#REF!,0)))</f>
        <v/>
      </c>
      <c r="FQ217" s="56" t="str">
        <f t="array" ref="FQ217">IF($DT217="","", INDEX(#REF!,MATCH(CONCATENATE('Respuestas de formulario 1.1'!$B217,$DS217),#REF!,0),MATCH('Respuestas de formulario 1.1'!FQ$1,#REF!,0)))</f>
        <v/>
      </c>
      <c r="FR217" s="45" t="str">
        <f t="array" ref="FR217">IF($DT217="","", INDEX(#REF!,MATCH(CONCATENATE('Respuestas de formulario 1.1'!$B217,$DS217),#REF!,0),MATCH('Respuestas de formulario 1.1'!FR$1,#REF!,0)))</f>
        <v/>
      </c>
      <c r="FS217" s="45" t="str">
        <f t="array" ref="FS217">IF($DU217="","", INDEX(#REF!,MATCH(CONCATENATE('Respuestas de formulario 1.1'!$B217,$DT217),#REF!,0),MATCH('Respuestas de formulario 1.1'!FS$1,#REF!,0)))</f>
        <v/>
      </c>
      <c r="FT217" s="56" t="str">
        <f t="array" ref="FT217">IF($DU217="","", INDEX(#REF!,MATCH(CONCATENATE('Respuestas de formulario 1.1'!$B217,$DT217),#REF!,0),MATCH('Respuestas de formulario 1.1'!FT$1,#REF!,0)))</f>
        <v/>
      </c>
      <c r="FU217" s="56" t="str">
        <f t="array" ref="FU217">IF($DU217="","", INDEX(#REF!,MATCH(CONCATENATE('Respuestas de formulario 1.1'!$B217,$DT217),#REF!,0),MATCH('Respuestas de formulario 1.1'!FU$1,#REF!,0)))</f>
        <v/>
      </c>
      <c r="FV217" s="56" t="str">
        <f t="array" ref="FV217">IF($DU217="","", INDEX(#REF!,MATCH(CONCATENATE('Respuestas de formulario 1.1'!$B217,$DT217),#REF!,0),MATCH('Respuestas de formulario 1.1'!FV$1,#REF!,0)))</f>
        <v/>
      </c>
      <c r="FW217" s="56" t="str">
        <f t="array" ref="FW217">IF($DU217="","", INDEX(#REF!,MATCH(CONCATENATE('Respuestas de formulario 1.1'!$B217,$DT217),#REF!,0),MATCH('Respuestas de formulario 1.1'!FW$1,#REF!,0)))</f>
        <v/>
      </c>
      <c r="FX217" s="56" t="str">
        <f t="array" ref="FX217">IF($DU217="","", INDEX(#REF!,MATCH(CONCATENATE('Respuestas de formulario 1.1'!$B217,$DT217),#REF!,0),MATCH('Respuestas de formulario 1.1'!FX$1,#REF!,0)))</f>
        <v/>
      </c>
      <c r="FY217" s="45" t="str">
        <f t="array" ref="FY217">IF($DU217="","", INDEX(#REF!,MATCH(CONCATENATE('Respuestas de formulario 1.1'!$B217,$DT217),#REF!,0),MATCH('Respuestas de formulario 1.1'!FY$1,#REF!,0)))</f>
        <v/>
      </c>
      <c r="FZ217" s="3" t="s">
        <v>2860</v>
      </c>
      <c r="GA217" s="1" t="s">
        <v>6565</v>
      </c>
      <c r="GB217" s="5" t="s">
        <v>6566</v>
      </c>
      <c r="GC217" s="4" t="str">
        <f>HYPERLINK("https://drive.google.com/file/d/17xcfEaWc5kT99oO17aGA16u1rfwr7dsI/view?usp=drivesdk","CRUZ SOTO ESTEFANIA Formato de reinscripción y pago 2022-2")</f>
        <v>CRUZ SOTO ESTEFANIA Formato de reinscripción y pago 2022-2</v>
      </c>
      <c r="GD217" s="1" t="s">
        <v>6567</v>
      </c>
      <c r="GE217" s="1"/>
      <c r="GF217" s="1"/>
      <c r="GG217" s="1"/>
      <c r="GH217" s="1"/>
      <c r="GI217" s="1" t="s">
        <v>6568</v>
      </c>
      <c r="GJ217" s="5" t="s">
        <v>6569</v>
      </c>
      <c r="GK217" s="5" t="str">
        <f>HYPERLINK("https://drive.google.com/file/d/1xqh-FsrIQbs1-fEruuyGA3jSciRyDMv5/view?usp=drivesdk","CRUZ SOTO ESTEFANIA Formato de reinscripción y pago 2022-2")</f>
        <v>CRUZ SOTO ESTEFANIA Formato de reinscripción y pago 2022-2</v>
      </c>
      <c r="GL217" s="1" t="s">
        <v>6570</v>
      </c>
    </row>
    <row r="218" spans="1:194" ht="38.25" x14ac:dyDescent="0.2">
      <c r="A218" s="2">
        <v>45139.524953749999</v>
      </c>
      <c r="B218" s="1" t="s">
        <v>1522</v>
      </c>
      <c r="C218" s="1" t="s">
        <v>1151</v>
      </c>
      <c r="D218" s="1" t="s">
        <v>6571</v>
      </c>
      <c r="E218" s="1" t="s">
        <v>1524</v>
      </c>
      <c r="F218" s="1" t="s">
        <v>223</v>
      </c>
      <c r="G218" s="5" t="s">
        <v>6572</v>
      </c>
      <c r="H218" s="41">
        <v>39052</v>
      </c>
      <c r="I218" s="1">
        <v>16</v>
      </c>
      <c r="J218" s="1">
        <v>5633801509</v>
      </c>
      <c r="K218" s="1">
        <v>5590544481</v>
      </c>
      <c r="L218" s="1" t="s">
        <v>1525</v>
      </c>
      <c r="M218" s="1">
        <v>22309060570852</v>
      </c>
      <c r="N218" s="1" t="s">
        <v>562</v>
      </c>
      <c r="O218" s="1" t="s">
        <v>225</v>
      </c>
      <c r="P218" s="1" t="s">
        <v>226</v>
      </c>
      <c r="Q218" s="1" t="s">
        <v>248</v>
      </c>
      <c r="R218" s="1" t="s">
        <v>236</v>
      </c>
      <c r="S218" s="1" t="s">
        <v>228</v>
      </c>
      <c r="T218" s="1" t="s">
        <v>686</v>
      </c>
      <c r="U218" s="1" t="s">
        <v>728</v>
      </c>
      <c r="V218" s="1" t="s">
        <v>236</v>
      </c>
      <c r="W218" s="1" t="s">
        <v>6573</v>
      </c>
      <c r="X218" s="1" t="s">
        <v>249</v>
      </c>
      <c r="Y218" s="1" t="s">
        <v>887</v>
      </c>
      <c r="Z218" s="1" t="s">
        <v>240</v>
      </c>
      <c r="AA218" s="44" t="s">
        <v>602</v>
      </c>
      <c r="AB218" s="1">
        <v>239</v>
      </c>
      <c r="AC218" s="1" t="s">
        <v>6574</v>
      </c>
      <c r="AD218" s="1" t="s">
        <v>6575</v>
      </c>
      <c r="AE218" s="1" t="s">
        <v>6576</v>
      </c>
      <c r="AF218" s="1" t="s">
        <v>453</v>
      </c>
      <c r="AG218" s="1">
        <v>33</v>
      </c>
      <c r="AH218" s="5" t="s">
        <v>6577</v>
      </c>
      <c r="AI218" s="1">
        <v>5582015947</v>
      </c>
      <c r="AJ218" s="1">
        <v>5590544481</v>
      </c>
      <c r="AK218" s="1" t="s">
        <v>6578</v>
      </c>
      <c r="AL218" s="1" t="s">
        <v>1523</v>
      </c>
      <c r="AM218" s="1" t="s">
        <v>6579</v>
      </c>
      <c r="AN218" s="1" t="s">
        <v>6580</v>
      </c>
      <c r="AO218" s="1" t="s">
        <v>461</v>
      </c>
      <c r="AP218" s="1">
        <v>38</v>
      </c>
      <c r="AQ218" s="1" t="s">
        <v>1526</v>
      </c>
      <c r="AR218" s="42">
        <v>0.5</v>
      </c>
      <c r="AS218" s="42">
        <v>0.5</v>
      </c>
      <c r="AT218" s="1">
        <v>5610140821</v>
      </c>
      <c r="AU218" s="1">
        <v>5590544481</v>
      </c>
      <c r="AV218" s="1" t="s">
        <v>1527</v>
      </c>
      <c r="AW218" s="5" t="s">
        <v>6581</v>
      </c>
      <c r="AX218" s="1" t="s">
        <v>6579</v>
      </c>
      <c r="AY218" s="1" t="s">
        <v>374</v>
      </c>
      <c r="AZ218" s="1" t="s">
        <v>1425</v>
      </c>
      <c r="BA218" s="1" t="s">
        <v>968</v>
      </c>
      <c r="BB218" s="1">
        <v>66</v>
      </c>
      <c r="BC218" s="1" t="s">
        <v>328</v>
      </c>
      <c r="BD218" s="43">
        <v>0.5</v>
      </c>
      <c r="BE218" s="43">
        <v>0.5</v>
      </c>
      <c r="BF218" s="1">
        <v>5549081148</v>
      </c>
      <c r="BG218" s="1">
        <v>5590544481</v>
      </c>
      <c r="BH218" s="1" t="s">
        <v>6582</v>
      </c>
      <c r="BI218" s="5" t="s">
        <v>6583</v>
      </c>
      <c r="BJ218" s="1" t="s">
        <v>228</v>
      </c>
      <c r="BK218" s="1" t="s">
        <v>6584</v>
      </c>
      <c r="BL218" s="1">
        <v>1.54</v>
      </c>
      <c r="BM218" s="1">
        <v>47</v>
      </c>
      <c r="BN218" s="1" t="s">
        <v>236</v>
      </c>
      <c r="BO218" s="1" t="s">
        <v>228</v>
      </c>
      <c r="BP218" s="1" t="s">
        <v>598</v>
      </c>
      <c r="BQ218" s="1" t="s">
        <v>228</v>
      </c>
      <c r="BR218" s="1" t="s">
        <v>237</v>
      </c>
      <c r="BS218" s="1" t="s">
        <v>228</v>
      </c>
      <c r="BT218" s="1" t="s">
        <v>237</v>
      </c>
      <c r="BU218" s="1" t="s">
        <v>228</v>
      </c>
      <c r="BW218" s="1" t="s">
        <v>272</v>
      </c>
      <c r="BX218" s="1">
        <v>15</v>
      </c>
      <c r="BY218" s="44" t="s">
        <v>659</v>
      </c>
      <c r="BZ218" s="1" t="s">
        <v>253</v>
      </c>
      <c r="CA218" s="1" t="s">
        <v>6585</v>
      </c>
      <c r="CB218" s="1" t="s">
        <v>240</v>
      </c>
      <c r="CC218" s="1" t="s">
        <v>274</v>
      </c>
      <c r="CD218" s="1">
        <v>1500</v>
      </c>
      <c r="CE218" s="1">
        <v>2000</v>
      </c>
      <c r="CF218" s="1" t="s">
        <v>236</v>
      </c>
      <c r="CG218" s="1" t="s">
        <v>242</v>
      </c>
      <c r="CH218" s="1" t="s">
        <v>243</v>
      </c>
      <c r="CI218" s="1" t="s">
        <v>243</v>
      </c>
      <c r="CJ218" s="1" t="s">
        <v>2848</v>
      </c>
      <c r="CL218" s="5" t="s">
        <v>6586</v>
      </c>
      <c r="CM218" s="1">
        <v>44220685307</v>
      </c>
      <c r="CN218" s="1" t="s">
        <v>228</v>
      </c>
      <c r="CQ218" s="42">
        <v>0.5</v>
      </c>
      <c r="CR218" s="42">
        <v>0.5</v>
      </c>
      <c r="CT218" s="45" t="str">
        <f t="array" ref="CT218">IFERROR(INDEX(#REF!,MATCH('Respuestas de formulario 1.1'!$B218,#REF!,0),MATCH('Respuestas de formulario 1.1'!CT$1,#REF!,0)),"")</f>
        <v/>
      </c>
      <c r="CU218" s="56" t="str">
        <f t="array" ref="CU218">IFERROR(INDEX(#REF!,MATCH('Respuestas de formulario 1.1'!$B218,#REF!,0),MATCH('Respuestas de formulario 1.1'!CU$1,#REF!,0)),"")</f>
        <v/>
      </c>
      <c r="CV218" s="56" t="str">
        <f t="array" ref="CV218">IFERROR(INDEX(#REF!,MATCH('Respuestas de formulario 1.1'!$B218,#REF!,0),MATCH('Respuestas de formulario 1.1'!CV$1,#REF!,0)),"")</f>
        <v/>
      </c>
      <c r="CW218" s="56" t="str">
        <f t="array" ref="CW218">IFERROR(INDEX(#REF!,MATCH('Respuestas de formulario 1.1'!$B218,#REF!,0),MATCH('Respuestas de formulario 1.1'!CW$1,#REF!,0)),"")</f>
        <v/>
      </c>
      <c r="CX218" s="56" t="str">
        <f t="array" ref="CX218">IFERROR(INDEX(#REF!,MATCH('Respuestas de formulario 1.1'!$B218,#REF!,0),MATCH('Respuestas de formulario 1.1'!CX$1,#REF!,0)),"")</f>
        <v/>
      </c>
      <c r="CY218" s="56" t="str">
        <f t="array" ref="CY218">IFERROR(INDEX(#REF!,MATCH('Respuestas de formulario 1.1'!$B218,#REF!,0),MATCH('Respuestas de formulario 1.1'!CY$1,#REF!,0)),"")</f>
        <v/>
      </c>
      <c r="CZ218" s="57" t="str">
        <f t="array" ref="CZ218">IFERROR(INDEX(#REF!,MATCH('Respuestas de formulario 1.1'!$B218,#REF!,0),MATCH('Respuestas de formulario 1.1'!CZ$1,#REF!,0)),"")</f>
        <v/>
      </c>
      <c r="DA218" s="45" t="e">
        <f t="array" ref="DA218">INDEX(#REF!,MATCH('Respuestas de formulario 1.1'!$B218,#REF!,0),MATCH('Respuestas de formulario 1.1'!DA$1,#REF!,0))</f>
        <v>#REF!</v>
      </c>
      <c r="DB218" s="45" t="e">
        <f t="array" ref="DB218">INDEX(#REF!,MATCH('Respuestas de formulario 1.1'!$B218,#REF!,0),MATCH('Respuestas de formulario 1.1'!DB$1,#REF!,0))</f>
        <v>#REF!</v>
      </c>
      <c r="DC218" s="45" t="e">
        <f t="array" ref="DC218">INDEX(#REF!,MATCH('Respuestas de formulario 1.1'!$B218,#REF!,0),MATCH('Respuestas de formulario 1.1'!DC$1,#REF!,0))</f>
        <v>#REF!</v>
      </c>
      <c r="DD218" s="45" t="e">
        <f t="array" ref="DD218">INDEX(#REF!,MATCH('Respuestas de formulario 1.1'!$B218,#REF!,0),MATCH('Respuestas de formulario 1.1'!DD$1,#REF!,0))</f>
        <v>#REF!</v>
      </c>
      <c r="DE218" s="45" t="e">
        <f t="array" ref="DE218">INDEX(#REF!,MATCH('Respuestas de formulario 1.1'!$B218,#REF!,0),MATCH('Respuestas de formulario 1.1'!DE$1,#REF!,0))</f>
        <v>#REF!</v>
      </c>
      <c r="DF218" s="45" t="e">
        <f t="array" ref="DF218">INDEX(#REF!,MATCH('Respuestas de formulario 1.1'!$B218,#REF!,0),MATCH('Respuestas de formulario 1.1'!DF$1,#REF!,0))</f>
        <v>#REF!</v>
      </c>
      <c r="DG218" s="45" t="e">
        <f t="array" ref="DG218">INDEX(#REF!,MATCH('Respuestas de formulario 1.1'!$B218,#REF!,0),MATCH('Respuestas de formulario 1.1'!DG$1,#REF!,0))</f>
        <v>#REF!</v>
      </c>
      <c r="DH218" s="45" t="e">
        <f t="array" ref="DH218">INDEX(#REF!,MATCH('Respuestas de formulario 1.1'!$B218,#REF!,0),MATCH('Respuestas de formulario 1.1'!DH$1,#REF!,0))</f>
        <v>#REF!</v>
      </c>
      <c r="DI218" s="48" t="e">
        <f>VLOOKUP(CONCATENATE($DF218," TUTO ",$DC218),#REF!,3,0)</f>
        <v>#REF!</v>
      </c>
      <c r="DJ218" s="48" t="e">
        <f t="array" ref="DJ218">IF('Respuestas de formulario 1.1'!A218="","",INDEX(#REF!,MATCH('Respuestas de formulario 1.1'!B218,#REF!,0),MATCH('Respuestas de formulario 1.1'!$DH$1,#REF!,0)))</f>
        <v>#REF!</v>
      </c>
      <c r="DK218" s="52" t="str">
        <f>CONCATENATE("http://doc.google.com/uc?id=",MID('Respuestas de formulario 1.1'!G218,34,33))</f>
        <v>http://doc.google.com/uc?id=13UmeQg2YYF8pdemc8v9KhfKWR9glCZ-R</v>
      </c>
      <c r="DL218" s="49" t="str">
        <f>CONCATENATE("http://doc.google.com/uc?id=",MID('Respuestas de formulario 1.1'!AH218,34,33))</f>
        <v>http://doc.google.com/uc?id=19fAPcBTOsRIBVPvtKxJuXQTzPVkmwzxV</v>
      </c>
      <c r="DM218" s="50" t="str">
        <f>CONCATENATE("http://doc.google.com/uc?id=",MID('Respuestas de formulario 1.1'!AW218,34,33))</f>
        <v>http://doc.google.com/uc?id=15oJ2kVaMBRoULNvyup4-9lMIlpCujIRI</v>
      </c>
      <c r="DN218" s="53" t="str">
        <f>CONCATENATE("http://doc.google.com/uc?id=",MID('Respuestas de formulario 1.1'!$BI218,34,33))</f>
        <v>http://doc.google.com/uc?id=10X-B35YItfPjUBP_wc4ZNrF8did6E8D-</v>
      </c>
      <c r="DO218" s="45" t="str">
        <f>IFERROR(VLOOKUP(CONCATENATE('Respuestas de formulario 1.1'!$B218,MID('Respuestas de formulario 1.1'!DO$1,2,1)),#REF!,12,0),"")</f>
        <v/>
      </c>
      <c r="DP218" s="45" t="str">
        <f>IFERROR(VLOOKUP(CONCATENATE('Respuestas de formulario 1.1'!$B218,MID('Respuestas de formulario 1.1'!DP$1,2,1)),#REF!,12,0),"")</f>
        <v/>
      </c>
      <c r="DQ218" s="45" t="str">
        <f>IFERROR(VLOOKUP(CONCATENATE('Respuestas de formulario 1.1'!$B218,MID('Respuestas de formulario 1.1'!DQ$1,2,1)),#REF!,12,0),"")</f>
        <v/>
      </c>
      <c r="DR218" s="45" t="str">
        <f>IFERROR(VLOOKUP(CONCATENATE('Respuestas de formulario 1.1'!$B218,MID('Respuestas de formulario 1.1'!DR$1,2,1)),#REF!,12,0),"")</f>
        <v/>
      </c>
      <c r="DS218" s="45" t="str">
        <f>IFERROR(VLOOKUP(CONCATENATE('Respuestas de formulario 1.1'!$B218,MID('Respuestas de formulario 1.1'!DS$1,2,1)),#REF!,12,0),"")</f>
        <v/>
      </c>
      <c r="DT218" s="45" t="str">
        <f>IFERROR(VLOOKUP(CONCATENATE('Respuestas de formulario 1.1'!$B218,MID('Respuestas de formulario 1.1'!DT$1,2,1)),#REF!,12,0),"")</f>
        <v/>
      </c>
      <c r="DU218" s="45" t="str">
        <f>IFERROR(VLOOKUP(CONCATENATE('Respuestas de formulario 1.1'!$B218,MID('Respuestas de formulario 1.1'!DU$1,2,1)),#REF!,12,0),"")</f>
        <v/>
      </c>
      <c r="DV218" s="45" t="str">
        <f>IFERROR(VLOOKUP(CONCATENATE('Respuestas de formulario 1.1'!$B218,MID('Respuestas de formulario 1.1'!DV$1,2,1)),#REF!,12,0),"")</f>
        <v/>
      </c>
      <c r="DW218" s="45" t="str">
        <f>IFERROR(VLOOKUP(CONCATENATE('Respuestas de formulario 1.1'!$B218,MID('Respuestas de formulario 1.1'!DW$1,2,1)),#REF!,12,0),"")</f>
        <v/>
      </c>
      <c r="DX218" s="45" t="str">
        <f>IFERROR(VLOOKUP(CONCATENATE('Respuestas de formulario 1.1'!$B218,MID('Respuestas de formulario 1.1'!DX$1,2,1)),#REF!,12,0),"")</f>
        <v/>
      </c>
      <c r="DY218" s="45" t="str">
        <f>IFERROR(VLOOKUP(CONCATENATE('Respuestas de formulario 1.1'!$B218,MID('Respuestas de formulario 1.1'!DY$1,2,1)),#REF!,12,0),"")</f>
        <v/>
      </c>
      <c r="DZ218" s="45" t="str">
        <f>IFERROR(VLOOKUP(CONCATENATE('Respuestas de formulario 1.1'!$B218,MID('Respuestas de formulario 1.1'!DZ$1,2,1)),#REF!,12,0),"")</f>
        <v/>
      </c>
      <c r="EA218" s="45" t="str">
        <f>IFERROR(VLOOKUP(CONCATENATE('Respuestas de formulario 1.1'!$B218,MID('Respuestas de formulario 1.1'!EA$1,2,1)),#REF!,12,0),"")</f>
        <v/>
      </c>
      <c r="EB218" s="45" t="str">
        <f>IFERROR(VLOOKUP(CONCATENATE('Respuestas de formulario 1.1'!$B218,MID('Respuestas de formulario 1.1'!EB$1,2,1)),#REF!,12,0),"")</f>
        <v/>
      </c>
      <c r="EC218" s="45" t="str">
        <f>IFERROR(VLOOKUP(CONCATENATE('Respuestas de formulario 1.1'!$B218,MID('Respuestas de formulario 1.1'!EC$1,2,1)),#REF!,12,0),"")</f>
        <v/>
      </c>
      <c r="ED218" s="45" t="str">
        <f>IFERROR(VLOOKUP(CONCATENATE('Respuestas de formulario 1.1'!$B218,MID('Respuestas de formulario 1.1'!ED$1,2,1)),#REF!,12,0),"")</f>
        <v/>
      </c>
      <c r="EE218" s="45" t="str">
        <f>IFERROR(VLOOKUP(CONCATENATE('Respuestas de formulario 1.1'!$B218,MID('Respuestas de formulario 1.1'!EE$1,2,1)),#REF!,12,0),"")</f>
        <v/>
      </c>
      <c r="EF218" s="45" t="str">
        <f>IFERROR(VLOOKUP(CONCATENATE('Respuestas de formulario 1.1'!$B218,MID('Respuestas de formulario 1.1'!EF$1,2,1)),#REF!,12,0),"")</f>
        <v/>
      </c>
      <c r="EG218" s="45" t="str">
        <f>IFERROR(VLOOKUP(CONCATENATE('Respuestas de formulario 1.1'!$B218,MID('Respuestas de formulario 1.1'!EG$1,2,1)),#REF!,12,0),"")</f>
        <v/>
      </c>
      <c r="EH218" s="45" t="str">
        <f>IFERROR(VLOOKUP(CONCATENATE('Respuestas de formulario 1.1'!$B218,MID('Respuestas de formulario 1.1'!EH$1,2,1)),#REF!,12,0),"")</f>
        <v/>
      </c>
      <c r="EI218" s="45" t="str">
        <f>IFERROR(VLOOKUP(CONCATENATE('Respuestas de formulario 1.1'!$B218,MID('Respuestas de formulario 1.1'!EI$1,2,1)),#REF!,12,0),"")</f>
        <v/>
      </c>
      <c r="EJ218" s="45" t="str">
        <f t="array" ref="EJ218">IF(DO218="","", INDEX(#REF!,MATCH(CONCATENATE('Respuestas de formulario 1.1'!$B218,DO218),#REF!,0),MATCH('Respuestas de formulario 1.1'!EJ$1,#REF!,0)))</f>
        <v/>
      </c>
      <c r="EK218" s="56" t="str">
        <f t="array" ref="EK218">IF(DP218="","", INDEX(#REF!,MATCH(CONCATENATE('Respuestas de formulario 1.1'!$B218,DP218),#REF!,0),MATCH('Respuestas de formulario 1.1'!EK$1,#REF!,0)))</f>
        <v/>
      </c>
      <c r="EL218" s="56" t="str">
        <f t="array" ref="EL218">IF(DQ218="","", INDEX(#REF!,MATCH(CONCATENATE('Respuestas de formulario 1.1'!$B218,DQ218),#REF!,0),MATCH('Respuestas de formulario 1.1'!EL$1,#REF!,0)))</f>
        <v/>
      </c>
      <c r="EM218" s="56" t="str">
        <f t="array" ref="EM218">IF(DR218="","", INDEX(#REF!,MATCH(CONCATENATE('Respuestas de formulario 1.1'!$B218,DR218),#REF!,0),MATCH('Respuestas de formulario 1.1'!EM$1,#REF!,0)))</f>
        <v/>
      </c>
      <c r="EN218" s="56" t="str">
        <f t="array" ref="EN218">IF(DS218="","", INDEX(#REF!,MATCH(CONCATENATE('Respuestas de formulario 1.1'!$B218,DS218),#REF!,0),MATCH('Respuestas de formulario 1.1'!EN$1,#REF!,0)))</f>
        <v/>
      </c>
      <c r="EO218" s="56" t="str">
        <f t="array" ref="EO218">IF(DT218="","", INDEX(#REF!,MATCH(CONCATENATE('Respuestas de formulario 1.1'!$B218,DT218),#REF!,0),MATCH('Respuestas de formulario 1.1'!EO$1,#REF!,0)))</f>
        <v/>
      </c>
      <c r="EP218" s="45" t="str">
        <f t="array" ref="EP218">IF(DU218="","", INDEX(#REF!,MATCH(CONCATENATE('Respuestas de formulario 1.1'!$B218,DU218),#REF!,0),MATCH('Respuestas de formulario 1.1'!EP$1,#REF!,0)))</f>
        <v/>
      </c>
      <c r="EQ218" s="45" t="str">
        <f t="array" ref="EQ218">IF(DP218="","", INDEX(#REF!,MATCH(CONCATENATE('Respuestas de formulario 1.1'!$B218,DP218),#REF!,0),MATCH('Respuestas de formulario 1.1'!EQ$1,#REF!,0)))</f>
        <v/>
      </c>
      <c r="ER218" s="56" t="str">
        <f t="array" ref="ER218">IF(DQ218="","", INDEX(#REF!,MATCH(CONCATENATE('Respuestas de formulario 1.1'!$B218,DQ218),#REF!,0),MATCH('Respuestas de formulario 1.1'!ER$1,#REF!,0)))</f>
        <v/>
      </c>
      <c r="ES218" s="56" t="str">
        <f t="array" ref="ES218">IF(DR218="","", INDEX(#REF!,MATCH(CONCATENATE('Respuestas de formulario 1.1'!$B218,DR218),#REF!,0),MATCH('Respuestas de formulario 1.1'!ES$1,#REF!,0)))</f>
        <v/>
      </c>
      <c r="ET218" s="56" t="str">
        <f t="array" ref="ET218">IF(DS218="","", INDEX(#REF!,MATCH(CONCATENATE('Respuestas de formulario 1.1'!$B218,DS218),#REF!,0),MATCH('Respuestas de formulario 1.1'!ET$1,#REF!,0)))</f>
        <v/>
      </c>
      <c r="EU218" s="56" t="str">
        <f t="array" ref="EU218">IF(DT218="","", INDEX(#REF!,MATCH(CONCATENATE('Respuestas de formulario 1.1'!$B218,DT218),#REF!,0),MATCH('Respuestas de formulario 1.1'!EU$1,#REF!,0)))</f>
        <v/>
      </c>
      <c r="EV218" s="56" t="str">
        <f t="array" ref="EV218">IF(DU218="","", INDEX(#REF!,MATCH(CONCATENATE('Respuestas de formulario 1.1'!$B218,DU218),#REF!,0),MATCH('Respuestas de formulario 1.1'!EV$1,#REF!,0)))</f>
        <v/>
      </c>
      <c r="EW218" s="45" t="str">
        <f t="array" ref="EW218">IF(DV218="","", INDEX(#REF!,MATCH(CONCATENATE('Respuestas de formulario 1.1'!$B218,DV218),#REF!,0),MATCH('Respuestas de formulario 1.1'!EW$1,#REF!,0)))</f>
        <v/>
      </c>
      <c r="EX218" s="45" t="str">
        <f t="array" ref="EX218">IF($DQ218="","", INDEX(#REF!,MATCH(CONCATENATE('Respuestas de formulario 1.1'!$B218,$DQ218),#REF!,0),MATCH('Respuestas de formulario 1.1'!EX$1,#REF!,0)))</f>
        <v/>
      </c>
      <c r="EY218" s="56" t="str">
        <f t="array" ref="EY218">IF($DQ218="","", INDEX(#REF!,MATCH(CONCATENATE('Respuestas de formulario 1.1'!$B218,$DQ218),#REF!,0),MATCH('Respuestas de formulario 1.1'!EY$1,#REF!,0)))</f>
        <v/>
      </c>
      <c r="EZ218" s="56" t="str">
        <f t="array" ref="EZ218">IF($DQ218="","", INDEX(#REF!,MATCH(CONCATENATE('Respuestas de formulario 1.1'!$B218,$DQ218),#REF!,0),MATCH('Respuestas de formulario 1.1'!EZ$1,#REF!,0)))</f>
        <v/>
      </c>
      <c r="FA218" s="56" t="str">
        <f t="array" ref="FA218">IF($DQ218="","", INDEX(#REF!,MATCH(CONCATENATE('Respuestas de formulario 1.1'!$B218,$DQ218),#REF!,0),MATCH('Respuestas de formulario 1.1'!FA$1,#REF!,0)))</f>
        <v/>
      </c>
      <c r="FB218" s="56" t="str">
        <f t="array" ref="FB218">IF($DQ218="","", INDEX(#REF!,MATCH(CONCATENATE('Respuestas de formulario 1.1'!$B218,$DQ218),#REF!,0),MATCH('Respuestas de formulario 1.1'!FB$1,#REF!,0)))</f>
        <v/>
      </c>
      <c r="FC218" s="56" t="str">
        <f t="array" ref="FC218">IF($DQ218="","", INDEX(#REF!,MATCH(CONCATENATE('Respuestas de formulario 1.1'!$B218,$DQ218),#REF!,0),MATCH('Respuestas de formulario 1.1'!FC$1,#REF!,0)))</f>
        <v/>
      </c>
      <c r="FD218" s="45" t="str">
        <f t="array" ref="FD218">IF($DQ218="","", INDEX(#REF!,MATCH(CONCATENATE('Respuestas de formulario 1.1'!$B218,$DQ218),#REF!,0),MATCH('Respuestas de formulario 1.1'!FD$1,#REF!,0)))</f>
        <v/>
      </c>
      <c r="FE218" s="45" t="str">
        <f t="array" ref="FE218">IF($DR218="","", INDEX(#REF!,MATCH(CONCATENATE(#REF!,$DR218),#REF!,0),MATCH(#REF!,#REF!,0)))</f>
        <v/>
      </c>
      <c r="FF218" s="56" t="str">
        <f t="array" ref="FF218">IF($DR218="","", INDEX(#REF!,MATCH(CONCATENATE(#REF!,$DR218),#REF!,0),MATCH(#REF!,#REF!,0)))</f>
        <v/>
      </c>
      <c r="FG218" s="56" t="str">
        <f t="array" ref="FG218">IF($DR218="","", INDEX(#REF!,MATCH(CONCATENATE(#REF!,$DR218),#REF!,0),MATCH(#REF!,#REF!,0)))</f>
        <v/>
      </c>
      <c r="FH218" s="56" t="str">
        <f t="array" ref="FH218">IF($DR218="","", INDEX(#REF!,MATCH(CONCATENATE(#REF!,$DR218),#REF!,0),MATCH(#REF!,#REF!,0)))</f>
        <v/>
      </c>
      <c r="FI218" s="56" t="str">
        <f t="array" ref="FI218">IF($DR218="","", INDEX(#REF!,MATCH(CONCATENATE(#REF!,$DR218),#REF!,0),MATCH(#REF!,#REF!,0)))</f>
        <v/>
      </c>
      <c r="FJ218" s="56" t="str">
        <f t="array" ref="FJ218">IF($DR218="","", INDEX(#REF!,MATCH(CONCATENATE(#REF!,$DR218),#REF!,0),MATCH(#REF!,#REF!,0)))</f>
        <v/>
      </c>
      <c r="FK218" s="45" t="str">
        <f t="array" ref="FK218">IF($DR218="","", INDEX(#REF!,MATCH(CONCATENATE(#REF!,$DR218),#REF!,0),MATCH(#REF!,#REF!,0)))</f>
        <v/>
      </c>
      <c r="FL218" s="45" t="str">
        <f t="array" ref="FL218">IF($DT218="","", INDEX(#REF!,MATCH(CONCATENATE('Respuestas de formulario 1.1'!$B218,$DS218),#REF!,0),MATCH('Respuestas de formulario 1.1'!FL$1,#REF!,0)))</f>
        <v/>
      </c>
      <c r="FM218" s="56" t="str">
        <f t="array" ref="FM218">IF($DT218="","", INDEX(#REF!,MATCH(CONCATENATE('Respuestas de formulario 1.1'!$B218,$DS218),#REF!,0),MATCH('Respuestas de formulario 1.1'!FM$1,#REF!,0)))</f>
        <v/>
      </c>
      <c r="FN218" s="56" t="str">
        <f t="array" ref="FN218">IF($DT218="","", INDEX(#REF!,MATCH(CONCATENATE('Respuestas de formulario 1.1'!$B218,$DS218),#REF!,0),MATCH('Respuestas de formulario 1.1'!FN$1,#REF!,0)))</f>
        <v/>
      </c>
      <c r="FO218" s="56" t="str">
        <f t="array" ref="FO218">IF($DT218="","", INDEX(#REF!,MATCH(CONCATENATE('Respuestas de formulario 1.1'!$B218,$DS218),#REF!,0),MATCH('Respuestas de formulario 1.1'!FO$1,#REF!,0)))</f>
        <v/>
      </c>
      <c r="FP218" s="56" t="str">
        <f t="array" ref="FP218">IF($DT218="","", INDEX(#REF!,MATCH(CONCATENATE('Respuestas de formulario 1.1'!$B218,$DS218),#REF!,0),MATCH('Respuestas de formulario 1.1'!FP$1,#REF!,0)))</f>
        <v/>
      </c>
      <c r="FQ218" s="56" t="str">
        <f t="array" ref="FQ218">IF($DT218="","", INDEX(#REF!,MATCH(CONCATENATE('Respuestas de formulario 1.1'!$B218,$DS218),#REF!,0),MATCH('Respuestas de formulario 1.1'!FQ$1,#REF!,0)))</f>
        <v/>
      </c>
      <c r="FR218" s="45" t="str">
        <f t="array" ref="FR218">IF($DT218="","", INDEX(#REF!,MATCH(CONCATENATE('Respuestas de formulario 1.1'!$B218,$DS218),#REF!,0),MATCH('Respuestas de formulario 1.1'!FR$1,#REF!,0)))</f>
        <v/>
      </c>
      <c r="FS218" s="45" t="str">
        <f t="array" ref="FS218">IF($DU218="","", INDEX(#REF!,MATCH(CONCATENATE('Respuestas de formulario 1.1'!$B218,$DT218),#REF!,0),MATCH('Respuestas de formulario 1.1'!FS$1,#REF!,0)))</f>
        <v/>
      </c>
      <c r="FT218" s="56" t="str">
        <f t="array" ref="FT218">IF($DU218="","", INDEX(#REF!,MATCH(CONCATENATE('Respuestas de formulario 1.1'!$B218,$DT218),#REF!,0),MATCH('Respuestas de formulario 1.1'!FT$1,#REF!,0)))</f>
        <v/>
      </c>
      <c r="FU218" s="56" t="str">
        <f t="array" ref="FU218">IF($DU218="","", INDEX(#REF!,MATCH(CONCATENATE('Respuestas de formulario 1.1'!$B218,$DT218),#REF!,0),MATCH('Respuestas de formulario 1.1'!FU$1,#REF!,0)))</f>
        <v/>
      </c>
      <c r="FV218" s="56" t="str">
        <f t="array" ref="FV218">IF($DU218="","", INDEX(#REF!,MATCH(CONCATENATE('Respuestas de formulario 1.1'!$B218,$DT218),#REF!,0),MATCH('Respuestas de formulario 1.1'!FV$1,#REF!,0)))</f>
        <v/>
      </c>
      <c r="FW218" s="56" t="str">
        <f t="array" ref="FW218">IF($DU218="","", INDEX(#REF!,MATCH(CONCATENATE('Respuestas de formulario 1.1'!$B218,$DT218),#REF!,0),MATCH('Respuestas de formulario 1.1'!FW$1,#REF!,0)))</f>
        <v/>
      </c>
      <c r="FX218" s="56" t="str">
        <f t="array" ref="FX218">IF($DU218="","", INDEX(#REF!,MATCH(CONCATENATE('Respuestas de formulario 1.1'!$B218,$DT218),#REF!,0),MATCH('Respuestas de formulario 1.1'!FX$1,#REF!,0)))</f>
        <v/>
      </c>
      <c r="FY218" s="45" t="str">
        <f t="array" ref="FY218">IF($DU218="","", INDEX(#REF!,MATCH(CONCATENATE('Respuestas de formulario 1.1'!$B218,$DT218),#REF!,0),MATCH('Respuestas de formulario 1.1'!FY$1,#REF!,0)))</f>
        <v/>
      </c>
      <c r="FZ218" s="3" t="s">
        <v>2860</v>
      </c>
      <c r="GA218" s="1" t="s">
        <v>6587</v>
      </c>
      <c r="GB218" s="5" t="s">
        <v>6588</v>
      </c>
      <c r="GC218" s="4" t="str">
        <f>HYPERLINK("https://drive.google.com/file/d/1X-F1JfLExjrO36ZYP0vZLQAXvl8dG3A8/view?usp=drivesdk","LARA RODALES  ISABELLA RENATA  Formato de reinscripción y pago 2022-2")</f>
        <v>LARA RODALES  ISABELLA RENATA  Formato de reinscripción y pago 2022-2</v>
      </c>
      <c r="GD218" s="1" t="s">
        <v>6589</v>
      </c>
      <c r="GE218" s="1"/>
      <c r="GF218" s="1"/>
      <c r="GG218" s="1"/>
      <c r="GH218" s="1"/>
      <c r="GI218" s="1" t="s">
        <v>6590</v>
      </c>
      <c r="GJ218" s="5" t="s">
        <v>6591</v>
      </c>
      <c r="GK218" s="5" t="str">
        <f>HYPERLINK("https://drive.google.com/file/d/1sk68Gyukzg2z7-dkcI0S--fY7Cz7GAer/view?usp=drivesdk","LARA RODALES  ISABELLA RENATA  Formato de reinscripción y pago 2022-2")</f>
        <v>LARA RODALES  ISABELLA RENATA  Formato de reinscripción y pago 2022-2</v>
      </c>
      <c r="GL218" s="1" t="s">
        <v>6592</v>
      </c>
    </row>
    <row r="219" spans="1:194" ht="38.25" x14ac:dyDescent="0.2">
      <c r="A219" s="2">
        <v>45139.525421712962</v>
      </c>
      <c r="B219" s="1" t="s">
        <v>2675</v>
      </c>
      <c r="C219" s="1" t="s">
        <v>1609</v>
      </c>
      <c r="D219" s="1" t="s">
        <v>1603</v>
      </c>
      <c r="E219" s="1" t="s">
        <v>6593</v>
      </c>
      <c r="F219" s="1" t="s">
        <v>223</v>
      </c>
      <c r="G219" s="5" t="s">
        <v>6594</v>
      </c>
      <c r="H219" s="41">
        <v>39009</v>
      </c>
      <c r="I219" s="1">
        <v>16</v>
      </c>
      <c r="J219" s="1">
        <v>5615565441</v>
      </c>
      <c r="K219" s="1">
        <v>5620772285</v>
      </c>
      <c r="L219" s="1" t="s">
        <v>2676</v>
      </c>
      <c r="M219" s="1">
        <v>22309060570006</v>
      </c>
      <c r="N219" s="1" t="s">
        <v>562</v>
      </c>
      <c r="O219" s="1" t="s">
        <v>225</v>
      </c>
      <c r="P219" s="1" t="s">
        <v>226</v>
      </c>
      <c r="Q219" s="1" t="s">
        <v>315</v>
      </c>
      <c r="R219" s="1" t="s">
        <v>236</v>
      </c>
      <c r="S219" s="1" t="s">
        <v>228</v>
      </c>
      <c r="T219" s="1" t="s">
        <v>229</v>
      </c>
      <c r="U219" s="1" t="s">
        <v>393</v>
      </c>
      <c r="V219" s="1" t="s">
        <v>228</v>
      </c>
      <c r="W219" s="1" t="s">
        <v>6595</v>
      </c>
      <c r="X219" s="1" t="s">
        <v>393</v>
      </c>
      <c r="Y219" s="1" t="s">
        <v>1614</v>
      </c>
      <c r="Z219" s="1" t="s">
        <v>240</v>
      </c>
      <c r="AA219" s="44" t="s">
        <v>1606</v>
      </c>
      <c r="AB219" s="1">
        <v>65</v>
      </c>
      <c r="AC219" s="1">
        <v>1</v>
      </c>
      <c r="AD219" s="1" t="s">
        <v>6596</v>
      </c>
      <c r="AE219" s="1" t="s">
        <v>6597</v>
      </c>
      <c r="AF219" s="1" t="s">
        <v>580</v>
      </c>
      <c r="AG219" s="1">
        <v>36</v>
      </c>
      <c r="AH219" s="5" t="s">
        <v>6598</v>
      </c>
      <c r="AI219" s="1">
        <v>5620772285</v>
      </c>
      <c r="AJ219" s="1">
        <v>5620772285</v>
      </c>
      <c r="AK219" s="1" t="s">
        <v>6599</v>
      </c>
      <c r="AL219" s="1" t="s">
        <v>576</v>
      </c>
      <c r="AM219" s="1" t="s">
        <v>2022</v>
      </c>
      <c r="AN219" s="1" t="s">
        <v>1610</v>
      </c>
      <c r="AO219" s="1" t="s">
        <v>420</v>
      </c>
      <c r="AP219" s="1">
        <v>35</v>
      </c>
      <c r="AQ219" s="1" t="s">
        <v>2556</v>
      </c>
      <c r="AR219" s="42">
        <v>0.5</v>
      </c>
      <c r="AS219" s="42">
        <v>0.33333333333575865</v>
      </c>
      <c r="AT219" s="1">
        <v>5620772285</v>
      </c>
      <c r="AU219" s="1">
        <v>5620772285</v>
      </c>
      <c r="AV219" s="1" t="s">
        <v>6599</v>
      </c>
      <c r="AW219" s="5" t="s">
        <v>6600</v>
      </c>
      <c r="AX219" s="1" t="s">
        <v>6601</v>
      </c>
      <c r="AY219" s="1" t="s">
        <v>611</v>
      </c>
      <c r="AZ219" s="1" t="s">
        <v>893</v>
      </c>
      <c r="BA219" s="1" t="s">
        <v>453</v>
      </c>
      <c r="BB219" s="1">
        <v>21</v>
      </c>
      <c r="BC219" s="1" t="s">
        <v>6602</v>
      </c>
      <c r="BD219" s="43">
        <v>0.33333333333575865</v>
      </c>
      <c r="BE219" s="43">
        <v>0.25</v>
      </c>
      <c r="BF219" s="1">
        <v>5620772285</v>
      </c>
      <c r="BG219" s="1">
        <v>5620772285</v>
      </c>
      <c r="BH219" s="1" t="s">
        <v>6599</v>
      </c>
      <c r="BI219" s="5" t="s">
        <v>6603</v>
      </c>
      <c r="BJ219" s="1" t="s">
        <v>236</v>
      </c>
      <c r="BL219" s="1">
        <v>1.5</v>
      </c>
      <c r="BM219" s="1">
        <v>50</v>
      </c>
      <c r="BN219" s="1" t="s">
        <v>236</v>
      </c>
      <c r="BO219" s="1" t="s">
        <v>228</v>
      </c>
      <c r="BQ219" s="1" t="s">
        <v>228</v>
      </c>
      <c r="BR219" s="1" t="s">
        <v>237</v>
      </c>
      <c r="BS219" s="1" t="s">
        <v>228</v>
      </c>
      <c r="BT219" s="1" t="s">
        <v>237</v>
      </c>
      <c r="BU219" s="1" t="s">
        <v>228</v>
      </c>
      <c r="BW219" s="1" t="s">
        <v>349</v>
      </c>
      <c r="BX219" s="1">
        <v>40</v>
      </c>
      <c r="BY219" s="1">
        <v>150</v>
      </c>
      <c r="BZ219" s="1" t="s">
        <v>253</v>
      </c>
      <c r="CA219" s="1" t="s">
        <v>343</v>
      </c>
      <c r="CB219" s="1" t="s">
        <v>240</v>
      </c>
      <c r="CC219" s="1" t="s">
        <v>255</v>
      </c>
      <c r="CD219" s="1">
        <v>45</v>
      </c>
      <c r="CE219" s="1">
        <v>300</v>
      </c>
      <c r="CF219" s="1" t="s">
        <v>236</v>
      </c>
      <c r="CG219" s="1" t="s">
        <v>242</v>
      </c>
      <c r="CH219" s="1" t="s">
        <v>243</v>
      </c>
      <c r="CI219" s="1" t="s">
        <v>243</v>
      </c>
      <c r="CJ219" s="1" t="s">
        <v>2848</v>
      </c>
      <c r="CL219" s="5" t="s">
        <v>6604</v>
      </c>
      <c r="CM219" s="1">
        <v>46220629805</v>
      </c>
      <c r="CN219" s="1" t="s">
        <v>228</v>
      </c>
      <c r="CQ219" s="42">
        <v>0.41666666666424135</v>
      </c>
      <c r="CR219" s="42">
        <v>0.41666666666424135</v>
      </c>
      <c r="CT219" s="45" t="str">
        <f t="array" ref="CT219">IFERROR(INDEX(#REF!,MATCH('Respuestas de formulario 1.1'!$B219,#REF!,0),MATCH('Respuestas de formulario 1.1'!CT$1,#REF!,0)),"")</f>
        <v/>
      </c>
      <c r="CU219" s="56" t="str">
        <f t="array" ref="CU219">IFERROR(INDEX(#REF!,MATCH('Respuestas de formulario 1.1'!$B219,#REF!,0),MATCH('Respuestas de formulario 1.1'!CU$1,#REF!,0)),"")</f>
        <v/>
      </c>
      <c r="CV219" s="56" t="str">
        <f t="array" ref="CV219">IFERROR(INDEX(#REF!,MATCH('Respuestas de formulario 1.1'!$B219,#REF!,0),MATCH('Respuestas de formulario 1.1'!CV$1,#REF!,0)),"")</f>
        <v/>
      </c>
      <c r="CW219" s="56" t="str">
        <f t="array" ref="CW219">IFERROR(INDEX(#REF!,MATCH('Respuestas de formulario 1.1'!$B219,#REF!,0),MATCH('Respuestas de formulario 1.1'!CW$1,#REF!,0)),"")</f>
        <v/>
      </c>
      <c r="CX219" s="56" t="str">
        <f t="array" ref="CX219">IFERROR(INDEX(#REF!,MATCH('Respuestas de formulario 1.1'!$B219,#REF!,0),MATCH('Respuestas de formulario 1.1'!CX$1,#REF!,0)),"")</f>
        <v/>
      </c>
      <c r="CY219" s="56" t="str">
        <f t="array" ref="CY219">IFERROR(INDEX(#REF!,MATCH('Respuestas de formulario 1.1'!$B219,#REF!,0),MATCH('Respuestas de formulario 1.1'!CY$1,#REF!,0)),"")</f>
        <v/>
      </c>
      <c r="CZ219" s="57" t="str">
        <f t="array" ref="CZ219">IFERROR(INDEX(#REF!,MATCH('Respuestas de formulario 1.1'!$B219,#REF!,0),MATCH('Respuestas de formulario 1.1'!CZ$1,#REF!,0)),"")</f>
        <v/>
      </c>
      <c r="DA219" s="45" t="e">
        <f t="array" ref="DA219">INDEX(#REF!,MATCH('Respuestas de formulario 1.1'!$B219,#REF!,0),MATCH('Respuestas de formulario 1.1'!DA$1,#REF!,0))</f>
        <v>#REF!</v>
      </c>
      <c r="DB219" s="45" t="e">
        <f t="array" ref="DB219">INDEX(#REF!,MATCH('Respuestas de formulario 1.1'!$B219,#REF!,0),MATCH('Respuestas de formulario 1.1'!DB$1,#REF!,0))</f>
        <v>#REF!</v>
      </c>
      <c r="DC219" s="45" t="e">
        <f t="array" ref="DC219">INDEX(#REF!,MATCH('Respuestas de formulario 1.1'!$B219,#REF!,0),MATCH('Respuestas de formulario 1.1'!DC$1,#REF!,0))</f>
        <v>#REF!</v>
      </c>
      <c r="DD219" s="45" t="e">
        <f t="array" ref="DD219">INDEX(#REF!,MATCH('Respuestas de formulario 1.1'!$B219,#REF!,0),MATCH('Respuestas de formulario 1.1'!DD$1,#REF!,0))</f>
        <v>#REF!</v>
      </c>
      <c r="DE219" s="45" t="e">
        <f t="array" ref="DE219">INDEX(#REF!,MATCH('Respuestas de formulario 1.1'!$B219,#REF!,0),MATCH('Respuestas de formulario 1.1'!DE$1,#REF!,0))</f>
        <v>#REF!</v>
      </c>
      <c r="DF219" s="45" t="e">
        <f t="array" ref="DF219">INDEX(#REF!,MATCH('Respuestas de formulario 1.1'!$B219,#REF!,0),MATCH('Respuestas de formulario 1.1'!DF$1,#REF!,0))</f>
        <v>#REF!</v>
      </c>
      <c r="DG219" s="45" t="e">
        <f t="array" ref="DG219">INDEX(#REF!,MATCH('Respuestas de formulario 1.1'!$B219,#REF!,0),MATCH('Respuestas de formulario 1.1'!DG$1,#REF!,0))</f>
        <v>#REF!</v>
      </c>
      <c r="DH219" s="45" t="e">
        <f t="array" ref="DH219">INDEX(#REF!,MATCH('Respuestas de formulario 1.1'!$B219,#REF!,0),MATCH('Respuestas de formulario 1.1'!DH$1,#REF!,0))</f>
        <v>#REF!</v>
      </c>
      <c r="DI219" s="48" t="e">
        <f>VLOOKUP(CONCATENATE($DF219," TUTO ",$DC219),#REF!,3,0)</f>
        <v>#REF!</v>
      </c>
      <c r="DJ219" s="48" t="e">
        <f t="array" ref="DJ219">IF('Respuestas de formulario 1.1'!A219="","",INDEX(#REF!,MATCH('Respuestas de formulario 1.1'!B219,#REF!,0),MATCH('Respuestas de formulario 1.1'!$DH$1,#REF!,0)))</f>
        <v>#REF!</v>
      </c>
      <c r="DK219" s="52" t="str">
        <f>CONCATENATE("http://doc.google.com/uc?id=",MID('Respuestas de formulario 1.1'!G219,34,33))</f>
        <v>http://doc.google.com/uc?id=1jfVJ_l0mn_5phXzalqrceOEdWUboVyrC</v>
      </c>
      <c r="DL219" s="49" t="str">
        <f>CONCATENATE("http://doc.google.com/uc?id=",MID('Respuestas de formulario 1.1'!AH219,34,33))</f>
        <v>http://doc.google.com/uc?id=1hunFnDoGYmax_LwNNdiHBDAV328Ck4nY</v>
      </c>
      <c r="DM219" s="50" t="str">
        <f>CONCATENATE("http://doc.google.com/uc?id=",MID('Respuestas de formulario 1.1'!AW219,34,33))</f>
        <v>http://doc.google.com/uc?id=1tVKk3IFidYZsah9HBo3HPapyuX6HovbR</v>
      </c>
      <c r="DN219" s="53" t="str">
        <f>CONCATENATE("http://doc.google.com/uc?id=",MID('Respuestas de formulario 1.1'!$BI219,34,33))</f>
        <v>http://doc.google.com/uc?id=12ooIBxLxq7a2fKiMeFQCXBYz2t3mYsDv</v>
      </c>
      <c r="DO219" s="45" t="str">
        <f>IFERROR(VLOOKUP(CONCATENATE('Respuestas de formulario 1.1'!$B219,MID('Respuestas de formulario 1.1'!DO$1,2,1)),#REF!,12,0),"")</f>
        <v/>
      </c>
      <c r="DP219" s="45" t="str">
        <f>IFERROR(VLOOKUP(CONCATENATE('Respuestas de formulario 1.1'!$B219,MID('Respuestas de formulario 1.1'!DP$1,2,1)),#REF!,12,0),"")</f>
        <v/>
      </c>
      <c r="DQ219" s="45" t="str">
        <f>IFERROR(VLOOKUP(CONCATENATE('Respuestas de formulario 1.1'!$B219,MID('Respuestas de formulario 1.1'!DQ$1,2,1)),#REF!,12,0),"")</f>
        <v/>
      </c>
      <c r="DR219" s="45" t="str">
        <f>IFERROR(VLOOKUP(CONCATENATE('Respuestas de formulario 1.1'!$B219,MID('Respuestas de formulario 1.1'!DR$1,2,1)),#REF!,12,0),"")</f>
        <v/>
      </c>
      <c r="DS219" s="45" t="str">
        <f>IFERROR(VLOOKUP(CONCATENATE('Respuestas de formulario 1.1'!$B219,MID('Respuestas de formulario 1.1'!DS$1,2,1)),#REF!,12,0),"")</f>
        <v/>
      </c>
      <c r="DT219" s="45" t="str">
        <f>IFERROR(VLOOKUP(CONCATENATE('Respuestas de formulario 1.1'!$B219,MID('Respuestas de formulario 1.1'!DT$1,2,1)),#REF!,12,0),"")</f>
        <v/>
      </c>
      <c r="DU219" s="45" t="str">
        <f>IFERROR(VLOOKUP(CONCATENATE('Respuestas de formulario 1.1'!$B219,MID('Respuestas de formulario 1.1'!DU$1,2,1)),#REF!,12,0),"")</f>
        <v/>
      </c>
      <c r="DV219" s="45" t="str">
        <f>IFERROR(VLOOKUP(CONCATENATE('Respuestas de formulario 1.1'!$B219,MID('Respuestas de formulario 1.1'!DV$1,2,1)),#REF!,12,0),"")</f>
        <v/>
      </c>
      <c r="DW219" s="45" t="str">
        <f>IFERROR(VLOOKUP(CONCATENATE('Respuestas de formulario 1.1'!$B219,MID('Respuestas de formulario 1.1'!DW$1,2,1)),#REF!,12,0),"")</f>
        <v/>
      </c>
      <c r="DX219" s="45" t="str">
        <f>IFERROR(VLOOKUP(CONCATENATE('Respuestas de formulario 1.1'!$B219,MID('Respuestas de formulario 1.1'!DX$1,2,1)),#REF!,12,0),"")</f>
        <v/>
      </c>
      <c r="DY219" s="45" t="str">
        <f>IFERROR(VLOOKUP(CONCATENATE('Respuestas de formulario 1.1'!$B219,MID('Respuestas de formulario 1.1'!DY$1,2,1)),#REF!,12,0),"")</f>
        <v/>
      </c>
      <c r="DZ219" s="45" t="str">
        <f>IFERROR(VLOOKUP(CONCATENATE('Respuestas de formulario 1.1'!$B219,MID('Respuestas de formulario 1.1'!DZ$1,2,1)),#REF!,12,0),"")</f>
        <v/>
      </c>
      <c r="EA219" s="45" t="str">
        <f>IFERROR(VLOOKUP(CONCATENATE('Respuestas de formulario 1.1'!$B219,MID('Respuestas de formulario 1.1'!EA$1,2,1)),#REF!,12,0),"")</f>
        <v/>
      </c>
      <c r="EB219" s="45" t="str">
        <f>IFERROR(VLOOKUP(CONCATENATE('Respuestas de formulario 1.1'!$B219,MID('Respuestas de formulario 1.1'!EB$1,2,1)),#REF!,12,0),"")</f>
        <v/>
      </c>
      <c r="EC219" s="45" t="str">
        <f>IFERROR(VLOOKUP(CONCATENATE('Respuestas de formulario 1.1'!$B219,MID('Respuestas de formulario 1.1'!EC$1,2,1)),#REF!,12,0),"")</f>
        <v/>
      </c>
      <c r="ED219" s="45" t="str">
        <f>IFERROR(VLOOKUP(CONCATENATE('Respuestas de formulario 1.1'!$B219,MID('Respuestas de formulario 1.1'!ED$1,2,1)),#REF!,12,0),"")</f>
        <v/>
      </c>
      <c r="EE219" s="45" t="str">
        <f>IFERROR(VLOOKUP(CONCATENATE('Respuestas de formulario 1.1'!$B219,MID('Respuestas de formulario 1.1'!EE$1,2,1)),#REF!,12,0),"")</f>
        <v/>
      </c>
      <c r="EF219" s="45" t="str">
        <f>IFERROR(VLOOKUP(CONCATENATE('Respuestas de formulario 1.1'!$B219,MID('Respuestas de formulario 1.1'!EF$1,2,1)),#REF!,12,0),"")</f>
        <v/>
      </c>
      <c r="EG219" s="45" t="str">
        <f>IFERROR(VLOOKUP(CONCATENATE('Respuestas de formulario 1.1'!$B219,MID('Respuestas de formulario 1.1'!EG$1,2,1)),#REF!,12,0),"")</f>
        <v/>
      </c>
      <c r="EH219" s="45" t="str">
        <f>IFERROR(VLOOKUP(CONCATENATE('Respuestas de formulario 1.1'!$B219,MID('Respuestas de formulario 1.1'!EH$1,2,1)),#REF!,12,0),"")</f>
        <v/>
      </c>
      <c r="EI219" s="45" t="str">
        <f>IFERROR(VLOOKUP(CONCATENATE('Respuestas de formulario 1.1'!$B219,MID('Respuestas de formulario 1.1'!EI$1,2,1)),#REF!,12,0),"")</f>
        <v/>
      </c>
      <c r="EJ219" s="45" t="str">
        <f t="array" ref="EJ219">IF(DO219="","", INDEX(#REF!,MATCH(CONCATENATE('Respuestas de formulario 1.1'!$B219,DO219),#REF!,0),MATCH('Respuestas de formulario 1.1'!EJ$1,#REF!,0)))</f>
        <v/>
      </c>
      <c r="EK219" s="56" t="str">
        <f t="array" ref="EK219">IF(DP219="","", INDEX(#REF!,MATCH(CONCATENATE('Respuestas de formulario 1.1'!$B219,DP219),#REF!,0),MATCH('Respuestas de formulario 1.1'!EK$1,#REF!,0)))</f>
        <v/>
      </c>
      <c r="EL219" s="56" t="str">
        <f t="array" ref="EL219">IF(DQ219="","", INDEX(#REF!,MATCH(CONCATENATE('Respuestas de formulario 1.1'!$B219,DQ219),#REF!,0),MATCH('Respuestas de formulario 1.1'!EL$1,#REF!,0)))</f>
        <v/>
      </c>
      <c r="EM219" s="56" t="str">
        <f t="array" ref="EM219">IF(DR219="","", INDEX(#REF!,MATCH(CONCATENATE('Respuestas de formulario 1.1'!$B219,DR219),#REF!,0),MATCH('Respuestas de formulario 1.1'!EM$1,#REF!,0)))</f>
        <v/>
      </c>
      <c r="EN219" s="56" t="str">
        <f t="array" ref="EN219">IF(DS219="","", INDEX(#REF!,MATCH(CONCATENATE('Respuestas de formulario 1.1'!$B219,DS219),#REF!,0),MATCH('Respuestas de formulario 1.1'!EN$1,#REF!,0)))</f>
        <v/>
      </c>
      <c r="EO219" s="56" t="str">
        <f t="array" ref="EO219">IF(DT219="","", INDEX(#REF!,MATCH(CONCATENATE('Respuestas de formulario 1.1'!$B219,DT219),#REF!,0),MATCH('Respuestas de formulario 1.1'!EO$1,#REF!,0)))</f>
        <v/>
      </c>
      <c r="EP219" s="45" t="str">
        <f t="array" ref="EP219">IF(DU219="","", INDEX(#REF!,MATCH(CONCATENATE('Respuestas de formulario 1.1'!$B219,DU219),#REF!,0),MATCH('Respuestas de formulario 1.1'!EP$1,#REF!,0)))</f>
        <v/>
      </c>
      <c r="EQ219" s="45" t="str">
        <f t="array" ref="EQ219">IF(DP219="","", INDEX(#REF!,MATCH(CONCATENATE('Respuestas de formulario 1.1'!$B219,DP219),#REF!,0),MATCH('Respuestas de formulario 1.1'!EQ$1,#REF!,0)))</f>
        <v/>
      </c>
      <c r="ER219" s="56" t="str">
        <f t="array" ref="ER219">IF(DQ219="","", INDEX(#REF!,MATCH(CONCATENATE('Respuestas de formulario 1.1'!$B219,DQ219),#REF!,0),MATCH('Respuestas de formulario 1.1'!ER$1,#REF!,0)))</f>
        <v/>
      </c>
      <c r="ES219" s="56" t="str">
        <f t="array" ref="ES219">IF(DR219="","", INDEX(#REF!,MATCH(CONCATENATE('Respuestas de formulario 1.1'!$B219,DR219),#REF!,0),MATCH('Respuestas de formulario 1.1'!ES$1,#REF!,0)))</f>
        <v/>
      </c>
      <c r="ET219" s="56" t="str">
        <f t="array" ref="ET219">IF(DS219="","", INDEX(#REF!,MATCH(CONCATENATE('Respuestas de formulario 1.1'!$B219,DS219),#REF!,0),MATCH('Respuestas de formulario 1.1'!ET$1,#REF!,0)))</f>
        <v/>
      </c>
      <c r="EU219" s="56" t="str">
        <f t="array" ref="EU219">IF(DT219="","", INDEX(#REF!,MATCH(CONCATENATE('Respuestas de formulario 1.1'!$B219,DT219),#REF!,0),MATCH('Respuestas de formulario 1.1'!EU$1,#REF!,0)))</f>
        <v/>
      </c>
      <c r="EV219" s="56" t="str">
        <f t="array" ref="EV219">IF(DU219="","", INDEX(#REF!,MATCH(CONCATENATE('Respuestas de formulario 1.1'!$B219,DU219),#REF!,0),MATCH('Respuestas de formulario 1.1'!EV$1,#REF!,0)))</f>
        <v/>
      </c>
      <c r="EW219" s="45" t="str">
        <f t="array" ref="EW219">IF(DV219="","", INDEX(#REF!,MATCH(CONCATENATE('Respuestas de formulario 1.1'!$B219,DV219),#REF!,0),MATCH('Respuestas de formulario 1.1'!EW$1,#REF!,0)))</f>
        <v/>
      </c>
      <c r="EX219" s="45" t="str">
        <f t="array" ref="EX219">IF($DQ219="","", INDEX(#REF!,MATCH(CONCATENATE('Respuestas de formulario 1.1'!$B219,$DQ219),#REF!,0),MATCH('Respuestas de formulario 1.1'!EX$1,#REF!,0)))</f>
        <v/>
      </c>
      <c r="EY219" s="56" t="str">
        <f t="array" ref="EY219">IF($DQ219="","", INDEX(#REF!,MATCH(CONCATENATE('Respuestas de formulario 1.1'!$B219,$DQ219),#REF!,0),MATCH('Respuestas de formulario 1.1'!EY$1,#REF!,0)))</f>
        <v/>
      </c>
      <c r="EZ219" s="56" t="str">
        <f t="array" ref="EZ219">IF($DQ219="","", INDEX(#REF!,MATCH(CONCATENATE('Respuestas de formulario 1.1'!$B219,$DQ219),#REF!,0),MATCH('Respuestas de formulario 1.1'!EZ$1,#REF!,0)))</f>
        <v/>
      </c>
      <c r="FA219" s="56" t="str">
        <f t="array" ref="FA219">IF($DQ219="","", INDEX(#REF!,MATCH(CONCATENATE('Respuestas de formulario 1.1'!$B219,$DQ219),#REF!,0),MATCH('Respuestas de formulario 1.1'!FA$1,#REF!,0)))</f>
        <v/>
      </c>
      <c r="FB219" s="56" t="str">
        <f t="array" ref="FB219">IF($DQ219="","", INDEX(#REF!,MATCH(CONCATENATE('Respuestas de formulario 1.1'!$B219,$DQ219),#REF!,0),MATCH('Respuestas de formulario 1.1'!FB$1,#REF!,0)))</f>
        <v/>
      </c>
      <c r="FC219" s="56" t="str">
        <f t="array" ref="FC219">IF($DQ219="","", INDEX(#REF!,MATCH(CONCATENATE('Respuestas de formulario 1.1'!$B219,$DQ219),#REF!,0),MATCH('Respuestas de formulario 1.1'!FC$1,#REF!,0)))</f>
        <v/>
      </c>
      <c r="FD219" s="45" t="str">
        <f t="array" ref="FD219">IF($DQ219="","", INDEX(#REF!,MATCH(CONCATENATE('Respuestas de formulario 1.1'!$B219,$DQ219),#REF!,0),MATCH('Respuestas de formulario 1.1'!FD$1,#REF!,0)))</f>
        <v/>
      </c>
      <c r="FE219" s="45" t="str">
        <f t="array" ref="FE219">IF($DR219="","", INDEX(#REF!,MATCH(CONCATENATE(#REF!,$DR219),#REF!,0),MATCH(#REF!,#REF!,0)))</f>
        <v/>
      </c>
      <c r="FF219" s="56" t="str">
        <f t="array" ref="FF219">IF($DR219="","", INDEX(#REF!,MATCH(CONCATENATE(#REF!,$DR219),#REF!,0),MATCH(#REF!,#REF!,0)))</f>
        <v/>
      </c>
      <c r="FG219" s="56" t="str">
        <f t="array" ref="FG219">IF($DR219="","", INDEX(#REF!,MATCH(CONCATENATE(#REF!,$DR219),#REF!,0),MATCH(#REF!,#REF!,0)))</f>
        <v/>
      </c>
      <c r="FH219" s="56" t="str">
        <f t="array" ref="FH219">IF($DR219="","", INDEX(#REF!,MATCH(CONCATENATE(#REF!,$DR219),#REF!,0),MATCH(#REF!,#REF!,0)))</f>
        <v/>
      </c>
      <c r="FI219" s="56" t="str">
        <f t="array" ref="FI219">IF($DR219="","", INDEX(#REF!,MATCH(CONCATENATE(#REF!,$DR219),#REF!,0),MATCH(#REF!,#REF!,0)))</f>
        <v/>
      </c>
      <c r="FJ219" s="56" t="str">
        <f t="array" ref="FJ219">IF($DR219="","", INDEX(#REF!,MATCH(CONCATENATE(#REF!,$DR219),#REF!,0),MATCH(#REF!,#REF!,0)))</f>
        <v/>
      </c>
      <c r="FK219" s="45" t="str">
        <f t="array" ref="FK219">IF($DR219="","", INDEX(#REF!,MATCH(CONCATENATE(#REF!,$DR219),#REF!,0),MATCH(#REF!,#REF!,0)))</f>
        <v/>
      </c>
      <c r="FL219" s="45" t="str">
        <f t="array" ref="FL219">IF($DT219="","", INDEX(#REF!,MATCH(CONCATENATE('Respuestas de formulario 1.1'!$B219,$DS219),#REF!,0),MATCH('Respuestas de formulario 1.1'!FL$1,#REF!,0)))</f>
        <v/>
      </c>
      <c r="FM219" s="56" t="str">
        <f t="array" ref="FM219">IF($DT219="","", INDEX(#REF!,MATCH(CONCATENATE('Respuestas de formulario 1.1'!$B219,$DS219),#REF!,0),MATCH('Respuestas de formulario 1.1'!FM$1,#REF!,0)))</f>
        <v/>
      </c>
      <c r="FN219" s="56" t="str">
        <f t="array" ref="FN219">IF($DT219="","", INDEX(#REF!,MATCH(CONCATENATE('Respuestas de formulario 1.1'!$B219,$DS219),#REF!,0),MATCH('Respuestas de formulario 1.1'!FN$1,#REF!,0)))</f>
        <v/>
      </c>
      <c r="FO219" s="56" t="str">
        <f t="array" ref="FO219">IF($DT219="","", INDEX(#REF!,MATCH(CONCATENATE('Respuestas de formulario 1.1'!$B219,$DS219),#REF!,0),MATCH('Respuestas de formulario 1.1'!FO$1,#REF!,0)))</f>
        <v/>
      </c>
      <c r="FP219" s="56" t="str">
        <f t="array" ref="FP219">IF($DT219="","", INDEX(#REF!,MATCH(CONCATENATE('Respuestas de formulario 1.1'!$B219,$DS219),#REF!,0),MATCH('Respuestas de formulario 1.1'!FP$1,#REF!,0)))</f>
        <v/>
      </c>
      <c r="FQ219" s="56" t="str">
        <f t="array" ref="FQ219">IF($DT219="","", INDEX(#REF!,MATCH(CONCATENATE('Respuestas de formulario 1.1'!$B219,$DS219),#REF!,0),MATCH('Respuestas de formulario 1.1'!FQ$1,#REF!,0)))</f>
        <v/>
      </c>
      <c r="FR219" s="45" t="str">
        <f t="array" ref="FR219">IF($DT219="","", INDEX(#REF!,MATCH(CONCATENATE('Respuestas de formulario 1.1'!$B219,$DS219),#REF!,0),MATCH('Respuestas de formulario 1.1'!FR$1,#REF!,0)))</f>
        <v/>
      </c>
      <c r="FS219" s="45" t="str">
        <f t="array" ref="FS219">IF($DU219="","", INDEX(#REF!,MATCH(CONCATENATE('Respuestas de formulario 1.1'!$B219,$DT219),#REF!,0),MATCH('Respuestas de formulario 1.1'!FS$1,#REF!,0)))</f>
        <v/>
      </c>
      <c r="FT219" s="56" t="str">
        <f t="array" ref="FT219">IF($DU219="","", INDEX(#REF!,MATCH(CONCATENATE('Respuestas de formulario 1.1'!$B219,$DT219),#REF!,0),MATCH('Respuestas de formulario 1.1'!FT$1,#REF!,0)))</f>
        <v/>
      </c>
      <c r="FU219" s="56" t="str">
        <f t="array" ref="FU219">IF($DU219="","", INDEX(#REF!,MATCH(CONCATENATE('Respuestas de formulario 1.1'!$B219,$DT219),#REF!,0),MATCH('Respuestas de formulario 1.1'!FU$1,#REF!,0)))</f>
        <v/>
      </c>
      <c r="FV219" s="56" t="str">
        <f t="array" ref="FV219">IF($DU219="","", INDEX(#REF!,MATCH(CONCATENATE('Respuestas de formulario 1.1'!$B219,$DT219),#REF!,0),MATCH('Respuestas de formulario 1.1'!FV$1,#REF!,0)))</f>
        <v/>
      </c>
      <c r="FW219" s="56" t="str">
        <f t="array" ref="FW219">IF($DU219="","", INDEX(#REF!,MATCH(CONCATENATE('Respuestas de formulario 1.1'!$B219,$DT219),#REF!,0),MATCH('Respuestas de formulario 1.1'!FW$1,#REF!,0)))</f>
        <v/>
      </c>
      <c r="FX219" s="56" t="str">
        <f t="array" ref="FX219">IF($DU219="","", INDEX(#REF!,MATCH(CONCATENATE('Respuestas de formulario 1.1'!$B219,$DT219),#REF!,0),MATCH('Respuestas de formulario 1.1'!FX$1,#REF!,0)))</f>
        <v/>
      </c>
      <c r="FY219" s="45" t="str">
        <f t="array" ref="FY219">IF($DU219="","", INDEX(#REF!,MATCH(CONCATENATE('Respuestas de formulario 1.1'!$B219,$DT219),#REF!,0),MATCH('Respuestas de formulario 1.1'!FY$1,#REF!,0)))</f>
        <v/>
      </c>
      <c r="FZ219" s="3" t="s">
        <v>2860</v>
      </c>
      <c r="GA219" s="1" t="s">
        <v>6605</v>
      </c>
      <c r="GB219" s="5" t="s">
        <v>6606</v>
      </c>
      <c r="GC219" s="4" t="str">
        <f>HYPERLINK("https://drive.google.com/file/d/1BdREQQu0FseZPZyhTUNOb-ksbSY-FyOI/view?usp=drivesdk","ALCALA  PACHECO  ADAMARY HAYDEE Formato de reinscripción y pago 2022-2")</f>
        <v>ALCALA  PACHECO  ADAMARY HAYDEE Formato de reinscripción y pago 2022-2</v>
      </c>
      <c r="GD219" s="1" t="s">
        <v>6607</v>
      </c>
      <c r="GE219" s="1"/>
      <c r="GF219" s="1"/>
      <c r="GG219" s="1"/>
      <c r="GH219" s="1"/>
      <c r="GI219" s="1" t="s">
        <v>6608</v>
      </c>
      <c r="GJ219" s="5" t="s">
        <v>6609</v>
      </c>
      <c r="GK219" s="5" t="str">
        <f>HYPERLINK("https://drive.google.com/file/d/1EL55Yg9j6haEerBZRCgAJUdvHPCV_ijM/view?usp=drivesdk","ALCALA  PACHECO  ADAMARY HAYDEE Formato de reinscripción y pago 2022-2")</f>
        <v>ALCALA  PACHECO  ADAMARY HAYDEE Formato de reinscripción y pago 2022-2</v>
      </c>
      <c r="GL219" s="1" t="s">
        <v>6610</v>
      </c>
    </row>
    <row r="220" spans="1:194" ht="38.25" x14ac:dyDescent="0.2">
      <c r="A220" s="2">
        <v>45139.808662812502</v>
      </c>
      <c r="B220" s="1" t="s">
        <v>2566</v>
      </c>
      <c r="C220" s="1" t="s">
        <v>2567</v>
      </c>
      <c r="D220" s="1" t="s">
        <v>1632</v>
      </c>
      <c r="E220" s="1" t="s">
        <v>2568</v>
      </c>
      <c r="F220" s="1" t="s">
        <v>223</v>
      </c>
      <c r="G220" s="5" t="s">
        <v>6611</v>
      </c>
      <c r="H220" s="41">
        <v>39343</v>
      </c>
      <c r="I220" s="1">
        <v>15</v>
      </c>
      <c r="J220" s="1">
        <v>5567403608</v>
      </c>
      <c r="K220" s="1">
        <v>5531631821</v>
      </c>
      <c r="L220" s="1" t="s">
        <v>2569</v>
      </c>
      <c r="M220" s="1">
        <v>22309060570769</v>
      </c>
      <c r="N220" s="1" t="s">
        <v>562</v>
      </c>
      <c r="O220" s="1" t="s">
        <v>247</v>
      </c>
      <c r="P220" s="1" t="s">
        <v>226</v>
      </c>
      <c r="Q220" s="1" t="s">
        <v>315</v>
      </c>
      <c r="R220" s="1" t="s">
        <v>236</v>
      </c>
      <c r="S220" s="1" t="s">
        <v>228</v>
      </c>
      <c r="T220" s="1" t="s">
        <v>229</v>
      </c>
      <c r="U220" s="1" t="s">
        <v>2029</v>
      </c>
      <c r="V220" s="1" t="s">
        <v>228</v>
      </c>
      <c r="W220" s="1" t="s">
        <v>2624</v>
      </c>
      <c r="X220" s="1" t="s">
        <v>249</v>
      </c>
      <c r="Y220" s="1" t="s">
        <v>1673</v>
      </c>
      <c r="Z220" s="1" t="s">
        <v>240</v>
      </c>
      <c r="AA220" s="44" t="s">
        <v>1450</v>
      </c>
      <c r="AB220" s="1">
        <v>43</v>
      </c>
      <c r="AC220" s="1">
        <v>7</v>
      </c>
      <c r="AD220" s="1" t="s">
        <v>6612</v>
      </c>
      <c r="AE220" s="1" t="s">
        <v>6613</v>
      </c>
      <c r="AF220" s="1" t="s">
        <v>461</v>
      </c>
      <c r="AG220" s="1">
        <v>40</v>
      </c>
      <c r="AH220" s="5" t="s">
        <v>6614</v>
      </c>
      <c r="AI220" s="1">
        <v>5531631821</v>
      </c>
      <c r="AJ220" s="1">
        <v>5931089701</v>
      </c>
      <c r="AK220" s="1" t="s">
        <v>2570</v>
      </c>
      <c r="AL220" s="1" t="s">
        <v>6615</v>
      </c>
      <c r="AM220" s="1" t="s">
        <v>486</v>
      </c>
      <c r="AN220" s="1" t="s">
        <v>2627</v>
      </c>
      <c r="AO220" s="1" t="s">
        <v>359</v>
      </c>
      <c r="AP220" s="1">
        <v>65</v>
      </c>
      <c r="AQ220" s="1" t="s">
        <v>454</v>
      </c>
      <c r="AR220" s="42">
        <v>0.33333333333575865</v>
      </c>
      <c r="AS220" s="42">
        <v>0.91666666666424135</v>
      </c>
      <c r="AT220" s="1">
        <v>5556914218</v>
      </c>
      <c r="AU220" s="1">
        <v>5556914218</v>
      </c>
      <c r="AV220" s="1"/>
      <c r="AW220" s="5" t="s">
        <v>6616</v>
      </c>
      <c r="AX220" s="1" t="s">
        <v>1632</v>
      </c>
      <c r="AY220" s="1" t="s">
        <v>6617</v>
      </c>
      <c r="AZ220" s="1" t="s">
        <v>6618</v>
      </c>
      <c r="BA220" s="1" t="s">
        <v>1354</v>
      </c>
      <c r="BB220" s="1">
        <v>66</v>
      </c>
      <c r="BC220" s="1" t="s">
        <v>294</v>
      </c>
      <c r="BD220" s="43">
        <v>0.375</v>
      </c>
      <c r="BE220" s="43">
        <v>1</v>
      </c>
      <c r="BF220" s="1">
        <v>5544832821</v>
      </c>
      <c r="BG220" s="1">
        <v>5544832821</v>
      </c>
      <c r="BH220" s="1"/>
      <c r="BI220" s="5" t="s">
        <v>6619</v>
      </c>
      <c r="BJ220" s="1" t="s">
        <v>228</v>
      </c>
      <c r="BK220" s="1" t="s">
        <v>1961</v>
      </c>
      <c r="BL220" s="1">
        <v>1.65</v>
      </c>
      <c r="BM220" s="1">
        <v>50</v>
      </c>
      <c r="BN220" s="1" t="s">
        <v>236</v>
      </c>
      <c r="BO220" s="1" t="s">
        <v>228</v>
      </c>
      <c r="BQ220" s="1" t="s">
        <v>228</v>
      </c>
      <c r="BR220" s="1" t="s">
        <v>237</v>
      </c>
      <c r="BS220" s="1" t="s">
        <v>228</v>
      </c>
      <c r="BT220" s="1" t="s">
        <v>237</v>
      </c>
      <c r="BU220" s="1" t="s">
        <v>228</v>
      </c>
      <c r="BW220" s="1" t="s">
        <v>238</v>
      </c>
      <c r="BX220" s="1">
        <v>2</v>
      </c>
      <c r="BY220" s="1">
        <v>20</v>
      </c>
      <c r="BZ220" s="1" t="s">
        <v>253</v>
      </c>
      <c r="CA220" s="1" t="s">
        <v>400</v>
      </c>
      <c r="CB220" s="1" t="s">
        <v>240</v>
      </c>
      <c r="CC220" s="1" t="s">
        <v>274</v>
      </c>
      <c r="CD220" s="1">
        <v>1000</v>
      </c>
      <c r="CE220" s="1">
        <v>1500</v>
      </c>
      <c r="CF220" s="1" t="s">
        <v>236</v>
      </c>
      <c r="CG220" s="1" t="s">
        <v>242</v>
      </c>
      <c r="CH220" s="1" t="s">
        <v>243</v>
      </c>
      <c r="CI220" s="1" t="s">
        <v>243</v>
      </c>
      <c r="CJ220" s="1" t="s">
        <v>2848</v>
      </c>
      <c r="CL220" s="5" t="s">
        <v>6620</v>
      </c>
      <c r="CM220" s="1">
        <v>3098782566</v>
      </c>
      <c r="CN220" s="1" t="s">
        <v>228</v>
      </c>
      <c r="CQ220" s="42">
        <v>0.375</v>
      </c>
      <c r="CR220" s="42">
        <v>0.25</v>
      </c>
      <c r="CT220" s="45" t="str">
        <f t="array" ref="CT220">IFERROR(INDEX(#REF!,MATCH('Respuestas de formulario 1.1'!$B220,#REF!,0),MATCH('Respuestas de formulario 1.1'!CT$1,#REF!,0)),"")</f>
        <v/>
      </c>
      <c r="CU220" s="56" t="str">
        <f t="array" ref="CU220">IFERROR(INDEX(#REF!,MATCH('Respuestas de formulario 1.1'!$B220,#REF!,0),MATCH('Respuestas de formulario 1.1'!CU$1,#REF!,0)),"")</f>
        <v/>
      </c>
      <c r="CV220" s="56" t="str">
        <f t="array" ref="CV220">IFERROR(INDEX(#REF!,MATCH('Respuestas de formulario 1.1'!$B220,#REF!,0),MATCH('Respuestas de formulario 1.1'!CV$1,#REF!,0)),"")</f>
        <v/>
      </c>
      <c r="CW220" s="56" t="str">
        <f t="array" ref="CW220">IFERROR(INDEX(#REF!,MATCH('Respuestas de formulario 1.1'!$B220,#REF!,0),MATCH('Respuestas de formulario 1.1'!CW$1,#REF!,0)),"")</f>
        <v/>
      </c>
      <c r="CX220" s="56" t="str">
        <f t="array" ref="CX220">IFERROR(INDEX(#REF!,MATCH('Respuestas de formulario 1.1'!$B220,#REF!,0),MATCH('Respuestas de formulario 1.1'!CX$1,#REF!,0)),"")</f>
        <v/>
      </c>
      <c r="CY220" s="56" t="str">
        <f t="array" ref="CY220">IFERROR(INDEX(#REF!,MATCH('Respuestas de formulario 1.1'!$B220,#REF!,0),MATCH('Respuestas de formulario 1.1'!CY$1,#REF!,0)),"")</f>
        <v/>
      </c>
      <c r="CZ220" s="57" t="str">
        <f t="array" ref="CZ220">IFERROR(INDEX(#REF!,MATCH('Respuestas de formulario 1.1'!$B220,#REF!,0),MATCH('Respuestas de formulario 1.1'!CZ$1,#REF!,0)),"")</f>
        <v/>
      </c>
      <c r="DA220" s="45" t="e">
        <f t="array" ref="DA220">INDEX(#REF!,MATCH('Respuestas de formulario 1.1'!$B220,#REF!,0),MATCH('Respuestas de formulario 1.1'!DA$1,#REF!,0))</f>
        <v>#REF!</v>
      </c>
      <c r="DB220" s="45" t="e">
        <f t="array" ref="DB220">INDEX(#REF!,MATCH('Respuestas de formulario 1.1'!$B220,#REF!,0),MATCH('Respuestas de formulario 1.1'!DB$1,#REF!,0))</f>
        <v>#REF!</v>
      </c>
      <c r="DC220" s="45" t="e">
        <f t="array" ref="DC220">INDEX(#REF!,MATCH('Respuestas de formulario 1.1'!$B220,#REF!,0),MATCH('Respuestas de formulario 1.1'!DC$1,#REF!,0))</f>
        <v>#REF!</v>
      </c>
      <c r="DD220" s="45" t="e">
        <f t="array" ref="DD220">INDEX(#REF!,MATCH('Respuestas de formulario 1.1'!$B220,#REF!,0),MATCH('Respuestas de formulario 1.1'!DD$1,#REF!,0))</f>
        <v>#REF!</v>
      </c>
      <c r="DE220" s="45" t="e">
        <f t="array" ref="DE220">INDEX(#REF!,MATCH('Respuestas de formulario 1.1'!$B220,#REF!,0),MATCH('Respuestas de formulario 1.1'!DE$1,#REF!,0))</f>
        <v>#REF!</v>
      </c>
      <c r="DF220" s="45" t="e">
        <f t="array" ref="DF220">INDEX(#REF!,MATCH('Respuestas de formulario 1.1'!$B220,#REF!,0),MATCH('Respuestas de formulario 1.1'!DF$1,#REF!,0))</f>
        <v>#REF!</v>
      </c>
      <c r="DG220" s="45" t="e">
        <f t="array" ref="DG220">INDEX(#REF!,MATCH('Respuestas de formulario 1.1'!$B220,#REF!,0),MATCH('Respuestas de formulario 1.1'!DG$1,#REF!,0))</f>
        <v>#REF!</v>
      </c>
      <c r="DH220" s="45" t="e">
        <f t="array" ref="DH220">INDEX(#REF!,MATCH('Respuestas de formulario 1.1'!$B220,#REF!,0),MATCH('Respuestas de formulario 1.1'!DH$1,#REF!,0))</f>
        <v>#REF!</v>
      </c>
      <c r="DI220" s="48" t="e">
        <f>VLOOKUP(CONCATENATE($DF220," TUTO ",$DC220),#REF!,3,0)</f>
        <v>#REF!</v>
      </c>
      <c r="DJ220" s="48" t="e">
        <f t="array" ref="DJ220">IF('Respuestas de formulario 1.1'!A220="","",INDEX(#REF!,MATCH('Respuestas de formulario 1.1'!B220,#REF!,0),MATCH('Respuestas de formulario 1.1'!$DH$1,#REF!,0)))</f>
        <v>#REF!</v>
      </c>
      <c r="DK220" s="52" t="str">
        <f>CONCATENATE("http://doc.google.com/uc?id=",MID('Respuestas de formulario 1.1'!G220,34,33))</f>
        <v>http://doc.google.com/uc?id=15Ir1rNoC7vBrGWFMDvooeHwX2fkXQs2D</v>
      </c>
      <c r="DL220" s="49" t="str">
        <f>CONCATENATE("http://doc.google.com/uc?id=",MID('Respuestas de formulario 1.1'!AH220,34,33))</f>
        <v>http://doc.google.com/uc?id=1OeXfbLFqK84VFNMPce8SpFTbxwb8wgDo</v>
      </c>
      <c r="DM220" s="50" t="str">
        <f>CONCATENATE("http://doc.google.com/uc?id=",MID('Respuestas de formulario 1.1'!AW220,34,33))</f>
        <v>http://doc.google.com/uc?id=1qBQ15k91LyAhEhmZQUDdQTGnVeXjJr-b</v>
      </c>
      <c r="DN220" s="53" t="str">
        <f>CONCATENATE("http://doc.google.com/uc?id=",MID('Respuestas de formulario 1.1'!$BI220,34,33))</f>
        <v>http://doc.google.com/uc?id=14jW2jOm-U3YUbrRUtb7jKvMQB6s-gMfP</v>
      </c>
      <c r="DO220" s="45" t="str">
        <f>IFERROR(VLOOKUP(CONCATENATE('Respuestas de formulario 1.1'!$B220,MID('Respuestas de formulario 1.1'!DO$1,2,1)),#REF!,12,0),"")</f>
        <v/>
      </c>
      <c r="DP220" s="45" t="str">
        <f>IFERROR(VLOOKUP(CONCATENATE('Respuestas de formulario 1.1'!$B220,MID('Respuestas de formulario 1.1'!DP$1,2,1)),#REF!,12,0),"")</f>
        <v/>
      </c>
      <c r="DQ220" s="45" t="str">
        <f>IFERROR(VLOOKUP(CONCATENATE('Respuestas de formulario 1.1'!$B220,MID('Respuestas de formulario 1.1'!DQ$1,2,1)),#REF!,12,0),"")</f>
        <v/>
      </c>
      <c r="DR220" s="45" t="str">
        <f>IFERROR(VLOOKUP(CONCATENATE('Respuestas de formulario 1.1'!$B220,MID('Respuestas de formulario 1.1'!DR$1,2,1)),#REF!,12,0),"")</f>
        <v/>
      </c>
      <c r="DS220" s="45" t="str">
        <f>IFERROR(VLOOKUP(CONCATENATE('Respuestas de formulario 1.1'!$B220,MID('Respuestas de formulario 1.1'!DS$1,2,1)),#REF!,12,0),"")</f>
        <v/>
      </c>
      <c r="DT220" s="45" t="str">
        <f>IFERROR(VLOOKUP(CONCATENATE('Respuestas de formulario 1.1'!$B220,MID('Respuestas de formulario 1.1'!DT$1,2,1)),#REF!,12,0),"")</f>
        <v/>
      </c>
      <c r="DU220" s="45" t="str">
        <f>IFERROR(VLOOKUP(CONCATENATE('Respuestas de formulario 1.1'!$B220,MID('Respuestas de formulario 1.1'!DU$1,2,1)),#REF!,12,0),"")</f>
        <v/>
      </c>
      <c r="DV220" s="45" t="str">
        <f>IFERROR(VLOOKUP(CONCATENATE('Respuestas de formulario 1.1'!$B220,MID('Respuestas de formulario 1.1'!DV$1,2,1)),#REF!,12,0),"")</f>
        <v/>
      </c>
      <c r="DW220" s="45" t="str">
        <f>IFERROR(VLOOKUP(CONCATENATE('Respuestas de formulario 1.1'!$B220,MID('Respuestas de formulario 1.1'!DW$1,2,1)),#REF!,12,0),"")</f>
        <v/>
      </c>
      <c r="DX220" s="45" t="str">
        <f>IFERROR(VLOOKUP(CONCATENATE('Respuestas de formulario 1.1'!$B220,MID('Respuestas de formulario 1.1'!DX$1,2,1)),#REF!,12,0),"")</f>
        <v/>
      </c>
      <c r="DY220" s="45" t="str">
        <f>IFERROR(VLOOKUP(CONCATENATE('Respuestas de formulario 1.1'!$B220,MID('Respuestas de formulario 1.1'!DY$1,2,1)),#REF!,12,0),"")</f>
        <v/>
      </c>
      <c r="DZ220" s="45" t="str">
        <f>IFERROR(VLOOKUP(CONCATENATE('Respuestas de formulario 1.1'!$B220,MID('Respuestas de formulario 1.1'!DZ$1,2,1)),#REF!,12,0),"")</f>
        <v/>
      </c>
      <c r="EA220" s="45" t="str">
        <f>IFERROR(VLOOKUP(CONCATENATE('Respuestas de formulario 1.1'!$B220,MID('Respuestas de formulario 1.1'!EA$1,2,1)),#REF!,12,0),"")</f>
        <v/>
      </c>
      <c r="EB220" s="45" t="str">
        <f>IFERROR(VLOOKUP(CONCATENATE('Respuestas de formulario 1.1'!$B220,MID('Respuestas de formulario 1.1'!EB$1,2,1)),#REF!,12,0),"")</f>
        <v/>
      </c>
      <c r="EC220" s="45" t="str">
        <f>IFERROR(VLOOKUP(CONCATENATE('Respuestas de formulario 1.1'!$B220,MID('Respuestas de formulario 1.1'!EC$1,2,1)),#REF!,12,0),"")</f>
        <v/>
      </c>
      <c r="ED220" s="45" t="str">
        <f>IFERROR(VLOOKUP(CONCATENATE('Respuestas de formulario 1.1'!$B220,MID('Respuestas de formulario 1.1'!ED$1,2,1)),#REF!,12,0),"")</f>
        <v/>
      </c>
      <c r="EE220" s="45" t="str">
        <f>IFERROR(VLOOKUP(CONCATENATE('Respuestas de formulario 1.1'!$B220,MID('Respuestas de formulario 1.1'!EE$1,2,1)),#REF!,12,0),"")</f>
        <v/>
      </c>
      <c r="EF220" s="45" t="str">
        <f>IFERROR(VLOOKUP(CONCATENATE('Respuestas de formulario 1.1'!$B220,MID('Respuestas de formulario 1.1'!EF$1,2,1)),#REF!,12,0),"")</f>
        <v/>
      </c>
      <c r="EG220" s="45" t="str">
        <f>IFERROR(VLOOKUP(CONCATENATE('Respuestas de formulario 1.1'!$B220,MID('Respuestas de formulario 1.1'!EG$1,2,1)),#REF!,12,0),"")</f>
        <v/>
      </c>
      <c r="EH220" s="45" t="str">
        <f>IFERROR(VLOOKUP(CONCATENATE('Respuestas de formulario 1.1'!$B220,MID('Respuestas de formulario 1.1'!EH$1,2,1)),#REF!,12,0),"")</f>
        <v/>
      </c>
      <c r="EI220" s="45" t="str">
        <f>IFERROR(VLOOKUP(CONCATENATE('Respuestas de formulario 1.1'!$B220,MID('Respuestas de formulario 1.1'!EI$1,2,1)),#REF!,12,0),"")</f>
        <v/>
      </c>
      <c r="EJ220" s="45" t="str">
        <f t="array" ref="EJ220">IF(DO220="","", INDEX(#REF!,MATCH(CONCATENATE('Respuestas de formulario 1.1'!$B220,DO220),#REF!,0),MATCH('Respuestas de formulario 1.1'!EJ$1,#REF!,0)))</f>
        <v/>
      </c>
      <c r="EK220" s="56" t="str">
        <f t="array" ref="EK220">IF(DP220="","", INDEX(#REF!,MATCH(CONCATENATE('Respuestas de formulario 1.1'!$B220,DP220),#REF!,0),MATCH('Respuestas de formulario 1.1'!EK$1,#REF!,0)))</f>
        <v/>
      </c>
      <c r="EL220" s="56" t="str">
        <f t="array" ref="EL220">IF(DQ220="","", INDEX(#REF!,MATCH(CONCATENATE('Respuestas de formulario 1.1'!$B220,DQ220),#REF!,0),MATCH('Respuestas de formulario 1.1'!EL$1,#REF!,0)))</f>
        <v/>
      </c>
      <c r="EM220" s="56" t="str">
        <f t="array" ref="EM220">IF(DR220="","", INDEX(#REF!,MATCH(CONCATENATE('Respuestas de formulario 1.1'!$B220,DR220),#REF!,0),MATCH('Respuestas de formulario 1.1'!EM$1,#REF!,0)))</f>
        <v/>
      </c>
      <c r="EN220" s="56" t="str">
        <f t="array" ref="EN220">IF(DS220="","", INDEX(#REF!,MATCH(CONCATENATE('Respuestas de formulario 1.1'!$B220,DS220),#REF!,0),MATCH('Respuestas de formulario 1.1'!EN$1,#REF!,0)))</f>
        <v/>
      </c>
      <c r="EO220" s="56" t="str">
        <f t="array" ref="EO220">IF(DT220="","", INDEX(#REF!,MATCH(CONCATENATE('Respuestas de formulario 1.1'!$B220,DT220),#REF!,0),MATCH('Respuestas de formulario 1.1'!EO$1,#REF!,0)))</f>
        <v/>
      </c>
      <c r="EP220" s="45" t="str">
        <f t="array" ref="EP220">IF(DU220="","", INDEX(#REF!,MATCH(CONCATENATE('Respuestas de formulario 1.1'!$B220,DU220),#REF!,0),MATCH('Respuestas de formulario 1.1'!EP$1,#REF!,0)))</f>
        <v/>
      </c>
      <c r="EQ220" s="45" t="str">
        <f t="array" ref="EQ220">IF(DP220="","", INDEX(#REF!,MATCH(CONCATENATE('Respuestas de formulario 1.1'!$B220,DP220),#REF!,0),MATCH('Respuestas de formulario 1.1'!EQ$1,#REF!,0)))</f>
        <v/>
      </c>
      <c r="ER220" s="56" t="str">
        <f t="array" ref="ER220">IF(DQ220="","", INDEX(#REF!,MATCH(CONCATENATE('Respuestas de formulario 1.1'!$B220,DQ220),#REF!,0),MATCH('Respuestas de formulario 1.1'!ER$1,#REF!,0)))</f>
        <v/>
      </c>
      <c r="ES220" s="56" t="str">
        <f t="array" ref="ES220">IF(DR220="","", INDEX(#REF!,MATCH(CONCATENATE('Respuestas de formulario 1.1'!$B220,DR220),#REF!,0),MATCH('Respuestas de formulario 1.1'!ES$1,#REF!,0)))</f>
        <v/>
      </c>
      <c r="ET220" s="56" t="str">
        <f t="array" ref="ET220">IF(DS220="","", INDEX(#REF!,MATCH(CONCATENATE('Respuestas de formulario 1.1'!$B220,DS220),#REF!,0),MATCH('Respuestas de formulario 1.1'!ET$1,#REF!,0)))</f>
        <v/>
      </c>
      <c r="EU220" s="56" t="str">
        <f t="array" ref="EU220">IF(DT220="","", INDEX(#REF!,MATCH(CONCATENATE('Respuestas de formulario 1.1'!$B220,DT220),#REF!,0),MATCH('Respuestas de formulario 1.1'!EU$1,#REF!,0)))</f>
        <v/>
      </c>
      <c r="EV220" s="56" t="str">
        <f t="array" ref="EV220">IF(DU220="","", INDEX(#REF!,MATCH(CONCATENATE('Respuestas de formulario 1.1'!$B220,DU220),#REF!,0),MATCH('Respuestas de formulario 1.1'!EV$1,#REF!,0)))</f>
        <v/>
      </c>
      <c r="EW220" s="45" t="str">
        <f t="array" ref="EW220">IF(DV220="","", INDEX(#REF!,MATCH(CONCATENATE('Respuestas de formulario 1.1'!$B220,DV220),#REF!,0),MATCH('Respuestas de formulario 1.1'!EW$1,#REF!,0)))</f>
        <v/>
      </c>
      <c r="EX220" s="45" t="str">
        <f t="array" ref="EX220">IF($DQ220="","", INDEX(#REF!,MATCH(CONCATENATE('Respuestas de formulario 1.1'!$B220,$DQ220),#REF!,0),MATCH('Respuestas de formulario 1.1'!EX$1,#REF!,0)))</f>
        <v/>
      </c>
      <c r="EY220" s="56" t="str">
        <f t="array" ref="EY220">IF($DQ220="","", INDEX(#REF!,MATCH(CONCATENATE('Respuestas de formulario 1.1'!$B220,$DQ220),#REF!,0),MATCH('Respuestas de formulario 1.1'!EY$1,#REF!,0)))</f>
        <v/>
      </c>
      <c r="EZ220" s="56" t="str">
        <f t="array" ref="EZ220">IF($DQ220="","", INDEX(#REF!,MATCH(CONCATENATE('Respuestas de formulario 1.1'!$B220,$DQ220),#REF!,0),MATCH('Respuestas de formulario 1.1'!EZ$1,#REF!,0)))</f>
        <v/>
      </c>
      <c r="FA220" s="56" t="str">
        <f t="array" ref="FA220">IF($DQ220="","", INDEX(#REF!,MATCH(CONCATENATE('Respuestas de formulario 1.1'!$B220,$DQ220),#REF!,0),MATCH('Respuestas de formulario 1.1'!FA$1,#REF!,0)))</f>
        <v/>
      </c>
      <c r="FB220" s="56" t="str">
        <f t="array" ref="FB220">IF($DQ220="","", INDEX(#REF!,MATCH(CONCATENATE('Respuestas de formulario 1.1'!$B220,$DQ220),#REF!,0),MATCH('Respuestas de formulario 1.1'!FB$1,#REF!,0)))</f>
        <v/>
      </c>
      <c r="FC220" s="56" t="str">
        <f t="array" ref="FC220">IF($DQ220="","", INDEX(#REF!,MATCH(CONCATENATE('Respuestas de formulario 1.1'!$B220,$DQ220),#REF!,0),MATCH('Respuestas de formulario 1.1'!FC$1,#REF!,0)))</f>
        <v/>
      </c>
      <c r="FD220" s="45" t="str">
        <f t="array" ref="FD220">IF($DQ220="","", INDEX(#REF!,MATCH(CONCATENATE('Respuestas de formulario 1.1'!$B220,$DQ220),#REF!,0),MATCH('Respuestas de formulario 1.1'!FD$1,#REF!,0)))</f>
        <v/>
      </c>
      <c r="FE220" s="45" t="str">
        <f t="array" ref="FE220">IF($DR220="","", INDEX(#REF!,MATCH(CONCATENATE(#REF!,$DR220),#REF!,0),MATCH(#REF!,#REF!,0)))</f>
        <v/>
      </c>
      <c r="FF220" s="56" t="str">
        <f t="array" ref="FF220">IF($DR220="","", INDEX(#REF!,MATCH(CONCATENATE(#REF!,$DR220),#REF!,0),MATCH(#REF!,#REF!,0)))</f>
        <v/>
      </c>
      <c r="FG220" s="56" t="str">
        <f t="array" ref="FG220">IF($DR220="","", INDEX(#REF!,MATCH(CONCATENATE(#REF!,$DR220),#REF!,0),MATCH(#REF!,#REF!,0)))</f>
        <v/>
      </c>
      <c r="FH220" s="56" t="str">
        <f t="array" ref="FH220">IF($DR220="","", INDEX(#REF!,MATCH(CONCATENATE(#REF!,$DR220),#REF!,0),MATCH(#REF!,#REF!,0)))</f>
        <v/>
      </c>
      <c r="FI220" s="56" t="str">
        <f t="array" ref="FI220">IF($DR220="","", INDEX(#REF!,MATCH(CONCATENATE(#REF!,$DR220),#REF!,0),MATCH(#REF!,#REF!,0)))</f>
        <v/>
      </c>
      <c r="FJ220" s="56" t="str">
        <f t="array" ref="FJ220">IF($DR220="","", INDEX(#REF!,MATCH(CONCATENATE(#REF!,$DR220),#REF!,0),MATCH(#REF!,#REF!,0)))</f>
        <v/>
      </c>
      <c r="FK220" s="45" t="str">
        <f t="array" ref="FK220">IF($DR220="","", INDEX(#REF!,MATCH(CONCATENATE(#REF!,$DR220),#REF!,0),MATCH(#REF!,#REF!,0)))</f>
        <v/>
      </c>
      <c r="FL220" s="45" t="str">
        <f t="array" ref="FL220">IF($DT220="","", INDEX(#REF!,MATCH(CONCATENATE('Respuestas de formulario 1.1'!$B220,$DS220),#REF!,0),MATCH('Respuestas de formulario 1.1'!FL$1,#REF!,0)))</f>
        <v/>
      </c>
      <c r="FM220" s="56" t="str">
        <f t="array" ref="FM220">IF($DT220="","", INDEX(#REF!,MATCH(CONCATENATE('Respuestas de formulario 1.1'!$B220,$DS220),#REF!,0),MATCH('Respuestas de formulario 1.1'!FM$1,#REF!,0)))</f>
        <v/>
      </c>
      <c r="FN220" s="56" t="str">
        <f t="array" ref="FN220">IF($DT220="","", INDEX(#REF!,MATCH(CONCATENATE('Respuestas de formulario 1.1'!$B220,$DS220),#REF!,0),MATCH('Respuestas de formulario 1.1'!FN$1,#REF!,0)))</f>
        <v/>
      </c>
      <c r="FO220" s="56" t="str">
        <f t="array" ref="FO220">IF($DT220="","", INDEX(#REF!,MATCH(CONCATENATE('Respuestas de formulario 1.1'!$B220,$DS220),#REF!,0),MATCH('Respuestas de formulario 1.1'!FO$1,#REF!,0)))</f>
        <v/>
      </c>
      <c r="FP220" s="56" t="str">
        <f t="array" ref="FP220">IF($DT220="","", INDEX(#REF!,MATCH(CONCATENATE('Respuestas de formulario 1.1'!$B220,$DS220),#REF!,0),MATCH('Respuestas de formulario 1.1'!FP$1,#REF!,0)))</f>
        <v/>
      </c>
      <c r="FQ220" s="56" t="str">
        <f t="array" ref="FQ220">IF($DT220="","", INDEX(#REF!,MATCH(CONCATENATE('Respuestas de formulario 1.1'!$B220,$DS220),#REF!,0),MATCH('Respuestas de formulario 1.1'!FQ$1,#REF!,0)))</f>
        <v/>
      </c>
      <c r="FR220" s="45" t="str">
        <f t="array" ref="FR220">IF($DT220="","", INDEX(#REF!,MATCH(CONCATENATE('Respuestas de formulario 1.1'!$B220,$DS220),#REF!,0),MATCH('Respuestas de formulario 1.1'!FR$1,#REF!,0)))</f>
        <v/>
      </c>
      <c r="FS220" s="45" t="str">
        <f t="array" ref="FS220">IF($DU220="","", INDEX(#REF!,MATCH(CONCATENATE('Respuestas de formulario 1.1'!$B220,$DT220),#REF!,0),MATCH('Respuestas de formulario 1.1'!FS$1,#REF!,0)))</f>
        <v/>
      </c>
      <c r="FT220" s="56" t="str">
        <f t="array" ref="FT220">IF($DU220="","", INDEX(#REF!,MATCH(CONCATENATE('Respuestas de formulario 1.1'!$B220,$DT220),#REF!,0),MATCH('Respuestas de formulario 1.1'!FT$1,#REF!,0)))</f>
        <v/>
      </c>
      <c r="FU220" s="56" t="str">
        <f t="array" ref="FU220">IF($DU220="","", INDEX(#REF!,MATCH(CONCATENATE('Respuestas de formulario 1.1'!$B220,$DT220),#REF!,0),MATCH('Respuestas de formulario 1.1'!FU$1,#REF!,0)))</f>
        <v/>
      </c>
      <c r="FV220" s="56" t="str">
        <f t="array" ref="FV220">IF($DU220="","", INDEX(#REF!,MATCH(CONCATENATE('Respuestas de formulario 1.1'!$B220,$DT220),#REF!,0),MATCH('Respuestas de formulario 1.1'!FV$1,#REF!,0)))</f>
        <v/>
      </c>
      <c r="FW220" s="56" t="str">
        <f t="array" ref="FW220">IF($DU220="","", INDEX(#REF!,MATCH(CONCATENATE('Respuestas de formulario 1.1'!$B220,$DT220),#REF!,0),MATCH('Respuestas de formulario 1.1'!FW$1,#REF!,0)))</f>
        <v/>
      </c>
      <c r="FX220" s="56" t="str">
        <f t="array" ref="FX220">IF($DU220="","", INDEX(#REF!,MATCH(CONCATENATE('Respuestas de formulario 1.1'!$B220,$DT220),#REF!,0),MATCH('Respuestas de formulario 1.1'!FX$1,#REF!,0)))</f>
        <v/>
      </c>
      <c r="FY220" s="45" t="str">
        <f t="array" ref="FY220">IF($DU220="","", INDEX(#REF!,MATCH(CONCATENATE('Respuestas de formulario 1.1'!$B220,$DT220),#REF!,0),MATCH('Respuestas de formulario 1.1'!FY$1,#REF!,0)))</f>
        <v/>
      </c>
      <c r="FZ220" s="3" t="s">
        <v>2860</v>
      </c>
      <c r="GA220" s="1" t="s">
        <v>6621</v>
      </c>
      <c r="GB220" s="5" t="s">
        <v>6622</v>
      </c>
      <c r="GC220" s="4" t="str">
        <f>HYPERLINK("https://drive.google.com/file/d/1QvrXIoetk6kzXTVhcgvhtpOQ7krvc04h/view?usp=drivesdk","SEGUNDO  ESTRADA  NADIA AYDE  Formato de reinscripción y pago 2022-2")</f>
        <v>SEGUNDO  ESTRADA  NADIA AYDE  Formato de reinscripción y pago 2022-2</v>
      </c>
      <c r="GD220" s="1" t="s">
        <v>6623</v>
      </c>
      <c r="GE220" s="1"/>
      <c r="GF220" s="1"/>
      <c r="GG220" s="1"/>
      <c r="GH220" s="1"/>
      <c r="GI220" s="1" t="s">
        <v>6624</v>
      </c>
      <c r="GJ220" s="5" t="s">
        <v>6625</v>
      </c>
      <c r="GK220" s="5" t="str">
        <f>HYPERLINK("https://drive.google.com/file/d/1MeZk6lbuc75-oGz2iLiMDEiL4v0sFB8P/view?usp=drivesdk","SEGUNDO  ESTRADA  NADIA AYDE  Formato de reinscripción y pago 2022-2")</f>
        <v>SEGUNDO  ESTRADA  NADIA AYDE  Formato de reinscripción y pago 2022-2</v>
      </c>
      <c r="GL220" s="1" t="s">
        <v>6626</v>
      </c>
    </row>
    <row r="221" spans="1:194" ht="38.25" x14ac:dyDescent="0.2">
      <c r="A221" s="2">
        <v>45139.527089282405</v>
      </c>
      <c r="B221" s="1" t="s">
        <v>2597</v>
      </c>
      <c r="C221" s="1" t="s">
        <v>433</v>
      </c>
      <c r="D221" s="1" t="s">
        <v>2598</v>
      </c>
      <c r="E221" s="1" t="s">
        <v>656</v>
      </c>
      <c r="F221" s="1" t="s">
        <v>223</v>
      </c>
      <c r="G221" s="5" t="s">
        <v>6627</v>
      </c>
      <c r="H221" s="41">
        <v>34191</v>
      </c>
      <c r="I221" s="1">
        <v>29</v>
      </c>
      <c r="J221" s="1">
        <v>5525261901</v>
      </c>
      <c r="K221" s="1">
        <v>5559206915</v>
      </c>
      <c r="L221" s="1" t="s">
        <v>2599</v>
      </c>
      <c r="M221" s="1">
        <v>21309060570946</v>
      </c>
      <c r="N221" s="1" t="s">
        <v>1108</v>
      </c>
      <c r="O221" s="1" t="s">
        <v>225</v>
      </c>
      <c r="P221" s="1" t="s">
        <v>278</v>
      </c>
      <c r="Q221" s="1" t="s">
        <v>248</v>
      </c>
      <c r="R221" s="1" t="s">
        <v>228</v>
      </c>
      <c r="S221" s="1" t="s">
        <v>236</v>
      </c>
      <c r="T221" s="1" t="s">
        <v>229</v>
      </c>
      <c r="U221" s="1" t="s">
        <v>249</v>
      </c>
      <c r="V221" s="1" t="s">
        <v>228</v>
      </c>
      <c r="W221" s="1" t="s">
        <v>2503</v>
      </c>
      <c r="X221" s="1" t="s">
        <v>264</v>
      </c>
      <c r="Y221" s="1" t="s">
        <v>275</v>
      </c>
      <c r="Z221" s="1" t="s">
        <v>231</v>
      </c>
      <c r="AA221" s="1">
        <v>57000</v>
      </c>
      <c r="AB221" s="1">
        <v>481</v>
      </c>
      <c r="AC221" s="1">
        <v>0</v>
      </c>
      <c r="AD221" s="1" t="s">
        <v>2755</v>
      </c>
      <c r="AE221" s="1" t="s">
        <v>6628</v>
      </c>
      <c r="AF221" s="1" t="s">
        <v>420</v>
      </c>
      <c r="AG221" s="1">
        <v>61</v>
      </c>
      <c r="AH221" s="5" t="s">
        <v>6629</v>
      </c>
      <c r="AI221" s="1">
        <v>5529705579</v>
      </c>
      <c r="AJ221" s="1">
        <v>5557301699</v>
      </c>
      <c r="AK221" s="1"/>
      <c r="AL221" s="1" t="s">
        <v>2598</v>
      </c>
      <c r="AM221" s="1" t="s">
        <v>491</v>
      </c>
      <c r="AN221" s="1" t="s">
        <v>2600</v>
      </c>
      <c r="AO221" s="1" t="s">
        <v>461</v>
      </c>
      <c r="AP221" s="1">
        <v>50</v>
      </c>
      <c r="AQ221" s="1" t="s">
        <v>306</v>
      </c>
      <c r="AR221" s="42">
        <v>0.29166666666424135</v>
      </c>
      <c r="AS221" s="42">
        <v>0.125</v>
      </c>
      <c r="AT221" s="1">
        <v>5549035374</v>
      </c>
      <c r="AU221" s="1">
        <v>5549035374</v>
      </c>
      <c r="AV221" s="1"/>
      <c r="AW221" s="5" t="s">
        <v>6630</v>
      </c>
      <c r="AX221" s="1" t="s">
        <v>451</v>
      </c>
      <c r="AY221" s="1" t="s">
        <v>489</v>
      </c>
      <c r="AZ221" s="1" t="s">
        <v>6631</v>
      </c>
      <c r="BA221" s="1" t="s">
        <v>2647</v>
      </c>
      <c r="BB221" s="1">
        <v>33</v>
      </c>
      <c r="BC221" s="1" t="s">
        <v>306</v>
      </c>
      <c r="BD221" s="43">
        <v>0.375</v>
      </c>
      <c r="BE221" s="43">
        <v>0.16666666666424135</v>
      </c>
      <c r="BF221" s="1">
        <v>5584584950</v>
      </c>
      <c r="BG221" s="1">
        <v>5584584950</v>
      </c>
      <c r="BH221" s="1"/>
      <c r="BI221" s="5" t="s">
        <v>6632</v>
      </c>
      <c r="BJ221" s="1" t="s">
        <v>228</v>
      </c>
      <c r="BK221" s="1" t="s">
        <v>2647</v>
      </c>
      <c r="BL221" s="1">
        <v>1.55</v>
      </c>
      <c r="BM221" s="1">
        <v>55</v>
      </c>
      <c r="BN221" s="1" t="s">
        <v>236</v>
      </c>
      <c r="BO221" s="1" t="s">
        <v>228</v>
      </c>
      <c r="BQ221" s="1" t="s">
        <v>228</v>
      </c>
      <c r="BR221" s="1" t="s">
        <v>237</v>
      </c>
      <c r="BS221" s="1" t="s">
        <v>228</v>
      </c>
      <c r="BT221" s="1" t="s">
        <v>237</v>
      </c>
      <c r="BU221" s="1" t="s">
        <v>228</v>
      </c>
      <c r="BW221" s="1" t="s">
        <v>238</v>
      </c>
      <c r="BX221" s="1">
        <v>60</v>
      </c>
      <c r="BY221" s="1">
        <v>500</v>
      </c>
      <c r="BZ221" s="1" t="s">
        <v>478</v>
      </c>
      <c r="CA221" s="1" t="s">
        <v>254</v>
      </c>
      <c r="CB221" s="1" t="s">
        <v>240</v>
      </c>
      <c r="CC221" s="1" t="s">
        <v>322</v>
      </c>
      <c r="CD221" s="1">
        <v>1000</v>
      </c>
      <c r="CE221" s="1">
        <v>2000</v>
      </c>
      <c r="CF221" s="1" t="s">
        <v>236</v>
      </c>
      <c r="CG221" s="1" t="s">
        <v>242</v>
      </c>
      <c r="CH221" s="1" t="s">
        <v>243</v>
      </c>
      <c r="CI221" s="1" t="s">
        <v>243</v>
      </c>
      <c r="CJ221" s="1" t="s">
        <v>2848</v>
      </c>
      <c r="CL221" s="5" t="s">
        <v>6633</v>
      </c>
      <c r="CM221" s="1">
        <v>24169303583</v>
      </c>
      <c r="CN221" s="1" t="s">
        <v>228</v>
      </c>
      <c r="CQ221" s="42">
        <v>0</v>
      </c>
      <c r="CR221" s="42">
        <v>0</v>
      </c>
      <c r="CT221" s="45" t="str">
        <f t="array" ref="CT221">IFERROR(INDEX(#REF!,MATCH('Respuestas de formulario 1.1'!$B221,#REF!,0),MATCH('Respuestas de formulario 1.1'!CT$1,#REF!,0)),"")</f>
        <v/>
      </c>
      <c r="CU221" s="56" t="str">
        <f t="array" ref="CU221">IFERROR(INDEX(#REF!,MATCH('Respuestas de formulario 1.1'!$B221,#REF!,0),MATCH('Respuestas de formulario 1.1'!CU$1,#REF!,0)),"")</f>
        <v/>
      </c>
      <c r="CV221" s="56" t="str">
        <f t="array" ref="CV221">IFERROR(INDEX(#REF!,MATCH('Respuestas de formulario 1.1'!$B221,#REF!,0),MATCH('Respuestas de formulario 1.1'!CV$1,#REF!,0)),"")</f>
        <v/>
      </c>
      <c r="CW221" s="56" t="str">
        <f t="array" ref="CW221">IFERROR(INDEX(#REF!,MATCH('Respuestas de formulario 1.1'!$B221,#REF!,0),MATCH('Respuestas de formulario 1.1'!CW$1,#REF!,0)),"")</f>
        <v/>
      </c>
      <c r="CX221" s="56" t="str">
        <f t="array" ref="CX221">IFERROR(INDEX(#REF!,MATCH('Respuestas de formulario 1.1'!$B221,#REF!,0),MATCH('Respuestas de formulario 1.1'!CX$1,#REF!,0)),"")</f>
        <v/>
      </c>
      <c r="CY221" s="56" t="str">
        <f t="array" ref="CY221">IFERROR(INDEX(#REF!,MATCH('Respuestas de formulario 1.1'!$B221,#REF!,0),MATCH('Respuestas de formulario 1.1'!CY$1,#REF!,0)),"")</f>
        <v/>
      </c>
      <c r="CZ221" s="57" t="str">
        <f t="array" ref="CZ221">IFERROR(INDEX(#REF!,MATCH('Respuestas de formulario 1.1'!$B221,#REF!,0),MATCH('Respuestas de formulario 1.1'!CZ$1,#REF!,0)),"")</f>
        <v/>
      </c>
      <c r="DA221" s="45" t="e">
        <f t="array" ref="DA221">INDEX(#REF!,MATCH('Respuestas de formulario 1.1'!$B221,#REF!,0),MATCH('Respuestas de formulario 1.1'!DA$1,#REF!,0))</f>
        <v>#REF!</v>
      </c>
      <c r="DB221" s="45" t="e">
        <f t="array" ref="DB221">INDEX(#REF!,MATCH('Respuestas de formulario 1.1'!$B221,#REF!,0),MATCH('Respuestas de formulario 1.1'!DB$1,#REF!,0))</f>
        <v>#REF!</v>
      </c>
      <c r="DC221" s="45" t="e">
        <f t="array" ref="DC221">INDEX(#REF!,MATCH('Respuestas de formulario 1.1'!$B221,#REF!,0),MATCH('Respuestas de formulario 1.1'!DC$1,#REF!,0))</f>
        <v>#REF!</v>
      </c>
      <c r="DD221" s="45" t="e">
        <f t="array" ref="DD221">INDEX(#REF!,MATCH('Respuestas de formulario 1.1'!$B221,#REF!,0),MATCH('Respuestas de formulario 1.1'!DD$1,#REF!,0))</f>
        <v>#REF!</v>
      </c>
      <c r="DE221" s="45" t="e">
        <f t="array" ref="DE221">INDEX(#REF!,MATCH('Respuestas de formulario 1.1'!$B221,#REF!,0),MATCH('Respuestas de formulario 1.1'!DE$1,#REF!,0))</f>
        <v>#REF!</v>
      </c>
      <c r="DF221" s="45" t="e">
        <f t="array" ref="DF221">INDEX(#REF!,MATCH('Respuestas de formulario 1.1'!$B221,#REF!,0),MATCH('Respuestas de formulario 1.1'!DF$1,#REF!,0))</f>
        <v>#REF!</v>
      </c>
      <c r="DG221" s="45" t="e">
        <f t="array" ref="DG221">INDEX(#REF!,MATCH('Respuestas de formulario 1.1'!$B221,#REF!,0),MATCH('Respuestas de formulario 1.1'!DG$1,#REF!,0))</f>
        <v>#REF!</v>
      </c>
      <c r="DH221" s="45" t="e">
        <f t="array" ref="DH221">INDEX(#REF!,MATCH('Respuestas de formulario 1.1'!$B221,#REF!,0),MATCH('Respuestas de formulario 1.1'!DH$1,#REF!,0))</f>
        <v>#REF!</v>
      </c>
      <c r="DI221" s="48" t="e">
        <f>VLOOKUP(CONCATENATE($DF221," TUTO ",$DC221),#REF!,3,0)</f>
        <v>#REF!</v>
      </c>
      <c r="DJ221" s="48" t="e">
        <f t="array" ref="DJ221">IF('Respuestas de formulario 1.1'!A221="","",INDEX(#REF!,MATCH('Respuestas de formulario 1.1'!B221,#REF!,0),MATCH('Respuestas de formulario 1.1'!$DH$1,#REF!,0)))</f>
        <v>#REF!</v>
      </c>
      <c r="DK221" s="52" t="str">
        <f>CONCATENATE("http://doc.google.com/uc?id=",MID('Respuestas de formulario 1.1'!G221,34,33))</f>
        <v>http://doc.google.com/uc?id=1NgoQGtletASJF1OjBuxEFD2LyxQKHa6e</v>
      </c>
      <c r="DL221" s="49" t="str">
        <f>CONCATENATE("http://doc.google.com/uc?id=",MID('Respuestas de formulario 1.1'!AH221,34,33))</f>
        <v>http://doc.google.com/uc?id=1xu8LXEtOK7OF6wh8URTguMjLNzNsSim4</v>
      </c>
      <c r="DM221" s="50" t="str">
        <f>CONCATENATE("http://doc.google.com/uc?id=",MID('Respuestas de formulario 1.1'!AW221,34,33))</f>
        <v>http://doc.google.com/uc?id=1kpsF810RPBKcnB1433Piexm8NnwLzJqb</v>
      </c>
      <c r="DN221" s="53" t="str">
        <f>CONCATENATE("http://doc.google.com/uc?id=",MID('Respuestas de formulario 1.1'!$BI221,34,33))</f>
        <v>http://doc.google.com/uc?id=1jdAra0Tps8F7_Z3w1uVY5R7Bvj3aoRsq</v>
      </c>
      <c r="DO221" s="45" t="str">
        <f>IFERROR(VLOOKUP(CONCATENATE('Respuestas de formulario 1.1'!$B221,MID('Respuestas de formulario 1.1'!DO$1,2,1)),#REF!,12,0),"")</f>
        <v/>
      </c>
      <c r="DP221" s="45" t="str">
        <f>IFERROR(VLOOKUP(CONCATENATE('Respuestas de formulario 1.1'!$B221,MID('Respuestas de formulario 1.1'!DP$1,2,1)),#REF!,12,0),"")</f>
        <v/>
      </c>
      <c r="DQ221" s="45" t="str">
        <f>IFERROR(VLOOKUP(CONCATENATE('Respuestas de formulario 1.1'!$B221,MID('Respuestas de formulario 1.1'!DQ$1,2,1)),#REF!,12,0),"")</f>
        <v/>
      </c>
      <c r="DR221" s="45" t="str">
        <f>IFERROR(VLOOKUP(CONCATENATE('Respuestas de formulario 1.1'!$B221,MID('Respuestas de formulario 1.1'!DR$1,2,1)),#REF!,12,0),"")</f>
        <v/>
      </c>
      <c r="DS221" s="45" t="str">
        <f>IFERROR(VLOOKUP(CONCATENATE('Respuestas de formulario 1.1'!$B221,MID('Respuestas de formulario 1.1'!DS$1,2,1)),#REF!,12,0),"")</f>
        <v/>
      </c>
      <c r="DT221" s="45" t="str">
        <f>IFERROR(VLOOKUP(CONCATENATE('Respuestas de formulario 1.1'!$B221,MID('Respuestas de formulario 1.1'!DT$1,2,1)),#REF!,12,0),"")</f>
        <v/>
      </c>
      <c r="DU221" s="45" t="str">
        <f>IFERROR(VLOOKUP(CONCATENATE('Respuestas de formulario 1.1'!$B221,MID('Respuestas de formulario 1.1'!DU$1,2,1)),#REF!,12,0),"")</f>
        <v/>
      </c>
      <c r="DV221" s="45" t="str">
        <f>IFERROR(VLOOKUP(CONCATENATE('Respuestas de formulario 1.1'!$B221,MID('Respuestas de formulario 1.1'!DV$1,2,1)),#REF!,12,0),"")</f>
        <v/>
      </c>
      <c r="DW221" s="45" t="str">
        <f>IFERROR(VLOOKUP(CONCATENATE('Respuestas de formulario 1.1'!$B221,MID('Respuestas de formulario 1.1'!DW$1,2,1)),#REF!,12,0),"")</f>
        <v/>
      </c>
      <c r="DX221" s="45" t="str">
        <f>IFERROR(VLOOKUP(CONCATENATE('Respuestas de formulario 1.1'!$B221,MID('Respuestas de formulario 1.1'!DX$1,2,1)),#REF!,12,0),"")</f>
        <v/>
      </c>
      <c r="DY221" s="45" t="str">
        <f>IFERROR(VLOOKUP(CONCATENATE('Respuestas de formulario 1.1'!$B221,MID('Respuestas de formulario 1.1'!DY$1,2,1)),#REF!,12,0),"")</f>
        <v/>
      </c>
      <c r="DZ221" s="45" t="str">
        <f>IFERROR(VLOOKUP(CONCATENATE('Respuestas de formulario 1.1'!$B221,MID('Respuestas de formulario 1.1'!DZ$1,2,1)),#REF!,12,0),"")</f>
        <v/>
      </c>
      <c r="EA221" s="45" t="str">
        <f>IFERROR(VLOOKUP(CONCATENATE('Respuestas de formulario 1.1'!$B221,MID('Respuestas de formulario 1.1'!EA$1,2,1)),#REF!,12,0),"")</f>
        <v/>
      </c>
      <c r="EB221" s="45" t="str">
        <f>IFERROR(VLOOKUP(CONCATENATE('Respuestas de formulario 1.1'!$B221,MID('Respuestas de formulario 1.1'!EB$1,2,1)),#REF!,12,0),"")</f>
        <v/>
      </c>
      <c r="EC221" s="45" t="str">
        <f>IFERROR(VLOOKUP(CONCATENATE('Respuestas de formulario 1.1'!$B221,MID('Respuestas de formulario 1.1'!EC$1,2,1)),#REF!,12,0),"")</f>
        <v/>
      </c>
      <c r="ED221" s="45" t="str">
        <f>IFERROR(VLOOKUP(CONCATENATE('Respuestas de formulario 1.1'!$B221,MID('Respuestas de formulario 1.1'!ED$1,2,1)),#REF!,12,0),"")</f>
        <v/>
      </c>
      <c r="EE221" s="45" t="str">
        <f>IFERROR(VLOOKUP(CONCATENATE('Respuestas de formulario 1.1'!$B221,MID('Respuestas de formulario 1.1'!EE$1,2,1)),#REF!,12,0),"")</f>
        <v/>
      </c>
      <c r="EF221" s="45" t="str">
        <f>IFERROR(VLOOKUP(CONCATENATE('Respuestas de formulario 1.1'!$B221,MID('Respuestas de formulario 1.1'!EF$1,2,1)),#REF!,12,0),"")</f>
        <v/>
      </c>
      <c r="EG221" s="45" t="str">
        <f>IFERROR(VLOOKUP(CONCATENATE('Respuestas de formulario 1.1'!$B221,MID('Respuestas de formulario 1.1'!EG$1,2,1)),#REF!,12,0),"")</f>
        <v/>
      </c>
      <c r="EH221" s="45" t="str">
        <f>IFERROR(VLOOKUP(CONCATENATE('Respuestas de formulario 1.1'!$B221,MID('Respuestas de formulario 1.1'!EH$1,2,1)),#REF!,12,0),"")</f>
        <v/>
      </c>
      <c r="EI221" s="45" t="str">
        <f>IFERROR(VLOOKUP(CONCATENATE('Respuestas de formulario 1.1'!$B221,MID('Respuestas de formulario 1.1'!EI$1,2,1)),#REF!,12,0),"")</f>
        <v/>
      </c>
      <c r="EJ221" s="45" t="str">
        <f t="array" ref="EJ221">IF(DO221="","", INDEX(#REF!,MATCH(CONCATENATE('Respuestas de formulario 1.1'!$B221,DO221),#REF!,0),MATCH('Respuestas de formulario 1.1'!EJ$1,#REF!,0)))</f>
        <v/>
      </c>
      <c r="EK221" s="56" t="str">
        <f t="array" ref="EK221">IF(DP221="","", INDEX(#REF!,MATCH(CONCATENATE('Respuestas de formulario 1.1'!$B221,DP221),#REF!,0),MATCH('Respuestas de formulario 1.1'!EK$1,#REF!,0)))</f>
        <v/>
      </c>
      <c r="EL221" s="56" t="str">
        <f t="array" ref="EL221">IF(DQ221="","", INDEX(#REF!,MATCH(CONCATENATE('Respuestas de formulario 1.1'!$B221,DQ221),#REF!,0),MATCH('Respuestas de formulario 1.1'!EL$1,#REF!,0)))</f>
        <v/>
      </c>
      <c r="EM221" s="56" t="str">
        <f t="array" ref="EM221">IF(DR221="","", INDEX(#REF!,MATCH(CONCATENATE('Respuestas de formulario 1.1'!$B221,DR221),#REF!,0),MATCH('Respuestas de formulario 1.1'!EM$1,#REF!,0)))</f>
        <v/>
      </c>
      <c r="EN221" s="56" t="str">
        <f t="array" ref="EN221">IF(DS221="","", INDEX(#REF!,MATCH(CONCATENATE('Respuestas de formulario 1.1'!$B221,DS221),#REF!,0),MATCH('Respuestas de formulario 1.1'!EN$1,#REF!,0)))</f>
        <v/>
      </c>
      <c r="EO221" s="56" t="str">
        <f t="array" ref="EO221">IF(DT221="","", INDEX(#REF!,MATCH(CONCATENATE('Respuestas de formulario 1.1'!$B221,DT221),#REF!,0),MATCH('Respuestas de formulario 1.1'!EO$1,#REF!,0)))</f>
        <v/>
      </c>
      <c r="EP221" s="45" t="str">
        <f t="array" ref="EP221">IF(DU221="","", INDEX(#REF!,MATCH(CONCATENATE('Respuestas de formulario 1.1'!$B221,DU221),#REF!,0),MATCH('Respuestas de formulario 1.1'!EP$1,#REF!,0)))</f>
        <v/>
      </c>
      <c r="EQ221" s="45" t="str">
        <f t="array" ref="EQ221">IF(DP221="","", INDEX(#REF!,MATCH(CONCATENATE('Respuestas de formulario 1.1'!$B221,DP221),#REF!,0),MATCH('Respuestas de formulario 1.1'!EQ$1,#REF!,0)))</f>
        <v/>
      </c>
      <c r="ER221" s="56" t="str">
        <f t="array" ref="ER221">IF(DQ221="","", INDEX(#REF!,MATCH(CONCATENATE('Respuestas de formulario 1.1'!$B221,DQ221),#REF!,0),MATCH('Respuestas de formulario 1.1'!ER$1,#REF!,0)))</f>
        <v/>
      </c>
      <c r="ES221" s="56" t="str">
        <f t="array" ref="ES221">IF(DR221="","", INDEX(#REF!,MATCH(CONCATENATE('Respuestas de formulario 1.1'!$B221,DR221),#REF!,0),MATCH('Respuestas de formulario 1.1'!ES$1,#REF!,0)))</f>
        <v/>
      </c>
      <c r="ET221" s="56" t="str">
        <f t="array" ref="ET221">IF(DS221="","", INDEX(#REF!,MATCH(CONCATENATE('Respuestas de formulario 1.1'!$B221,DS221),#REF!,0),MATCH('Respuestas de formulario 1.1'!ET$1,#REF!,0)))</f>
        <v/>
      </c>
      <c r="EU221" s="56" t="str">
        <f t="array" ref="EU221">IF(DT221="","", INDEX(#REF!,MATCH(CONCATENATE('Respuestas de formulario 1.1'!$B221,DT221),#REF!,0),MATCH('Respuestas de formulario 1.1'!EU$1,#REF!,0)))</f>
        <v/>
      </c>
      <c r="EV221" s="56" t="str">
        <f t="array" ref="EV221">IF(DU221="","", INDEX(#REF!,MATCH(CONCATENATE('Respuestas de formulario 1.1'!$B221,DU221),#REF!,0),MATCH('Respuestas de formulario 1.1'!EV$1,#REF!,0)))</f>
        <v/>
      </c>
      <c r="EW221" s="45" t="str">
        <f t="array" ref="EW221">IF(DV221="","", INDEX(#REF!,MATCH(CONCATENATE('Respuestas de formulario 1.1'!$B221,DV221),#REF!,0),MATCH('Respuestas de formulario 1.1'!EW$1,#REF!,0)))</f>
        <v/>
      </c>
      <c r="EX221" s="45" t="str">
        <f t="array" ref="EX221">IF($DQ221="","", INDEX(#REF!,MATCH(CONCATENATE('Respuestas de formulario 1.1'!$B221,$DQ221),#REF!,0),MATCH('Respuestas de formulario 1.1'!EX$1,#REF!,0)))</f>
        <v/>
      </c>
      <c r="EY221" s="56" t="str">
        <f t="array" ref="EY221">IF($DQ221="","", INDEX(#REF!,MATCH(CONCATENATE('Respuestas de formulario 1.1'!$B221,$DQ221),#REF!,0),MATCH('Respuestas de formulario 1.1'!EY$1,#REF!,0)))</f>
        <v/>
      </c>
      <c r="EZ221" s="56" t="str">
        <f t="array" ref="EZ221">IF($DQ221="","", INDEX(#REF!,MATCH(CONCATENATE('Respuestas de formulario 1.1'!$B221,$DQ221),#REF!,0),MATCH('Respuestas de formulario 1.1'!EZ$1,#REF!,0)))</f>
        <v/>
      </c>
      <c r="FA221" s="56" t="str">
        <f t="array" ref="FA221">IF($DQ221="","", INDEX(#REF!,MATCH(CONCATENATE('Respuestas de formulario 1.1'!$B221,$DQ221),#REF!,0),MATCH('Respuestas de formulario 1.1'!FA$1,#REF!,0)))</f>
        <v/>
      </c>
      <c r="FB221" s="56" t="str">
        <f t="array" ref="FB221">IF($DQ221="","", INDEX(#REF!,MATCH(CONCATENATE('Respuestas de formulario 1.1'!$B221,$DQ221),#REF!,0),MATCH('Respuestas de formulario 1.1'!FB$1,#REF!,0)))</f>
        <v/>
      </c>
      <c r="FC221" s="56" t="str">
        <f t="array" ref="FC221">IF($DQ221="","", INDEX(#REF!,MATCH(CONCATENATE('Respuestas de formulario 1.1'!$B221,$DQ221),#REF!,0),MATCH('Respuestas de formulario 1.1'!FC$1,#REF!,0)))</f>
        <v/>
      </c>
      <c r="FD221" s="45" t="str">
        <f t="array" ref="FD221">IF($DQ221="","", INDEX(#REF!,MATCH(CONCATENATE('Respuestas de formulario 1.1'!$B221,$DQ221),#REF!,0),MATCH('Respuestas de formulario 1.1'!FD$1,#REF!,0)))</f>
        <v/>
      </c>
      <c r="FE221" s="45" t="str">
        <f t="array" ref="FE221">IF($DR221="","", INDEX(#REF!,MATCH(CONCATENATE(#REF!,$DR221),#REF!,0),MATCH(#REF!,#REF!,0)))</f>
        <v/>
      </c>
      <c r="FF221" s="56" t="str">
        <f t="array" ref="FF221">IF($DR221="","", INDEX(#REF!,MATCH(CONCATENATE(#REF!,$DR221),#REF!,0),MATCH(#REF!,#REF!,0)))</f>
        <v/>
      </c>
      <c r="FG221" s="56" t="str">
        <f t="array" ref="FG221">IF($DR221="","", INDEX(#REF!,MATCH(CONCATENATE(#REF!,$DR221),#REF!,0),MATCH(#REF!,#REF!,0)))</f>
        <v/>
      </c>
      <c r="FH221" s="56" t="str">
        <f t="array" ref="FH221">IF($DR221="","", INDEX(#REF!,MATCH(CONCATENATE(#REF!,$DR221),#REF!,0),MATCH(#REF!,#REF!,0)))</f>
        <v/>
      </c>
      <c r="FI221" s="56" t="str">
        <f t="array" ref="FI221">IF($DR221="","", INDEX(#REF!,MATCH(CONCATENATE(#REF!,$DR221),#REF!,0),MATCH(#REF!,#REF!,0)))</f>
        <v/>
      </c>
      <c r="FJ221" s="56" t="str">
        <f t="array" ref="FJ221">IF($DR221="","", INDEX(#REF!,MATCH(CONCATENATE(#REF!,$DR221),#REF!,0),MATCH(#REF!,#REF!,0)))</f>
        <v/>
      </c>
      <c r="FK221" s="45" t="str">
        <f t="array" ref="FK221">IF($DR221="","", INDEX(#REF!,MATCH(CONCATENATE(#REF!,$DR221),#REF!,0),MATCH(#REF!,#REF!,0)))</f>
        <v/>
      </c>
      <c r="FL221" s="45" t="str">
        <f t="array" ref="FL221">IF($DT221="","", INDEX(#REF!,MATCH(CONCATENATE('Respuestas de formulario 1.1'!$B221,$DS221),#REF!,0),MATCH('Respuestas de formulario 1.1'!FL$1,#REF!,0)))</f>
        <v/>
      </c>
      <c r="FM221" s="56" t="str">
        <f t="array" ref="FM221">IF($DT221="","", INDEX(#REF!,MATCH(CONCATENATE('Respuestas de formulario 1.1'!$B221,$DS221),#REF!,0),MATCH('Respuestas de formulario 1.1'!FM$1,#REF!,0)))</f>
        <v/>
      </c>
      <c r="FN221" s="56" t="str">
        <f t="array" ref="FN221">IF($DT221="","", INDEX(#REF!,MATCH(CONCATENATE('Respuestas de formulario 1.1'!$B221,$DS221),#REF!,0),MATCH('Respuestas de formulario 1.1'!FN$1,#REF!,0)))</f>
        <v/>
      </c>
      <c r="FO221" s="56" t="str">
        <f t="array" ref="FO221">IF($DT221="","", INDEX(#REF!,MATCH(CONCATENATE('Respuestas de formulario 1.1'!$B221,$DS221),#REF!,0),MATCH('Respuestas de formulario 1.1'!FO$1,#REF!,0)))</f>
        <v/>
      </c>
      <c r="FP221" s="56" t="str">
        <f t="array" ref="FP221">IF($DT221="","", INDEX(#REF!,MATCH(CONCATENATE('Respuestas de formulario 1.1'!$B221,$DS221),#REF!,0),MATCH('Respuestas de formulario 1.1'!FP$1,#REF!,0)))</f>
        <v/>
      </c>
      <c r="FQ221" s="56" t="str">
        <f t="array" ref="FQ221">IF($DT221="","", INDEX(#REF!,MATCH(CONCATENATE('Respuestas de formulario 1.1'!$B221,$DS221),#REF!,0),MATCH('Respuestas de formulario 1.1'!FQ$1,#REF!,0)))</f>
        <v/>
      </c>
      <c r="FR221" s="45" t="str">
        <f t="array" ref="FR221">IF($DT221="","", INDEX(#REF!,MATCH(CONCATENATE('Respuestas de formulario 1.1'!$B221,$DS221),#REF!,0),MATCH('Respuestas de formulario 1.1'!FR$1,#REF!,0)))</f>
        <v/>
      </c>
      <c r="FS221" s="45" t="str">
        <f t="array" ref="FS221">IF($DU221="","", INDEX(#REF!,MATCH(CONCATENATE('Respuestas de formulario 1.1'!$B221,$DT221),#REF!,0),MATCH('Respuestas de formulario 1.1'!FS$1,#REF!,0)))</f>
        <v/>
      </c>
      <c r="FT221" s="56" t="str">
        <f t="array" ref="FT221">IF($DU221="","", INDEX(#REF!,MATCH(CONCATENATE('Respuestas de formulario 1.1'!$B221,$DT221),#REF!,0),MATCH('Respuestas de formulario 1.1'!FT$1,#REF!,0)))</f>
        <v/>
      </c>
      <c r="FU221" s="56" t="str">
        <f t="array" ref="FU221">IF($DU221="","", INDEX(#REF!,MATCH(CONCATENATE('Respuestas de formulario 1.1'!$B221,$DT221),#REF!,0),MATCH('Respuestas de formulario 1.1'!FU$1,#REF!,0)))</f>
        <v/>
      </c>
      <c r="FV221" s="56" t="str">
        <f t="array" ref="FV221">IF($DU221="","", INDEX(#REF!,MATCH(CONCATENATE('Respuestas de formulario 1.1'!$B221,$DT221),#REF!,0),MATCH('Respuestas de formulario 1.1'!FV$1,#REF!,0)))</f>
        <v/>
      </c>
      <c r="FW221" s="56" t="str">
        <f t="array" ref="FW221">IF($DU221="","", INDEX(#REF!,MATCH(CONCATENATE('Respuestas de formulario 1.1'!$B221,$DT221),#REF!,0),MATCH('Respuestas de formulario 1.1'!FW$1,#REF!,0)))</f>
        <v/>
      </c>
      <c r="FX221" s="56" t="str">
        <f t="array" ref="FX221">IF($DU221="","", INDEX(#REF!,MATCH(CONCATENATE('Respuestas de formulario 1.1'!$B221,$DT221),#REF!,0),MATCH('Respuestas de formulario 1.1'!FX$1,#REF!,0)))</f>
        <v/>
      </c>
      <c r="FY221" s="45" t="str">
        <f t="array" ref="FY221">IF($DU221="","", INDEX(#REF!,MATCH(CONCATENATE('Respuestas de formulario 1.1'!$B221,$DT221),#REF!,0),MATCH('Respuestas de formulario 1.1'!FY$1,#REF!,0)))</f>
        <v/>
      </c>
      <c r="FZ221" s="3" t="s">
        <v>2860</v>
      </c>
      <c r="GA221" s="1" t="s">
        <v>6634</v>
      </c>
      <c r="GB221" s="5" t="s">
        <v>6635</v>
      </c>
      <c r="GC221" s="4" t="str">
        <f>HYPERLINK("https://drive.google.com/file/d/1ze6a7ZXetWFwo2JEYJxZ3zASq5hAWW1I/view?usp=drivesdk","MARTINEZ CEBRERO LORENA Formato de reinscripción y pago 2022-2")</f>
        <v>MARTINEZ CEBRERO LORENA Formato de reinscripción y pago 2022-2</v>
      </c>
      <c r="GD221" s="1" t="s">
        <v>6636</v>
      </c>
      <c r="GE221" s="1"/>
      <c r="GF221" s="1"/>
      <c r="GG221" s="1"/>
      <c r="GH221" s="1"/>
      <c r="GI221" s="1" t="s">
        <v>6637</v>
      </c>
      <c r="GJ221" s="5" t="s">
        <v>6638</v>
      </c>
      <c r="GK221" s="5" t="str">
        <f>HYPERLINK("https://drive.google.com/file/d/1uQoN0_MTPJOSwe87FN2H9bvVuFYuwg-T/view?usp=drivesdk","MARTINEZ CEBRERO LORENA Formato de reinscripción y pago 2022-2")</f>
        <v>MARTINEZ CEBRERO LORENA Formato de reinscripción y pago 2022-2</v>
      </c>
      <c r="GL221" s="1" t="s">
        <v>6639</v>
      </c>
    </row>
    <row r="222" spans="1:194" ht="38.25" x14ac:dyDescent="0.2">
      <c r="A222" s="2">
        <v>45140.513493298611</v>
      </c>
      <c r="B222" s="1" t="s">
        <v>2012</v>
      </c>
      <c r="C222" s="1" t="s">
        <v>245</v>
      </c>
      <c r="D222" s="1" t="s">
        <v>600</v>
      </c>
      <c r="E222" s="1" t="s">
        <v>2013</v>
      </c>
      <c r="F222" s="1" t="s">
        <v>223</v>
      </c>
      <c r="G222" s="5" t="s">
        <v>6640</v>
      </c>
      <c r="H222" s="41">
        <v>39306</v>
      </c>
      <c r="I222" s="1">
        <v>15</v>
      </c>
      <c r="J222" s="1">
        <v>5614017801</v>
      </c>
      <c r="K222" s="44" t="s">
        <v>389</v>
      </c>
      <c r="L222" s="1" t="s">
        <v>2014</v>
      </c>
      <c r="M222" s="1">
        <v>22309060570493</v>
      </c>
      <c r="N222" s="1" t="s">
        <v>562</v>
      </c>
      <c r="O222" s="1" t="s">
        <v>247</v>
      </c>
      <c r="P222" s="1" t="s">
        <v>278</v>
      </c>
      <c r="Q222" s="1" t="s">
        <v>315</v>
      </c>
      <c r="R222" s="1" t="s">
        <v>236</v>
      </c>
      <c r="S222" s="1" t="s">
        <v>228</v>
      </c>
      <c r="T222" s="1" t="s">
        <v>229</v>
      </c>
      <c r="U222" s="1" t="s">
        <v>249</v>
      </c>
      <c r="V222" s="1" t="s">
        <v>228</v>
      </c>
      <c r="W222" s="1" t="s">
        <v>6641</v>
      </c>
      <c r="X222" s="1" t="s">
        <v>249</v>
      </c>
      <c r="Y222" s="1" t="s">
        <v>6642</v>
      </c>
      <c r="Z222" s="1" t="s">
        <v>240</v>
      </c>
      <c r="AA222" s="44" t="s">
        <v>1001</v>
      </c>
      <c r="AB222" s="1" t="s">
        <v>6643</v>
      </c>
      <c r="AC222" s="1" t="s">
        <v>228</v>
      </c>
      <c r="AD222" s="1" t="s">
        <v>6644</v>
      </c>
      <c r="AE222" s="1" t="s">
        <v>6645</v>
      </c>
      <c r="AF222" s="1" t="s">
        <v>461</v>
      </c>
      <c r="AG222" s="1">
        <v>40</v>
      </c>
      <c r="AH222" s="5" t="s">
        <v>6646</v>
      </c>
      <c r="AI222" s="1">
        <v>5633022392</v>
      </c>
      <c r="AJ222" s="44" t="s">
        <v>594</v>
      </c>
      <c r="AK222" s="1" t="s">
        <v>2016</v>
      </c>
      <c r="AL222" s="1" t="s">
        <v>308</v>
      </c>
      <c r="AM222" s="1" t="s">
        <v>6647</v>
      </c>
      <c r="AN222" s="1" t="s">
        <v>2017</v>
      </c>
      <c r="AO222" s="1" t="s">
        <v>420</v>
      </c>
      <c r="AP222" s="1">
        <v>40</v>
      </c>
      <c r="AQ222" s="1" t="s">
        <v>283</v>
      </c>
      <c r="AR222" s="42">
        <v>0.25</v>
      </c>
      <c r="AS222" s="42">
        <v>0.125</v>
      </c>
      <c r="AT222" s="1">
        <v>7131413111</v>
      </c>
      <c r="AU222" s="1">
        <v>7131413111</v>
      </c>
      <c r="AV222" s="1" t="s">
        <v>2018</v>
      </c>
      <c r="AW222" s="5" t="s">
        <v>6648</v>
      </c>
      <c r="AX222" s="1" t="s">
        <v>6649</v>
      </c>
      <c r="AY222" s="1" t="s">
        <v>2015</v>
      </c>
      <c r="AZ222" s="1" t="s">
        <v>6650</v>
      </c>
      <c r="BA222" s="1" t="s">
        <v>493</v>
      </c>
      <c r="BB222" s="1">
        <v>36</v>
      </c>
      <c r="BC222" s="1" t="s">
        <v>620</v>
      </c>
      <c r="BD222" s="43">
        <v>0.20833333333575865</v>
      </c>
      <c r="BE222" s="43">
        <v>0.375</v>
      </c>
      <c r="BF222" s="1">
        <v>5632154076</v>
      </c>
      <c r="BG222" s="1">
        <v>5632154076</v>
      </c>
      <c r="BH222" s="1"/>
      <c r="BI222" s="5" t="s">
        <v>6651</v>
      </c>
      <c r="BJ222" s="1" t="s">
        <v>236</v>
      </c>
      <c r="BL222" s="1">
        <v>1.57</v>
      </c>
      <c r="BM222" s="1">
        <v>63</v>
      </c>
      <c r="BN222" s="1" t="s">
        <v>236</v>
      </c>
      <c r="BO222" s="1" t="s">
        <v>228</v>
      </c>
      <c r="BQ222" s="1" t="s">
        <v>236</v>
      </c>
      <c r="BR222" s="1" t="s">
        <v>348</v>
      </c>
      <c r="BS222" s="1" t="s">
        <v>228</v>
      </c>
      <c r="BT222" s="1" t="s">
        <v>237</v>
      </c>
      <c r="BU222" s="1" t="s">
        <v>228</v>
      </c>
      <c r="BW222" s="1" t="s">
        <v>238</v>
      </c>
      <c r="BX222" s="1">
        <v>1</v>
      </c>
      <c r="BY222" s="1">
        <v>250</v>
      </c>
      <c r="BZ222" s="1" t="s">
        <v>284</v>
      </c>
      <c r="CA222" s="1" t="s">
        <v>652</v>
      </c>
      <c r="CB222" s="1" t="s">
        <v>240</v>
      </c>
      <c r="CC222" s="1" t="s">
        <v>274</v>
      </c>
      <c r="CD222" s="1">
        <v>1500</v>
      </c>
      <c r="CE222" s="1">
        <v>1000</v>
      </c>
      <c r="CF222" s="1" t="s">
        <v>236</v>
      </c>
      <c r="CG222" s="1" t="s">
        <v>242</v>
      </c>
      <c r="CH222" s="1" t="s">
        <v>243</v>
      </c>
      <c r="CI222" s="1" t="s">
        <v>243</v>
      </c>
      <c r="CJ222" s="1" t="s">
        <v>2848</v>
      </c>
      <c r="CL222" s="5" t="s">
        <v>6652</v>
      </c>
      <c r="CM222" s="1">
        <v>12220713478</v>
      </c>
      <c r="CN222" s="1" t="s">
        <v>228</v>
      </c>
      <c r="CQ222" s="42">
        <v>0.25</v>
      </c>
      <c r="CR222" s="42">
        <v>0.33333333333575865</v>
      </c>
      <c r="CT222" s="45" t="str">
        <f t="array" ref="CT222">IFERROR(INDEX(#REF!,MATCH('Respuestas de formulario 1.1'!$B222,#REF!,0),MATCH('Respuestas de formulario 1.1'!CT$1,#REF!,0)),"")</f>
        <v/>
      </c>
      <c r="CU222" s="56" t="str">
        <f t="array" ref="CU222">IFERROR(INDEX(#REF!,MATCH('Respuestas de formulario 1.1'!$B222,#REF!,0),MATCH('Respuestas de formulario 1.1'!CU$1,#REF!,0)),"")</f>
        <v/>
      </c>
      <c r="CV222" s="56" t="str">
        <f t="array" ref="CV222">IFERROR(INDEX(#REF!,MATCH('Respuestas de formulario 1.1'!$B222,#REF!,0),MATCH('Respuestas de formulario 1.1'!CV$1,#REF!,0)),"")</f>
        <v/>
      </c>
      <c r="CW222" s="56" t="str">
        <f t="array" ref="CW222">IFERROR(INDEX(#REF!,MATCH('Respuestas de formulario 1.1'!$B222,#REF!,0),MATCH('Respuestas de formulario 1.1'!CW$1,#REF!,0)),"")</f>
        <v/>
      </c>
      <c r="CX222" s="56" t="str">
        <f t="array" ref="CX222">IFERROR(INDEX(#REF!,MATCH('Respuestas de formulario 1.1'!$B222,#REF!,0),MATCH('Respuestas de formulario 1.1'!CX$1,#REF!,0)),"")</f>
        <v/>
      </c>
      <c r="CY222" s="56" t="str">
        <f t="array" ref="CY222">IFERROR(INDEX(#REF!,MATCH('Respuestas de formulario 1.1'!$B222,#REF!,0),MATCH('Respuestas de formulario 1.1'!CY$1,#REF!,0)),"")</f>
        <v/>
      </c>
      <c r="CZ222" s="57" t="str">
        <f t="array" ref="CZ222">IFERROR(INDEX(#REF!,MATCH('Respuestas de formulario 1.1'!$B222,#REF!,0),MATCH('Respuestas de formulario 1.1'!CZ$1,#REF!,0)),"")</f>
        <v/>
      </c>
      <c r="DA222" s="45" t="e">
        <f t="array" ref="DA222">INDEX(#REF!,MATCH('Respuestas de formulario 1.1'!$B222,#REF!,0),MATCH('Respuestas de formulario 1.1'!DA$1,#REF!,0))</f>
        <v>#REF!</v>
      </c>
      <c r="DB222" s="45" t="e">
        <f t="array" ref="DB222">INDEX(#REF!,MATCH('Respuestas de formulario 1.1'!$B222,#REF!,0),MATCH('Respuestas de formulario 1.1'!DB$1,#REF!,0))</f>
        <v>#REF!</v>
      </c>
      <c r="DC222" s="45" t="e">
        <f t="array" ref="DC222">INDEX(#REF!,MATCH('Respuestas de formulario 1.1'!$B222,#REF!,0),MATCH('Respuestas de formulario 1.1'!DC$1,#REF!,0))</f>
        <v>#REF!</v>
      </c>
      <c r="DD222" s="45" t="e">
        <f t="array" ref="DD222">INDEX(#REF!,MATCH('Respuestas de formulario 1.1'!$B222,#REF!,0),MATCH('Respuestas de formulario 1.1'!DD$1,#REF!,0))</f>
        <v>#REF!</v>
      </c>
      <c r="DE222" s="45" t="e">
        <f t="array" ref="DE222">INDEX(#REF!,MATCH('Respuestas de formulario 1.1'!$B222,#REF!,0),MATCH('Respuestas de formulario 1.1'!DE$1,#REF!,0))</f>
        <v>#REF!</v>
      </c>
      <c r="DF222" s="45" t="e">
        <f t="array" ref="DF222">INDEX(#REF!,MATCH('Respuestas de formulario 1.1'!$B222,#REF!,0),MATCH('Respuestas de formulario 1.1'!DF$1,#REF!,0))</f>
        <v>#REF!</v>
      </c>
      <c r="DG222" s="45" t="e">
        <f t="array" ref="DG222">INDEX(#REF!,MATCH('Respuestas de formulario 1.1'!$B222,#REF!,0),MATCH('Respuestas de formulario 1.1'!DG$1,#REF!,0))</f>
        <v>#REF!</v>
      </c>
      <c r="DH222" s="45" t="e">
        <f t="array" ref="DH222">INDEX(#REF!,MATCH('Respuestas de formulario 1.1'!$B222,#REF!,0),MATCH('Respuestas de formulario 1.1'!DH$1,#REF!,0))</f>
        <v>#REF!</v>
      </c>
      <c r="DI222" s="48" t="e">
        <f>VLOOKUP(CONCATENATE($DF222," TUTO ",$DC222),#REF!,3,0)</f>
        <v>#REF!</v>
      </c>
      <c r="DJ222" s="48" t="e">
        <f t="array" ref="DJ222">IF('Respuestas de formulario 1.1'!A222="","",INDEX(#REF!,MATCH('Respuestas de formulario 1.1'!B222,#REF!,0),MATCH('Respuestas de formulario 1.1'!$DH$1,#REF!,0)))</f>
        <v>#REF!</v>
      </c>
      <c r="DK222" s="52" t="str">
        <f>CONCATENATE("http://doc.google.com/uc?id=",MID('Respuestas de formulario 1.1'!G222,34,33))</f>
        <v>http://doc.google.com/uc?id=1iC7kSbn1ChR5D1-3_mg_mEGsprGsxsB2</v>
      </c>
      <c r="DL222" s="49" t="str">
        <f>CONCATENATE("http://doc.google.com/uc?id=",MID('Respuestas de formulario 1.1'!AH222,34,33))</f>
        <v>http://doc.google.com/uc?id=10hdUY1BEWPPAfkZTI-hWLujE2Qm5BlFi</v>
      </c>
      <c r="DM222" s="50" t="str">
        <f>CONCATENATE("http://doc.google.com/uc?id=",MID('Respuestas de formulario 1.1'!AW222,34,33))</f>
        <v>http://doc.google.com/uc?id=1Nvpn3hUxklWjyYT3k3BJ3EVqNoVzb1rs</v>
      </c>
      <c r="DN222" s="53" t="str">
        <f>CONCATENATE("http://doc.google.com/uc?id=",MID('Respuestas de formulario 1.1'!$BI222,34,33))</f>
        <v>http://doc.google.com/uc?id=1cwCZ3TQojQlbXPapwr2daaBKBfmdH6lM</v>
      </c>
      <c r="DO222" s="45" t="str">
        <f>IFERROR(VLOOKUP(CONCATENATE('Respuestas de formulario 1.1'!$B222,MID('Respuestas de formulario 1.1'!DO$1,2,1)),#REF!,12,0),"")</f>
        <v/>
      </c>
      <c r="DP222" s="45" t="str">
        <f>IFERROR(VLOOKUP(CONCATENATE('Respuestas de formulario 1.1'!$B222,MID('Respuestas de formulario 1.1'!DP$1,2,1)),#REF!,12,0),"")</f>
        <v/>
      </c>
      <c r="DQ222" s="45" t="str">
        <f>IFERROR(VLOOKUP(CONCATENATE('Respuestas de formulario 1.1'!$B222,MID('Respuestas de formulario 1.1'!DQ$1,2,1)),#REF!,12,0),"")</f>
        <v/>
      </c>
      <c r="DR222" s="45" t="str">
        <f>IFERROR(VLOOKUP(CONCATENATE('Respuestas de formulario 1.1'!$B222,MID('Respuestas de formulario 1.1'!DR$1,2,1)),#REF!,12,0),"")</f>
        <v/>
      </c>
      <c r="DS222" s="45" t="str">
        <f>IFERROR(VLOOKUP(CONCATENATE('Respuestas de formulario 1.1'!$B222,MID('Respuestas de formulario 1.1'!DS$1,2,1)),#REF!,12,0),"")</f>
        <v/>
      </c>
      <c r="DT222" s="45" t="str">
        <f>IFERROR(VLOOKUP(CONCATENATE('Respuestas de formulario 1.1'!$B222,MID('Respuestas de formulario 1.1'!DT$1,2,1)),#REF!,12,0),"")</f>
        <v/>
      </c>
      <c r="DU222" s="45" t="str">
        <f>IFERROR(VLOOKUP(CONCATENATE('Respuestas de formulario 1.1'!$B222,MID('Respuestas de formulario 1.1'!DU$1,2,1)),#REF!,12,0),"")</f>
        <v/>
      </c>
      <c r="DV222" s="45" t="str">
        <f>IFERROR(VLOOKUP(CONCATENATE('Respuestas de formulario 1.1'!$B222,MID('Respuestas de formulario 1.1'!DV$1,2,1)),#REF!,12,0),"")</f>
        <v/>
      </c>
      <c r="DW222" s="45" t="str">
        <f>IFERROR(VLOOKUP(CONCATENATE('Respuestas de formulario 1.1'!$B222,MID('Respuestas de formulario 1.1'!DW$1,2,1)),#REF!,12,0),"")</f>
        <v/>
      </c>
      <c r="DX222" s="45" t="str">
        <f>IFERROR(VLOOKUP(CONCATENATE('Respuestas de formulario 1.1'!$B222,MID('Respuestas de formulario 1.1'!DX$1,2,1)),#REF!,12,0),"")</f>
        <v/>
      </c>
      <c r="DY222" s="45" t="str">
        <f>IFERROR(VLOOKUP(CONCATENATE('Respuestas de formulario 1.1'!$B222,MID('Respuestas de formulario 1.1'!DY$1,2,1)),#REF!,12,0),"")</f>
        <v/>
      </c>
      <c r="DZ222" s="45" t="str">
        <f>IFERROR(VLOOKUP(CONCATENATE('Respuestas de formulario 1.1'!$B222,MID('Respuestas de formulario 1.1'!DZ$1,2,1)),#REF!,12,0),"")</f>
        <v/>
      </c>
      <c r="EA222" s="45" t="str">
        <f>IFERROR(VLOOKUP(CONCATENATE('Respuestas de formulario 1.1'!$B222,MID('Respuestas de formulario 1.1'!EA$1,2,1)),#REF!,12,0),"")</f>
        <v/>
      </c>
      <c r="EB222" s="45" t="str">
        <f>IFERROR(VLOOKUP(CONCATENATE('Respuestas de formulario 1.1'!$B222,MID('Respuestas de formulario 1.1'!EB$1,2,1)),#REF!,12,0),"")</f>
        <v/>
      </c>
      <c r="EC222" s="45" t="str">
        <f>IFERROR(VLOOKUP(CONCATENATE('Respuestas de formulario 1.1'!$B222,MID('Respuestas de formulario 1.1'!EC$1,2,1)),#REF!,12,0),"")</f>
        <v/>
      </c>
      <c r="ED222" s="45" t="str">
        <f>IFERROR(VLOOKUP(CONCATENATE('Respuestas de formulario 1.1'!$B222,MID('Respuestas de formulario 1.1'!ED$1,2,1)),#REF!,12,0),"")</f>
        <v/>
      </c>
      <c r="EE222" s="45" t="str">
        <f>IFERROR(VLOOKUP(CONCATENATE('Respuestas de formulario 1.1'!$B222,MID('Respuestas de formulario 1.1'!EE$1,2,1)),#REF!,12,0),"")</f>
        <v/>
      </c>
      <c r="EF222" s="45" t="str">
        <f>IFERROR(VLOOKUP(CONCATENATE('Respuestas de formulario 1.1'!$B222,MID('Respuestas de formulario 1.1'!EF$1,2,1)),#REF!,12,0),"")</f>
        <v/>
      </c>
      <c r="EG222" s="45" t="str">
        <f>IFERROR(VLOOKUP(CONCATENATE('Respuestas de formulario 1.1'!$B222,MID('Respuestas de formulario 1.1'!EG$1,2,1)),#REF!,12,0),"")</f>
        <v/>
      </c>
      <c r="EH222" s="45" t="str">
        <f>IFERROR(VLOOKUP(CONCATENATE('Respuestas de formulario 1.1'!$B222,MID('Respuestas de formulario 1.1'!EH$1,2,1)),#REF!,12,0),"")</f>
        <v/>
      </c>
      <c r="EI222" s="45" t="str">
        <f>IFERROR(VLOOKUP(CONCATENATE('Respuestas de formulario 1.1'!$B222,MID('Respuestas de formulario 1.1'!EI$1,2,1)),#REF!,12,0),"")</f>
        <v/>
      </c>
      <c r="EJ222" s="45" t="str">
        <f t="array" ref="EJ222">IF(DO222="","", INDEX(#REF!,MATCH(CONCATENATE('Respuestas de formulario 1.1'!$B222,DO222),#REF!,0),MATCH('Respuestas de formulario 1.1'!EJ$1,#REF!,0)))</f>
        <v/>
      </c>
      <c r="EK222" s="56" t="str">
        <f t="array" ref="EK222">IF(DP222="","", INDEX(#REF!,MATCH(CONCATENATE('Respuestas de formulario 1.1'!$B222,DP222),#REF!,0),MATCH('Respuestas de formulario 1.1'!EK$1,#REF!,0)))</f>
        <v/>
      </c>
      <c r="EL222" s="56" t="str">
        <f t="array" ref="EL222">IF(DQ222="","", INDEX(#REF!,MATCH(CONCATENATE('Respuestas de formulario 1.1'!$B222,DQ222),#REF!,0),MATCH('Respuestas de formulario 1.1'!EL$1,#REF!,0)))</f>
        <v/>
      </c>
      <c r="EM222" s="56" t="str">
        <f t="array" ref="EM222">IF(DR222="","", INDEX(#REF!,MATCH(CONCATENATE('Respuestas de formulario 1.1'!$B222,DR222),#REF!,0),MATCH('Respuestas de formulario 1.1'!EM$1,#REF!,0)))</f>
        <v/>
      </c>
      <c r="EN222" s="56" t="str">
        <f t="array" ref="EN222">IF(DS222="","", INDEX(#REF!,MATCH(CONCATENATE('Respuestas de formulario 1.1'!$B222,DS222),#REF!,0),MATCH('Respuestas de formulario 1.1'!EN$1,#REF!,0)))</f>
        <v/>
      </c>
      <c r="EO222" s="56" t="str">
        <f t="array" ref="EO222">IF(DT222="","", INDEX(#REF!,MATCH(CONCATENATE('Respuestas de formulario 1.1'!$B222,DT222),#REF!,0),MATCH('Respuestas de formulario 1.1'!EO$1,#REF!,0)))</f>
        <v/>
      </c>
      <c r="EP222" s="45" t="str">
        <f t="array" ref="EP222">IF(DU222="","", INDEX(#REF!,MATCH(CONCATENATE('Respuestas de formulario 1.1'!$B222,DU222),#REF!,0),MATCH('Respuestas de formulario 1.1'!EP$1,#REF!,0)))</f>
        <v/>
      </c>
      <c r="EQ222" s="45" t="str">
        <f t="array" ref="EQ222">IF(DP222="","", INDEX(#REF!,MATCH(CONCATENATE('Respuestas de formulario 1.1'!$B222,DP222),#REF!,0),MATCH('Respuestas de formulario 1.1'!EQ$1,#REF!,0)))</f>
        <v/>
      </c>
      <c r="ER222" s="56" t="str">
        <f t="array" ref="ER222">IF(DQ222="","", INDEX(#REF!,MATCH(CONCATENATE('Respuestas de formulario 1.1'!$B222,DQ222),#REF!,0),MATCH('Respuestas de formulario 1.1'!ER$1,#REF!,0)))</f>
        <v/>
      </c>
      <c r="ES222" s="56" t="str">
        <f t="array" ref="ES222">IF(DR222="","", INDEX(#REF!,MATCH(CONCATENATE('Respuestas de formulario 1.1'!$B222,DR222),#REF!,0),MATCH('Respuestas de formulario 1.1'!ES$1,#REF!,0)))</f>
        <v/>
      </c>
      <c r="ET222" s="56" t="str">
        <f t="array" ref="ET222">IF(DS222="","", INDEX(#REF!,MATCH(CONCATENATE('Respuestas de formulario 1.1'!$B222,DS222),#REF!,0),MATCH('Respuestas de formulario 1.1'!ET$1,#REF!,0)))</f>
        <v/>
      </c>
      <c r="EU222" s="56" t="str">
        <f t="array" ref="EU222">IF(DT222="","", INDEX(#REF!,MATCH(CONCATENATE('Respuestas de formulario 1.1'!$B222,DT222),#REF!,0),MATCH('Respuestas de formulario 1.1'!EU$1,#REF!,0)))</f>
        <v/>
      </c>
      <c r="EV222" s="56" t="str">
        <f t="array" ref="EV222">IF(DU222="","", INDEX(#REF!,MATCH(CONCATENATE('Respuestas de formulario 1.1'!$B222,DU222),#REF!,0),MATCH('Respuestas de formulario 1.1'!EV$1,#REF!,0)))</f>
        <v/>
      </c>
      <c r="EW222" s="45" t="str">
        <f t="array" ref="EW222">IF(DV222="","", INDEX(#REF!,MATCH(CONCATENATE('Respuestas de formulario 1.1'!$B222,DV222),#REF!,0),MATCH('Respuestas de formulario 1.1'!EW$1,#REF!,0)))</f>
        <v/>
      </c>
      <c r="EX222" s="45" t="str">
        <f t="array" ref="EX222">IF($DQ222="","", INDEX(#REF!,MATCH(CONCATENATE('Respuestas de formulario 1.1'!$B222,$DQ222),#REF!,0),MATCH('Respuestas de formulario 1.1'!EX$1,#REF!,0)))</f>
        <v/>
      </c>
      <c r="EY222" s="56" t="str">
        <f t="array" ref="EY222">IF($DQ222="","", INDEX(#REF!,MATCH(CONCATENATE('Respuestas de formulario 1.1'!$B222,$DQ222),#REF!,0),MATCH('Respuestas de formulario 1.1'!EY$1,#REF!,0)))</f>
        <v/>
      </c>
      <c r="EZ222" s="56" t="str">
        <f t="array" ref="EZ222">IF($DQ222="","", INDEX(#REF!,MATCH(CONCATENATE('Respuestas de formulario 1.1'!$B222,$DQ222),#REF!,0),MATCH('Respuestas de formulario 1.1'!EZ$1,#REF!,0)))</f>
        <v/>
      </c>
      <c r="FA222" s="56" t="str">
        <f t="array" ref="FA222">IF($DQ222="","", INDEX(#REF!,MATCH(CONCATENATE('Respuestas de formulario 1.1'!$B222,$DQ222),#REF!,0),MATCH('Respuestas de formulario 1.1'!FA$1,#REF!,0)))</f>
        <v/>
      </c>
      <c r="FB222" s="56" t="str">
        <f t="array" ref="FB222">IF($DQ222="","", INDEX(#REF!,MATCH(CONCATENATE('Respuestas de formulario 1.1'!$B222,$DQ222),#REF!,0),MATCH('Respuestas de formulario 1.1'!FB$1,#REF!,0)))</f>
        <v/>
      </c>
      <c r="FC222" s="56" t="str">
        <f t="array" ref="FC222">IF($DQ222="","", INDEX(#REF!,MATCH(CONCATENATE('Respuestas de formulario 1.1'!$B222,$DQ222),#REF!,0),MATCH('Respuestas de formulario 1.1'!FC$1,#REF!,0)))</f>
        <v/>
      </c>
      <c r="FD222" s="45" t="str">
        <f t="array" ref="FD222">IF($DQ222="","", INDEX(#REF!,MATCH(CONCATENATE('Respuestas de formulario 1.1'!$B222,$DQ222),#REF!,0),MATCH('Respuestas de formulario 1.1'!FD$1,#REF!,0)))</f>
        <v/>
      </c>
      <c r="FE222" s="45" t="str">
        <f t="array" ref="FE222">IF($DR222="","", INDEX(#REF!,MATCH(CONCATENATE(#REF!,$DR222),#REF!,0),MATCH(#REF!,#REF!,0)))</f>
        <v/>
      </c>
      <c r="FF222" s="56" t="str">
        <f t="array" ref="FF222">IF($DR222="","", INDEX(#REF!,MATCH(CONCATENATE(#REF!,$DR222),#REF!,0),MATCH(#REF!,#REF!,0)))</f>
        <v/>
      </c>
      <c r="FG222" s="56" t="str">
        <f t="array" ref="FG222">IF($DR222="","", INDEX(#REF!,MATCH(CONCATENATE(#REF!,$DR222),#REF!,0),MATCH(#REF!,#REF!,0)))</f>
        <v/>
      </c>
      <c r="FH222" s="56" t="str">
        <f t="array" ref="FH222">IF($DR222="","", INDEX(#REF!,MATCH(CONCATENATE(#REF!,$DR222),#REF!,0),MATCH(#REF!,#REF!,0)))</f>
        <v/>
      </c>
      <c r="FI222" s="56" t="str">
        <f t="array" ref="FI222">IF($DR222="","", INDEX(#REF!,MATCH(CONCATENATE(#REF!,$DR222),#REF!,0),MATCH(#REF!,#REF!,0)))</f>
        <v/>
      </c>
      <c r="FJ222" s="56" t="str">
        <f t="array" ref="FJ222">IF($DR222="","", INDEX(#REF!,MATCH(CONCATENATE(#REF!,$DR222),#REF!,0),MATCH(#REF!,#REF!,0)))</f>
        <v/>
      </c>
      <c r="FK222" s="45" t="str">
        <f t="array" ref="FK222">IF($DR222="","", INDEX(#REF!,MATCH(CONCATENATE(#REF!,$DR222),#REF!,0),MATCH(#REF!,#REF!,0)))</f>
        <v/>
      </c>
      <c r="FL222" s="45" t="str">
        <f t="array" ref="FL222">IF($DT222="","", INDEX(#REF!,MATCH(CONCATENATE('Respuestas de formulario 1.1'!$B222,$DS222),#REF!,0),MATCH('Respuestas de formulario 1.1'!FL$1,#REF!,0)))</f>
        <v/>
      </c>
      <c r="FM222" s="56" t="str">
        <f t="array" ref="FM222">IF($DT222="","", INDEX(#REF!,MATCH(CONCATENATE('Respuestas de formulario 1.1'!$B222,$DS222),#REF!,0),MATCH('Respuestas de formulario 1.1'!FM$1,#REF!,0)))</f>
        <v/>
      </c>
      <c r="FN222" s="56" t="str">
        <f t="array" ref="FN222">IF($DT222="","", INDEX(#REF!,MATCH(CONCATENATE('Respuestas de formulario 1.1'!$B222,$DS222),#REF!,0),MATCH('Respuestas de formulario 1.1'!FN$1,#REF!,0)))</f>
        <v/>
      </c>
      <c r="FO222" s="56" t="str">
        <f t="array" ref="FO222">IF($DT222="","", INDEX(#REF!,MATCH(CONCATENATE('Respuestas de formulario 1.1'!$B222,$DS222),#REF!,0),MATCH('Respuestas de formulario 1.1'!FO$1,#REF!,0)))</f>
        <v/>
      </c>
      <c r="FP222" s="56" t="str">
        <f t="array" ref="FP222">IF($DT222="","", INDEX(#REF!,MATCH(CONCATENATE('Respuestas de formulario 1.1'!$B222,$DS222),#REF!,0),MATCH('Respuestas de formulario 1.1'!FP$1,#REF!,0)))</f>
        <v/>
      </c>
      <c r="FQ222" s="56" t="str">
        <f t="array" ref="FQ222">IF($DT222="","", INDEX(#REF!,MATCH(CONCATENATE('Respuestas de formulario 1.1'!$B222,$DS222),#REF!,0),MATCH('Respuestas de formulario 1.1'!FQ$1,#REF!,0)))</f>
        <v/>
      </c>
      <c r="FR222" s="45" t="str">
        <f t="array" ref="FR222">IF($DT222="","", INDEX(#REF!,MATCH(CONCATENATE('Respuestas de formulario 1.1'!$B222,$DS222),#REF!,0),MATCH('Respuestas de formulario 1.1'!FR$1,#REF!,0)))</f>
        <v/>
      </c>
      <c r="FS222" s="45" t="str">
        <f t="array" ref="FS222">IF($DU222="","", INDEX(#REF!,MATCH(CONCATENATE('Respuestas de formulario 1.1'!$B222,$DT222),#REF!,0),MATCH('Respuestas de formulario 1.1'!FS$1,#REF!,0)))</f>
        <v/>
      </c>
      <c r="FT222" s="56" t="str">
        <f t="array" ref="FT222">IF($DU222="","", INDEX(#REF!,MATCH(CONCATENATE('Respuestas de formulario 1.1'!$B222,$DT222),#REF!,0),MATCH('Respuestas de formulario 1.1'!FT$1,#REF!,0)))</f>
        <v/>
      </c>
      <c r="FU222" s="56" t="str">
        <f t="array" ref="FU222">IF($DU222="","", INDEX(#REF!,MATCH(CONCATENATE('Respuestas de formulario 1.1'!$B222,$DT222),#REF!,0),MATCH('Respuestas de formulario 1.1'!FU$1,#REF!,0)))</f>
        <v/>
      </c>
      <c r="FV222" s="56" t="str">
        <f t="array" ref="FV222">IF($DU222="","", INDEX(#REF!,MATCH(CONCATENATE('Respuestas de formulario 1.1'!$B222,$DT222),#REF!,0),MATCH('Respuestas de formulario 1.1'!FV$1,#REF!,0)))</f>
        <v/>
      </c>
      <c r="FW222" s="56" t="str">
        <f t="array" ref="FW222">IF($DU222="","", INDEX(#REF!,MATCH(CONCATENATE('Respuestas de formulario 1.1'!$B222,$DT222),#REF!,0),MATCH('Respuestas de formulario 1.1'!FW$1,#REF!,0)))</f>
        <v/>
      </c>
      <c r="FX222" s="56" t="str">
        <f t="array" ref="FX222">IF($DU222="","", INDEX(#REF!,MATCH(CONCATENATE('Respuestas de formulario 1.1'!$B222,$DT222),#REF!,0),MATCH('Respuestas de formulario 1.1'!FX$1,#REF!,0)))</f>
        <v/>
      </c>
      <c r="FY222" s="45" t="str">
        <f t="array" ref="FY222">IF($DU222="","", INDEX(#REF!,MATCH(CONCATENATE('Respuestas de formulario 1.1'!$B222,$DT222),#REF!,0),MATCH('Respuestas de formulario 1.1'!FY$1,#REF!,0)))</f>
        <v/>
      </c>
      <c r="FZ222" s="3" t="s">
        <v>2860</v>
      </c>
      <c r="GA222" s="1" t="s">
        <v>6653</v>
      </c>
      <c r="GB222" s="5" t="s">
        <v>6654</v>
      </c>
      <c r="GC222" s="4" t="str">
        <f>HYPERLINK("https://drive.google.com/file/d/1wcLH-P-sBk1cxKysHoMOPscqQG1iaaJl/view?usp=drivesdk","LOPEZ RUIZ VALERIA YEMAYA Formato de reinscripción y pago 2022-2")</f>
        <v>LOPEZ RUIZ VALERIA YEMAYA Formato de reinscripción y pago 2022-2</v>
      </c>
      <c r="GD222" s="1" t="s">
        <v>6655</v>
      </c>
      <c r="GE222" s="1"/>
      <c r="GF222" s="1"/>
      <c r="GG222" s="1"/>
      <c r="GH222" s="1"/>
      <c r="GI222" s="1" t="s">
        <v>6656</v>
      </c>
      <c r="GJ222" s="5" t="s">
        <v>6657</v>
      </c>
      <c r="GK222" s="5" t="str">
        <f>HYPERLINK("https://drive.google.com/file/d/1VN-q9Sa1OQmqW7lNtF7ORvFtRtn9xH9Q/view?usp=drivesdk","LOPEZ RUIZ VALERIA YEMAYA Formato de reinscripción y pago 2022-2")</f>
        <v>LOPEZ RUIZ VALERIA YEMAYA Formato de reinscripción y pago 2022-2</v>
      </c>
      <c r="GL222" s="1" t="s">
        <v>6658</v>
      </c>
    </row>
    <row r="223" spans="1:194" ht="38.25" x14ac:dyDescent="0.2">
      <c r="A223" s="2">
        <v>45139.529744525462</v>
      </c>
      <c r="B223" s="1" t="s">
        <v>2496</v>
      </c>
      <c r="C223" s="1" t="s">
        <v>2497</v>
      </c>
      <c r="D223" s="1" t="s">
        <v>2498</v>
      </c>
      <c r="E223" s="1" t="s">
        <v>2499</v>
      </c>
      <c r="F223" s="1" t="s">
        <v>223</v>
      </c>
      <c r="G223" s="5" t="s">
        <v>6659</v>
      </c>
      <c r="H223" s="41">
        <v>38880</v>
      </c>
      <c r="I223" s="1">
        <v>17</v>
      </c>
      <c r="J223" s="1">
        <v>5538240524</v>
      </c>
      <c r="K223" s="1">
        <v>5559860759</v>
      </c>
      <c r="L223" s="1" t="s">
        <v>2500</v>
      </c>
      <c r="M223" s="1">
        <v>21309060570850</v>
      </c>
      <c r="N223" s="1" t="s">
        <v>1108</v>
      </c>
      <c r="O223" s="1" t="s">
        <v>225</v>
      </c>
      <c r="P223" s="1" t="s">
        <v>278</v>
      </c>
      <c r="Q223" s="1" t="s">
        <v>227</v>
      </c>
      <c r="R223" s="1" t="s">
        <v>236</v>
      </c>
      <c r="S223" s="1" t="s">
        <v>228</v>
      </c>
      <c r="T223" s="1" t="s">
        <v>411</v>
      </c>
      <c r="U223" s="1" t="s">
        <v>394</v>
      </c>
      <c r="V223" s="1" t="s">
        <v>228</v>
      </c>
      <c r="W223" s="1" t="s">
        <v>6660</v>
      </c>
      <c r="X223" s="1" t="s">
        <v>249</v>
      </c>
      <c r="Y223" s="1" t="s">
        <v>601</v>
      </c>
      <c r="Z223" s="1" t="s">
        <v>240</v>
      </c>
      <c r="AA223" s="44" t="s">
        <v>569</v>
      </c>
      <c r="AB223" s="1" t="s">
        <v>270</v>
      </c>
      <c r="AC223" s="1" t="s">
        <v>270</v>
      </c>
      <c r="AD223" s="1" t="s">
        <v>6661</v>
      </c>
      <c r="AE223" s="1" t="s">
        <v>6662</v>
      </c>
      <c r="AF223" s="1" t="s">
        <v>445</v>
      </c>
      <c r="AG223" s="1">
        <v>50</v>
      </c>
      <c r="AH223" s="5" t="s">
        <v>6663</v>
      </c>
      <c r="AI223" s="1">
        <v>5562107249</v>
      </c>
      <c r="AJ223" s="1">
        <v>5559860759</v>
      </c>
      <c r="AK223" s="1" t="s">
        <v>2502</v>
      </c>
      <c r="AL223" s="1" t="s">
        <v>421</v>
      </c>
      <c r="AM223" s="1" t="s">
        <v>6664</v>
      </c>
      <c r="AN223" s="1" t="s">
        <v>6665</v>
      </c>
      <c r="AO223" s="1" t="s">
        <v>403</v>
      </c>
      <c r="AP223" s="1">
        <v>26</v>
      </c>
      <c r="AQ223" s="1" t="s">
        <v>2510</v>
      </c>
      <c r="AR223" s="42">
        <v>4.1666666664241347E-2</v>
      </c>
      <c r="AS223" s="42">
        <v>0.41666666666424135</v>
      </c>
      <c r="AT223" s="1">
        <v>5531202227</v>
      </c>
      <c r="AU223" s="1">
        <v>5559860759</v>
      </c>
      <c r="AV223" s="1" t="s">
        <v>2501</v>
      </c>
      <c r="AW223" s="5" t="s">
        <v>6666</v>
      </c>
      <c r="AX223" s="1" t="s">
        <v>6667</v>
      </c>
      <c r="AY223" s="1" t="s">
        <v>251</v>
      </c>
      <c r="AZ223" s="1" t="s">
        <v>6668</v>
      </c>
      <c r="BA223" s="1" t="s">
        <v>1661</v>
      </c>
      <c r="BB223" s="1">
        <v>25</v>
      </c>
      <c r="BC223" s="1" t="s">
        <v>6669</v>
      </c>
      <c r="BD223" s="43">
        <v>0.66666666666424135</v>
      </c>
      <c r="BE223" s="43">
        <v>0.89583333333575865</v>
      </c>
      <c r="BF223" s="1">
        <v>5534847013</v>
      </c>
      <c r="BG223" s="1">
        <v>5559860759</v>
      </c>
      <c r="BH223" s="1" t="s">
        <v>6670</v>
      </c>
      <c r="BI223" s="5" t="s">
        <v>6671</v>
      </c>
      <c r="BJ223" s="1" t="s">
        <v>236</v>
      </c>
      <c r="BK223" s="1" t="s">
        <v>6672</v>
      </c>
      <c r="BL223" s="1">
        <v>1.52</v>
      </c>
      <c r="BM223" s="1">
        <v>42</v>
      </c>
      <c r="BN223" s="1" t="s">
        <v>236</v>
      </c>
      <c r="BO223" s="1" t="s">
        <v>228</v>
      </c>
      <c r="BP223" s="1" t="s">
        <v>270</v>
      </c>
      <c r="BQ223" s="1" t="s">
        <v>228</v>
      </c>
      <c r="BR223" s="1" t="s">
        <v>237</v>
      </c>
      <c r="BS223" s="1" t="s">
        <v>236</v>
      </c>
      <c r="BT223" s="1" t="s">
        <v>271</v>
      </c>
      <c r="BU223" s="1" t="s">
        <v>228</v>
      </c>
      <c r="BW223" s="1" t="s">
        <v>272</v>
      </c>
      <c r="BX223" s="1">
        <v>154</v>
      </c>
      <c r="BY223" s="1">
        <v>240</v>
      </c>
      <c r="BZ223" s="1" t="s">
        <v>6673</v>
      </c>
      <c r="CA223" s="1" t="s">
        <v>6674</v>
      </c>
      <c r="CB223" s="1" t="s">
        <v>240</v>
      </c>
      <c r="CC223" s="1" t="s">
        <v>275</v>
      </c>
      <c r="CD223" s="1">
        <v>1000</v>
      </c>
      <c r="CE223" s="1">
        <v>855</v>
      </c>
      <c r="CF223" s="1" t="s">
        <v>236</v>
      </c>
      <c r="CG223" s="1" t="s">
        <v>323</v>
      </c>
      <c r="CH223" s="1" t="s">
        <v>243</v>
      </c>
      <c r="CI223" s="1" t="s">
        <v>243</v>
      </c>
      <c r="CJ223" s="1" t="s">
        <v>2848</v>
      </c>
      <c r="CL223" s="5" t="s">
        <v>6675</v>
      </c>
      <c r="CM223" s="1">
        <v>16210667107</v>
      </c>
      <c r="CN223" s="1" t="s">
        <v>228</v>
      </c>
      <c r="CQ223" s="42">
        <v>0.25</v>
      </c>
      <c r="CR223" s="42">
        <v>0.56597222221898846</v>
      </c>
      <c r="CT223" s="45" t="str">
        <f t="array" ref="CT223">IFERROR(INDEX(#REF!,MATCH('Respuestas de formulario 1.1'!$B223,#REF!,0),MATCH('Respuestas de formulario 1.1'!CT$1,#REF!,0)),"")</f>
        <v/>
      </c>
      <c r="CU223" s="56" t="str">
        <f t="array" ref="CU223">IFERROR(INDEX(#REF!,MATCH('Respuestas de formulario 1.1'!$B223,#REF!,0),MATCH('Respuestas de formulario 1.1'!CU$1,#REF!,0)),"")</f>
        <v/>
      </c>
      <c r="CV223" s="56" t="str">
        <f t="array" ref="CV223">IFERROR(INDEX(#REF!,MATCH('Respuestas de formulario 1.1'!$B223,#REF!,0),MATCH('Respuestas de formulario 1.1'!CV$1,#REF!,0)),"")</f>
        <v/>
      </c>
      <c r="CW223" s="56" t="str">
        <f t="array" ref="CW223">IFERROR(INDEX(#REF!,MATCH('Respuestas de formulario 1.1'!$B223,#REF!,0),MATCH('Respuestas de formulario 1.1'!CW$1,#REF!,0)),"")</f>
        <v/>
      </c>
      <c r="CX223" s="56" t="str">
        <f t="array" ref="CX223">IFERROR(INDEX(#REF!,MATCH('Respuestas de formulario 1.1'!$B223,#REF!,0),MATCH('Respuestas de formulario 1.1'!CX$1,#REF!,0)),"")</f>
        <v/>
      </c>
      <c r="CY223" s="56" t="str">
        <f t="array" ref="CY223">IFERROR(INDEX(#REF!,MATCH('Respuestas de formulario 1.1'!$B223,#REF!,0),MATCH('Respuestas de formulario 1.1'!CY$1,#REF!,0)),"")</f>
        <v/>
      </c>
      <c r="CZ223" s="57" t="str">
        <f t="array" ref="CZ223">IFERROR(INDEX(#REF!,MATCH('Respuestas de formulario 1.1'!$B223,#REF!,0),MATCH('Respuestas de formulario 1.1'!CZ$1,#REF!,0)),"")</f>
        <v/>
      </c>
      <c r="DA223" s="45" t="e">
        <f t="array" ref="DA223">INDEX(#REF!,MATCH('Respuestas de formulario 1.1'!$B223,#REF!,0),MATCH('Respuestas de formulario 1.1'!DA$1,#REF!,0))</f>
        <v>#REF!</v>
      </c>
      <c r="DB223" s="45" t="e">
        <f t="array" ref="DB223">INDEX(#REF!,MATCH('Respuestas de formulario 1.1'!$B223,#REF!,0),MATCH('Respuestas de formulario 1.1'!DB$1,#REF!,0))</f>
        <v>#REF!</v>
      </c>
      <c r="DC223" s="45" t="e">
        <f t="array" ref="DC223">INDEX(#REF!,MATCH('Respuestas de formulario 1.1'!$B223,#REF!,0),MATCH('Respuestas de formulario 1.1'!DC$1,#REF!,0))</f>
        <v>#REF!</v>
      </c>
      <c r="DD223" s="45" t="e">
        <f t="array" ref="DD223">INDEX(#REF!,MATCH('Respuestas de formulario 1.1'!$B223,#REF!,0),MATCH('Respuestas de formulario 1.1'!DD$1,#REF!,0))</f>
        <v>#REF!</v>
      </c>
      <c r="DE223" s="45" t="e">
        <f t="array" ref="DE223">INDEX(#REF!,MATCH('Respuestas de formulario 1.1'!$B223,#REF!,0),MATCH('Respuestas de formulario 1.1'!DE$1,#REF!,0))</f>
        <v>#REF!</v>
      </c>
      <c r="DF223" s="45" t="e">
        <f t="array" ref="DF223">INDEX(#REF!,MATCH('Respuestas de formulario 1.1'!$B223,#REF!,0),MATCH('Respuestas de formulario 1.1'!DF$1,#REF!,0))</f>
        <v>#REF!</v>
      </c>
      <c r="DG223" s="45" t="e">
        <f t="array" ref="DG223">INDEX(#REF!,MATCH('Respuestas de formulario 1.1'!$B223,#REF!,0),MATCH('Respuestas de formulario 1.1'!DG$1,#REF!,0))</f>
        <v>#REF!</v>
      </c>
      <c r="DH223" s="45" t="e">
        <f t="array" ref="DH223">INDEX(#REF!,MATCH('Respuestas de formulario 1.1'!$B223,#REF!,0),MATCH('Respuestas de formulario 1.1'!DH$1,#REF!,0))</f>
        <v>#REF!</v>
      </c>
      <c r="DI223" s="48" t="e">
        <f>VLOOKUP(CONCATENATE($DF223," TUTO ",$DC223),#REF!,3,0)</f>
        <v>#REF!</v>
      </c>
      <c r="DJ223" s="48" t="e">
        <f t="array" ref="DJ223">IF('Respuestas de formulario 1.1'!A223="","",INDEX(#REF!,MATCH('Respuestas de formulario 1.1'!B223,#REF!,0),MATCH('Respuestas de formulario 1.1'!$DH$1,#REF!,0)))</f>
        <v>#REF!</v>
      </c>
      <c r="DK223" s="52" t="str">
        <f>CONCATENATE("http://doc.google.com/uc?id=",MID('Respuestas de formulario 1.1'!G223,34,33))</f>
        <v>http://doc.google.com/uc?id=1dr5Jttiei9N0cMBUmKnovAYysNgeh9gf</v>
      </c>
      <c r="DL223" s="49" t="str">
        <f>CONCATENATE("http://doc.google.com/uc?id=",MID('Respuestas de formulario 1.1'!AH223,34,33))</f>
        <v>http://doc.google.com/uc?id=1X8pLfmsZcGs2oNbvQAILi3AWkm6eJe38</v>
      </c>
      <c r="DM223" s="50" t="str">
        <f>CONCATENATE("http://doc.google.com/uc?id=",MID('Respuestas de formulario 1.1'!AW223,34,33))</f>
        <v>http://doc.google.com/uc?id=1jZjKqOgK4zY0G9vIkP5jrka9f4oyV3H0</v>
      </c>
      <c r="DN223" s="53" t="str">
        <f>CONCATENATE("http://doc.google.com/uc?id=",MID('Respuestas de formulario 1.1'!$BI223,34,33))</f>
        <v>http://doc.google.com/uc?id=1M_WndQwI4YLiGBi8BnpC1hl2BQPlDDAd</v>
      </c>
      <c r="DO223" s="45" t="str">
        <f>IFERROR(VLOOKUP(CONCATENATE('Respuestas de formulario 1.1'!$B223,MID('Respuestas de formulario 1.1'!DO$1,2,1)),#REF!,12,0),"")</f>
        <v/>
      </c>
      <c r="DP223" s="45" t="str">
        <f>IFERROR(VLOOKUP(CONCATENATE('Respuestas de formulario 1.1'!$B223,MID('Respuestas de formulario 1.1'!DP$1,2,1)),#REF!,12,0),"")</f>
        <v/>
      </c>
      <c r="DQ223" s="45" t="str">
        <f>IFERROR(VLOOKUP(CONCATENATE('Respuestas de formulario 1.1'!$B223,MID('Respuestas de formulario 1.1'!DQ$1,2,1)),#REF!,12,0),"")</f>
        <v/>
      </c>
      <c r="DR223" s="45" t="str">
        <f>IFERROR(VLOOKUP(CONCATENATE('Respuestas de formulario 1.1'!$B223,MID('Respuestas de formulario 1.1'!DR$1,2,1)),#REF!,12,0),"")</f>
        <v/>
      </c>
      <c r="DS223" s="45" t="str">
        <f>IFERROR(VLOOKUP(CONCATENATE('Respuestas de formulario 1.1'!$B223,MID('Respuestas de formulario 1.1'!DS$1,2,1)),#REF!,12,0),"")</f>
        <v/>
      </c>
      <c r="DT223" s="45" t="str">
        <f>IFERROR(VLOOKUP(CONCATENATE('Respuestas de formulario 1.1'!$B223,MID('Respuestas de formulario 1.1'!DT$1,2,1)),#REF!,12,0),"")</f>
        <v/>
      </c>
      <c r="DU223" s="45" t="str">
        <f>IFERROR(VLOOKUP(CONCATENATE('Respuestas de formulario 1.1'!$B223,MID('Respuestas de formulario 1.1'!DU$1,2,1)),#REF!,12,0),"")</f>
        <v/>
      </c>
      <c r="DV223" s="45" t="str">
        <f>IFERROR(VLOOKUP(CONCATENATE('Respuestas de formulario 1.1'!$B223,MID('Respuestas de formulario 1.1'!DV$1,2,1)),#REF!,12,0),"")</f>
        <v/>
      </c>
      <c r="DW223" s="45" t="str">
        <f>IFERROR(VLOOKUP(CONCATENATE('Respuestas de formulario 1.1'!$B223,MID('Respuestas de formulario 1.1'!DW$1,2,1)),#REF!,12,0),"")</f>
        <v/>
      </c>
      <c r="DX223" s="45" t="str">
        <f>IFERROR(VLOOKUP(CONCATENATE('Respuestas de formulario 1.1'!$B223,MID('Respuestas de formulario 1.1'!DX$1,2,1)),#REF!,12,0),"")</f>
        <v/>
      </c>
      <c r="DY223" s="45" t="str">
        <f>IFERROR(VLOOKUP(CONCATENATE('Respuestas de formulario 1.1'!$B223,MID('Respuestas de formulario 1.1'!DY$1,2,1)),#REF!,12,0),"")</f>
        <v/>
      </c>
      <c r="DZ223" s="45" t="str">
        <f>IFERROR(VLOOKUP(CONCATENATE('Respuestas de formulario 1.1'!$B223,MID('Respuestas de formulario 1.1'!DZ$1,2,1)),#REF!,12,0),"")</f>
        <v/>
      </c>
      <c r="EA223" s="45" t="str">
        <f>IFERROR(VLOOKUP(CONCATENATE('Respuestas de formulario 1.1'!$B223,MID('Respuestas de formulario 1.1'!EA$1,2,1)),#REF!,12,0),"")</f>
        <v/>
      </c>
      <c r="EB223" s="45" t="str">
        <f>IFERROR(VLOOKUP(CONCATENATE('Respuestas de formulario 1.1'!$B223,MID('Respuestas de formulario 1.1'!EB$1,2,1)),#REF!,12,0),"")</f>
        <v/>
      </c>
      <c r="EC223" s="45" t="str">
        <f>IFERROR(VLOOKUP(CONCATENATE('Respuestas de formulario 1.1'!$B223,MID('Respuestas de formulario 1.1'!EC$1,2,1)),#REF!,12,0),"")</f>
        <v/>
      </c>
      <c r="ED223" s="45" t="str">
        <f>IFERROR(VLOOKUP(CONCATENATE('Respuestas de formulario 1.1'!$B223,MID('Respuestas de formulario 1.1'!ED$1,2,1)),#REF!,12,0),"")</f>
        <v/>
      </c>
      <c r="EE223" s="45" t="str">
        <f>IFERROR(VLOOKUP(CONCATENATE('Respuestas de formulario 1.1'!$B223,MID('Respuestas de formulario 1.1'!EE$1,2,1)),#REF!,12,0),"")</f>
        <v/>
      </c>
      <c r="EF223" s="45" t="str">
        <f>IFERROR(VLOOKUP(CONCATENATE('Respuestas de formulario 1.1'!$B223,MID('Respuestas de formulario 1.1'!EF$1,2,1)),#REF!,12,0),"")</f>
        <v/>
      </c>
      <c r="EG223" s="45" t="str">
        <f>IFERROR(VLOOKUP(CONCATENATE('Respuestas de formulario 1.1'!$B223,MID('Respuestas de formulario 1.1'!EG$1,2,1)),#REF!,12,0),"")</f>
        <v/>
      </c>
      <c r="EH223" s="45" t="str">
        <f>IFERROR(VLOOKUP(CONCATENATE('Respuestas de formulario 1.1'!$B223,MID('Respuestas de formulario 1.1'!EH$1,2,1)),#REF!,12,0),"")</f>
        <v/>
      </c>
      <c r="EI223" s="45" t="str">
        <f>IFERROR(VLOOKUP(CONCATENATE('Respuestas de formulario 1.1'!$B223,MID('Respuestas de formulario 1.1'!EI$1,2,1)),#REF!,12,0),"")</f>
        <v/>
      </c>
      <c r="EJ223" s="45" t="str">
        <f t="array" ref="EJ223">IF(DO223="","", INDEX(#REF!,MATCH(CONCATENATE('Respuestas de formulario 1.1'!$B223,DO223),#REF!,0),MATCH('Respuestas de formulario 1.1'!EJ$1,#REF!,0)))</f>
        <v/>
      </c>
      <c r="EK223" s="56" t="str">
        <f t="array" ref="EK223">IF(DP223="","", INDEX(#REF!,MATCH(CONCATENATE('Respuestas de formulario 1.1'!$B223,DP223),#REF!,0),MATCH('Respuestas de formulario 1.1'!EK$1,#REF!,0)))</f>
        <v/>
      </c>
      <c r="EL223" s="56" t="str">
        <f t="array" ref="EL223">IF(DQ223="","", INDEX(#REF!,MATCH(CONCATENATE('Respuestas de formulario 1.1'!$B223,DQ223),#REF!,0),MATCH('Respuestas de formulario 1.1'!EL$1,#REF!,0)))</f>
        <v/>
      </c>
      <c r="EM223" s="56" t="str">
        <f t="array" ref="EM223">IF(DR223="","", INDEX(#REF!,MATCH(CONCATENATE('Respuestas de formulario 1.1'!$B223,DR223),#REF!,0),MATCH('Respuestas de formulario 1.1'!EM$1,#REF!,0)))</f>
        <v/>
      </c>
      <c r="EN223" s="56" t="str">
        <f t="array" ref="EN223">IF(DS223="","", INDEX(#REF!,MATCH(CONCATENATE('Respuestas de formulario 1.1'!$B223,DS223),#REF!,0),MATCH('Respuestas de formulario 1.1'!EN$1,#REF!,0)))</f>
        <v/>
      </c>
      <c r="EO223" s="56" t="str">
        <f t="array" ref="EO223">IF(DT223="","", INDEX(#REF!,MATCH(CONCATENATE('Respuestas de formulario 1.1'!$B223,DT223),#REF!,0),MATCH('Respuestas de formulario 1.1'!EO$1,#REF!,0)))</f>
        <v/>
      </c>
      <c r="EP223" s="45" t="str">
        <f t="array" ref="EP223">IF(DU223="","", INDEX(#REF!,MATCH(CONCATENATE('Respuestas de formulario 1.1'!$B223,DU223),#REF!,0),MATCH('Respuestas de formulario 1.1'!EP$1,#REF!,0)))</f>
        <v/>
      </c>
      <c r="EQ223" s="45" t="str">
        <f t="array" ref="EQ223">IF(DP223="","", INDEX(#REF!,MATCH(CONCATENATE('Respuestas de formulario 1.1'!$B223,DP223),#REF!,0),MATCH('Respuestas de formulario 1.1'!EQ$1,#REF!,0)))</f>
        <v/>
      </c>
      <c r="ER223" s="56" t="str">
        <f t="array" ref="ER223">IF(DQ223="","", INDEX(#REF!,MATCH(CONCATENATE('Respuestas de formulario 1.1'!$B223,DQ223),#REF!,0),MATCH('Respuestas de formulario 1.1'!ER$1,#REF!,0)))</f>
        <v/>
      </c>
      <c r="ES223" s="56" t="str">
        <f t="array" ref="ES223">IF(DR223="","", INDEX(#REF!,MATCH(CONCATENATE('Respuestas de formulario 1.1'!$B223,DR223),#REF!,0),MATCH('Respuestas de formulario 1.1'!ES$1,#REF!,0)))</f>
        <v/>
      </c>
      <c r="ET223" s="56" t="str">
        <f t="array" ref="ET223">IF(DS223="","", INDEX(#REF!,MATCH(CONCATENATE('Respuestas de formulario 1.1'!$B223,DS223),#REF!,0),MATCH('Respuestas de formulario 1.1'!ET$1,#REF!,0)))</f>
        <v/>
      </c>
      <c r="EU223" s="56" t="str">
        <f t="array" ref="EU223">IF(DT223="","", INDEX(#REF!,MATCH(CONCATENATE('Respuestas de formulario 1.1'!$B223,DT223),#REF!,0),MATCH('Respuestas de formulario 1.1'!EU$1,#REF!,0)))</f>
        <v/>
      </c>
      <c r="EV223" s="56" t="str">
        <f t="array" ref="EV223">IF(DU223="","", INDEX(#REF!,MATCH(CONCATENATE('Respuestas de formulario 1.1'!$B223,DU223),#REF!,0),MATCH('Respuestas de formulario 1.1'!EV$1,#REF!,0)))</f>
        <v/>
      </c>
      <c r="EW223" s="45" t="str">
        <f t="array" ref="EW223">IF(DV223="","", INDEX(#REF!,MATCH(CONCATENATE('Respuestas de formulario 1.1'!$B223,DV223),#REF!,0),MATCH('Respuestas de formulario 1.1'!EW$1,#REF!,0)))</f>
        <v/>
      </c>
      <c r="EX223" s="45" t="str">
        <f t="array" ref="EX223">IF($DQ223="","", INDEX(#REF!,MATCH(CONCATENATE('Respuestas de formulario 1.1'!$B223,$DQ223),#REF!,0),MATCH('Respuestas de formulario 1.1'!EX$1,#REF!,0)))</f>
        <v/>
      </c>
      <c r="EY223" s="56" t="str">
        <f t="array" ref="EY223">IF($DQ223="","", INDEX(#REF!,MATCH(CONCATENATE('Respuestas de formulario 1.1'!$B223,$DQ223),#REF!,0),MATCH('Respuestas de formulario 1.1'!EY$1,#REF!,0)))</f>
        <v/>
      </c>
      <c r="EZ223" s="56" t="str">
        <f t="array" ref="EZ223">IF($DQ223="","", INDEX(#REF!,MATCH(CONCATENATE('Respuestas de formulario 1.1'!$B223,$DQ223),#REF!,0),MATCH('Respuestas de formulario 1.1'!EZ$1,#REF!,0)))</f>
        <v/>
      </c>
      <c r="FA223" s="56" t="str">
        <f t="array" ref="FA223">IF($DQ223="","", INDEX(#REF!,MATCH(CONCATENATE('Respuestas de formulario 1.1'!$B223,$DQ223),#REF!,0),MATCH('Respuestas de formulario 1.1'!FA$1,#REF!,0)))</f>
        <v/>
      </c>
      <c r="FB223" s="56" t="str">
        <f t="array" ref="FB223">IF($DQ223="","", INDEX(#REF!,MATCH(CONCATENATE('Respuestas de formulario 1.1'!$B223,$DQ223),#REF!,0),MATCH('Respuestas de formulario 1.1'!FB$1,#REF!,0)))</f>
        <v/>
      </c>
      <c r="FC223" s="56" t="str">
        <f t="array" ref="FC223">IF($DQ223="","", INDEX(#REF!,MATCH(CONCATENATE('Respuestas de formulario 1.1'!$B223,$DQ223),#REF!,0),MATCH('Respuestas de formulario 1.1'!FC$1,#REF!,0)))</f>
        <v/>
      </c>
      <c r="FD223" s="45" t="str">
        <f t="array" ref="FD223">IF($DQ223="","", INDEX(#REF!,MATCH(CONCATENATE('Respuestas de formulario 1.1'!$B223,$DQ223),#REF!,0),MATCH('Respuestas de formulario 1.1'!FD$1,#REF!,0)))</f>
        <v/>
      </c>
      <c r="FE223" s="45" t="str">
        <f t="array" ref="FE223">IF($DR223="","", INDEX(#REF!,MATCH(CONCATENATE(#REF!,$DR223),#REF!,0),MATCH(#REF!,#REF!,0)))</f>
        <v/>
      </c>
      <c r="FF223" s="56" t="str">
        <f t="array" ref="FF223">IF($DR223="","", INDEX(#REF!,MATCH(CONCATENATE(#REF!,$DR223),#REF!,0),MATCH(#REF!,#REF!,0)))</f>
        <v/>
      </c>
      <c r="FG223" s="56" t="str">
        <f t="array" ref="FG223">IF($DR223="","", INDEX(#REF!,MATCH(CONCATENATE(#REF!,$DR223),#REF!,0),MATCH(#REF!,#REF!,0)))</f>
        <v/>
      </c>
      <c r="FH223" s="56" t="str">
        <f t="array" ref="FH223">IF($DR223="","", INDEX(#REF!,MATCH(CONCATENATE(#REF!,$DR223),#REF!,0),MATCH(#REF!,#REF!,0)))</f>
        <v/>
      </c>
      <c r="FI223" s="56" t="str">
        <f t="array" ref="FI223">IF($DR223="","", INDEX(#REF!,MATCH(CONCATENATE(#REF!,$DR223),#REF!,0),MATCH(#REF!,#REF!,0)))</f>
        <v/>
      </c>
      <c r="FJ223" s="56" t="str">
        <f t="array" ref="FJ223">IF($DR223="","", INDEX(#REF!,MATCH(CONCATENATE(#REF!,$DR223),#REF!,0),MATCH(#REF!,#REF!,0)))</f>
        <v/>
      </c>
      <c r="FK223" s="45" t="str">
        <f t="array" ref="FK223">IF($DR223="","", INDEX(#REF!,MATCH(CONCATENATE(#REF!,$DR223),#REF!,0),MATCH(#REF!,#REF!,0)))</f>
        <v/>
      </c>
      <c r="FL223" s="45" t="str">
        <f t="array" ref="FL223">IF($DT223="","", INDEX(#REF!,MATCH(CONCATENATE('Respuestas de formulario 1.1'!$B223,$DS223),#REF!,0),MATCH('Respuestas de formulario 1.1'!FL$1,#REF!,0)))</f>
        <v/>
      </c>
      <c r="FM223" s="56" t="str">
        <f t="array" ref="FM223">IF($DT223="","", INDEX(#REF!,MATCH(CONCATENATE('Respuestas de formulario 1.1'!$B223,$DS223),#REF!,0),MATCH('Respuestas de formulario 1.1'!FM$1,#REF!,0)))</f>
        <v/>
      </c>
      <c r="FN223" s="56" t="str">
        <f t="array" ref="FN223">IF($DT223="","", INDEX(#REF!,MATCH(CONCATENATE('Respuestas de formulario 1.1'!$B223,$DS223),#REF!,0),MATCH('Respuestas de formulario 1.1'!FN$1,#REF!,0)))</f>
        <v/>
      </c>
      <c r="FO223" s="56" t="str">
        <f t="array" ref="FO223">IF($DT223="","", INDEX(#REF!,MATCH(CONCATENATE('Respuestas de formulario 1.1'!$B223,$DS223),#REF!,0),MATCH('Respuestas de formulario 1.1'!FO$1,#REF!,0)))</f>
        <v/>
      </c>
      <c r="FP223" s="56" t="str">
        <f t="array" ref="FP223">IF($DT223="","", INDEX(#REF!,MATCH(CONCATENATE('Respuestas de formulario 1.1'!$B223,$DS223),#REF!,0),MATCH('Respuestas de formulario 1.1'!FP$1,#REF!,0)))</f>
        <v/>
      </c>
      <c r="FQ223" s="56" t="str">
        <f t="array" ref="FQ223">IF($DT223="","", INDEX(#REF!,MATCH(CONCATENATE('Respuestas de formulario 1.1'!$B223,$DS223),#REF!,0),MATCH('Respuestas de formulario 1.1'!FQ$1,#REF!,0)))</f>
        <v/>
      </c>
      <c r="FR223" s="45" t="str">
        <f t="array" ref="FR223">IF($DT223="","", INDEX(#REF!,MATCH(CONCATENATE('Respuestas de formulario 1.1'!$B223,$DS223),#REF!,0),MATCH('Respuestas de formulario 1.1'!FR$1,#REF!,0)))</f>
        <v/>
      </c>
      <c r="FS223" s="45" t="str">
        <f t="array" ref="FS223">IF($DU223="","", INDEX(#REF!,MATCH(CONCATENATE('Respuestas de formulario 1.1'!$B223,$DT223),#REF!,0),MATCH('Respuestas de formulario 1.1'!FS$1,#REF!,0)))</f>
        <v/>
      </c>
      <c r="FT223" s="56" t="str">
        <f t="array" ref="FT223">IF($DU223="","", INDEX(#REF!,MATCH(CONCATENATE('Respuestas de formulario 1.1'!$B223,$DT223),#REF!,0),MATCH('Respuestas de formulario 1.1'!FT$1,#REF!,0)))</f>
        <v/>
      </c>
      <c r="FU223" s="56" t="str">
        <f t="array" ref="FU223">IF($DU223="","", INDEX(#REF!,MATCH(CONCATENATE('Respuestas de formulario 1.1'!$B223,$DT223),#REF!,0),MATCH('Respuestas de formulario 1.1'!FU$1,#REF!,0)))</f>
        <v/>
      </c>
      <c r="FV223" s="56" t="str">
        <f t="array" ref="FV223">IF($DU223="","", INDEX(#REF!,MATCH(CONCATENATE('Respuestas de formulario 1.1'!$B223,$DT223),#REF!,0),MATCH('Respuestas de formulario 1.1'!FV$1,#REF!,0)))</f>
        <v/>
      </c>
      <c r="FW223" s="56" t="str">
        <f t="array" ref="FW223">IF($DU223="","", INDEX(#REF!,MATCH(CONCATENATE('Respuestas de formulario 1.1'!$B223,$DT223),#REF!,0),MATCH('Respuestas de formulario 1.1'!FW$1,#REF!,0)))</f>
        <v/>
      </c>
      <c r="FX223" s="56" t="str">
        <f t="array" ref="FX223">IF($DU223="","", INDEX(#REF!,MATCH(CONCATENATE('Respuestas de formulario 1.1'!$B223,$DT223),#REF!,0),MATCH('Respuestas de formulario 1.1'!FX$1,#REF!,0)))</f>
        <v/>
      </c>
      <c r="FY223" s="45" t="str">
        <f t="array" ref="FY223">IF($DU223="","", INDEX(#REF!,MATCH(CONCATENATE('Respuestas de formulario 1.1'!$B223,$DT223),#REF!,0),MATCH('Respuestas de formulario 1.1'!FY$1,#REF!,0)))</f>
        <v/>
      </c>
      <c r="FZ223" s="3" t="s">
        <v>2860</v>
      </c>
      <c r="GA223" s="1" t="s">
        <v>6676</v>
      </c>
      <c r="GB223" s="5" t="s">
        <v>6677</v>
      </c>
      <c r="GC223" s="4" t="str">
        <f>HYPERLINK("https://drive.google.com/file/d/1U2ajPZjyCJp5DL1RqQSZkpDvO9huM87x/view?usp=drivesdk","UBALLA  RAMIRO  MITZY BRILLANTHY Formato de reinscripción y pago 2022-2")</f>
        <v>UBALLA  RAMIRO  MITZY BRILLANTHY Formato de reinscripción y pago 2022-2</v>
      </c>
      <c r="GD223" s="1" t="s">
        <v>6678</v>
      </c>
      <c r="GE223" s="1"/>
      <c r="GF223" s="1"/>
      <c r="GG223" s="1"/>
      <c r="GH223" s="1"/>
      <c r="GI223" s="1" t="s">
        <v>6679</v>
      </c>
      <c r="GJ223" s="5" t="s">
        <v>6680</v>
      </c>
      <c r="GK223" s="5" t="str">
        <f>HYPERLINK("https://drive.google.com/file/d/1cdWR5HfnrH2qadEwWjr200UyRTXpq7WI/view?usp=drivesdk","UBALLA  RAMIRO  MITZY BRILLANTHY Formato de reinscripción y pago 2022-2")</f>
        <v>UBALLA  RAMIRO  MITZY BRILLANTHY Formato de reinscripción y pago 2022-2</v>
      </c>
      <c r="GL223" s="1" t="s">
        <v>6681</v>
      </c>
    </row>
    <row r="224" spans="1:194" ht="38.25" x14ac:dyDescent="0.2">
      <c r="A224" s="2">
        <v>45139.530176412038</v>
      </c>
      <c r="B224" s="1" t="s">
        <v>2207</v>
      </c>
      <c r="C224" s="1" t="s">
        <v>948</v>
      </c>
      <c r="D224" s="1" t="s">
        <v>880</v>
      </c>
      <c r="E224" s="1" t="s">
        <v>6682</v>
      </c>
      <c r="F224" s="1" t="s">
        <v>223</v>
      </c>
      <c r="G224" s="5" t="s">
        <v>6683</v>
      </c>
      <c r="H224" s="41">
        <v>39145</v>
      </c>
      <c r="I224" s="1">
        <v>16</v>
      </c>
      <c r="J224" s="1">
        <v>5523634660</v>
      </c>
      <c r="K224" s="1">
        <v>5523634660</v>
      </c>
      <c r="L224" s="1" t="s">
        <v>2208</v>
      </c>
      <c r="M224" s="1">
        <v>23309060570318</v>
      </c>
      <c r="N224" s="1" t="s">
        <v>562</v>
      </c>
      <c r="O224" s="1" t="s">
        <v>225</v>
      </c>
      <c r="P224" s="1" t="s">
        <v>226</v>
      </c>
      <c r="Q224" s="1" t="s">
        <v>315</v>
      </c>
      <c r="R224" s="1" t="s">
        <v>236</v>
      </c>
      <c r="S224" s="1" t="s">
        <v>228</v>
      </c>
      <c r="T224" s="1" t="s">
        <v>229</v>
      </c>
      <c r="U224" s="1" t="s">
        <v>393</v>
      </c>
      <c r="V224" s="1" t="s">
        <v>228</v>
      </c>
      <c r="W224" s="1" t="s">
        <v>6684</v>
      </c>
      <c r="X224" s="1" t="s">
        <v>393</v>
      </c>
      <c r="Y224" s="1" t="s">
        <v>2213</v>
      </c>
      <c r="Z224" s="1" t="s">
        <v>240</v>
      </c>
      <c r="AA224" s="44" t="s">
        <v>2209</v>
      </c>
      <c r="AB224" s="1">
        <v>1709</v>
      </c>
      <c r="AC224" s="1">
        <v>1709</v>
      </c>
      <c r="AD224" s="1" t="s">
        <v>6685</v>
      </c>
      <c r="AE224" s="1" t="s">
        <v>6686</v>
      </c>
      <c r="AF224" s="1" t="s">
        <v>461</v>
      </c>
      <c r="AG224" s="1">
        <v>32</v>
      </c>
      <c r="AH224" s="5" t="s">
        <v>6687</v>
      </c>
      <c r="AI224" s="1">
        <v>5616230054</v>
      </c>
      <c r="AJ224" s="1">
        <v>5616230054</v>
      </c>
      <c r="AK224" s="1" t="s">
        <v>2211</v>
      </c>
      <c r="AL224" s="1" t="s">
        <v>948</v>
      </c>
      <c r="AM224" s="1" t="s">
        <v>880</v>
      </c>
      <c r="AN224" s="1" t="s">
        <v>6688</v>
      </c>
      <c r="AO224" s="1" t="s">
        <v>493</v>
      </c>
      <c r="AP224" s="1">
        <v>37</v>
      </c>
      <c r="AQ224" s="1" t="s">
        <v>233</v>
      </c>
      <c r="AR224" s="42">
        <v>0.41666666666424135</v>
      </c>
      <c r="AS224" s="42">
        <v>0.25</v>
      </c>
      <c r="AT224" s="1">
        <v>5571073856</v>
      </c>
      <c r="AU224" s="1">
        <v>5590692401</v>
      </c>
      <c r="AV224" s="1" t="s">
        <v>2210</v>
      </c>
      <c r="AW224" s="5" t="s">
        <v>6689</v>
      </c>
      <c r="AX224" s="1" t="s">
        <v>948</v>
      </c>
      <c r="AY224" s="1" t="s">
        <v>1882</v>
      </c>
      <c r="AZ224" s="1" t="s">
        <v>2345</v>
      </c>
      <c r="BA224" s="1" t="s">
        <v>1354</v>
      </c>
      <c r="BB224" s="1">
        <v>59</v>
      </c>
      <c r="BC224" s="1" t="s">
        <v>6690</v>
      </c>
      <c r="BD224" s="43">
        <v>0.33333333333575865</v>
      </c>
      <c r="BE224" s="43">
        <v>0.25</v>
      </c>
      <c r="BF224" s="1">
        <v>5513350356</v>
      </c>
      <c r="BG224" s="1">
        <v>5513350356</v>
      </c>
      <c r="BH224" s="1" t="s">
        <v>6691</v>
      </c>
      <c r="BI224" s="5" t="s">
        <v>6692</v>
      </c>
      <c r="BJ224" s="1" t="s">
        <v>236</v>
      </c>
      <c r="BK224" s="1" t="s">
        <v>1725</v>
      </c>
      <c r="BL224" s="1">
        <v>1.65</v>
      </c>
      <c r="BM224" s="1">
        <v>57</v>
      </c>
      <c r="BN224" s="1" t="s">
        <v>228</v>
      </c>
      <c r="BO224" s="1" t="s">
        <v>228</v>
      </c>
      <c r="BP224" s="1" t="s">
        <v>270</v>
      </c>
      <c r="BQ224" s="1" t="s">
        <v>228</v>
      </c>
      <c r="BR224" s="1" t="s">
        <v>237</v>
      </c>
      <c r="BS224" s="1" t="s">
        <v>228</v>
      </c>
      <c r="BT224" s="1" t="s">
        <v>237</v>
      </c>
      <c r="BU224" s="1" t="s">
        <v>228</v>
      </c>
      <c r="BW224" s="1" t="s">
        <v>349</v>
      </c>
      <c r="BX224" s="1">
        <v>40</v>
      </c>
      <c r="BY224" s="1">
        <v>90</v>
      </c>
      <c r="BZ224" s="1" t="s">
        <v>2263</v>
      </c>
      <c r="CA224" s="1" t="s">
        <v>1083</v>
      </c>
      <c r="CB224" s="1" t="s">
        <v>240</v>
      </c>
      <c r="CC224" s="1" t="s">
        <v>255</v>
      </c>
      <c r="CD224" s="1">
        <v>800</v>
      </c>
      <c r="CE224" s="1">
        <v>1000</v>
      </c>
      <c r="CF224" s="1" t="s">
        <v>236</v>
      </c>
      <c r="CG224" s="1" t="s">
        <v>242</v>
      </c>
      <c r="CH224" s="1" t="s">
        <v>243</v>
      </c>
      <c r="CI224" s="1" t="s">
        <v>243</v>
      </c>
      <c r="CJ224" s="1" t="s">
        <v>2848</v>
      </c>
      <c r="CL224" s="5" t="s">
        <v>6693</v>
      </c>
      <c r="CM224" s="1">
        <v>13220797040</v>
      </c>
      <c r="CN224" s="1" t="s">
        <v>228</v>
      </c>
      <c r="CQ224" s="42">
        <v>0.41666666666424135</v>
      </c>
      <c r="CR224" s="42">
        <v>0.25</v>
      </c>
      <c r="CT224" s="45" t="str">
        <f t="array" ref="CT224">IFERROR(INDEX(#REF!,MATCH('Respuestas de formulario 1.1'!$B224,#REF!,0),MATCH('Respuestas de formulario 1.1'!CT$1,#REF!,0)),"")</f>
        <v/>
      </c>
      <c r="CU224" s="56" t="str">
        <f t="array" ref="CU224">IFERROR(INDEX(#REF!,MATCH('Respuestas de formulario 1.1'!$B224,#REF!,0),MATCH('Respuestas de formulario 1.1'!CU$1,#REF!,0)),"")</f>
        <v/>
      </c>
      <c r="CV224" s="56" t="str">
        <f t="array" ref="CV224">IFERROR(INDEX(#REF!,MATCH('Respuestas de formulario 1.1'!$B224,#REF!,0),MATCH('Respuestas de formulario 1.1'!CV$1,#REF!,0)),"")</f>
        <v/>
      </c>
      <c r="CW224" s="56" t="str">
        <f t="array" ref="CW224">IFERROR(INDEX(#REF!,MATCH('Respuestas de formulario 1.1'!$B224,#REF!,0),MATCH('Respuestas de formulario 1.1'!CW$1,#REF!,0)),"")</f>
        <v/>
      </c>
      <c r="CX224" s="56" t="str">
        <f t="array" ref="CX224">IFERROR(INDEX(#REF!,MATCH('Respuestas de formulario 1.1'!$B224,#REF!,0),MATCH('Respuestas de formulario 1.1'!CX$1,#REF!,0)),"")</f>
        <v/>
      </c>
      <c r="CY224" s="56" t="str">
        <f t="array" ref="CY224">IFERROR(INDEX(#REF!,MATCH('Respuestas de formulario 1.1'!$B224,#REF!,0),MATCH('Respuestas de formulario 1.1'!CY$1,#REF!,0)),"")</f>
        <v/>
      </c>
      <c r="CZ224" s="57" t="str">
        <f t="array" ref="CZ224">IFERROR(INDEX(#REF!,MATCH('Respuestas de formulario 1.1'!$B224,#REF!,0),MATCH('Respuestas de formulario 1.1'!CZ$1,#REF!,0)),"")</f>
        <v/>
      </c>
      <c r="DA224" s="45" t="e">
        <f t="array" ref="DA224">INDEX(#REF!,MATCH('Respuestas de formulario 1.1'!$B224,#REF!,0),MATCH('Respuestas de formulario 1.1'!DA$1,#REF!,0))</f>
        <v>#REF!</v>
      </c>
      <c r="DB224" s="45" t="e">
        <f t="array" ref="DB224">INDEX(#REF!,MATCH('Respuestas de formulario 1.1'!$B224,#REF!,0),MATCH('Respuestas de formulario 1.1'!DB$1,#REF!,0))</f>
        <v>#REF!</v>
      </c>
      <c r="DC224" s="45" t="e">
        <f t="array" ref="DC224">INDEX(#REF!,MATCH('Respuestas de formulario 1.1'!$B224,#REF!,0),MATCH('Respuestas de formulario 1.1'!DC$1,#REF!,0))</f>
        <v>#REF!</v>
      </c>
      <c r="DD224" s="45" t="e">
        <f t="array" ref="DD224">INDEX(#REF!,MATCH('Respuestas de formulario 1.1'!$B224,#REF!,0),MATCH('Respuestas de formulario 1.1'!DD$1,#REF!,0))</f>
        <v>#REF!</v>
      </c>
      <c r="DE224" s="45" t="e">
        <f t="array" ref="DE224">INDEX(#REF!,MATCH('Respuestas de formulario 1.1'!$B224,#REF!,0),MATCH('Respuestas de formulario 1.1'!DE$1,#REF!,0))</f>
        <v>#REF!</v>
      </c>
      <c r="DF224" s="45" t="e">
        <f t="array" ref="DF224">INDEX(#REF!,MATCH('Respuestas de formulario 1.1'!$B224,#REF!,0),MATCH('Respuestas de formulario 1.1'!DF$1,#REF!,0))</f>
        <v>#REF!</v>
      </c>
      <c r="DG224" s="45" t="e">
        <f t="array" ref="DG224">INDEX(#REF!,MATCH('Respuestas de formulario 1.1'!$B224,#REF!,0),MATCH('Respuestas de formulario 1.1'!DG$1,#REF!,0))</f>
        <v>#REF!</v>
      </c>
      <c r="DH224" s="45" t="e">
        <f t="array" ref="DH224">INDEX(#REF!,MATCH('Respuestas de formulario 1.1'!$B224,#REF!,0),MATCH('Respuestas de formulario 1.1'!DH$1,#REF!,0))</f>
        <v>#REF!</v>
      </c>
      <c r="DI224" s="48" t="e">
        <f>VLOOKUP(CONCATENATE($DF224," TUTO ",$DC224),#REF!,3,0)</f>
        <v>#REF!</v>
      </c>
      <c r="DJ224" s="48" t="e">
        <f t="array" ref="DJ224">IF('Respuestas de formulario 1.1'!A224="","",INDEX(#REF!,MATCH('Respuestas de formulario 1.1'!B224,#REF!,0),MATCH('Respuestas de formulario 1.1'!$DH$1,#REF!,0)))</f>
        <v>#REF!</v>
      </c>
      <c r="DK224" s="52" t="str">
        <f>CONCATENATE("http://doc.google.com/uc?id=",MID('Respuestas de formulario 1.1'!G224,34,33))</f>
        <v>http://doc.google.com/uc?id=156vZ0hLRI3X1_KoAkyX5Qm8WaOPtVzlj</v>
      </c>
      <c r="DL224" s="49" t="str">
        <f>CONCATENATE("http://doc.google.com/uc?id=",MID('Respuestas de formulario 1.1'!AH224,34,33))</f>
        <v>http://doc.google.com/uc?id=1G7o6CLQovOw6Ry0I4jPhXFBa_Qy0e8_S</v>
      </c>
      <c r="DM224" s="50" t="str">
        <f>CONCATENATE("http://doc.google.com/uc?id=",MID('Respuestas de formulario 1.1'!AW224,34,33))</f>
        <v>http://doc.google.com/uc?id=1Df-_qnsyibfEoQQZE-j1Kmw49j92EMgb</v>
      </c>
      <c r="DN224" s="53" t="str">
        <f>CONCATENATE("http://doc.google.com/uc?id=",MID('Respuestas de formulario 1.1'!$BI224,34,33))</f>
        <v>http://doc.google.com/uc?id=131moavihdOa-cPX5k5Nzq4PR4q0qm2ca</v>
      </c>
      <c r="DO224" s="45" t="str">
        <f>IFERROR(VLOOKUP(CONCATENATE('Respuestas de formulario 1.1'!$B224,MID('Respuestas de formulario 1.1'!DO$1,2,1)),#REF!,12,0),"")</f>
        <v/>
      </c>
      <c r="DP224" s="45" t="str">
        <f>IFERROR(VLOOKUP(CONCATENATE('Respuestas de formulario 1.1'!$B224,MID('Respuestas de formulario 1.1'!DP$1,2,1)),#REF!,12,0),"")</f>
        <v/>
      </c>
      <c r="DQ224" s="45" t="str">
        <f>IFERROR(VLOOKUP(CONCATENATE('Respuestas de formulario 1.1'!$B224,MID('Respuestas de formulario 1.1'!DQ$1,2,1)),#REF!,12,0),"")</f>
        <v/>
      </c>
      <c r="DR224" s="45" t="str">
        <f>IFERROR(VLOOKUP(CONCATENATE('Respuestas de formulario 1.1'!$B224,MID('Respuestas de formulario 1.1'!DR$1,2,1)),#REF!,12,0),"")</f>
        <v/>
      </c>
      <c r="DS224" s="45" t="str">
        <f>IFERROR(VLOOKUP(CONCATENATE('Respuestas de formulario 1.1'!$B224,MID('Respuestas de formulario 1.1'!DS$1,2,1)),#REF!,12,0),"")</f>
        <v/>
      </c>
      <c r="DT224" s="45" t="str">
        <f>IFERROR(VLOOKUP(CONCATENATE('Respuestas de formulario 1.1'!$B224,MID('Respuestas de formulario 1.1'!DT$1,2,1)),#REF!,12,0),"")</f>
        <v/>
      </c>
      <c r="DU224" s="45" t="str">
        <f>IFERROR(VLOOKUP(CONCATENATE('Respuestas de formulario 1.1'!$B224,MID('Respuestas de formulario 1.1'!DU$1,2,1)),#REF!,12,0),"")</f>
        <v/>
      </c>
      <c r="DV224" s="45" t="str">
        <f>IFERROR(VLOOKUP(CONCATENATE('Respuestas de formulario 1.1'!$B224,MID('Respuestas de formulario 1.1'!DV$1,2,1)),#REF!,12,0),"")</f>
        <v/>
      </c>
      <c r="DW224" s="45" t="str">
        <f>IFERROR(VLOOKUP(CONCATENATE('Respuestas de formulario 1.1'!$B224,MID('Respuestas de formulario 1.1'!DW$1,2,1)),#REF!,12,0),"")</f>
        <v/>
      </c>
      <c r="DX224" s="45" t="str">
        <f>IFERROR(VLOOKUP(CONCATENATE('Respuestas de formulario 1.1'!$B224,MID('Respuestas de formulario 1.1'!DX$1,2,1)),#REF!,12,0),"")</f>
        <v/>
      </c>
      <c r="DY224" s="45" t="str">
        <f>IFERROR(VLOOKUP(CONCATENATE('Respuestas de formulario 1.1'!$B224,MID('Respuestas de formulario 1.1'!DY$1,2,1)),#REF!,12,0),"")</f>
        <v/>
      </c>
      <c r="DZ224" s="45" t="str">
        <f>IFERROR(VLOOKUP(CONCATENATE('Respuestas de formulario 1.1'!$B224,MID('Respuestas de formulario 1.1'!DZ$1,2,1)),#REF!,12,0),"")</f>
        <v/>
      </c>
      <c r="EA224" s="45" t="str">
        <f>IFERROR(VLOOKUP(CONCATENATE('Respuestas de formulario 1.1'!$B224,MID('Respuestas de formulario 1.1'!EA$1,2,1)),#REF!,12,0),"")</f>
        <v/>
      </c>
      <c r="EB224" s="45" t="str">
        <f>IFERROR(VLOOKUP(CONCATENATE('Respuestas de formulario 1.1'!$B224,MID('Respuestas de formulario 1.1'!EB$1,2,1)),#REF!,12,0),"")</f>
        <v/>
      </c>
      <c r="EC224" s="45" t="str">
        <f>IFERROR(VLOOKUP(CONCATENATE('Respuestas de formulario 1.1'!$B224,MID('Respuestas de formulario 1.1'!EC$1,2,1)),#REF!,12,0),"")</f>
        <v/>
      </c>
      <c r="ED224" s="45" t="str">
        <f>IFERROR(VLOOKUP(CONCATENATE('Respuestas de formulario 1.1'!$B224,MID('Respuestas de formulario 1.1'!ED$1,2,1)),#REF!,12,0),"")</f>
        <v/>
      </c>
      <c r="EE224" s="45" t="str">
        <f>IFERROR(VLOOKUP(CONCATENATE('Respuestas de formulario 1.1'!$B224,MID('Respuestas de formulario 1.1'!EE$1,2,1)),#REF!,12,0),"")</f>
        <v/>
      </c>
      <c r="EF224" s="45" t="str">
        <f>IFERROR(VLOOKUP(CONCATENATE('Respuestas de formulario 1.1'!$B224,MID('Respuestas de formulario 1.1'!EF$1,2,1)),#REF!,12,0),"")</f>
        <v/>
      </c>
      <c r="EG224" s="45" t="str">
        <f>IFERROR(VLOOKUP(CONCATENATE('Respuestas de formulario 1.1'!$B224,MID('Respuestas de formulario 1.1'!EG$1,2,1)),#REF!,12,0),"")</f>
        <v/>
      </c>
      <c r="EH224" s="45" t="str">
        <f>IFERROR(VLOOKUP(CONCATENATE('Respuestas de formulario 1.1'!$B224,MID('Respuestas de formulario 1.1'!EH$1,2,1)),#REF!,12,0),"")</f>
        <v/>
      </c>
      <c r="EI224" s="45" t="str">
        <f>IFERROR(VLOOKUP(CONCATENATE('Respuestas de formulario 1.1'!$B224,MID('Respuestas de formulario 1.1'!EI$1,2,1)),#REF!,12,0),"")</f>
        <v/>
      </c>
      <c r="EJ224" s="45" t="str">
        <f t="array" ref="EJ224">IF(DO224="","", INDEX(#REF!,MATCH(CONCATENATE('Respuestas de formulario 1.1'!$B224,DO224),#REF!,0),MATCH('Respuestas de formulario 1.1'!EJ$1,#REF!,0)))</f>
        <v/>
      </c>
      <c r="EK224" s="56" t="str">
        <f t="array" ref="EK224">IF(DP224="","", INDEX(#REF!,MATCH(CONCATENATE('Respuestas de formulario 1.1'!$B224,DP224),#REF!,0),MATCH('Respuestas de formulario 1.1'!EK$1,#REF!,0)))</f>
        <v/>
      </c>
      <c r="EL224" s="56" t="str">
        <f t="array" ref="EL224">IF(DQ224="","", INDEX(#REF!,MATCH(CONCATENATE('Respuestas de formulario 1.1'!$B224,DQ224),#REF!,0),MATCH('Respuestas de formulario 1.1'!EL$1,#REF!,0)))</f>
        <v/>
      </c>
      <c r="EM224" s="56" t="str">
        <f t="array" ref="EM224">IF(DR224="","", INDEX(#REF!,MATCH(CONCATENATE('Respuestas de formulario 1.1'!$B224,DR224),#REF!,0),MATCH('Respuestas de formulario 1.1'!EM$1,#REF!,0)))</f>
        <v/>
      </c>
      <c r="EN224" s="56" t="str">
        <f t="array" ref="EN224">IF(DS224="","", INDEX(#REF!,MATCH(CONCATENATE('Respuestas de formulario 1.1'!$B224,DS224),#REF!,0),MATCH('Respuestas de formulario 1.1'!EN$1,#REF!,0)))</f>
        <v/>
      </c>
      <c r="EO224" s="56" t="str">
        <f t="array" ref="EO224">IF(DT224="","", INDEX(#REF!,MATCH(CONCATENATE('Respuestas de formulario 1.1'!$B224,DT224),#REF!,0),MATCH('Respuestas de formulario 1.1'!EO$1,#REF!,0)))</f>
        <v/>
      </c>
      <c r="EP224" s="45" t="str">
        <f t="array" ref="EP224">IF(DU224="","", INDEX(#REF!,MATCH(CONCATENATE('Respuestas de formulario 1.1'!$B224,DU224),#REF!,0),MATCH('Respuestas de formulario 1.1'!EP$1,#REF!,0)))</f>
        <v/>
      </c>
      <c r="EQ224" s="45" t="str">
        <f t="array" ref="EQ224">IF(DP224="","", INDEX(#REF!,MATCH(CONCATENATE('Respuestas de formulario 1.1'!$B224,DP224),#REF!,0),MATCH('Respuestas de formulario 1.1'!EQ$1,#REF!,0)))</f>
        <v/>
      </c>
      <c r="ER224" s="56" t="str">
        <f t="array" ref="ER224">IF(DQ224="","", INDEX(#REF!,MATCH(CONCATENATE('Respuestas de formulario 1.1'!$B224,DQ224),#REF!,0),MATCH('Respuestas de formulario 1.1'!ER$1,#REF!,0)))</f>
        <v/>
      </c>
      <c r="ES224" s="56" t="str">
        <f t="array" ref="ES224">IF(DR224="","", INDEX(#REF!,MATCH(CONCATENATE('Respuestas de formulario 1.1'!$B224,DR224),#REF!,0),MATCH('Respuestas de formulario 1.1'!ES$1,#REF!,0)))</f>
        <v/>
      </c>
      <c r="ET224" s="56" t="str">
        <f t="array" ref="ET224">IF(DS224="","", INDEX(#REF!,MATCH(CONCATENATE('Respuestas de formulario 1.1'!$B224,DS224),#REF!,0),MATCH('Respuestas de formulario 1.1'!ET$1,#REF!,0)))</f>
        <v/>
      </c>
      <c r="EU224" s="56" t="str">
        <f t="array" ref="EU224">IF(DT224="","", INDEX(#REF!,MATCH(CONCATENATE('Respuestas de formulario 1.1'!$B224,DT224),#REF!,0),MATCH('Respuestas de formulario 1.1'!EU$1,#REF!,0)))</f>
        <v/>
      </c>
      <c r="EV224" s="56" t="str">
        <f t="array" ref="EV224">IF(DU224="","", INDEX(#REF!,MATCH(CONCATENATE('Respuestas de formulario 1.1'!$B224,DU224),#REF!,0),MATCH('Respuestas de formulario 1.1'!EV$1,#REF!,0)))</f>
        <v/>
      </c>
      <c r="EW224" s="45" t="str">
        <f t="array" ref="EW224">IF(DV224="","", INDEX(#REF!,MATCH(CONCATENATE('Respuestas de formulario 1.1'!$B224,DV224),#REF!,0),MATCH('Respuestas de formulario 1.1'!EW$1,#REF!,0)))</f>
        <v/>
      </c>
      <c r="EX224" s="45" t="str">
        <f t="array" ref="EX224">IF($DQ224="","", INDEX(#REF!,MATCH(CONCATENATE('Respuestas de formulario 1.1'!$B224,$DQ224),#REF!,0),MATCH('Respuestas de formulario 1.1'!EX$1,#REF!,0)))</f>
        <v/>
      </c>
      <c r="EY224" s="56" t="str">
        <f t="array" ref="EY224">IF($DQ224="","", INDEX(#REF!,MATCH(CONCATENATE('Respuestas de formulario 1.1'!$B224,$DQ224),#REF!,0),MATCH('Respuestas de formulario 1.1'!EY$1,#REF!,0)))</f>
        <v/>
      </c>
      <c r="EZ224" s="56" t="str">
        <f t="array" ref="EZ224">IF($DQ224="","", INDEX(#REF!,MATCH(CONCATENATE('Respuestas de formulario 1.1'!$B224,$DQ224),#REF!,0),MATCH('Respuestas de formulario 1.1'!EZ$1,#REF!,0)))</f>
        <v/>
      </c>
      <c r="FA224" s="56" t="str">
        <f t="array" ref="FA224">IF($DQ224="","", INDEX(#REF!,MATCH(CONCATENATE('Respuestas de formulario 1.1'!$B224,$DQ224),#REF!,0),MATCH('Respuestas de formulario 1.1'!FA$1,#REF!,0)))</f>
        <v/>
      </c>
      <c r="FB224" s="56" t="str">
        <f t="array" ref="FB224">IF($DQ224="","", INDEX(#REF!,MATCH(CONCATENATE('Respuestas de formulario 1.1'!$B224,$DQ224),#REF!,0),MATCH('Respuestas de formulario 1.1'!FB$1,#REF!,0)))</f>
        <v/>
      </c>
      <c r="FC224" s="56" t="str">
        <f t="array" ref="FC224">IF($DQ224="","", INDEX(#REF!,MATCH(CONCATENATE('Respuestas de formulario 1.1'!$B224,$DQ224),#REF!,0),MATCH('Respuestas de formulario 1.1'!FC$1,#REF!,0)))</f>
        <v/>
      </c>
      <c r="FD224" s="45" t="str">
        <f t="array" ref="FD224">IF($DQ224="","", INDEX(#REF!,MATCH(CONCATENATE('Respuestas de formulario 1.1'!$B224,$DQ224),#REF!,0),MATCH('Respuestas de formulario 1.1'!FD$1,#REF!,0)))</f>
        <v/>
      </c>
      <c r="FE224" s="45" t="str">
        <f t="array" ref="FE224">IF($DR224="","", INDEX(#REF!,MATCH(CONCATENATE(#REF!,$DR224),#REF!,0),MATCH(#REF!,#REF!,0)))</f>
        <v/>
      </c>
      <c r="FF224" s="56" t="str">
        <f t="array" ref="FF224">IF($DR224="","", INDEX(#REF!,MATCH(CONCATENATE(#REF!,$DR224),#REF!,0),MATCH(#REF!,#REF!,0)))</f>
        <v/>
      </c>
      <c r="FG224" s="56" t="str">
        <f t="array" ref="FG224">IF($DR224="","", INDEX(#REF!,MATCH(CONCATENATE(#REF!,$DR224),#REF!,0),MATCH(#REF!,#REF!,0)))</f>
        <v/>
      </c>
      <c r="FH224" s="56" t="str">
        <f t="array" ref="FH224">IF($DR224="","", INDEX(#REF!,MATCH(CONCATENATE(#REF!,$DR224),#REF!,0),MATCH(#REF!,#REF!,0)))</f>
        <v/>
      </c>
      <c r="FI224" s="56" t="str">
        <f t="array" ref="FI224">IF($DR224="","", INDEX(#REF!,MATCH(CONCATENATE(#REF!,$DR224),#REF!,0),MATCH(#REF!,#REF!,0)))</f>
        <v/>
      </c>
      <c r="FJ224" s="56" t="str">
        <f t="array" ref="FJ224">IF($DR224="","", INDEX(#REF!,MATCH(CONCATENATE(#REF!,$DR224),#REF!,0),MATCH(#REF!,#REF!,0)))</f>
        <v/>
      </c>
      <c r="FK224" s="45" t="str">
        <f t="array" ref="FK224">IF($DR224="","", INDEX(#REF!,MATCH(CONCATENATE(#REF!,$DR224),#REF!,0),MATCH(#REF!,#REF!,0)))</f>
        <v/>
      </c>
      <c r="FL224" s="45" t="str">
        <f t="array" ref="FL224">IF($DT224="","", INDEX(#REF!,MATCH(CONCATENATE('Respuestas de formulario 1.1'!$B224,$DS224),#REF!,0),MATCH('Respuestas de formulario 1.1'!FL$1,#REF!,0)))</f>
        <v/>
      </c>
      <c r="FM224" s="56" t="str">
        <f t="array" ref="FM224">IF($DT224="","", INDEX(#REF!,MATCH(CONCATENATE('Respuestas de formulario 1.1'!$B224,$DS224),#REF!,0),MATCH('Respuestas de formulario 1.1'!FM$1,#REF!,0)))</f>
        <v/>
      </c>
      <c r="FN224" s="56" t="str">
        <f t="array" ref="FN224">IF($DT224="","", INDEX(#REF!,MATCH(CONCATENATE('Respuestas de formulario 1.1'!$B224,$DS224),#REF!,0),MATCH('Respuestas de formulario 1.1'!FN$1,#REF!,0)))</f>
        <v/>
      </c>
      <c r="FO224" s="56" t="str">
        <f t="array" ref="FO224">IF($DT224="","", INDEX(#REF!,MATCH(CONCATENATE('Respuestas de formulario 1.1'!$B224,$DS224),#REF!,0),MATCH('Respuestas de formulario 1.1'!FO$1,#REF!,0)))</f>
        <v/>
      </c>
      <c r="FP224" s="56" t="str">
        <f t="array" ref="FP224">IF($DT224="","", INDEX(#REF!,MATCH(CONCATENATE('Respuestas de formulario 1.1'!$B224,$DS224),#REF!,0),MATCH('Respuestas de formulario 1.1'!FP$1,#REF!,0)))</f>
        <v/>
      </c>
      <c r="FQ224" s="56" t="str">
        <f t="array" ref="FQ224">IF($DT224="","", INDEX(#REF!,MATCH(CONCATENATE('Respuestas de formulario 1.1'!$B224,$DS224),#REF!,0),MATCH('Respuestas de formulario 1.1'!FQ$1,#REF!,0)))</f>
        <v/>
      </c>
      <c r="FR224" s="45" t="str">
        <f t="array" ref="FR224">IF($DT224="","", INDEX(#REF!,MATCH(CONCATENATE('Respuestas de formulario 1.1'!$B224,$DS224),#REF!,0),MATCH('Respuestas de formulario 1.1'!FR$1,#REF!,0)))</f>
        <v/>
      </c>
      <c r="FS224" s="45" t="str">
        <f t="array" ref="FS224">IF($DU224="","", INDEX(#REF!,MATCH(CONCATENATE('Respuestas de formulario 1.1'!$B224,$DT224),#REF!,0),MATCH('Respuestas de formulario 1.1'!FS$1,#REF!,0)))</f>
        <v/>
      </c>
      <c r="FT224" s="56" t="str">
        <f t="array" ref="FT224">IF($DU224="","", INDEX(#REF!,MATCH(CONCATENATE('Respuestas de formulario 1.1'!$B224,$DT224),#REF!,0),MATCH('Respuestas de formulario 1.1'!FT$1,#REF!,0)))</f>
        <v/>
      </c>
      <c r="FU224" s="56" t="str">
        <f t="array" ref="FU224">IF($DU224="","", INDEX(#REF!,MATCH(CONCATENATE('Respuestas de formulario 1.1'!$B224,$DT224),#REF!,0),MATCH('Respuestas de formulario 1.1'!FU$1,#REF!,0)))</f>
        <v/>
      </c>
      <c r="FV224" s="56" t="str">
        <f t="array" ref="FV224">IF($DU224="","", INDEX(#REF!,MATCH(CONCATENATE('Respuestas de formulario 1.1'!$B224,$DT224),#REF!,0),MATCH('Respuestas de formulario 1.1'!FV$1,#REF!,0)))</f>
        <v/>
      </c>
      <c r="FW224" s="56" t="str">
        <f t="array" ref="FW224">IF($DU224="","", INDEX(#REF!,MATCH(CONCATENATE('Respuestas de formulario 1.1'!$B224,$DT224),#REF!,0),MATCH('Respuestas de formulario 1.1'!FW$1,#REF!,0)))</f>
        <v/>
      </c>
      <c r="FX224" s="56" t="str">
        <f t="array" ref="FX224">IF($DU224="","", INDEX(#REF!,MATCH(CONCATENATE('Respuestas de formulario 1.1'!$B224,$DT224),#REF!,0),MATCH('Respuestas de formulario 1.1'!FX$1,#REF!,0)))</f>
        <v/>
      </c>
      <c r="FY224" s="45" t="str">
        <f t="array" ref="FY224">IF($DU224="","", INDEX(#REF!,MATCH(CONCATENATE('Respuestas de formulario 1.1'!$B224,$DT224),#REF!,0),MATCH('Respuestas de formulario 1.1'!FY$1,#REF!,0)))</f>
        <v/>
      </c>
      <c r="FZ224" s="3" t="s">
        <v>2860</v>
      </c>
      <c r="GA224" s="1" t="s">
        <v>6694</v>
      </c>
      <c r="GB224" s="5" t="s">
        <v>6695</v>
      </c>
      <c r="GC224" s="4" t="str">
        <f>HYPERLINK("https://drive.google.com/file/d/1ib2WKyOzcmJCD133f-9Oqy3carIxsukj/view?usp=drivesdk","OCAMPO  CASTILLO  ANET MICHELLE  Formato de reinscripción y pago 2022-2")</f>
        <v>OCAMPO  CASTILLO  ANET MICHELLE  Formato de reinscripción y pago 2022-2</v>
      </c>
      <c r="GD224" s="1" t="s">
        <v>6696</v>
      </c>
      <c r="GE224" s="1"/>
      <c r="GF224" s="1"/>
      <c r="GG224" s="1"/>
      <c r="GH224" s="1"/>
      <c r="GI224" s="1" t="s">
        <v>6697</v>
      </c>
      <c r="GJ224" s="5" t="s">
        <v>6698</v>
      </c>
      <c r="GK224" s="5" t="str">
        <f>HYPERLINK("https://drive.google.com/file/d/1UF_O3zdZP7Nq9lTa2Ph85E0gfaCt1P73/view?usp=drivesdk","OCAMPO  CASTILLO  ANET MICHELLE  Formato de reinscripción y pago 2022-2")</f>
        <v>OCAMPO  CASTILLO  ANET MICHELLE  Formato de reinscripción y pago 2022-2</v>
      </c>
      <c r="GL224" s="1" t="s">
        <v>6699</v>
      </c>
    </row>
    <row r="225" spans="1:194" ht="38.25" x14ac:dyDescent="0.2">
      <c r="A225" s="2">
        <v>45139.892016770835</v>
      </c>
      <c r="B225" s="1" t="s">
        <v>2779</v>
      </c>
      <c r="C225" s="1" t="s">
        <v>1192</v>
      </c>
      <c r="D225" s="1" t="s">
        <v>771</v>
      </c>
      <c r="E225" s="1" t="s">
        <v>2202</v>
      </c>
      <c r="F225" s="1" t="s">
        <v>262</v>
      </c>
      <c r="G225" s="5" t="s">
        <v>6700</v>
      </c>
      <c r="H225" s="41">
        <v>38999</v>
      </c>
      <c r="I225" s="1">
        <v>16</v>
      </c>
      <c r="J225" s="1">
        <v>5634736355</v>
      </c>
      <c r="K225" s="1">
        <v>5524500340</v>
      </c>
      <c r="L225" s="1" t="s">
        <v>2780</v>
      </c>
      <c r="M225" s="1">
        <v>21309060570046</v>
      </c>
      <c r="N225" s="1" t="s">
        <v>1108</v>
      </c>
      <c r="O225" s="1" t="s">
        <v>247</v>
      </c>
      <c r="P225" s="1" t="s">
        <v>226</v>
      </c>
      <c r="Q225" s="1" t="s">
        <v>263</v>
      </c>
      <c r="R225" s="1" t="s">
        <v>236</v>
      </c>
      <c r="S225" s="1" t="s">
        <v>228</v>
      </c>
      <c r="T225" s="1" t="s">
        <v>229</v>
      </c>
      <c r="U225" s="1" t="s">
        <v>249</v>
      </c>
      <c r="V225" s="1" t="s">
        <v>228</v>
      </c>
      <c r="W225" s="1" t="s">
        <v>6701</v>
      </c>
      <c r="X225" s="1" t="s">
        <v>249</v>
      </c>
      <c r="Y225" s="1" t="s">
        <v>1920</v>
      </c>
      <c r="Z225" s="1" t="s">
        <v>240</v>
      </c>
      <c r="AA225" s="44" t="s">
        <v>1499</v>
      </c>
      <c r="AB225" s="1" t="s">
        <v>2273</v>
      </c>
      <c r="AC225" s="1">
        <v>2</v>
      </c>
      <c r="AD225" s="1" t="s">
        <v>6702</v>
      </c>
      <c r="AE225" s="1" t="s">
        <v>6703</v>
      </c>
      <c r="AF225" s="1" t="s">
        <v>265</v>
      </c>
      <c r="AG225" s="1">
        <v>40</v>
      </c>
      <c r="AH225" s="5" t="s">
        <v>6704</v>
      </c>
      <c r="AI225" s="1">
        <v>5573328576</v>
      </c>
      <c r="AJ225" s="1">
        <v>5524500340</v>
      </c>
      <c r="AK225" s="1" t="s">
        <v>2782</v>
      </c>
      <c r="AL225" s="1" t="s">
        <v>1192</v>
      </c>
      <c r="AM225" s="1" t="s">
        <v>501</v>
      </c>
      <c r="AN225" s="1" t="s">
        <v>515</v>
      </c>
      <c r="AO225" s="1" t="s">
        <v>435</v>
      </c>
      <c r="AP225" s="1">
        <v>40</v>
      </c>
      <c r="AQ225" s="1" t="s">
        <v>306</v>
      </c>
      <c r="AR225" s="42">
        <v>0.33333333333575865</v>
      </c>
      <c r="AS225" s="42">
        <v>0.70833333333575865</v>
      </c>
      <c r="AT225" s="1">
        <v>5564122478</v>
      </c>
      <c r="AU225" s="1">
        <v>5524500340</v>
      </c>
      <c r="AV225" s="1" t="s">
        <v>2783</v>
      </c>
      <c r="AW225" s="5" t="s">
        <v>6705</v>
      </c>
      <c r="AX225" s="1" t="s">
        <v>1192</v>
      </c>
      <c r="AY225" s="1" t="s">
        <v>771</v>
      </c>
      <c r="AZ225" s="1" t="s">
        <v>914</v>
      </c>
      <c r="BA225" s="1" t="s">
        <v>403</v>
      </c>
      <c r="BB225" s="1">
        <v>22</v>
      </c>
      <c r="BC225" s="1" t="s">
        <v>739</v>
      </c>
      <c r="BD225" s="43">
        <v>0.64583333333575865</v>
      </c>
      <c r="BE225" s="43">
        <v>0</v>
      </c>
      <c r="BF225" s="1">
        <v>5631045105</v>
      </c>
      <c r="BG225" s="1">
        <v>5524500340</v>
      </c>
      <c r="BH225" s="1" t="s">
        <v>2781</v>
      </c>
      <c r="BI225" s="5" t="s">
        <v>6706</v>
      </c>
      <c r="BJ225" s="1" t="s">
        <v>236</v>
      </c>
      <c r="BL225" s="1">
        <v>171</v>
      </c>
      <c r="BM225" s="1">
        <v>72</v>
      </c>
      <c r="BN225" s="1" t="s">
        <v>236</v>
      </c>
      <c r="BO225" s="1" t="s">
        <v>228</v>
      </c>
      <c r="BQ225" s="1" t="s">
        <v>228</v>
      </c>
      <c r="BR225" s="1" t="s">
        <v>237</v>
      </c>
      <c r="BS225" s="1" t="s">
        <v>228</v>
      </c>
      <c r="BT225" s="1" t="s">
        <v>237</v>
      </c>
      <c r="BU225" s="1" t="s">
        <v>228</v>
      </c>
      <c r="BW225" s="1" t="s">
        <v>238</v>
      </c>
      <c r="BX225" s="1">
        <v>180</v>
      </c>
      <c r="BY225" s="1">
        <v>195</v>
      </c>
      <c r="BZ225" s="1" t="s">
        <v>1539</v>
      </c>
      <c r="CA225" s="1" t="s">
        <v>2742</v>
      </c>
      <c r="CB225" s="1" t="s">
        <v>240</v>
      </c>
      <c r="CC225" s="1" t="s">
        <v>300</v>
      </c>
      <c r="CD225" s="1">
        <v>1300</v>
      </c>
      <c r="CE225" s="1">
        <v>1800</v>
      </c>
      <c r="CF225" s="1" t="s">
        <v>236</v>
      </c>
      <c r="CG225" s="1" t="s">
        <v>242</v>
      </c>
      <c r="CH225" s="1" t="s">
        <v>243</v>
      </c>
      <c r="CI225" s="1" t="s">
        <v>243</v>
      </c>
      <c r="CJ225" s="1" t="s">
        <v>2848</v>
      </c>
      <c r="CL225" s="5" t="s">
        <v>6707</v>
      </c>
      <c r="CM225" s="44" t="s">
        <v>6708</v>
      </c>
      <c r="CN225" s="1" t="s">
        <v>228</v>
      </c>
      <c r="CQ225" s="42">
        <v>0.33333333333575865</v>
      </c>
      <c r="CR225" s="42">
        <v>0.75</v>
      </c>
      <c r="CT225" s="45" t="str">
        <f t="array" ref="CT225">IFERROR(INDEX(#REF!,MATCH('Respuestas de formulario 1.1'!$B225,#REF!,0),MATCH('Respuestas de formulario 1.1'!CT$1,#REF!,0)),"")</f>
        <v/>
      </c>
      <c r="CU225" s="56" t="str">
        <f t="array" ref="CU225">IFERROR(INDEX(#REF!,MATCH('Respuestas de formulario 1.1'!$B225,#REF!,0),MATCH('Respuestas de formulario 1.1'!CU$1,#REF!,0)),"")</f>
        <v/>
      </c>
      <c r="CV225" s="56" t="str">
        <f t="array" ref="CV225">IFERROR(INDEX(#REF!,MATCH('Respuestas de formulario 1.1'!$B225,#REF!,0),MATCH('Respuestas de formulario 1.1'!CV$1,#REF!,0)),"")</f>
        <v/>
      </c>
      <c r="CW225" s="56" t="str">
        <f t="array" ref="CW225">IFERROR(INDEX(#REF!,MATCH('Respuestas de formulario 1.1'!$B225,#REF!,0),MATCH('Respuestas de formulario 1.1'!CW$1,#REF!,0)),"")</f>
        <v/>
      </c>
      <c r="CX225" s="56" t="str">
        <f t="array" ref="CX225">IFERROR(INDEX(#REF!,MATCH('Respuestas de formulario 1.1'!$B225,#REF!,0),MATCH('Respuestas de formulario 1.1'!CX$1,#REF!,0)),"")</f>
        <v/>
      </c>
      <c r="CY225" s="56" t="str">
        <f t="array" ref="CY225">IFERROR(INDEX(#REF!,MATCH('Respuestas de formulario 1.1'!$B225,#REF!,0),MATCH('Respuestas de formulario 1.1'!CY$1,#REF!,0)),"")</f>
        <v/>
      </c>
      <c r="CZ225" s="57" t="str">
        <f t="array" ref="CZ225">IFERROR(INDEX(#REF!,MATCH('Respuestas de formulario 1.1'!$B225,#REF!,0),MATCH('Respuestas de formulario 1.1'!CZ$1,#REF!,0)),"")</f>
        <v/>
      </c>
      <c r="DA225" s="45" t="e">
        <f t="array" ref="DA225">INDEX(#REF!,MATCH('Respuestas de formulario 1.1'!$B225,#REF!,0),MATCH('Respuestas de formulario 1.1'!DA$1,#REF!,0))</f>
        <v>#REF!</v>
      </c>
      <c r="DB225" s="45" t="e">
        <f t="array" ref="DB225">INDEX(#REF!,MATCH('Respuestas de formulario 1.1'!$B225,#REF!,0),MATCH('Respuestas de formulario 1.1'!DB$1,#REF!,0))</f>
        <v>#REF!</v>
      </c>
      <c r="DC225" s="45" t="e">
        <f t="array" ref="DC225">INDEX(#REF!,MATCH('Respuestas de formulario 1.1'!$B225,#REF!,0),MATCH('Respuestas de formulario 1.1'!DC$1,#REF!,0))</f>
        <v>#REF!</v>
      </c>
      <c r="DD225" s="45" t="e">
        <f t="array" ref="DD225">INDEX(#REF!,MATCH('Respuestas de formulario 1.1'!$B225,#REF!,0),MATCH('Respuestas de formulario 1.1'!DD$1,#REF!,0))</f>
        <v>#REF!</v>
      </c>
      <c r="DE225" s="45" t="e">
        <f t="array" ref="DE225">INDEX(#REF!,MATCH('Respuestas de formulario 1.1'!$B225,#REF!,0),MATCH('Respuestas de formulario 1.1'!DE$1,#REF!,0))</f>
        <v>#REF!</v>
      </c>
      <c r="DF225" s="45" t="e">
        <f t="array" ref="DF225">INDEX(#REF!,MATCH('Respuestas de formulario 1.1'!$B225,#REF!,0),MATCH('Respuestas de formulario 1.1'!DF$1,#REF!,0))</f>
        <v>#REF!</v>
      </c>
      <c r="DG225" s="45" t="e">
        <f t="array" ref="DG225">INDEX(#REF!,MATCH('Respuestas de formulario 1.1'!$B225,#REF!,0),MATCH('Respuestas de formulario 1.1'!DG$1,#REF!,0))</f>
        <v>#REF!</v>
      </c>
      <c r="DH225" s="45" t="e">
        <f t="array" ref="DH225">INDEX(#REF!,MATCH('Respuestas de formulario 1.1'!$B225,#REF!,0),MATCH('Respuestas de formulario 1.1'!DH$1,#REF!,0))</f>
        <v>#REF!</v>
      </c>
      <c r="DI225" s="48" t="e">
        <f>VLOOKUP(CONCATENATE($DF225," TUTO ",$DC225),#REF!,3,0)</f>
        <v>#REF!</v>
      </c>
      <c r="DJ225" s="48" t="e">
        <f t="array" ref="DJ225">IF('Respuestas de formulario 1.1'!A225="","",INDEX(#REF!,MATCH('Respuestas de formulario 1.1'!B225,#REF!,0),MATCH('Respuestas de formulario 1.1'!$DH$1,#REF!,0)))</f>
        <v>#REF!</v>
      </c>
      <c r="DK225" s="52" t="str">
        <f>CONCATENATE("http://doc.google.com/uc?id=",MID('Respuestas de formulario 1.1'!G225,34,33))</f>
        <v>http://doc.google.com/uc?id=1RThAae0PL0Zz-TksbAw5uO4cci0IHcm1</v>
      </c>
      <c r="DL225" s="49" t="str">
        <f>CONCATENATE("http://doc.google.com/uc?id=",MID('Respuestas de formulario 1.1'!AH225,34,33))</f>
        <v>http://doc.google.com/uc?id=1_uWB_VlICPzzLOJUdhH5_VzkzOFFj7WH</v>
      </c>
      <c r="DM225" s="50" t="str">
        <f>CONCATENATE("http://doc.google.com/uc?id=",MID('Respuestas de formulario 1.1'!AW225,34,33))</f>
        <v>http://doc.google.com/uc?id=11huhnJhAfyW33Z7MnR4u260eBRle3HDb</v>
      </c>
      <c r="DN225" s="53" t="str">
        <f>CONCATENATE("http://doc.google.com/uc?id=",MID('Respuestas de formulario 1.1'!$BI225,34,33))</f>
        <v>http://doc.google.com/uc?id=1Qbm47PvC-qB-FSOLCRR47o6XTslHB_Gm</v>
      </c>
      <c r="DO225" s="45" t="str">
        <f>IFERROR(VLOOKUP(CONCATENATE('Respuestas de formulario 1.1'!$B225,MID('Respuestas de formulario 1.1'!DO$1,2,1)),#REF!,12,0),"")</f>
        <v/>
      </c>
      <c r="DP225" s="45" t="str">
        <f>IFERROR(VLOOKUP(CONCATENATE('Respuestas de formulario 1.1'!$B225,MID('Respuestas de formulario 1.1'!DP$1,2,1)),#REF!,12,0),"")</f>
        <v/>
      </c>
      <c r="DQ225" s="45" t="str">
        <f>IFERROR(VLOOKUP(CONCATENATE('Respuestas de formulario 1.1'!$B225,MID('Respuestas de formulario 1.1'!DQ$1,2,1)),#REF!,12,0),"")</f>
        <v/>
      </c>
      <c r="DR225" s="45" t="str">
        <f>IFERROR(VLOOKUP(CONCATENATE('Respuestas de formulario 1.1'!$B225,MID('Respuestas de formulario 1.1'!DR$1,2,1)),#REF!,12,0),"")</f>
        <v/>
      </c>
      <c r="DS225" s="45" t="str">
        <f>IFERROR(VLOOKUP(CONCATENATE('Respuestas de formulario 1.1'!$B225,MID('Respuestas de formulario 1.1'!DS$1,2,1)),#REF!,12,0),"")</f>
        <v/>
      </c>
      <c r="DT225" s="45" t="str">
        <f>IFERROR(VLOOKUP(CONCATENATE('Respuestas de formulario 1.1'!$B225,MID('Respuestas de formulario 1.1'!DT$1,2,1)),#REF!,12,0),"")</f>
        <v/>
      </c>
      <c r="DU225" s="45" t="str">
        <f>IFERROR(VLOOKUP(CONCATENATE('Respuestas de formulario 1.1'!$B225,MID('Respuestas de formulario 1.1'!DU$1,2,1)),#REF!,12,0),"")</f>
        <v/>
      </c>
      <c r="DV225" s="45" t="str">
        <f>IFERROR(VLOOKUP(CONCATENATE('Respuestas de formulario 1.1'!$B225,MID('Respuestas de formulario 1.1'!DV$1,2,1)),#REF!,12,0),"")</f>
        <v/>
      </c>
      <c r="DW225" s="45" t="str">
        <f>IFERROR(VLOOKUP(CONCATENATE('Respuestas de formulario 1.1'!$B225,MID('Respuestas de formulario 1.1'!DW$1,2,1)),#REF!,12,0),"")</f>
        <v/>
      </c>
      <c r="DX225" s="45" t="str">
        <f>IFERROR(VLOOKUP(CONCATENATE('Respuestas de formulario 1.1'!$B225,MID('Respuestas de formulario 1.1'!DX$1,2,1)),#REF!,12,0),"")</f>
        <v/>
      </c>
      <c r="DY225" s="45" t="str">
        <f>IFERROR(VLOOKUP(CONCATENATE('Respuestas de formulario 1.1'!$B225,MID('Respuestas de formulario 1.1'!DY$1,2,1)),#REF!,12,0),"")</f>
        <v/>
      </c>
      <c r="DZ225" s="45" t="str">
        <f>IFERROR(VLOOKUP(CONCATENATE('Respuestas de formulario 1.1'!$B225,MID('Respuestas de formulario 1.1'!DZ$1,2,1)),#REF!,12,0),"")</f>
        <v/>
      </c>
      <c r="EA225" s="45" t="str">
        <f>IFERROR(VLOOKUP(CONCATENATE('Respuestas de formulario 1.1'!$B225,MID('Respuestas de formulario 1.1'!EA$1,2,1)),#REF!,12,0),"")</f>
        <v/>
      </c>
      <c r="EB225" s="45" t="str">
        <f>IFERROR(VLOOKUP(CONCATENATE('Respuestas de formulario 1.1'!$B225,MID('Respuestas de formulario 1.1'!EB$1,2,1)),#REF!,12,0),"")</f>
        <v/>
      </c>
      <c r="EC225" s="45" t="str">
        <f>IFERROR(VLOOKUP(CONCATENATE('Respuestas de formulario 1.1'!$B225,MID('Respuestas de formulario 1.1'!EC$1,2,1)),#REF!,12,0),"")</f>
        <v/>
      </c>
      <c r="ED225" s="45" t="str">
        <f>IFERROR(VLOOKUP(CONCATENATE('Respuestas de formulario 1.1'!$B225,MID('Respuestas de formulario 1.1'!ED$1,2,1)),#REF!,12,0),"")</f>
        <v/>
      </c>
      <c r="EE225" s="45" t="str">
        <f>IFERROR(VLOOKUP(CONCATENATE('Respuestas de formulario 1.1'!$B225,MID('Respuestas de formulario 1.1'!EE$1,2,1)),#REF!,12,0),"")</f>
        <v/>
      </c>
      <c r="EF225" s="45" t="str">
        <f>IFERROR(VLOOKUP(CONCATENATE('Respuestas de formulario 1.1'!$B225,MID('Respuestas de formulario 1.1'!EF$1,2,1)),#REF!,12,0),"")</f>
        <v/>
      </c>
      <c r="EG225" s="45" t="str">
        <f>IFERROR(VLOOKUP(CONCATENATE('Respuestas de formulario 1.1'!$B225,MID('Respuestas de formulario 1.1'!EG$1,2,1)),#REF!,12,0),"")</f>
        <v/>
      </c>
      <c r="EH225" s="45" t="str">
        <f>IFERROR(VLOOKUP(CONCATENATE('Respuestas de formulario 1.1'!$B225,MID('Respuestas de formulario 1.1'!EH$1,2,1)),#REF!,12,0),"")</f>
        <v/>
      </c>
      <c r="EI225" s="45" t="str">
        <f>IFERROR(VLOOKUP(CONCATENATE('Respuestas de formulario 1.1'!$B225,MID('Respuestas de formulario 1.1'!EI$1,2,1)),#REF!,12,0),"")</f>
        <v/>
      </c>
      <c r="EJ225" s="45" t="str">
        <f t="array" ref="EJ225">IF(DO225="","", INDEX(#REF!,MATCH(CONCATENATE('Respuestas de formulario 1.1'!$B225,DO225),#REF!,0),MATCH('Respuestas de formulario 1.1'!EJ$1,#REF!,0)))</f>
        <v/>
      </c>
      <c r="EK225" s="56" t="str">
        <f t="array" ref="EK225">IF(DP225="","", INDEX(#REF!,MATCH(CONCATENATE('Respuestas de formulario 1.1'!$B225,DP225),#REF!,0),MATCH('Respuestas de formulario 1.1'!EK$1,#REF!,0)))</f>
        <v/>
      </c>
      <c r="EL225" s="56" t="str">
        <f t="array" ref="EL225">IF(DQ225="","", INDEX(#REF!,MATCH(CONCATENATE('Respuestas de formulario 1.1'!$B225,DQ225),#REF!,0),MATCH('Respuestas de formulario 1.1'!EL$1,#REF!,0)))</f>
        <v/>
      </c>
      <c r="EM225" s="56" t="str">
        <f t="array" ref="EM225">IF(DR225="","", INDEX(#REF!,MATCH(CONCATENATE('Respuestas de formulario 1.1'!$B225,DR225),#REF!,0),MATCH('Respuestas de formulario 1.1'!EM$1,#REF!,0)))</f>
        <v/>
      </c>
      <c r="EN225" s="56" t="str">
        <f t="array" ref="EN225">IF(DS225="","", INDEX(#REF!,MATCH(CONCATENATE('Respuestas de formulario 1.1'!$B225,DS225),#REF!,0),MATCH('Respuestas de formulario 1.1'!EN$1,#REF!,0)))</f>
        <v/>
      </c>
      <c r="EO225" s="56" t="str">
        <f t="array" ref="EO225">IF(DT225="","", INDEX(#REF!,MATCH(CONCATENATE('Respuestas de formulario 1.1'!$B225,DT225),#REF!,0),MATCH('Respuestas de formulario 1.1'!EO$1,#REF!,0)))</f>
        <v/>
      </c>
      <c r="EP225" s="45" t="str">
        <f t="array" ref="EP225">IF(DU225="","", INDEX(#REF!,MATCH(CONCATENATE('Respuestas de formulario 1.1'!$B225,DU225),#REF!,0),MATCH('Respuestas de formulario 1.1'!EP$1,#REF!,0)))</f>
        <v/>
      </c>
      <c r="EQ225" s="45" t="str">
        <f t="array" ref="EQ225">IF(DP225="","", INDEX(#REF!,MATCH(CONCATENATE('Respuestas de formulario 1.1'!$B225,DP225),#REF!,0),MATCH('Respuestas de formulario 1.1'!EQ$1,#REF!,0)))</f>
        <v/>
      </c>
      <c r="ER225" s="56" t="str">
        <f t="array" ref="ER225">IF(DQ225="","", INDEX(#REF!,MATCH(CONCATENATE('Respuestas de formulario 1.1'!$B225,DQ225),#REF!,0),MATCH('Respuestas de formulario 1.1'!ER$1,#REF!,0)))</f>
        <v/>
      </c>
      <c r="ES225" s="56" t="str">
        <f t="array" ref="ES225">IF(DR225="","", INDEX(#REF!,MATCH(CONCATENATE('Respuestas de formulario 1.1'!$B225,DR225),#REF!,0),MATCH('Respuestas de formulario 1.1'!ES$1,#REF!,0)))</f>
        <v/>
      </c>
      <c r="ET225" s="56" t="str">
        <f t="array" ref="ET225">IF(DS225="","", INDEX(#REF!,MATCH(CONCATENATE('Respuestas de formulario 1.1'!$B225,DS225),#REF!,0),MATCH('Respuestas de formulario 1.1'!ET$1,#REF!,0)))</f>
        <v/>
      </c>
      <c r="EU225" s="56" t="str">
        <f t="array" ref="EU225">IF(DT225="","", INDEX(#REF!,MATCH(CONCATENATE('Respuestas de formulario 1.1'!$B225,DT225),#REF!,0),MATCH('Respuestas de formulario 1.1'!EU$1,#REF!,0)))</f>
        <v/>
      </c>
      <c r="EV225" s="56" t="str">
        <f t="array" ref="EV225">IF(DU225="","", INDEX(#REF!,MATCH(CONCATENATE('Respuestas de formulario 1.1'!$B225,DU225),#REF!,0),MATCH('Respuestas de formulario 1.1'!EV$1,#REF!,0)))</f>
        <v/>
      </c>
      <c r="EW225" s="45" t="str">
        <f t="array" ref="EW225">IF(DV225="","", INDEX(#REF!,MATCH(CONCATENATE('Respuestas de formulario 1.1'!$B225,DV225),#REF!,0),MATCH('Respuestas de formulario 1.1'!EW$1,#REF!,0)))</f>
        <v/>
      </c>
      <c r="EX225" s="45" t="str">
        <f t="array" ref="EX225">IF($DQ225="","", INDEX(#REF!,MATCH(CONCATENATE('Respuestas de formulario 1.1'!$B225,$DQ225),#REF!,0),MATCH('Respuestas de formulario 1.1'!EX$1,#REF!,0)))</f>
        <v/>
      </c>
      <c r="EY225" s="56" t="str">
        <f t="array" ref="EY225">IF($DQ225="","", INDEX(#REF!,MATCH(CONCATENATE('Respuestas de formulario 1.1'!$B225,$DQ225),#REF!,0),MATCH('Respuestas de formulario 1.1'!EY$1,#REF!,0)))</f>
        <v/>
      </c>
      <c r="EZ225" s="56" t="str">
        <f t="array" ref="EZ225">IF($DQ225="","", INDEX(#REF!,MATCH(CONCATENATE('Respuestas de formulario 1.1'!$B225,$DQ225),#REF!,0),MATCH('Respuestas de formulario 1.1'!EZ$1,#REF!,0)))</f>
        <v/>
      </c>
      <c r="FA225" s="56" t="str">
        <f t="array" ref="FA225">IF($DQ225="","", INDEX(#REF!,MATCH(CONCATENATE('Respuestas de formulario 1.1'!$B225,$DQ225),#REF!,0),MATCH('Respuestas de formulario 1.1'!FA$1,#REF!,0)))</f>
        <v/>
      </c>
      <c r="FB225" s="56" t="str">
        <f t="array" ref="FB225">IF($DQ225="","", INDEX(#REF!,MATCH(CONCATENATE('Respuestas de formulario 1.1'!$B225,$DQ225),#REF!,0),MATCH('Respuestas de formulario 1.1'!FB$1,#REF!,0)))</f>
        <v/>
      </c>
      <c r="FC225" s="56" t="str">
        <f t="array" ref="FC225">IF($DQ225="","", INDEX(#REF!,MATCH(CONCATENATE('Respuestas de formulario 1.1'!$B225,$DQ225),#REF!,0),MATCH('Respuestas de formulario 1.1'!FC$1,#REF!,0)))</f>
        <v/>
      </c>
      <c r="FD225" s="45" t="str">
        <f t="array" ref="FD225">IF($DQ225="","", INDEX(#REF!,MATCH(CONCATENATE('Respuestas de formulario 1.1'!$B225,$DQ225),#REF!,0),MATCH('Respuestas de formulario 1.1'!FD$1,#REF!,0)))</f>
        <v/>
      </c>
      <c r="FE225" s="45" t="str">
        <f t="array" ref="FE225">IF($DR225="","", INDEX(#REF!,MATCH(CONCATENATE(#REF!,$DR225),#REF!,0),MATCH(#REF!,#REF!,0)))</f>
        <v/>
      </c>
      <c r="FF225" s="56" t="str">
        <f t="array" ref="FF225">IF($DR225="","", INDEX(#REF!,MATCH(CONCATENATE(#REF!,$DR225),#REF!,0),MATCH(#REF!,#REF!,0)))</f>
        <v/>
      </c>
      <c r="FG225" s="56" t="str">
        <f t="array" ref="FG225">IF($DR225="","", INDEX(#REF!,MATCH(CONCATENATE(#REF!,$DR225),#REF!,0),MATCH(#REF!,#REF!,0)))</f>
        <v/>
      </c>
      <c r="FH225" s="56" t="str">
        <f t="array" ref="FH225">IF($DR225="","", INDEX(#REF!,MATCH(CONCATENATE(#REF!,$DR225),#REF!,0),MATCH(#REF!,#REF!,0)))</f>
        <v/>
      </c>
      <c r="FI225" s="56" t="str">
        <f t="array" ref="FI225">IF($DR225="","", INDEX(#REF!,MATCH(CONCATENATE(#REF!,$DR225),#REF!,0),MATCH(#REF!,#REF!,0)))</f>
        <v/>
      </c>
      <c r="FJ225" s="56" t="str">
        <f t="array" ref="FJ225">IF($DR225="","", INDEX(#REF!,MATCH(CONCATENATE(#REF!,$DR225),#REF!,0),MATCH(#REF!,#REF!,0)))</f>
        <v/>
      </c>
      <c r="FK225" s="45" t="str">
        <f t="array" ref="FK225">IF($DR225="","", INDEX(#REF!,MATCH(CONCATENATE(#REF!,$DR225),#REF!,0),MATCH(#REF!,#REF!,0)))</f>
        <v/>
      </c>
      <c r="FL225" s="45" t="str">
        <f t="array" ref="FL225">IF($DT225="","", INDEX(#REF!,MATCH(CONCATENATE('Respuestas de formulario 1.1'!$B225,$DS225),#REF!,0),MATCH('Respuestas de formulario 1.1'!FL$1,#REF!,0)))</f>
        <v/>
      </c>
      <c r="FM225" s="56" t="str">
        <f t="array" ref="FM225">IF($DT225="","", INDEX(#REF!,MATCH(CONCATENATE('Respuestas de formulario 1.1'!$B225,$DS225),#REF!,0),MATCH('Respuestas de formulario 1.1'!FM$1,#REF!,0)))</f>
        <v/>
      </c>
      <c r="FN225" s="56" t="str">
        <f t="array" ref="FN225">IF($DT225="","", INDEX(#REF!,MATCH(CONCATENATE('Respuestas de formulario 1.1'!$B225,$DS225),#REF!,0),MATCH('Respuestas de formulario 1.1'!FN$1,#REF!,0)))</f>
        <v/>
      </c>
      <c r="FO225" s="56" t="str">
        <f t="array" ref="FO225">IF($DT225="","", INDEX(#REF!,MATCH(CONCATENATE('Respuestas de formulario 1.1'!$B225,$DS225),#REF!,0),MATCH('Respuestas de formulario 1.1'!FO$1,#REF!,0)))</f>
        <v/>
      </c>
      <c r="FP225" s="56" t="str">
        <f t="array" ref="FP225">IF($DT225="","", INDEX(#REF!,MATCH(CONCATENATE('Respuestas de formulario 1.1'!$B225,$DS225),#REF!,0),MATCH('Respuestas de formulario 1.1'!FP$1,#REF!,0)))</f>
        <v/>
      </c>
      <c r="FQ225" s="56" t="str">
        <f t="array" ref="FQ225">IF($DT225="","", INDEX(#REF!,MATCH(CONCATENATE('Respuestas de formulario 1.1'!$B225,$DS225),#REF!,0),MATCH('Respuestas de formulario 1.1'!FQ$1,#REF!,0)))</f>
        <v/>
      </c>
      <c r="FR225" s="45" t="str">
        <f t="array" ref="FR225">IF($DT225="","", INDEX(#REF!,MATCH(CONCATENATE('Respuestas de formulario 1.1'!$B225,$DS225),#REF!,0),MATCH('Respuestas de formulario 1.1'!FR$1,#REF!,0)))</f>
        <v/>
      </c>
      <c r="FS225" s="45" t="str">
        <f t="array" ref="FS225">IF($DU225="","", INDEX(#REF!,MATCH(CONCATENATE('Respuestas de formulario 1.1'!$B225,$DT225),#REF!,0),MATCH('Respuestas de formulario 1.1'!FS$1,#REF!,0)))</f>
        <v/>
      </c>
      <c r="FT225" s="56" t="str">
        <f t="array" ref="FT225">IF($DU225="","", INDEX(#REF!,MATCH(CONCATENATE('Respuestas de formulario 1.1'!$B225,$DT225),#REF!,0),MATCH('Respuestas de formulario 1.1'!FT$1,#REF!,0)))</f>
        <v/>
      </c>
      <c r="FU225" s="56" t="str">
        <f t="array" ref="FU225">IF($DU225="","", INDEX(#REF!,MATCH(CONCATENATE('Respuestas de formulario 1.1'!$B225,$DT225),#REF!,0),MATCH('Respuestas de formulario 1.1'!FU$1,#REF!,0)))</f>
        <v/>
      </c>
      <c r="FV225" s="56" t="str">
        <f t="array" ref="FV225">IF($DU225="","", INDEX(#REF!,MATCH(CONCATENATE('Respuestas de formulario 1.1'!$B225,$DT225),#REF!,0),MATCH('Respuestas de formulario 1.1'!FV$1,#REF!,0)))</f>
        <v/>
      </c>
      <c r="FW225" s="56" t="str">
        <f t="array" ref="FW225">IF($DU225="","", INDEX(#REF!,MATCH(CONCATENATE('Respuestas de formulario 1.1'!$B225,$DT225),#REF!,0),MATCH('Respuestas de formulario 1.1'!FW$1,#REF!,0)))</f>
        <v/>
      </c>
      <c r="FX225" s="56" t="str">
        <f t="array" ref="FX225">IF($DU225="","", INDEX(#REF!,MATCH(CONCATENATE('Respuestas de formulario 1.1'!$B225,$DT225),#REF!,0),MATCH('Respuestas de formulario 1.1'!FX$1,#REF!,0)))</f>
        <v/>
      </c>
      <c r="FY225" s="45" t="str">
        <f t="array" ref="FY225">IF($DU225="","", INDEX(#REF!,MATCH(CONCATENATE('Respuestas de formulario 1.1'!$B225,$DT225),#REF!,0),MATCH('Respuestas de formulario 1.1'!FY$1,#REF!,0)))</f>
        <v/>
      </c>
      <c r="FZ225" s="3" t="s">
        <v>2860</v>
      </c>
      <c r="GA225" s="1" t="s">
        <v>6709</v>
      </c>
      <c r="GB225" s="5" t="s">
        <v>6710</v>
      </c>
      <c r="GC225" s="4" t="str">
        <f>HYPERLINK("https://drive.google.com/file/d/134Kce65q8lAX7Hvw4ahzwveeKlLeffqn/view?usp=drivesdk","SANDOVAL ROMERO LEONARDO Formato de reinscripción y pago 2022-2")</f>
        <v>SANDOVAL ROMERO LEONARDO Formato de reinscripción y pago 2022-2</v>
      </c>
      <c r="GD225" s="1" t="s">
        <v>6711</v>
      </c>
      <c r="GE225" s="1"/>
      <c r="GF225" s="1"/>
      <c r="GG225" s="1"/>
      <c r="GH225" s="1"/>
      <c r="GI225" s="1" t="s">
        <v>6712</v>
      </c>
      <c r="GJ225" s="5" t="s">
        <v>6713</v>
      </c>
      <c r="GK225" s="5" t="str">
        <f>HYPERLINK("https://drive.google.com/file/d/1Hj7aNn-ystMIH3Dy08M7XmtfJRcW8dac/view?usp=drivesdk","SANDOVAL ROMERO LEONARDO Formato de reinscripción y pago 2022-2")</f>
        <v>SANDOVAL ROMERO LEONARDO Formato de reinscripción y pago 2022-2</v>
      </c>
      <c r="GL225" s="1" t="s">
        <v>6714</v>
      </c>
    </row>
    <row r="226" spans="1:194" ht="38.25" x14ac:dyDescent="0.2">
      <c r="A226" s="2">
        <v>45139.530923217593</v>
      </c>
      <c r="B226" s="1" t="s">
        <v>1244</v>
      </c>
      <c r="C226" s="1" t="s">
        <v>1245</v>
      </c>
      <c r="D226" s="1" t="s">
        <v>421</v>
      </c>
      <c r="E226" s="1" t="s">
        <v>1246</v>
      </c>
      <c r="F226" s="1" t="s">
        <v>262</v>
      </c>
      <c r="G226" s="5" t="s">
        <v>6715</v>
      </c>
      <c r="H226" s="41">
        <v>39391</v>
      </c>
      <c r="I226" s="1">
        <v>15</v>
      </c>
      <c r="J226" s="1">
        <v>5517619102</v>
      </c>
      <c r="K226" s="1">
        <v>5554285178</v>
      </c>
      <c r="L226" s="1" t="s">
        <v>1247</v>
      </c>
      <c r="M226" s="1">
        <v>22309060570503</v>
      </c>
      <c r="N226" s="1" t="s">
        <v>562</v>
      </c>
      <c r="O226" s="1" t="s">
        <v>247</v>
      </c>
      <c r="P226" s="1" t="s">
        <v>278</v>
      </c>
      <c r="Q226" s="1" t="s">
        <v>227</v>
      </c>
      <c r="R226" s="1" t="s">
        <v>236</v>
      </c>
      <c r="S226" s="1" t="s">
        <v>228</v>
      </c>
      <c r="T226" s="1" t="s">
        <v>229</v>
      </c>
      <c r="U226" s="1" t="s">
        <v>249</v>
      </c>
      <c r="V226" s="1" t="s">
        <v>228</v>
      </c>
      <c r="W226" s="1" t="s">
        <v>6716</v>
      </c>
      <c r="X226" s="1" t="s">
        <v>249</v>
      </c>
      <c r="Y226" s="1" t="s">
        <v>715</v>
      </c>
      <c r="Z226" s="1" t="s">
        <v>231</v>
      </c>
      <c r="AA226" s="44" t="s">
        <v>555</v>
      </c>
      <c r="AB226" s="1" t="s">
        <v>6717</v>
      </c>
      <c r="AC226" s="1" t="s">
        <v>395</v>
      </c>
      <c r="AD226" s="1" t="s">
        <v>6718</v>
      </c>
      <c r="AE226" s="1" t="s">
        <v>6719</v>
      </c>
      <c r="AF226" s="1" t="s">
        <v>493</v>
      </c>
      <c r="AG226" s="1">
        <v>41</v>
      </c>
      <c r="AH226" s="5" t="s">
        <v>6720</v>
      </c>
      <c r="AI226" s="1">
        <v>5545941359</v>
      </c>
      <c r="AJ226" s="1">
        <v>5554287666</v>
      </c>
      <c r="AK226" s="1" t="s">
        <v>1248</v>
      </c>
      <c r="AL226" s="1" t="s">
        <v>1245</v>
      </c>
      <c r="AM226" s="1" t="s">
        <v>6721</v>
      </c>
      <c r="AN226" s="1" t="s">
        <v>6722</v>
      </c>
      <c r="AO226" s="1" t="s">
        <v>420</v>
      </c>
      <c r="AP226" s="1">
        <v>43</v>
      </c>
      <c r="AQ226" s="1" t="s">
        <v>1053</v>
      </c>
      <c r="AR226" s="42">
        <v>0.375</v>
      </c>
      <c r="AS226" s="42">
        <v>0.25</v>
      </c>
      <c r="AT226" s="1">
        <v>5534984955</v>
      </c>
      <c r="AU226" s="1">
        <v>5554285178</v>
      </c>
      <c r="AV226" s="1" t="s">
        <v>1250</v>
      </c>
      <c r="AW226" s="5" t="s">
        <v>6723</v>
      </c>
      <c r="AX226" s="1" t="s">
        <v>421</v>
      </c>
      <c r="AY226" s="1" t="s">
        <v>333</v>
      </c>
      <c r="AZ226" s="1" t="s">
        <v>6724</v>
      </c>
      <c r="BA226" s="1" t="s">
        <v>461</v>
      </c>
      <c r="BB226" s="1">
        <v>39</v>
      </c>
      <c r="BC226" s="1" t="s">
        <v>320</v>
      </c>
      <c r="BD226" s="43">
        <v>0.41666666666424135</v>
      </c>
      <c r="BE226" s="43">
        <v>0.20833333333575865</v>
      </c>
      <c r="BF226" s="1">
        <v>5537044382</v>
      </c>
      <c r="BG226" s="1">
        <v>5554285178</v>
      </c>
      <c r="BH226" s="1" t="s">
        <v>1249</v>
      </c>
      <c r="BI226" s="5" t="s">
        <v>6725</v>
      </c>
      <c r="BJ226" s="1" t="s">
        <v>236</v>
      </c>
      <c r="BK226" s="1" t="s">
        <v>1285</v>
      </c>
      <c r="BL226" s="1">
        <v>173</v>
      </c>
      <c r="BM226" s="1">
        <v>64</v>
      </c>
      <c r="BN226" s="1" t="s">
        <v>236</v>
      </c>
      <c r="BO226" s="1" t="s">
        <v>228</v>
      </c>
      <c r="BP226" s="1" t="s">
        <v>598</v>
      </c>
      <c r="BQ226" s="1" t="s">
        <v>228</v>
      </c>
      <c r="BR226" s="1" t="s">
        <v>237</v>
      </c>
      <c r="BS226" s="1" t="s">
        <v>228</v>
      </c>
      <c r="BT226" s="1" t="s">
        <v>237</v>
      </c>
      <c r="BU226" s="1" t="s">
        <v>228</v>
      </c>
      <c r="BW226" s="1" t="s">
        <v>238</v>
      </c>
      <c r="BX226" s="1">
        <v>60</v>
      </c>
      <c r="BY226" s="1">
        <v>50</v>
      </c>
      <c r="BZ226" s="1" t="s">
        <v>2115</v>
      </c>
      <c r="CA226" s="1" t="s">
        <v>2206</v>
      </c>
      <c r="CB226" s="1" t="s">
        <v>240</v>
      </c>
      <c r="CC226" s="1" t="s">
        <v>755</v>
      </c>
      <c r="CD226" s="1">
        <v>2000</v>
      </c>
      <c r="CE226" s="1">
        <v>1500</v>
      </c>
      <c r="CF226" s="1" t="s">
        <v>236</v>
      </c>
      <c r="CG226" s="1" t="s">
        <v>242</v>
      </c>
      <c r="CH226" s="1" t="s">
        <v>243</v>
      </c>
      <c r="CI226" s="1" t="s">
        <v>243</v>
      </c>
      <c r="CJ226" s="1" t="s">
        <v>2848</v>
      </c>
      <c r="CL226" s="5" t="s">
        <v>6726</v>
      </c>
      <c r="CM226" s="1">
        <v>10210726591</v>
      </c>
      <c r="CN226" s="1" t="s">
        <v>228</v>
      </c>
      <c r="CQ226" s="42">
        <v>0.29166666666424135</v>
      </c>
      <c r="CR226" s="42">
        <v>0.33333333333575865</v>
      </c>
      <c r="CT226" s="45" t="str">
        <f t="array" ref="CT226">IFERROR(INDEX(#REF!,MATCH('Respuestas de formulario 1.1'!$B226,#REF!,0),MATCH('Respuestas de formulario 1.1'!CT$1,#REF!,0)),"")</f>
        <v/>
      </c>
      <c r="CU226" s="56" t="str">
        <f t="array" ref="CU226">IFERROR(INDEX(#REF!,MATCH('Respuestas de formulario 1.1'!$B226,#REF!,0),MATCH('Respuestas de formulario 1.1'!CU$1,#REF!,0)),"")</f>
        <v/>
      </c>
      <c r="CV226" s="56" t="str">
        <f t="array" ref="CV226">IFERROR(INDEX(#REF!,MATCH('Respuestas de formulario 1.1'!$B226,#REF!,0),MATCH('Respuestas de formulario 1.1'!CV$1,#REF!,0)),"")</f>
        <v/>
      </c>
      <c r="CW226" s="56" t="str">
        <f t="array" ref="CW226">IFERROR(INDEX(#REF!,MATCH('Respuestas de formulario 1.1'!$B226,#REF!,0),MATCH('Respuestas de formulario 1.1'!CW$1,#REF!,0)),"")</f>
        <v/>
      </c>
      <c r="CX226" s="56" t="str">
        <f t="array" ref="CX226">IFERROR(INDEX(#REF!,MATCH('Respuestas de formulario 1.1'!$B226,#REF!,0),MATCH('Respuestas de formulario 1.1'!CX$1,#REF!,0)),"")</f>
        <v/>
      </c>
      <c r="CY226" s="56" t="str">
        <f t="array" ref="CY226">IFERROR(INDEX(#REF!,MATCH('Respuestas de formulario 1.1'!$B226,#REF!,0),MATCH('Respuestas de formulario 1.1'!CY$1,#REF!,0)),"")</f>
        <v/>
      </c>
      <c r="CZ226" s="57" t="str">
        <f t="array" ref="CZ226">IFERROR(INDEX(#REF!,MATCH('Respuestas de formulario 1.1'!$B226,#REF!,0),MATCH('Respuestas de formulario 1.1'!CZ$1,#REF!,0)),"")</f>
        <v/>
      </c>
      <c r="DA226" s="45" t="e">
        <f t="array" ref="DA226">INDEX(#REF!,MATCH('Respuestas de formulario 1.1'!$B226,#REF!,0),MATCH('Respuestas de formulario 1.1'!DA$1,#REF!,0))</f>
        <v>#REF!</v>
      </c>
      <c r="DB226" s="45" t="e">
        <f t="array" ref="DB226">INDEX(#REF!,MATCH('Respuestas de formulario 1.1'!$B226,#REF!,0),MATCH('Respuestas de formulario 1.1'!DB$1,#REF!,0))</f>
        <v>#REF!</v>
      </c>
      <c r="DC226" s="45" t="e">
        <f t="array" ref="DC226">INDEX(#REF!,MATCH('Respuestas de formulario 1.1'!$B226,#REF!,0),MATCH('Respuestas de formulario 1.1'!DC$1,#REF!,0))</f>
        <v>#REF!</v>
      </c>
      <c r="DD226" s="45" t="e">
        <f t="array" ref="DD226">INDEX(#REF!,MATCH('Respuestas de formulario 1.1'!$B226,#REF!,0),MATCH('Respuestas de formulario 1.1'!DD$1,#REF!,0))</f>
        <v>#REF!</v>
      </c>
      <c r="DE226" s="45" t="e">
        <f t="array" ref="DE226">INDEX(#REF!,MATCH('Respuestas de formulario 1.1'!$B226,#REF!,0),MATCH('Respuestas de formulario 1.1'!DE$1,#REF!,0))</f>
        <v>#REF!</v>
      </c>
      <c r="DF226" s="45" t="e">
        <f t="array" ref="DF226">INDEX(#REF!,MATCH('Respuestas de formulario 1.1'!$B226,#REF!,0),MATCH('Respuestas de formulario 1.1'!DF$1,#REF!,0))</f>
        <v>#REF!</v>
      </c>
      <c r="DG226" s="45" t="e">
        <f t="array" ref="DG226">INDEX(#REF!,MATCH('Respuestas de formulario 1.1'!$B226,#REF!,0),MATCH('Respuestas de formulario 1.1'!DG$1,#REF!,0))</f>
        <v>#REF!</v>
      </c>
      <c r="DH226" s="45" t="e">
        <f t="array" ref="DH226">INDEX(#REF!,MATCH('Respuestas de formulario 1.1'!$B226,#REF!,0),MATCH('Respuestas de formulario 1.1'!DH$1,#REF!,0))</f>
        <v>#REF!</v>
      </c>
      <c r="DI226" s="48" t="e">
        <f>VLOOKUP(CONCATENATE($DF226," TUTO ",$DC226),#REF!,3,0)</f>
        <v>#REF!</v>
      </c>
      <c r="DJ226" s="48" t="e">
        <f t="array" ref="DJ226">IF('Respuestas de formulario 1.1'!A226="","",INDEX(#REF!,MATCH('Respuestas de formulario 1.1'!B226,#REF!,0),MATCH('Respuestas de formulario 1.1'!$DH$1,#REF!,0)))</f>
        <v>#REF!</v>
      </c>
      <c r="DK226" s="52" t="str">
        <f>CONCATENATE("http://doc.google.com/uc?id=",MID('Respuestas de formulario 1.1'!G226,34,33))</f>
        <v>http://doc.google.com/uc?id=1_9JT_3-onuin8sxcD7pwXZF8djZ8TaiA</v>
      </c>
      <c r="DL226" s="49" t="str">
        <f>CONCATENATE("http://doc.google.com/uc?id=",MID('Respuestas de formulario 1.1'!AH226,34,33))</f>
        <v>http://doc.google.com/uc?id=1wJ_akVvyVl380Boijd7G4Ngx4hm9X1y5</v>
      </c>
      <c r="DM226" s="50" t="str">
        <f>CONCATENATE("http://doc.google.com/uc?id=",MID('Respuestas de formulario 1.1'!AW226,34,33))</f>
        <v>http://doc.google.com/uc?id=1hHWPUyd7WeAFOQMER0hrfNJQZc1CS_OR</v>
      </c>
      <c r="DN226" s="53" t="str">
        <f>CONCATENATE("http://doc.google.com/uc?id=",MID('Respuestas de formulario 1.1'!$BI226,34,33))</f>
        <v>http://doc.google.com/uc?id=1kUctJsx6Dd07VOL9kWILaXvyUoPNKny0</v>
      </c>
      <c r="DO226" s="45" t="str">
        <f>IFERROR(VLOOKUP(CONCATENATE('Respuestas de formulario 1.1'!$B226,MID('Respuestas de formulario 1.1'!DO$1,2,1)),#REF!,12,0),"")</f>
        <v/>
      </c>
      <c r="DP226" s="45" t="str">
        <f>IFERROR(VLOOKUP(CONCATENATE('Respuestas de formulario 1.1'!$B226,MID('Respuestas de formulario 1.1'!DP$1,2,1)),#REF!,12,0),"")</f>
        <v/>
      </c>
      <c r="DQ226" s="45" t="str">
        <f>IFERROR(VLOOKUP(CONCATENATE('Respuestas de formulario 1.1'!$B226,MID('Respuestas de formulario 1.1'!DQ$1,2,1)),#REF!,12,0),"")</f>
        <v/>
      </c>
      <c r="DR226" s="45" t="str">
        <f>IFERROR(VLOOKUP(CONCATENATE('Respuestas de formulario 1.1'!$B226,MID('Respuestas de formulario 1.1'!DR$1,2,1)),#REF!,12,0),"")</f>
        <v/>
      </c>
      <c r="DS226" s="45" t="str">
        <f>IFERROR(VLOOKUP(CONCATENATE('Respuestas de formulario 1.1'!$B226,MID('Respuestas de formulario 1.1'!DS$1,2,1)),#REF!,12,0),"")</f>
        <v/>
      </c>
      <c r="DT226" s="45" t="str">
        <f>IFERROR(VLOOKUP(CONCATENATE('Respuestas de formulario 1.1'!$B226,MID('Respuestas de formulario 1.1'!DT$1,2,1)),#REF!,12,0),"")</f>
        <v/>
      </c>
      <c r="DU226" s="45" t="str">
        <f>IFERROR(VLOOKUP(CONCATENATE('Respuestas de formulario 1.1'!$B226,MID('Respuestas de formulario 1.1'!DU$1,2,1)),#REF!,12,0),"")</f>
        <v/>
      </c>
      <c r="DV226" s="45" t="str">
        <f>IFERROR(VLOOKUP(CONCATENATE('Respuestas de formulario 1.1'!$B226,MID('Respuestas de formulario 1.1'!DV$1,2,1)),#REF!,12,0),"")</f>
        <v/>
      </c>
      <c r="DW226" s="45" t="str">
        <f>IFERROR(VLOOKUP(CONCATENATE('Respuestas de formulario 1.1'!$B226,MID('Respuestas de formulario 1.1'!DW$1,2,1)),#REF!,12,0),"")</f>
        <v/>
      </c>
      <c r="DX226" s="45" t="str">
        <f>IFERROR(VLOOKUP(CONCATENATE('Respuestas de formulario 1.1'!$B226,MID('Respuestas de formulario 1.1'!DX$1,2,1)),#REF!,12,0),"")</f>
        <v/>
      </c>
      <c r="DY226" s="45" t="str">
        <f>IFERROR(VLOOKUP(CONCATENATE('Respuestas de formulario 1.1'!$B226,MID('Respuestas de formulario 1.1'!DY$1,2,1)),#REF!,12,0),"")</f>
        <v/>
      </c>
      <c r="DZ226" s="45" t="str">
        <f>IFERROR(VLOOKUP(CONCATENATE('Respuestas de formulario 1.1'!$B226,MID('Respuestas de formulario 1.1'!DZ$1,2,1)),#REF!,12,0),"")</f>
        <v/>
      </c>
      <c r="EA226" s="45" t="str">
        <f>IFERROR(VLOOKUP(CONCATENATE('Respuestas de formulario 1.1'!$B226,MID('Respuestas de formulario 1.1'!EA$1,2,1)),#REF!,12,0),"")</f>
        <v/>
      </c>
      <c r="EB226" s="45" t="str">
        <f>IFERROR(VLOOKUP(CONCATENATE('Respuestas de formulario 1.1'!$B226,MID('Respuestas de formulario 1.1'!EB$1,2,1)),#REF!,12,0),"")</f>
        <v/>
      </c>
      <c r="EC226" s="45" t="str">
        <f>IFERROR(VLOOKUP(CONCATENATE('Respuestas de formulario 1.1'!$B226,MID('Respuestas de formulario 1.1'!EC$1,2,1)),#REF!,12,0),"")</f>
        <v/>
      </c>
      <c r="ED226" s="45" t="str">
        <f>IFERROR(VLOOKUP(CONCATENATE('Respuestas de formulario 1.1'!$B226,MID('Respuestas de formulario 1.1'!ED$1,2,1)),#REF!,12,0),"")</f>
        <v/>
      </c>
      <c r="EE226" s="45" t="str">
        <f>IFERROR(VLOOKUP(CONCATENATE('Respuestas de formulario 1.1'!$B226,MID('Respuestas de formulario 1.1'!EE$1,2,1)),#REF!,12,0),"")</f>
        <v/>
      </c>
      <c r="EF226" s="45" t="str">
        <f>IFERROR(VLOOKUP(CONCATENATE('Respuestas de formulario 1.1'!$B226,MID('Respuestas de formulario 1.1'!EF$1,2,1)),#REF!,12,0),"")</f>
        <v/>
      </c>
      <c r="EG226" s="45" t="str">
        <f>IFERROR(VLOOKUP(CONCATENATE('Respuestas de formulario 1.1'!$B226,MID('Respuestas de formulario 1.1'!EG$1,2,1)),#REF!,12,0),"")</f>
        <v/>
      </c>
      <c r="EH226" s="45" t="str">
        <f>IFERROR(VLOOKUP(CONCATENATE('Respuestas de formulario 1.1'!$B226,MID('Respuestas de formulario 1.1'!EH$1,2,1)),#REF!,12,0),"")</f>
        <v/>
      </c>
      <c r="EI226" s="45" t="str">
        <f>IFERROR(VLOOKUP(CONCATENATE('Respuestas de formulario 1.1'!$B226,MID('Respuestas de formulario 1.1'!EI$1,2,1)),#REF!,12,0),"")</f>
        <v/>
      </c>
      <c r="EJ226" s="45" t="str">
        <f t="array" ref="EJ226">IF(DO226="","", INDEX(#REF!,MATCH(CONCATENATE('Respuestas de formulario 1.1'!$B226,DO226),#REF!,0),MATCH('Respuestas de formulario 1.1'!EJ$1,#REF!,0)))</f>
        <v/>
      </c>
      <c r="EK226" s="56" t="str">
        <f t="array" ref="EK226">IF(DP226="","", INDEX(#REF!,MATCH(CONCATENATE('Respuestas de formulario 1.1'!$B226,DP226),#REF!,0),MATCH('Respuestas de formulario 1.1'!EK$1,#REF!,0)))</f>
        <v/>
      </c>
      <c r="EL226" s="56" t="str">
        <f t="array" ref="EL226">IF(DQ226="","", INDEX(#REF!,MATCH(CONCATENATE('Respuestas de formulario 1.1'!$B226,DQ226),#REF!,0),MATCH('Respuestas de formulario 1.1'!EL$1,#REF!,0)))</f>
        <v/>
      </c>
      <c r="EM226" s="56" t="str">
        <f t="array" ref="EM226">IF(DR226="","", INDEX(#REF!,MATCH(CONCATENATE('Respuestas de formulario 1.1'!$B226,DR226),#REF!,0),MATCH('Respuestas de formulario 1.1'!EM$1,#REF!,0)))</f>
        <v/>
      </c>
      <c r="EN226" s="56" t="str">
        <f t="array" ref="EN226">IF(DS226="","", INDEX(#REF!,MATCH(CONCATENATE('Respuestas de formulario 1.1'!$B226,DS226),#REF!,0),MATCH('Respuestas de formulario 1.1'!EN$1,#REF!,0)))</f>
        <v/>
      </c>
      <c r="EO226" s="56" t="str">
        <f t="array" ref="EO226">IF(DT226="","", INDEX(#REF!,MATCH(CONCATENATE('Respuestas de formulario 1.1'!$B226,DT226),#REF!,0),MATCH('Respuestas de formulario 1.1'!EO$1,#REF!,0)))</f>
        <v/>
      </c>
      <c r="EP226" s="45" t="str">
        <f t="array" ref="EP226">IF(DU226="","", INDEX(#REF!,MATCH(CONCATENATE('Respuestas de formulario 1.1'!$B226,DU226),#REF!,0),MATCH('Respuestas de formulario 1.1'!EP$1,#REF!,0)))</f>
        <v/>
      </c>
      <c r="EQ226" s="45" t="str">
        <f t="array" ref="EQ226">IF(DP226="","", INDEX(#REF!,MATCH(CONCATENATE('Respuestas de formulario 1.1'!$B226,DP226),#REF!,0),MATCH('Respuestas de formulario 1.1'!EQ$1,#REF!,0)))</f>
        <v/>
      </c>
      <c r="ER226" s="56" t="str">
        <f t="array" ref="ER226">IF(DQ226="","", INDEX(#REF!,MATCH(CONCATENATE('Respuestas de formulario 1.1'!$B226,DQ226),#REF!,0),MATCH('Respuestas de formulario 1.1'!ER$1,#REF!,0)))</f>
        <v/>
      </c>
      <c r="ES226" s="56" t="str">
        <f t="array" ref="ES226">IF(DR226="","", INDEX(#REF!,MATCH(CONCATENATE('Respuestas de formulario 1.1'!$B226,DR226),#REF!,0),MATCH('Respuestas de formulario 1.1'!ES$1,#REF!,0)))</f>
        <v/>
      </c>
      <c r="ET226" s="56" t="str">
        <f t="array" ref="ET226">IF(DS226="","", INDEX(#REF!,MATCH(CONCATENATE('Respuestas de formulario 1.1'!$B226,DS226),#REF!,0),MATCH('Respuestas de formulario 1.1'!ET$1,#REF!,0)))</f>
        <v/>
      </c>
      <c r="EU226" s="56" t="str">
        <f t="array" ref="EU226">IF(DT226="","", INDEX(#REF!,MATCH(CONCATENATE('Respuestas de formulario 1.1'!$B226,DT226),#REF!,0),MATCH('Respuestas de formulario 1.1'!EU$1,#REF!,0)))</f>
        <v/>
      </c>
      <c r="EV226" s="56" t="str">
        <f t="array" ref="EV226">IF(DU226="","", INDEX(#REF!,MATCH(CONCATENATE('Respuestas de formulario 1.1'!$B226,DU226),#REF!,0),MATCH('Respuestas de formulario 1.1'!EV$1,#REF!,0)))</f>
        <v/>
      </c>
      <c r="EW226" s="45" t="str">
        <f t="array" ref="EW226">IF(DV226="","", INDEX(#REF!,MATCH(CONCATENATE('Respuestas de formulario 1.1'!$B226,DV226),#REF!,0),MATCH('Respuestas de formulario 1.1'!EW$1,#REF!,0)))</f>
        <v/>
      </c>
      <c r="EX226" s="45" t="str">
        <f t="array" ref="EX226">IF($DQ226="","", INDEX(#REF!,MATCH(CONCATENATE('Respuestas de formulario 1.1'!$B226,$DQ226),#REF!,0),MATCH('Respuestas de formulario 1.1'!EX$1,#REF!,0)))</f>
        <v/>
      </c>
      <c r="EY226" s="56" t="str">
        <f t="array" ref="EY226">IF($DQ226="","", INDEX(#REF!,MATCH(CONCATENATE('Respuestas de formulario 1.1'!$B226,$DQ226),#REF!,0),MATCH('Respuestas de formulario 1.1'!EY$1,#REF!,0)))</f>
        <v/>
      </c>
      <c r="EZ226" s="56" t="str">
        <f t="array" ref="EZ226">IF($DQ226="","", INDEX(#REF!,MATCH(CONCATENATE('Respuestas de formulario 1.1'!$B226,$DQ226),#REF!,0),MATCH('Respuestas de formulario 1.1'!EZ$1,#REF!,0)))</f>
        <v/>
      </c>
      <c r="FA226" s="56" t="str">
        <f t="array" ref="FA226">IF($DQ226="","", INDEX(#REF!,MATCH(CONCATENATE('Respuestas de formulario 1.1'!$B226,$DQ226),#REF!,0),MATCH('Respuestas de formulario 1.1'!FA$1,#REF!,0)))</f>
        <v/>
      </c>
      <c r="FB226" s="56" t="str">
        <f t="array" ref="FB226">IF($DQ226="","", INDEX(#REF!,MATCH(CONCATENATE('Respuestas de formulario 1.1'!$B226,$DQ226),#REF!,0),MATCH('Respuestas de formulario 1.1'!FB$1,#REF!,0)))</f>
        <v/>
      </c>
      <c r="FC226" s="56" t="str">
        <f t="array" ref="FC226">IF($DQ226="","", INDEX(#REF!,MATCH(CONCATENATE('Respuestas de formulario 1.1'!$B226,$DQ226),#REF!,0),MATCH('Respuestas de formulario 1.1'!FC$1,#REF!,0)))</f>
        <v/>
      </c>
      <c r="FD226" s="45" t="str">
        <f t="array" ref="FD226">IF($DQ226="","", INDEX(#REF!,MATCH(CONCATENATE('Respuestas de formulario 1.1'!$B226,$DQ226),#REF!,0),MATCH('Respuestas de formulario 1.1'!FD$1,#REF!,0)))</f>
        <v/>
      </c>
      <c r="FE226" s="45" t="str">
        <f t="array" ref="FE226">IF($DR226="","", INDEX(#REF!,MATCH(CONCATENATE(#REF!,$DR226),#REF!,0),MATCH(#REF!,#REF!,0)))</f>
        <v/>
      </c>
      <c r="FF226" s="56" t="str">
        <f t="array" ref="FF226">IF($DR226="","", INDEX(#REF!,MATCH(CONCATENATE(#REF!,$DR226),#REF!,0),MATCH(#REF!,#REF!,0)))</f>
        <v/>
      </c>
      <c r="FG226" s="56" t="str">
        <f t="array" ref="FG226">IF($DR226="","", INDEX(#REF!,MATCH(CONCATENATE(#REF!,$DR226),#REF!,0),MATCH(#REF!,#REF!,0)))</f>
        <v/>
      </c>
      <c r="FH226" s="56" t="str">
        <f t="array" ref="FH226">IF($DR226="","", INDEX(#REF!,MATCH(CONCATENATE(#REF!,$DR226),#REF!,0),MATCH(#REF!,#REF!,0)))</f>
        <v/>
      </c>
      <c r="FI226" s="56" t="str">
        <f t="array" ref="FI226">IF($DR226="","", INDEX(#REF!,MATCH(CONCATENATE(#REF!,$DR226),#REF!,0),MATCH(#REF!,#REF!,0)))</f>
        <v/>
      </c>
      <c r="FJ226" s="56" t="str">
        <f t="array" ref="FJ226">IF($DR226="","", INDEX(#REF!,MATCH(CONCATENATE(#REF!,$DR226),#REF!,0),MATCH(#REF!,#REF!,0)))</f>
        <v/>
      </c>
      <c r="FK226" s="45" t="str">
        <f t="array" ref="FK226">IF($DR226="","", INDEX(#REF!,MATCH(CONCATENATE(#REF!,$DR226),#REF!,0),MATCH(#REF!,#REF!,0)))</f>
        <v/>
      </c>
      <c r="FL226" s="45" t="str">
        <f t="array" ref="FL226">IF($DT226="","", INDEX(#REF!,MATCH(CONCATENATE('Respuestas de formulario 1.1'!$B226,$DS226),#REF!,0),MATCH('Respuestas de formulario 1.1'!FL$1,#REF!,0)))</f>
        <v/>
      </c>
      <c r="FM226" s="56" t="str">
        <f t="array" ref="FM226">IF($DT226="","", INDEX(#REF!,MATCH(CONCATENATE('Respuestas de formulario 1.1'!$B226,$DS226),#REF!,0),MATCH('Respuestas de formulario 1.1'!FM$1,#REF!,0)))</f>
        <v/>
      </c>
      <c r="FN226" s="56" t="str">
        <f t="array" ref="FN226">IF($DT226="","", INDEX(#REF!,MATCH(CONCATENATE('Respuestas de formulario 1.1'!$B226,$DS226),#REF!,0),MATCH('Respuestas de formulario 1.1'!FN$1,#REF!,0)))</f>
        <v/>
      </c>
      <c r="FO226" s="56" t="str">
        <f t="array" ref="FO226">IF($DT226="","", INDEX(#REF!,MATCH(CONCATENATE('Respuestas de formulario 1.1'!$B226,$DS226),#REF!,0),MATCH('Respuestas de formulario 1.1'!FO$1,#REF!,0)))</f>
        <v/>
      </c>
      <c r="FP226" s="56" t="str">
        <f t="array" ref="FP226">IF($DT226="","", INDEX(#REF!,MATCH(CONCATENATE('Respuestas de formulario 1.1'!$B226,$DS226),#REF!,0),MATCH('Respuestas de formulario 1.1'!FP$1,#REF!,0)))</f>
        <v/>
      </c>
      <c r="FQ226" s="56" t="str">
        <f t="array" ref="FQ226">IF($DT226="","", INDEX(#REF!,MATCH(CONCATENATE('Respuestas de formulario 1.1'!$B226,$DS226),#REF!,0),MATCH('Respuestas de formulario 1.1'!FQ$1,#REF!,0)))</f>
        <v/>
      </c>
      <c r="FR226" s="45" t="str">
        <f t="array" ref="FR226">IF($DT226="","", INDEX(#REF!,MATCH(CONCATENATE('Respuestas de formulario 1.1'!$B226,$DS226),#REF!,0),MATCH('Respuestas de formulario 1.1'!FR$1,#REF!,0)))</f>
        <v/>
      </c>
      <c r="FS226" s="45" t="str">
        <f t="array" ref="FS226">IF($DU226="","", INDEX(#REF!,MATCH(CONCATENATE('Respuestas de formulario 1.1'!$B226,$DT226),#REF!,0),MATCH('Respuestas de formulario 1.1'!FS$1,#REF!,0)))</f>
        <v/>
      </c>
      <c r="FT226" s="56" t="str">
        <f t="array" ref="FT226">IF($DU226="","", INDEX(#REF!,MATCH(CONCATENATE('Respuestas de formulario 1.1'!$B226,$DT226),#REF!,0),MATCH('Respuestas de formulario 1.1'!FT$1,#REF!,0)))</f>
        <v/>
      </c>
      <c r="FU226" s="56" t="str">
        <f t="array" ref="FU226">IF($DU226="","", INDEX(#REF!,MATCH(CONCATENATE('Respuestas de formulario 1.1'!$B226,$DT226),#REF!,0),MATCH('Respuestas de formulario 1.1'!FU$1,#REF!,0)))</f>
        <v/>
      </c>
      <c r="FV226" s="56" t="str">
        <f t="array" ref="FV226">IF($DU226="","", INDEX(#REF!,MATCH(CONCATENATE('Respuestas de formulario 1.1'!$B226,$DT226),#REF!,0),MATCH('Respuestas de formulario 1.1'!FV$1,#REF!,0)))</f>
        <v/>
      </c>
      <c r="FW226" s="56" t="str">
        <f t="array" ref="FW226">IF($DU226="","", INDEX(#REF!,MATCH(CONCATENATE('Respuestas de formulario 1.1'!$B226,$DT226),#REF!,0),MATCH('Respuestas de formulario 1.1'!FW$1,#REF!,0)))</f>
        <v/>
      </c>
      <c r="FX226" s="56" t="str">
        <f t="array" ref="FX226">IF($DU226="","", INDEX(#REF!,MATCH(CONCATENATE('Respuestas de formulario 1.1'!$B226,$DT226),#REF!,0),MATCH('Respuestas de formulario 1.1'!FX$1,#REF!,0)))</f>
        <v/>
      </c>
      <c r="FY226" s="45" t="str">
        <f t="array" ref="FY226">IF($DU226="","", INDEX(#REF!,MATCH(CONCATENATE('Respuestas de formulario 1.1'!$B226,$DT226),#REF!,0),MATCH('Respuestas de formulario 1.1'!FY$1,#REF!,0)))</f>
        <v/>
      </c>
      <c r="FZ226" s="3" t="s">
        <v>2860</v>
      </c>
      <c r="GA226" s="1" t="s">
        <v>6727</v>
      </c>
      <c r="GB226" s="5" t="s">
        <v>6728</v>
      </c>
      <c r="GC226" s="4" t="str">
        <f>HYPERLINK("https://drive.google.com/file/d/1LOxD1TwK1OCAqsRcFSfNJyrPOe0Er-VL/view?usp=drivesdk","GRANADOS GONZALEZ LUIS ARMANDO Formato de reinscripción y pago 2022-2")</f>
        <v>GRANADOS GONZALEZ LUIS ARMANDO Formato de reinscripción y pago 2022-2</v>
      </c>
      <c r="GD226" s="1" t="s">
        <v>6729</v>
      </c>
      <c r="GE226" s="1"/>
      <c r="GF226" s="1"/>
      <c r="GG226" s="1"/>
      <c r="GH226" s="1"/>
      <c r="GI226" s="1" t="s">
        <v>6730</v>
      </c>
      <c r="GJ226" s="5" t="s">
        <v>6731</v>
      </c>
      <c r="GK226" s="5" t="str">
        <f>HYPERLINK("https://drive.google.com/file/d/1V_uerHWynhH3F0sgr8i2P1_V4d-TBG6G/view?usp=drivesdk","GRANADOS GONZALEZ LUIS ARMANDO Formato de reinscripción y pago 2022-2")</f>
        <v>GRANADOS GONZALEZ LUIS ARMANDO Formato de reinscripción y pago 2022-2</v>
      </c>
      <c r="GL226" s="1" t="s">
        <v>6732</v>
      </c>
    </row>
    <row r="227" spans="1:194" ht="38.25" x14ac:dyDescent="0.2">
      <c r="A227" s="2">
        <v>45139.532682719902</v>
      </c>
      <c r="B227" s="1" t="s">
        <v>2531</v>
      </c>
      <c r="C227" s="1" t="s">
        <v>6733</v>
      </c>
      <c r="D227" s="1" t="s">
        <v>2362</v>
      </c>
      <c r="E227" s="1" t="s">
        <v>2533</v>
      </c>
      <c r="F227" s="1" t="s">
        <v>223</v>
      </c>
      <c r="G227" s="5" t="s">
        <v>6734</v>
      </c>
      <c r="H227" s="41">
        <v>39109</v>
      </c>
      <c r="I227" s="1">
        <v>16</v>
      </c>
      <c r="J227" s="1">
        <v>5587374988</v>
      </c>
      <c r="K227" s="1">
        <v>5587374988</v>
      </c>
      <c r="L227" s="1" t="s">
        <v>6735</v>
      </c>
      <c r="M227" s="1">
        <v>22309060570356</v>
      </c>
      <c r="N227" s="1" t="s">
        <v>562</v>
      </c>
      <c r="O227" s="1" t="s">
        <v>225</v>
      </c>
      <c r="P227" s="1" t="s">
        <v>226</v>
      </c>
      <c r="Q227" s="1" t="s">
        <v>227</v>
      </c>
      <c r="R227" s="1" t="s">
        <v>236</v>
      </c>
      <c r="S227" s="1" t="s">
        <v>236</v>
      </c>
      <c r="T227" s="1" t="s">
        <v>229</v>
      </c>
      <c r="U227" s="1" t="s">
        <v>249</v>
      </c>
      <c r="V227" s="1" t="s">
        <v>228</v>
      </c>
      <c r="W227" s="1" t="s">
        <v>6736</v>
      </c>
      <c r="X227" s="1" t="s">
        <v>249</v>
      </c>
      <c r="Y227" s="1" t="s">
        <v>1121</v>
      </c>
      <c r="Z227" s="1" t="s">
        <v>240</v>
      </c>
      <c r="AA227" s="44" t="s">
        <v>654</v>
      </c>
      <c r="AB227" s="1" t="s">
        <v>6737</v>
      </c>
      <c r="AC227" s="1" t="s">
        <v>6737</v>
      </c>
      <c r="AD227" s="1" t="s">
        <v>6738</v>
      </c>
      <c r="AE227" s="1" t="s">
        <v>6739</v>
      </c>
      <c r="AF227" s="1" t="s">
        <v>461</v>
      </c>
      <c r="AG227" s="1">
        <v>55</v>
      </c>
      <c r="AH227" s="5" t="s">
        <v>6740</v>
      </c>
      <c r="AI227" s="1">
        <v>5573532916</v>
      </c>
      <c r="AJ227" s="1">
        <v>5573532916</v>
      </c>
      <c r="AK227" s="1" t="s">
        <v>2534</v>
      </c>
      <c r="AL227" s="1" t="s">
        <v>2362</v>
      </c>
      <c r="AM227" s="1" t="s">
        <v>474</v>
      </c>
      <c r="AN227" s="1" t="s">
        <v>789</v>
      </c>
      <c r="AO227" s="1" t="s">
        <v>461</v>
      </c>
      <c r="AP227" s="1">
        <v>55</v>
      </c>
      <c r="AQ227" s="1" t="s">
        <v>6741</v>
      </c>
      <c r="AR227" s="42">
        <v>0.25</v>
      </c>
      <c r="AS227" s="42">
        <v>0.125</v>
      </c>
      <c r="AT227" s="1">
        <v>5573532916</v>
      </c>
      <c r="AU227" s="1">
        <v>5573532916</v>
      </c>
      <c r="AV227" s="1" t="s">
        <v>2534</v>
      </c>
      <c r="AW227" s="5" t="s">
        <v>6742</v>
      </c>
      <c r="AX227" s="1" t="s">
        <v>2532</v>
      </c>
      <c r="AY227" s="1" t="s">
        <v>286</v>
      </c>
      <c r="AZ227" s="1" t="s">
        <v>6509</v>
      </c>
      <c r="BA227" s="1" t="s">
        <v>420</v>
      </c>
      <c r="BB227" s="1">
        <v>63</v>
      </c>
      <c r="BC227" s="1" t="s">
        <v>950</v>
      </c>
      <c r="BD227" s="43">
        <v>0.41666666666424135</v>
      </c>
      <c r="BE227" s="43">
        <v>0.33333333333575865</v>
      </c>
      <c r="BF227" s="1">
        <v>5573532916</v>
      </c>
      <c r="BG227" s="1">
        <v>5573532916</v>
      </c>
      <c r="BH227" s="1" t="s">
        <v>2534</v>
      </c>
      <c r="BI227" s="5" t="s">
        <v>6743</v>
      </c>
      <c r="BJ227" s="1" t="s">
        <v>236</v>
      </c>
      <c r="BL227" s="1">
        <v>1.51</v>
      </c>
      <c r="BM227" s="1">
        <v>44</v>
      </c>
      <c r="BN227" s="1" t="s">
        <v>228</v>
      </c>
      <c r="BO227" s="1" t="s">
        <v>228</v>
      </c>
      <c r="BQ227" s="1" t="s">
        <v>228</v>
      </c>
      <c r="BR227" s="1" t="s">
        <v>237</v>
      </c>
      <c r="BS227" s="1" t="s">
        <v>228</v>
      </c>
      <c r="BT227" s="1" t="s">
        <v>237</v>
      </c>
      <c r="BU227" s="1" t="s">
        <v>228</v>
      </c>
      <c r="BW227" s="1" t="s">
        <v>272</v>
      </c>
      <c r="BX227" s="1">
        <v>30</v>
      </c>
      <c r="BY227" s="1">
        <v>24</v>
      </c>
      <c r="BZ227" s="1" t="s">
        <v>298</v>
      </c>
      <c r="CA227" s="1" t="s">
        <v>343</v>
      </c>
      <c r="CB227" s="1" t="s">
        <v>240</v>
      </c>
      <c r="CC227" s="1" t="s">
        <v>274</v>
      </c>
      <c r="CD227" s="1">
        <v>500</v>
      </c>
      <c r="CE227" s="1">
        <v>500</v>
      </c>
      <c r="CF227" s="1" t="s">
        <v>236</v>
      </c>
      <c r="CG227" s="1" t="s">
        <v>242</v>
      </c>
      <c r="CH227" s="1" t="s">
        <v>243</v>
      </c>
      <c r="CI227" s="1" t="s">
        <v>243</v>
      </c>
      <c r="CJ227" s="1" t="s">
        <v>2848</v>
      </c>
      <c r="CL227" s="5" t="s">
        <v>6744</v>
      </c>
      <c r="CM227" s="1">
        <v>20220738932</v>
      </c>
      <c r="CN227" s="1" t="s">
        <v>228</v>
      </c>
      <c r="CQ227" s="42">
        <v>0.25</v>
      </c>
      <c r="CR227" s="42">
        <v>0.125</v>
      </c>
      <c r="CT227" s="45" t="str">
        <f t="array" ref="CT227">IFERROR(INDEX(#REF!,MATCH('Respuestas de formulario 1.1'!$B227,#REF!,0),MATCH('Respuestas de formulario 1.1'!CT$1,#REF!,0)),"")</f>
        <v/>
      </c>
      <c r="CU227" s="56" t="str">
        <f t="array" ref="CU227">IFERROR(INDEX(#REF!,MATCH('Respuestas de formulario 1.1'!$B227,#REF!,0),MATCH('Respuestas de formulario 1.1'!CU$1,#REF!,0)),"")</f>
        <v/>
      </c>
      <c r="CV227" s="56" t="str">
        <f t="array" ref="CV227">IFERROR(INDEX(#REF!,MATCH('Respuestas de formulario 1.1'!$B227,#REF!,0),MATCH('Respuestas de formulario 1.1'!CV$1,#REF!,0)),"")</f>
        <v/>
      </c>
      <c r="CW227" s="56" t="str">
        <f t="array" ref="CW227">IFERROR(INDEX(#REF!,MATCH('Respuestas de formulario 1.1'!$B227,#REF!,0),MATCH('Respuestas de formulario 1.1'!CW$1,#REF!,0)),"")</f>
        <v/>
      </c>
      <c r="CX227" s="56" t="str">
        <f t="array" ref="CX227">IFERROR(INDEX(#REF!,MATCH('Respuestas de formulario 1.1'!$B227,#REF!,0),MATCH('Respuestas de formulario 1.1'!CX$1,#REF!,0)),"")</f>
        <v/>
      </c>
      <c r="CY227" s="56" t="str">
        <f t="array" ref="CY227">IFERROR(INDEX(#REF!,MATCH('Respuestas de formulario 1.1'!$B227,#REF!,0),MATCH('Respuestas de formulario 1.1'!CY$1,#REF!,0)),"")</f>
        <v/>
      </c>
      <c r="CZ227" s="57" t="str">
        <f t="array" ref="CZ227">IFERROR(INDEX(#REF!,MATCH('Respuestas de formulario 1.1'!$B227,#REF!,0),MATCH('Respuestas de formulario 1.1'!CZ$1,#REF!,0)),"")</f>
        <v/>
      </c>
      <c r="DA227" s="45" t="e">
        <f t="array" ref="DA227">INDEX(#REF!,MATCH('Respuestas de formulario 1.1'!$B227,#REF!,0),MATCH('Respuestas de formulario 1.1'!DA$1,#REF!,0))</f>
        <v>#REF!</v>
      </c>
      <c r="DB227" s="45" t="e">
        <f t="array" ref="DB227">INDEX(#REF!,MATCH('Respuestas de formulario 1.1'!$B227,#REF!,0),MATCH('Respuestas de formulario 1.1'!DB$1,#REF!,0))</f>
        <v>#REF!</v>
      </c>
      <c r="DC227" s="45" t="e">
        <f t="array" ref="DC227">INDEX(#REF!,MATCH('Respuestas de formulario 1.1'!$B227,#REF!,0),MATCH('Respuestas de formulario 1.1'!DC$1,#REF!,0))</f>
        <v>#REF!</v>
      </c>
      <c r="DD227" s="45" t="e">
        <f t="array" ref="DD227">INDEX(#REF!,MATCH('Respuestas de formulario 1.1'!$B227,#REF!,0),MATCH('Respuestas de formulario 1.1'!DD$1,#REF!,0))</f>
        <v>#REF!</v>
      </c>
      <c r="DE227" s="45" t="e">
        <f t="array" ref="DE227">INDEX(#REF!,MATCH('Respuestas de formulario 1.1'!$B227,#REF!,0),MATCH('Respuestas de formulario 1.1'!DE$1,#REF!,0))</f>
        <v>#REF!</v>
      </c>
      <c r="DF227" s="45" t="e">
        <f t="array" ref="DF227">INDEX(#REF!,MATCH('Respuestas de formulario 1.1'!$B227,#REF!,0),MATCH('Respuestas de formulario 1.1'!DF$1,#REF!,0))</f>
        <v>#REF!</v>
      </c>
      <c r="DG227" s="45" t="e">
        <f t="array" ref="DG227">INDEX(#REF!,MATCH('Respuestas de formulario 1.1'!$B227,#REF!,0),MATCH('Respuestas de formulario 1.1'!DG$1,#REF!,0))</f>
        <v>#REF!</v>
      </c>
      <c r="DH227" s="45" t="e">
        <f t="array" ref="DH227">INDEX(#REF!,MATCH('Respuestas de formulario 1.1'!$B227,#REF!,0),MATCH('Respuestas de formulario 1.1'!DH$1,#REF!,0))</f>
        <v>#REF!</v>
      </c>
      <c r="DI227" s="48" t="e">
        <f>VLOOKUP(CONCATENATE($DF227," TUTO ",$DC227),#REF!,3,0)</f>
        <v>#REF!</v>
      </c>
      <c r="DJ227" s="48" t="e">
        <f t="array" ref="DJ227">IF('Respuestas de formulario 1.1'!A227="","",INDEX(#REF!,MATCH('Respuestas de formulario 1.1'!B227,#REF!,0),MATCH('Respuestas de formulario 1.1'!$DH$1,#REF!,0)))</f>
        <v>#REF!</v>
      </c>
      <c r="DK227" s="52" t="str">
        <f>CONCATENATE("http://doc.google.com/uc?id=",MID('Respuestas de formulario 1.1'!G227,34,33))</f>
        <v>http://doc.google.com/uc?id=1cLX7QexFWCgyIRHag56yL2YqSL-z89ym</v>
      </c>
      <c r="DL227" s="49" t="str">
        <f>CONCATENATE("http://doc.google.com/uc?id=",MID('Respuestas de formulario 1.1'!AH227,34,33))</f>
        <v>http://doc.google.com/uc?id=1LkmTnQoxw2fxC_gxg8dSFWTK3EaLar15</v>
      </c>
      <c r="DM227" s="50" t="str">
        <f>CONCATENATE("http://doc.google.com/uc?id=",MID('Respuestas de formulario 1.1'!AW227,34,33))</f>
        <v>http://doc.google.com/uc?id=1b4tzHCXdTCaFb8PAe1GNLSUM00IltaGN</v>
      </c>
      <c r="DN227" s="53" t="str">
        <f>CONCATENATE("http://doc.google.com/uc?id=",MID('Respuestas de formulario 1.1'!$BI227,34,33))</f>
        <v>http://doc.google.com/uc?id=1z35YZGsg_8iJGm3fjbobysb52Lw5PDjG</v>
      </c>
      <c r="DO227" s="45" t="str">
        <f>IFERROR(VLOOKUP(CONCATENATE('Respuestas de formulario 1.1'!$B227,MID('Respuestas de formulario 1.1'!DO$1,2,1)),#REF!,12,0),"")</f>
        <v/>
      </c>
      <c r="DP227" s="45" t="str">
        <f>IFERROR(VLOOKUP(CONCATENATE('Respuestas de formulario 1.1'!$B227,MID('Respuestas de formulario 1.1'!DP$1,2,1)),#REF!,12,0),"")</f>
        <v/>
      </c>
      <c r="DQ227" s="45" t="str">
        <f>IFERROR(VLOOKUP(CONCATENATE('Respuestas de formulario 1.1'!$B227,MID('Respuestas de formulario 1.1'!DQ$1,2,1)),#REF!,12,0),"")</f>
        <v/>
      </c>
      <c r="DR227" s="45" t="str">
        <f>IFERROR(VLOOKUP(CONCATENATE('Respuestas de formulario 1.1'!$B227,MID('Respuestas de formulario 1.1'!DR$1,2,1)),#REF!,12,0),"")</f>
        <v/>
      </c>
      <c r="DS227" s="45" t="str">
        <f>IFERROR(VLOOKUP(CONCATENATE('Respuestas de formulario 1.1'!$B227,MID('Respuestas de formulario 1.1'!DS$1,2,1)),#REF!,12,0),"")</f>
        <v/>
      </c>
      <c r="DT227" s="45" t="str">
        <f>IFERROR(VLOOKUP(CONCATENATE('Respuestas de formulario 1.1'!$B227,MID('Respuestas de formulario 1.1'!DT$1,2,1)),#REF!,12,0),"")</f>
        <v/>
      </c>
      <c r="DU227" s="45" t="str">
        <f>IFERROR(VLOOKUP(CONCATENATE('Respuestas de formulario 1.1'!$B227,MID('Respuestas de formulario 1.1'!DU$1,2,1)),#REF!,12,0),"")</f>
        <v/>
      </c>
      <c r="DV227" s="45" t="str">
        <f>IFERROR(VLOOKUP(CONCATENATE('Respuestas de formulario 1.1'!$B227,MID('Respuestas de formulario 1.1'!DV$1,2,1)),#REF!,12,0),"")</f>
        <v/>
      </c>
      <c r="DW227" s="45" t="str">
        <f>IFERROR(VLOOKUP(CONCATENATE('Respuestas de formulario 1.1'!$B227,MID('Respuestas de formulario 1.1'!DW$1,2,1)),#REF!,12,0),"")</f>
        <v/>
      </c>
      <c r="DX227" s="45" t="str">
        <f>IFERROR(VLOOKUP(CONCATENATE('Respuestas de formulario 1.1'!$B227,MID('Respuestas de formulario 1.1'!DX$1,2,1)),#REF!,12,0),"")</f>
        <v/>
      </c>
      <c r="DY227" s="45" t="str">
        <f>IFERROR(VLOOKUP(CONCATENATE('Respuestas de formulario 1.1'!$B227,MID('Respuestas de formulario 1.1'!DY$1,2,1)),#REF!,12,0),"")</f>
        <v/>
      </c>
      <c r="DZ227" s="45" t="str">
        <f>IFERROR(VLOOKUP(CONCATENATE('Respuestas de formulario 1.1'!$B227,MID('Respuestas de formulario 1.1'!DZ$1,2,1)),#REF!,12,0),"")</f>
        <v/>
      </c>
      <c r="EA227" s="45" t="str">
        <f>IFERROR(VLOOKUP(CONCATENATE('Respuestas de formulario 1.1'!$B227,MID('Respuestas de formulario 1.1'!EA$1,2,1)),#REF!,12,0),"")</f>
        <v/>
      </c>
      <c r="EB227" s="45" t="str">
        <f>IFERROR(VLOOKUP(CONCATENATE('Respuestas de formulario 1.1'!$B227,MID('Respuestas de formulario 1.1'!EB$1,2,1)),#REF!,12,0),"")</f>
        <v/>
      </c>
      <c r="EC227" s="45" t="str">
        <f>IFERROR(VLOOKUP(CONCATENATE('Respuestas de formulario 1.1'!$B227,MID('Respuestas de formulario 1.1'!EC$1,2,1)),#REF!,12,0),"")</f>
        <v/>
      </c>
      <c r="ED227" s="45" t="str">
        <f>IFERROR(VLOOKUP(CONCATENATE('Respuestas de formulario 1.1'!$B227,MID('Respuestas de formulario 1.1'!ED$1,2,1)),#REF!,12,0),"")</f>
        <v/>
      </c>
      <c r="EE227" s="45" t="str">
        <f>IFERROR(VLOOKUP(CONCATENATE('Respuestas de formulario 1.1'!$B227,MID('Respuestas de formulario 1.1'!EE$1,2,1)),#REF!,12,0),"")</f>
        <v/>
      </c>
      <c r="EF227" s="45" t="str">
        <f>IFERROR(VLOOKUP(CONCATENATE('Respuestas de formulario 1.1'!$B227,MID('Respuestas de formulario 1.1'!EF$1,2,1)),#REF!,12,0),"")</f>
        <v/>
      </c>
      <c r="EG227" s="45" t="str">
        <f>IFERROR(VLOOKUP(CONCATENATE('Respuestas de formulario 1.1'!$B227,MID('Respuestas de formulario 1.1'!EG$1,2,1)),#REF!,12,0),"")</f>
        <v/>
      </c>
      <c r="EH227" s="45" t="str">
        <f>IFERROR(VLOOKUP(CONCATENATE('Respuestas de formulario 1.1'!$B227,MID('Respuestas de formulario 1.1'!EH$1,2,1)),#REF!,12,0),"")</f>
        <v/>
      </c>
      <c r="EI227" s="45" t="str">
        <f>IFERROR(VLOOKUP(CONCATENATE('Respuestas de formulario 1.1'!$B227,MID('Respuestas de formulario 1.1'!EI$1,2,1)),#REF!,12,0),"")</f>
        <v/>
      </c>
      <c r="EJ227" s="45" t="str">
        <f t="array" ref="EJ227">IF(DO227="","", INDEX(#REF!,MATCH(CONCATENATE('Respuestas de formulario 1.1'!$B227,DO227),#REF!,0),MATCH('Respuestas de formulario 1.1'!EJ$1,#REF!,0)))</f>
        <v/>
      </c>
      <c r="EK227" s="56" t="str">
        <f t="array" ref="EK227">IF(DP227="","", INDEX(#REF!,MATCH(CONCATENATE('Respuestas de formulario 1.1'!$B227,DP227),#REF!,0),MATCH('Respuestas de formulario 1.1'!EK$1,#REF!,0)))</f>
        <v/>
      </c>
      <c r="EL227" s="56" t="str">
        <f t="array" ref="EL227">IF(DQ227="","", INDEX(#REF!,MATCH(CONCATENATE('Respuestas de formulario 1.1'!$B227,DQ227),#REF!,0),MATCH('Respuestas de formulario 1.1'!EL$1,#REF!,0)))</f>
        <v/>
      </c>
      <c r="EM227" s="56" t="str">
        <f t="array" ref="EM227">IF(DR227="","", INDEX(#REF!,MATCH(CONCATENATE('Respuestas de formulario 1.1'!$B227,DR227),#REF!,0),MATCH('Respuestas de formulario 1.1'!EM$1,#REF!,0)))</f>
        <v/>
      </c>
      <c r="EN227" s="56" t="str">
        <f t="array" ref="EN227">IF(DS227="","", INDEX(#REF!,MATCH(CONCATENATE('Respuestas de formulario 1.1'!$B227,DS227),#REF!,0),MATCH('Respuestas de formulario 1.1'!EN$1,#REF!,0)))</f>
        <v/>
      </c>
      <c r="EO227" s="56" t="str">
        <f t="array" ref="EO227">IF(DT227="","", INDEX(#REF!,MATCH(CONCATENATE('Respuestas de formulario 1.1'!$B227,DT227),#REF!,0),MATCH('Respuestas de formulario 1.1'!EO$1,#REF!,0)))</f>
        <v/>
      </c>
      <c r="EP227" s="45" t="str">
        <f t="array" ref="EP227">IF(DU227="","", INDEX(#REF!,MATCH(CONCATENATE('Respuestas de formulario 1.1'!$B227,DU227),#REF!,0),MATCH('Respuestas de formulario 1.1'!EP$1,#REF!,0)))</f>
        <v/>
      </c>
      <c r="EQ227" s="45" t="str">
        <f t="array" ref="EQ227">IF(DP227="","", INDEX(#REF!,MATCH(CONCATENATE('Respuestas de formulario 1.1'!$B227,DP227),#REF!,0),MATCH('Respuestas de formulario 1.1'!EQ$1,#REF!,0)))</f>
        <v/>
      </c>
      <c r="ER227" s="56" t="str">
        <f t="array" ref="ER227">IF(DQ227="","", INDEX(#REF!,MATCH(CONCATENATE('Respuestas de formulario 1.1'!$B227,DQ227),#REF!,0),MATCH('Respuestas de formulario 1.1'!ER$1,#REF!,0)))</f>
        <v/>
      </c>
      <c r="ES227" s="56" t="str">
        <f t="array" ref="ES227">IF(DR227="","", INDEX(#REF!,MATCH(CONCATENATE('Respuestas de formulario 1.1'!$B227,DR227),#REF!,0),MATCH('Respuestas de formulario 1.1'!ES$1,#REF!,0)))</f>
        <v/>
      </c>
      <c r="ET227" s="56" t="str">
        <f t="array" ref="ET227">IF(DS227="","", INDEX(#REF!,MATCH(CONCATENATE('Respuestas de formulario 1.1'!$B227,DS227),#REF!,0),MATCH('Respuestas de formulario 1.1'!ET$1,#REF!,0)))</f>
        <v/>
      </c>
      <c r="EU227" s="56" t="str">
        <f t="array" ref="EU227">IF(DT227="","", INDEX(#REF!,MATCH(CONCATENATE('Respuestas de formulario 1.1'!$B227,DT227),#REF!,0),MATCH('Respuestas de formulario 1.1'!EU$1,#REF!,0)))</f>
        <v/>
      </c>
      <c r="EV227" s="56" t="str">
        <f t="array" ref="EV227">IF(DU227="","", INDEX(#REF!,MATCH(CONCATENATE('Respuestas de formulario 1.1'!$B227,DU227),#REF!,0),MATCH('Respuestas de formulario 1.1'!EV$1,#REF!,0)))</f>
        <v/>
      </c>
      <c r="EW227" s="45" t="str">
        <f t="array" ref="EW227">IF(DV227="","", INDEX(#REF!,MATCH(CONCATENATE('Respuestas de formulario 1.1'!$B227,DV227),#REF!,0),MATCH('Respuestas de formulario 1.1'!EW$1,#REF!,0)))</f>
        <v/>
      </c>
      <c r="EX227" s="45" t="str">
        <f t="array" ref="EX227">IF($DQ227="","", INDEX(#REF!,MATCH(CONCATENATE('Respuestas de formulario 1.1'!$B227,$DQ227),#REF!,0),MATCH('Respuestas de formulario 1.1'!EX$1,#REF!,0)))</f>
        <v/>
      </c>
      <c r="EY227" s="56" t="str">
        <f t="array" ref="EY227">IF($DQ227="","", INDEX(#REF!,MATCH(CONCATENATE('Respuestas de formulario 1.1'!$B227,$DQ227),#REF!,0),MATCH('Respuestas de formulario 1.1'!EY$1,#REF!,0)))</f>
        <v/>
      </c>
      <c r="EZ227" s="56" t="str">
        <f t="array" ref="EZ227">IF($DQ227="","", INDEX(#REF!,MATCH(CONCATENATE('Respuestas de formulario 1.1'!$B227,$DQ227),#REF!,0),MATCH('Respuestas de formulario 1.1'!EZ$1,#REF!,0)))</f>
        <v/>
      </c>
      <c r="FA227" s="56" t="str">
        <f t="array" ref="FA227">IF($DQ227="","", INDEX(#REF!,MATCH(CONCATENATE('Respuestas de formulario 1.1'!$B227,$DQ227),#REF!,0),MATCH('Respuestas de formulario 1.1'!FA$1,#REF!,0)))</f>
        <v/>
      </c>
      <c r="FB227" s="56" t="str">
        <f t="array" ref="FB227">IF($DQ227="","", INDEX(#REF!,MATCH(CONCATENATE('Respuestas de formulario 1.1'!$B227,$DQ227),#REF!,0),MATCH('Respuestas de formulario 1.1'!FB$1,#REF!,0)))</f>
        <v/>
      </c>
      <c r="FC227" s="56" t="str">
        <f t="array" ref="FC227">IF($DQ227="","", INDEX(#REF!,MATCH(CONCATENATE('Respuestas de formulario 1.1'!$B227,$DQ227),#REF!,0),MATCH('Respuestas de formulario 1.1'!FC$1,#REF!,0)))</f>
        <v/>
      </c>
      <c r="FD227" s="45" t="str">
        <f t="array" ref="FD227">IF($DQ227="","", INDEX(#REF!,MATCH(CONCATENATE('Respuestas de formulario 1.1'!$B227,$DQ227),#REF!,0),MATCH('Respuestas de formulario 1.1'!FD$1,#REF!,0)))</f>
        <v/>
      </c>
      <c r="FE227" s="45" t="str">
        <f t="array" ref="FE227">IF($DR227="","", INDEX(#REF!,MATCH(CONCATENATE(#REF!,$DR227),#REF!,0),MATCH(#REF!,#REF!,0)))</f>
        <v/>
      </c>
      <c r="FF227" s="56" t="str">
        <f t="array" ref="FF227">IF($DR227="","", INDEX(#REF!,MATCH(CONCATENATE(#REF!,$DR227),#REF!,0),MATCH(#REF!,#REF!,0)))</f>
        <v/>
      </c>
      <c r="FG227" s="56" t="str">
        <f t="array" ref="FG227">IF($DR227="","", INDEX(#REF!,MATCH(CONCATENATE(#REF!,$DR227),#REF!,0),MATCH(#REF!,#REF!,0)))</f>
        <v/>
      </c>
      <c r="FH227" s="56" t="str">
        <f t="array" ref="FH227">IF($DR227="","", INDEX(#REF!,MATCH(CONCATENATE(#REF!,$DR227),#REF!,0),MATCH(#REF!,#REF!,0)))</f>
        <v/>
      </c>
      <c r="FI227" s="56" t="str">
        <f t="array" ref="FI227">IF($DR227="","", INDEX(#REF!,MATCH(CONCATENATE(#REF!,$DR227),#REF!,0),MATCH(#REF!,#REF!,0)))</f>
        <v/>
      </c>
      <c r="FJ227" s="56" t="str">
        <f t="array" ref="FJ227">IF($DR227="","", INDEX(#REF!,MATCH(CONCATENATE(#REF!,$DR227),#REF!,0),MATCH(#REF!,#REF!,0)))</f>
        <v/>
      </c>
      <c r="FK227" s="45" t="str">
        <f t="array" ref="FK227">IF($DR227="","", INDEX(#REF!,MATCH(CONCATENATE(#REF!,$DR227),#REF!,0),MATCH(#REF!,#REF!,0)))</f>
        <v/>
      </c>
      <c r="FL227" s="45" t="str">
        <f t="array" ref="FL227">IF($DT227="","", INDEX(#REF!,MATCH(CONCATENATE('Respuestas de formulario 1.1'!$B227,$DS227),#REF!,0),MATCH('Respuestas de formulario 1.1'!FL$1,#REF!,0)))</f>
        <v/>
      </c>
      <c r="FM227" s="56" t="str">
        <f t="array" ref="FM227">IF($DT227="","", INDEX(#REF!,MATCH(CONCATENATE('Respuestas de formulario 1.1'!$B227,$DS227),#REF!,0),MATCH('Respuestas de formulario 1.1'!FM$1,#REF!,0)))</f>
        <v/>
      </c>
      <c r="FN227" s="56" t="str">
        <f t="array" ref="FN227">IF($DT227="","", INDEX(#REF!,MATCH(CONCATENATE('Respuestas de formulario 1.1'!$B227,$DS227),#REF!,0),MATCH('Respuestas de formulario 1.1'!FN$1,#REF!,0)))</f>
        <v/>
      </c>
      <c r="FO227" s="56" t="str">
        <f t="array" ref="FO227">IF($DT227="","", INDEX(#REF!,MATCH(CONCATENATE('Respuestas de formulario 1.1'!$B227,$DS227),#REF!,0),MATCH('Respuestas de formulario 1.1'!FO$1,#REF!,0)))</f>
        <v/>
      </c>
      <c r="FP227" s="56" t="str">
        <f t="array" ref="FP227">IF($DT227="","", INDEX(#REF!,MATCH(CONCATENATE('Respuestas de formulario 1.1'!$B227,$DS227),#REF!,0),MATCH('Respuestas de formulario 1.1'!FP$1,#REF!,0)))</f>
        <v/>
      </c>
      <c r="FQ227" s="56" t="str">
        <f t="array" ref="FQ227">IF($DT227="","", INDEX(#REF!,MATCH(CONCATENATE('Respuestas de formulario 1.1'!$B227,$DS227),#REF!,0),MATCH('Respuestas de formulario 1.1'!FQ$1,#REF!,0)))</f>
        <v/>
      </c>
      <c r="FR227" s="45" t="str">
        <f t="array" ref="FR227">IF($DT227="","", INDEX(#REF!,MATCH(CONCATENATE('Respuestas de formulario 1.1'!$B227,$DS227),#REF!,0),MATCH('Respuestas de formulario 1.1'!FR$1,#REF!,0)))</f>
        <v/>
      </c>
      <c r="FS227" s="45" t="str">
        <f t="array" ref="FS227">IF($DU227="","", INDEX(#REF!,MATCH(CONCATENATE('Respuestas de formulario 1.1'!$B227,$DT227),#REF!,0),MATCH('Respuestas de formulario 1.1'!FS$1,#REF!,0)))</f>
        <v/>
      </c>
      <c r="FT227" s="56" t="str">
        <f t="array" ref="FT227">IF($DU227="","", INDEX(#REF!,MATCH(CONCATENATE('Respuestas de formulario 1.1'!$B227,$DT227),#REF!,0),MATCH('Respuestas de formulario 1.1'!FT$1,#REF!,0)))</f>
        <v/>
      </c>
      <c r="FU227" s="56" t="str">
        <f t="array" ref="FU227">IF($DU227="","", INDEX(#REF!,MATCH(CONCATENATE('Respuestas de formulario 1.1'!$B227,$DT227),#REF!,0),MATCH('Respuestas de formulario 1.1'!FU$1,#REF!,0)))</f>
        <v/>
      </c>
      <c r="FV227" s="56" t="str">
        <f t="array" ref="FV227">IF($DU227="","", INDEX(#REF!,MATCH(CONCATENATE('Respuestas de formulario 1.1'!$B227,$DT227),#REF!,0),MATCH('Respuestas de formulario 1.1'!FV$1,#REF!,0)))</f>
        <v/>
      </c>
      <c r="FW227" s="56" t="str">
        <f t="array" ref="FW227">IF($DU227="","", INDEX(#REF!,MATCH(CONCATENATE('Respuestas de formulario 1.1'!$B227,$DT227),#REF!,0),MATCH('Respuestas de formulario 1.1'!FW$1,#REF!,0)))</f>
        <v/>
      </c>
      <c r="FX227" s="56" t="str">
        <f t="array" ref="FX227">IF($DU227="","", INDEX(#REF!,MATCH(CONCATENATE('Respuestas de formulario 1.1'!$B227,$DT227),#REF!,0),MATCH('Respuestas de formulario 1.1'!FX$1,#REF!,0)))</f>
        <v/>
      </c>
      <c r="FY227" s="45" t="str">
        <f t="array" ref="FY227">IF($DU227="","", INDEX(#REF!,MATCH(CONCATENATE('Respuestas de formulario 1.1'!$B227,$DT227),#REF!,0),MATCH('Respuestas de formulario 1.1'!FY$1,#REF!,0)))</f>
        <v/>
      </c>
      <c r="FZ227" s="3" t="s">
        <v>2860</v>
      </c>
      <c r="GA227" s="1" t="s">
        <v>6745</v>
      </c>
      <c r="GB227" s="5" t="s">
        <v>6746</v>
      </c>
      <c r="GC227" s="4" t="str">
        <f>HYPERLINK("https://drive.google.com/file/d/1cph1q4I_YbTA8C991IePU1Q31LXilBsH/view?usp=drivesdk","TOCA OLVERA  CAREN ALESANDRA  Formato de reinscripción y pago 2022-2")</f>
        <v>TOCA OLVERA  CAREN ALESANDRA  Formato de reinscripción y pago 2022-2</v>
      </c>
      <c r="GD227" s="1" t="s">
        <v>6747</v>
      </c>
      <c r="GE227" s="1"/>
      <c r="GF227" s="1"/>
      <c r="GG227" s="1"/>
      <c r="GH227" s="1"/>
      <c r="GI227" s="1" t="s">
        <v>6748</v>
      </c>
      <c r="GJ227" s="5" t="s">
        <v>6749</v>
      </c>
      <c r="GK227" s="5" t="str">
        <f>HYPERLINK("https://drive.google.com/file/d/1Y-tYYCWxUzQozKmmFdAH2hBOm2f3ucem/view?usp=drivesdk","TOCA OLVERA  CAREN ALESANDRA  Formato de reinscripción y pago 2022-2")</f>
        <v>TOCA OLVERA  CAREN ALESANDRA  Formato de reinscripción y pago 2022-2</v>
      </c>
      <c r="GL227" s="1" t="s">
        <v>6750</v>
      </c>
    </row>
    <row r="228" spans="1:194" ht="38.25" x14ac:dyDescent="0.2">
      <c r="A228" s="2">
        <v>45139.533347789351</v>
      </c>
      <c r="B228" s="1" t="s">
        <v>20</v>
      </c>
      <c r="C228" s="1" t="s">
        <v>1282</v>
      </c>
      <c r="D228" s="1" t="s">
        <v>6751</v>
      </c>
      <c r="E228" s="1" t="s">
        <v>1999</v>
      </c>
      <c r="F228" s="1" t="s">
        <v>223</v>
      </c>
      <c r="G228" s="5" t="s">
        <v>6752</v>
      </c>
      <c r="H228" s="41">
        <v>39394</v>
      </c>
      <c r="I228" s="1">
        <v>15</v>
      </c>
      <c r="J228" s="1">
        <v>5561135929</v>
      </c>
      <c r="K228" s="1">
        <v>5556922198</v>
      </c>
      <c r="L228" s="1" t="s">
        <v>6753</v>
      </c>
      <c r="M228" s="1">
        <v>22309060570558</v>
      </c>
      <c r="N228" s="1" t="s">
        <v>562</v>
      </c>
      <c r="O228" s="1" t="s">
        <v>247</v>
      </c>
      <c r="P228" s="1" t="s">
        <v>278</v>
      </c>
      <c r="Q228" s="1" t="s">
        <v>315</v>
      </c>
      <c r="R228" s="1" t="s">
        <v>236</v>
      </c>
      <c r="S228" s="1" t="s">
        <v>228</v>
      </c>
      <c r="T228" s="1" t="s">
        <v>229</v>
      </c>
      <c r="U228" s="1" t="s">
        <v>249</v>
      </c>
      <c r="V228" s="1" t="s">
        <v>228</v>
      </c>
      <c r="W228" s="1" t="s">
        <v>6754</v>
      </c>
      <c r="X228" s="1" t="s">
        <v>249</v>
      </c>
      <c r="Y228" s="1" t="s">
        <v>1317</v>
      </c>
      <c r="Z228" s="1" t="s">
        <v>240</v>
      </c>
      <c r="AA228" s="44" t="s">
        <v>555</v>
      </c>
      <c r="AB228" s="1">
        <v>35</v>
      </c>
      <c r="AC228" s="1">
        <v>31</v>
      </c>
      <c r="AD228" s="1" t="s">
        <v>6755</v>
      </c>
      <c r="AE228" s="1" t="s">
        <v>6756</v>
      </c>
      <c r="AF228" s="1" t="s">
        <v>279</v>
      </c>
      <c r="AG228" s="1">
        <v>56</v>
      </c>
      <c r="AH228" s="5" t="s">
        <v>6757</v>
      </c>
      <c r="AI228" s="1">
        <v>5549050605</v>
      </c>
      <c r="AJ228" s="1">
        <v>5556922198</v>
      </c>
      <c r="AK228" s="1" t="s">
        <v>2000</v>
      </c>
      <c r="AL228" s="1" t="s">
        <v>1282</v>
      </c>
      <c r="AM228" s="1" t="s">
        <v>928</v>
      </c>
      <c r="AN228" s="1" t="s">
        <v>6758</v>
      </c>
      <c r="AO228" s="1" t="s">
        <v>493</v>
      </c>
      <c r="AP228" s="1">
        <v>31</v>
      </c>
      <c r="AQ228" s="1" t="s">
        <v>294</v>
      </c>
      <c r="AR228" s="42">
        <v>0</v>
      </c>
      <c r="AS228" s="42">
        <v>0</v>
      </c>
      <c r="AT228" s="1">
        <v>5579855969</v>
      </c>
      <c r="AU228" s="1">
        <v>5556922198</v>
      </c>
      <c r="AV228" s="1" t="s">
        <v>2000</v>
      </c>
      <c r="AW228" s="5" t="s">
        <v>6759</v>
      </c>
      <c r="AX228" s="1" t="s">
        <v>297</v>
      </c>
      <c r="AY228" s="1" t="s">
        <v>297</v>
      </c>
      <c r="AZ228" s="1" t="s">
        <v>297</v>
      </c>
      <c r="BA228" s="1" t="s">
        <v>297</v>
      </c>
      <c r="BB228" s="44" t="s">
        <v>659</v>
      </c>
      <c r="BC228" s="1" t="s">
        <v>297</v>
      </c>
      <c r="BD228" s="43">
        <v>0</v>
      </c>
      <c r="BE228" s="43">
        <v>0</v>
      </c>
      <c r="BF228" s="44" t="s">
        <v>594</v>
      </c>
      <c r="BG228" s="44" t="s">
        <v>594</v>
      </c>
      <c r="BH228" s="1"/>
      <c r="BI228" s="5" t="s">
        <v>6760</v>
      </c>
      <c r="BJ228" s="1" t="s">
        <v>228</v>
      </c>
      <c r="BK228" s="1" t="s">
        <v>1961</v>
      </c>
      <c r="BL228" s="1">
        <v>1.57</v>
      </c>
      <c r="BM228" s="1">
        <v>50</v>
      </c>
      <c r="BN228" s="1" t="s">
        <v>236</v>
      </c>
      <c r="BO228" s="1" t="s">
        <v>228</v>
      </c>
      <c r="BQ228" s="1" t="s">
        <v>228</v>
      </c>
      <c r="BR228" s="1" t="s">
        <v>237</v>
      </c>
      <c r="BS228" s="1" t="s">
        <v>236</v>
      </c>
      <c r="BT228" s="1" t="s">
        <v>457</v>
      </c>
      <c r="BU228" s="1" t="s">
        <v>228</v>
      </c>
      <c r="BW228" s="1" t="s">
        <v>238</v>
      </c>
      <c r="BX228" s="1">
        <v>120</v>
      </c>
      <c r="BY228" s="1">
        <v>50</v>
      </c>
      <c r="BZ228" s="1" t="s">
        <v>2114</v>
      </c>
      <c r="CA228" s="1" t="s">
        <v>1083</v>
      </c>
      <c r="CB228" s="1" t="s">
        <v>240</v>
      </c>
      <c r="CC228" s="1" t="s">
        <v>274</v>
      </c>
      <c r="CD228" s="1">
        <v>5000</v>
      </c>
      <c r="CE228" s="1">
        <v>2500</v>
      </c>
      <c r="CF228" s="1" t="s">
        <v>236</v>
      </c>
      <c r="CG228" s="1" t="s">
        <v>242</v>
      </c>
      <c r="CH228" s="1" t="s">
        <v>243</v>
      </c>
      <c r="CI228" s="1" t="s">
        <v>243</v>
      </c>
      <c r="CJ228" s="1" t="s">
        <v>2848</v>
      </c>
      <c r="CL228" s="5" t="s">
        <v>6761</v>
      </c>
      <c r="CM228" s="1">
        <v>26210748286</v>
      </c>
      <c r="CN228" s="1" t="s">
        <v>228</v>
      </c>
      <c r="CQ228" s="42">
        <v>0</v>
      </c>
      <c r="CR228" s="42">
        <v>0</v>
      </c>
      <c r="CT228" s="45" t="str">
        <f t="array" ref="CT228">IFERROR(INDEX(#REF!,MATCH('Respuestas de formulario 1.1'!$B228,#REF!,0),MATCH('Respuestas de formulario 1.1'!CT$1,#REF!,0)),"")</f>
        <v/>
      </c>
      <c r="CU228" s="56" t="str">
        <f t="array" ref="CU228">IFERROR(INDEX(#REF!,MATCH('Respuestas de formulario 1.1'!$B228,#REF!,0),MATCH('Respuestas de formulario 1.1'!CU$1,#REF!,0)),"")</f>
        <v/>
      </c>
      <c r="CV228" s="56" t="str">
        <f t="array" ref="CV228">IFERROR(INDEX(#REF!,MATCH('Respuestas de formulario 1.1'!$B228,#REF!,0),MATCH('Respuestas de formulario 1.1'!CV$1,#REF!,0)),"")</f>
        <v/>
      </c>
      <c r="CW228" s="56" t="str">
        <f t="array" ref="CW228">IFERROR(INDEX(#REF!,MATCH('Respuestas de formulario 1.1'!$B228,#REF!,0),MATCH('Respuestas de formulario 1.1'!CW$1,#REF!,0)),"")</f>
        <v/>
      </c>
      <c r="CX228" s="56" t="str">
        <f t="array" ref="CX228">IFERROR(INDEX(#REF!,MATCH('Respuestas de formulario 1.1'!$B228,#REF!,0),MATCH('Respuestas de formulario 1.1'!CX$1,#REF!,0)),"")</f>
        <v/>
      </c>
      <c r="CY228" s="56" t="str">
        <f t="array" ref="CY228">IFERROR(INDEX(#REF!,MATCH('Respuestas de formulario 1.1'!$B228,#REF!,0),MATCH('Respuestas de formulario 1.1'!CY$1,#REF!,0)),"")</f>
        <v/>
      </c>
      <c r="CZ228" s="57" t="str">
        <f t="array" ref="CZ228">IFERROR(INDEX(#REF!,MATCH('Respuestas de formulario 1.1'!$B228,#REF!,0),MATCH('Respuestas de formulario 1.1'!CZ$1,#REF!,0)),"")</f>
        <v/>
      </c>
      <c r="DA228" s="45" t="e">
        <f t="array" ref="DA228">INDEX(#REF!,MATCH('Respuestas de formulario 1.1'!$B228,#REF!,0),MATCH('Respuestas de formulario 1.1'!DA$1,#REF!,0))</f>
        <v>#REF!</v>
      </c>
      <c r="DB228" s="45" t="e">
        <f t="array" ref="DB228">INDEX(#REF!,MATCH('Respuestas de formulario 1.1'!$B228,#REF!,0),MATCH('Respuestas de formulario 1.1'!DB$1,#REF!,0))</f>
        <v>#REF!</v>
      </c>
      <c r="DC228" s="45" t="e">
        <f t="array" ref="DC228">INDEX(#REF!,MATCH('Respuestas de formulario 1.1'!$B228,#REF!,0),MATCH('Respuestas de formulario 1.1'!DC$1,#REF!,0))</f>
        <v>#REF!</v>
      </c>
      <c r="DD228" s="45" t="e">
        <f t="array" ref="DD228">INDEX(#REF!,MATCH('Respuestas de formulario 1.1'!$B228,#REF!,0),MATCH('Respuestas de formulario 1.1'!DD$1,#REF!,0))</f>
        <v>#REF!</v>
      </c>
      <c r="DE228" s="45" t="e">
        <f t="array" ref="DE228">INDEX(#REF!,MATCH('Respuestas de formulario 1.1'!$B228,#REF!,0),MATCH('Respuestas de formulario 1.1'!DE$1,#REF!,0))</f>
        <v>#REF!</v>
      </c>
      <c r="DF228" s="45" t="e">
        <f t="array" ref="DF228">INDEX(#REF!,MATCH('Respuestas de formulario 1.1'!$B228,#REF!,0),MATCH('Respuestas de formulario 1.1'!DF$1,#REF!,0))</f>
        <v>#REF!</v>
      </c>
      <c r="DG228" s="45" t="e">
        <f t="array" ref="DG228">INDEX(#REF!,MATCH('Respuestas de formulario 1.1'!$B228,#REF!,0),MATCH('Respuestas de formulario 1.1'!DG$1,#REF!,0))</f>
        <v>#REF!</v>
      </c>
      <c r="DH228" s="45" t="e">
        <f t="array" ref="DH228">INDEX(#REF!,MATCH('Respuestas de formulario 1.1'!$B228,#REF!,0),MATCH('Respuestas de formulario 1.1'!DH$1,#REF!,0))</f>
        <v>#REF!</v>
      </c>
      <c r="DI228" s="48" t="e">
        <f>VLOOKUP(CONCATENATE($DF228," TUTO ",$DC228),#REF!,3,0)</f>
        <v>#REF!</v>
      </c>
      <c r="DJ228" s="48" t="e">
        <f t="array" ref="DJ228">IF('Respuestas de formulario 1.1'!A228="","",INDEX(#REF!,MATCH('Respuestas de formulario 1.1'!B228,#REF!,0),MATCH('Respuestas de formulario 1.1'!$DH$1,#REF!,0)))</f>
        <v>#REF!</v>
      </c>
      <c r="DK228" s="52" t="str">
        <f>CONCATENATE("http://doc.google.com/uc?id=",MID('Respuestas de formulario 1.1'!G228,34,33))</f>
        <v>http://doc.google.com/uc?id=1Wsp-9fCsim5kpuuXxQ1DjN1cBUIZsZ4P</v>
      </c>
      <c r="DL228" s="49" t="str">
        <f>CONCATENATE("http://doc.google.com/uc?id=",MID('Respuestas de formulario 1.1'!AH228,34,33))</f>
        <v>http://doc.google.com/uc?id=1CPEkjwXl2jEuni3dk37Jft6cbqglyMe1</v>
      </c>
      <c r="DM228" s="50" t="str">
        <f>CONCATENATE("http://doc.google.com/uc?id=",MID('Respuestas de formulario 1.1'!AW228,34,33))</f>
        <v>http://doc.google.com/uc?id=1OCgBoRVAxKzZPwG3E4Oaj-_3BldMUKBz</v>
      </c>
      <c r="DN228" s="53" t="str">
        <f>CONCATENATE("http://doc.google.com/uc?id=",MID('Respuestas de formulario 1.1'!$BI228,34,33))</f>
        <v>http://doc.google.com/uc?id=1iSev-BLkiu62GkesB0HHKq2GQbnoIjY_</v>
      </c>
      <c r="DO228" s="45" t="str">
        <f>IFERROR(VLOOKUP(CONCATENATE('Respuestas de formulario 1.1'!$B228,MID('Respuestas de formulario 1.1'!DO$1,2,1)),#REF!,12,0),"")</f>
        <v/>
      </c>
      <c r="DP228" s="45" t="str">
        <f>IFERROR(VLOOKUP(CONCATENATE('Respuestas de formulario 1.1'!$B228,MID('Respuestas de formulario 1.1'!DP$1,2,1)),#REF!,12,0),"")</f>
        <v/>
      </c>
      <c r="DQ228" s="45" t="str">
        <f>IFERROR(VLOOKUP(CONCATENATE('Respuestas de formulario 1.1'!$B228,MID('Respuestas de formulario 1.1'!DQ$1,2,1)),#REF!,12,0),"")</f>
        <v/>
      </c>
      <c r="DR228" s="45" t="str">
        <f>IFERROR(VLOOKUP(CONCATENATE('Respuestas de formulario 1.1'!$B228,MID('Respuestas de formulario 1.1'!DR$1,2,1)),#REF!,12,0),"")</f>
        <v/>
      </c>
      <c r="DS228" s="45" t="str">
        <f>IFERROR(VLOOKUP(CONCATENATE('Respuestas de formulario 1.1'!$B228,MID('Respuestas de formulario 1.1'!DS$1,2,1)),#REF!,12,0),"")</f>
        <v/>
      </c>
      <c r="DT228" s="45" t="str">
        <f>IFERROR(VLOOKUP(CONCATENATE('Respuestas de formulario 1.1'!$B228,MID('Respuestas de formulario 1.1'!DT$1,2,1)),#REF!,12,0),"")</f>
        <v/>
      </c>
      <c r="DU228" s="45" t="str">
        <f>IFERROR(VLOOKUP(CONCATENATE('Respuestas de formulario 1.1'!$B228,MID('Respuestas de formulario 1.1'!DU$1,2,1)),#REF!,12,0),"")</f>
        <v/>
      </c>
      <c r="DV228" s="45" t="str">
        <f>IFERROR(VLOOKUP(CONCATENATE('Respuestas de formulario 1.1'!$B228,MID('Respuestas de formulario 1.1'!DV$1,2,1)),#REF!,12,0),"")</f>
        <v/>
      </c>
      <c r="DW228" s="45" t="str">
        <f>IFERROR(VLOOKUP(CONCATENATE('Respuestas de formulario 1.1'!$B228,MID('Respuestas de formulario 1.1'!DW$1,2,1)),#REF!,12,0),"")</f>
        <v/>
      </c>
      <c r="DX228" s="45" t="str">
        <f>IFERROR(VLOOKUP(CONCATENATE('Respuestas de formulario 1.1'!$B228,MID('Respuestas de formulario 1.1'!DX$1,2,1)),#REF!,12,0),"")</f>
        <v/>
      </c>
      <c r="DY228" s="45" t="str">
        <f>IFERROR(VLOOKUP(CONCATENATE('Respuestas de formulario 1.1'!$B228,MID('Respuestas de formulario 1.1'!DY$1,2,1)),#REF!,12,0),"")</f>
        <v/>
      </c>
      <c r="DZ228" s="45" t="str">
        <f>IFERROR(VLOOKUP(CONCATENATE('Respuestas de formulario 1.1'!$B228,MID('Respuestas de formulario 1.1'!DZ$1,2,1)),#REF!,12,0),"")</f>
        <v/>
      </c>
      <c r="EA228" s="45" t="str">
        <f>IFERROR(VLOOKUP(CONCATENATE('Respuestas de formulario 1.1'!$B228,MID('Respuestas de formulario 1.1'!EA$1,2,1)),#REF!,12,0),"")</f>
        <v/>
      </c>
      <c r="EB228" s="45" t="str">
        <f>IFERROR(VLOOKUP(CONCATENATE('Respuestas de formulario 1.1'!$B228,MID('Respuestas de formulario 1.1'!EB$1,2,1)),#REF!,12,0),"")</f>
        <v/>
      </c>
      <c r="EC228" s="45" t="str">
        <f>IFERROR(VLOOKUP(CONCATENATE('Respuestas de formulario 1.1'!$B228,MID('Respuestas de formulario 1.1'!EC$1,2,1)),#REF!,12,0),"")</f>
        <v/>
      </c>
      <c r="ED228" s="45" t="str">
        <f>IFERROR(VLOOKUP(CONCATENATE('Respuestas de formulario 1.1'!$B228,MID('Respuestas de formulario 1.1'!ED$1,2,1)),#REF!,12,0),"")</f>
        <v/>
      </c>
      <c r="EE228" s="45" t="str">
        <f>IFERROR(VLOOKUP(CONCATENATE('Respuestas de formulario 1.1'!$B228,MID('Respuestas de formulario 1.1'!EE$1,2,1)),#REF!,12,0),"")</f>
        <v/>
      </c>
      <c r="EF228" s="45" t="str">
        <f>IFERROR(VLOOKUP(CONCATENATE('Respuestas de formulario 1.1'!$B228,MID('Respuestas de formulario 1.1'!EF$1,2,1)),#REF!,12,0),"")</f>
        <v/>
      </c>
      <c r="EG228" s="45" t="str">
        <f>IFERROR(VLOOKUP(CONCATENATE('Respuestas de formulario 1.1'!$B228,MID('Respuestas de formulario 1.1'!EG$1,2,1)),#REF!,12,0),"")</f>
        <v/>
      </c>
      <c r="EH228" s="45" t="str">
        <f>IFERROR(VLOOKUP(CONCATENATE('Respuestas de formulario 1.1'!$B228,MID('Respuestas de formulario 1.1'!EH$1,2,1)),#REF!,12,0),"")</f>
        <v/>
      </c>
      <c r="EI228" s="45" t="str">
        <f>IFERROR(VLOOKUP(CONCATENATE('Respuestas de formulario 1.1'!$B228,MID('Respuestas de formulario 1.1'!EI$1,2,1)),#REF!,12,0),"")</f>
        <v/>
      </c>
      <c r="EJ228" s="45" t="str">
        <f t="array" ref="EJ228">IF(DO228="","", INDEX(#REF!,MATCH(CONCATENATE('Respuestas de formulario 1.1'!$B228,DO228),#REF!,0),MATCH('Respuestas de formulario 1.1'!EJ$1,#REF!,0)))</f>
        <v/>
      </c>
      <c r="EK228" s="56" t="str">
        <f t="array" ref="EK228">IF(DP228="","", INDEX(#REF!,MATCH(CONCATENATE('Respuestas de formulario 1.1'!$B228,DP228),#REF!,0),MATCH('Respuestas de formulario 1.1'!EK$1,#REF!,0)))</f>
        <v/>
      </c>
      <c r="EL228" s="56" t="str">
        <f t="array" ref="EL228">IF(DQ228="","", INDEX(#REF!,MATCH(CONCATENATE('Respuestas de formulario 1.1'!$B228,DQ228),#REF!,0),MATCH('Respuestas de formulario 1.1'!EL$1,#REF!,0)))</f>
        <v/>
      </c>
      <c r="EM228" s="56" t="str">
        <f t="array" ref="EM228">IF(DR228="","", INDEX(#REF!,MATCH(CONCATENATE('Respuestas de formulario 1.1'!$B228,DR228),#REF!,0),MATCH('Respuestas de formulario 1.1'!EM$1,#REF!,0)))</f>
        <v/>
      </c>
      <c r="EN228" s="56" t="str">
        <f t="array" ref="EN228">IF(DS228="","", INDEX(#REF!,MATCH(CONCATENATE('Respuestas de formulario 1.1'!$B228,DS228),#REF!,0),MATCH('Respuestas de formulario 1.1'!EN$1,#REF!,0)))</f>
        <v/>
      </c>
      <c r="EO228" s="56" t="str">
        <f t="array" ref="EO228">IF(DT228="","", INDEX(#REF!,MATCH(CONCATENATE('Respuestas de formulario 1.1'!$B228,DT228),#REF!,0),MATCH('Respuestas de formulario 1.1'!EO$1,#REF!,0)))</f>
        <v/>
      </c>
      <c r="EP228" s="45" t="str">
        <f t="array" ref="EP228">IF(DU228="","", INDEX(#REF!,MATCH(CONCATENATE('Respuestas de formulario 1.1'!$B228,DU228),#REF!,0),MATCH('Respuestas de formulario 1.1'!EP$1,#REF!,0)))</f>
        <v/>
      </c>
      <c r="EQ228" s="45" t="str">
        <f t="array" ref="EQ228">IF(DP228="","", INDEX(#REF!,MATCH(CONCATENATE('Respuestas de formulario 1.1'!$B228,DP228),#REF!,0),MATCH('Respuestas de formulario 1.1'!EQ$1,#REF!,0)))</f>
        <v/>
      </c>
      <c r="ER228" s="56" t="str">
        <f t="array" ref="ER228">IF(DQ228="","", INDEX(#REF!,MATCH(CONCATENATE('Respuestas de formulario 1.1'!$B228,DQ228),#REF!,0),MATCH('Respuestas de formulario 1.1'!ER$1,#REF!,0)))</f>
        <v/>
      </c>
      <c r="ES228" s="56" t="str">
        <f t="array" ref="ES228">IF(DR228="","", INDEX(#REF!,MATCH(CONCATENATE('Respuestas de formulario 1.1'!$B228,DR228),#REF!,0),MATCH('Respuestas de formulario 1.1'!ES$1,#REF!,0)))</f>
        <v/>
      </c>
      <c r="ET228" s="56" t="str">
        <f t="array" ref="ET228">IF(DS228="","", INDEX(#REF!,MATCH(CONCATENATE('Respuestas de formulario 1.1'!$B228,DS228),#REF!,0),MATCH('Respuestas de formulario 1.1'!ET$1,#REF!,0)))</f>
        <v/>
      </c>
      <c r="EU228" s="56" t="str">
        <f t="array" ref="EU228">IF(DT228="","", INDEX(#REF!,MATCH(CONCATENATE('Respuestas de formulario 1.1'!$B228,DT228),#REF!,0),MATCH('Respuestas de formulario 1.1'!EU$1,#REF!,0)))</f>
        <v/>
      </c>
      <c r="EV228" s="56" t="str">
        <f t="array" ref="EV228">IF(DU228="","", INDEX(#REF!,MATCH(CONCATENATE('Respuestas de formulario 1.1'!$B228,DU228),#REF!,0),MATCH('Respuestas de formulario 1.1'!EV$1,#REF!,0)))</f>
        <v/>
      </c>
      <c r="EW228" s="45" t="str">
        <f t="array" ref="EW228">IF(DV228="","", INDEX(#REF!,MATCH(CONCATENATE('Respuestas de formulario 1.1'!$B228,DV228),#REF!,0),MATCH('Respuestas de formulario 1.1'!EW$1,#REF!,0)))</f>
        <v/>
      </c>
      <c r="EX228" s="45" t="str">
        <f t="array" ref="EX228">IF($DQ228="","", INDEX(#REF!,MATCH(CONCATENATE('Respuestas de formulario 1.1'!$B228,$DQ228),#REF!,0),MATCH('Respuestas de formulario 1.1'!EX$1,#REF!,0)))</f>
        <v/>
      </c>
      <c r="EY228" s="56" t="str">
        <f t="array" ref="EY228">IF($DQ228="","", INDEX(#REF!,MATCH(CONCATENATE('Respuestas de formulario 1.1'!$B228,$DQ228),#REF!,0),MATCH('Respuestas de formulario 1.1'!EY$1,#REF!,0)))</f>
        <v/>
      </c>
      <c r="EZ228" s="56" t="str">
        <f t="array" ref="EZ228">IF($DQ228="","", INDEX(#REF!,MATCH(CONCATENATE('Respuestas de formulario 1.1'!$B228,$DQ228),#REF!,0),MATCH('Respuestas de formulario 1.1'!EZ$1,#REF!,0)))</f>
        <v/>
      </c>
      <c r="FA228" s="56" t="str">
        <f t="array" ref="FA228">IF($DQ228="","", INDEX(#REF!,MATCH(CONCATENATE('Respuestas de formulario 1.1'!$B228,$DQ228),#REF!,0),MATCH('Respuestas de formulario 1.1'!FA$1,#REF!,0)))</f>
        <v/>
      </c>
      <c r="FB228" s="56" t="str">
        <f t="array" ref="FB228">IF($DQ228="","", INDEX(#REF!,MATCH(CONCATENATE('Respuestas de formulario 1.1'!$B228,$DQ228),#REF!,0),MATCH('Respuestas de formulario 1.1'!FB$1,#REF!,0)))</f>
        <v/>
      </c>
      <c r="FC228" s="56" t="str">
        <f t="array" ref="FC228">IF($DQ228="","", INDEX(#REF!,MATCH(CONCATENATE('Respuestas de formulario 1.1'!$B228,$DQ228),#REF!,0),MATCH('Respuestas de formulario 1.1'!FC$1,#REF!,0)))</f>
        <v/>
      </c>
      <c r="FD228" s="45" t="str">
        <f t="array" ref="FD228">IF($DQ228="","", INDEX(#REF!,MATCH(CONCATENATE('Respuestas de formulario 1.1'!$B228,$DQ228),#REF!,0),MATCH('Respuestas de formulario 1.1'!FD$1,#REF!,0)))</f>
        <v/>
      </c>
      <c r="FE228" s="45" t="str">
        <f t="array" ref="FE228">IF($DR228="","", INDEX(#REF!,MATCH(CONCATENATE(#REF!,$DR228),#REF!,0),MATCH(#REF!,#REF!,0)))</f>
        <v/>
      </c>
      <c r="FF228" s="56" t="str">
        <f t="array" ref="FF228">IF($DR228="","", INDEX(#REF!,MATCH(CONCATENATE(#REF!,$DR228),#REF!,0),MATCH(#REF!,#REF!,0)))</f>
        <v/>
      </c>
      <c r="FG228" s="56" t="str">
        <f t="array" ref="FG228">IF($DR228="","", INDEX(#REF!,MATCH(CONCATENATE(#REF!,$DR228),#REF!,0),MATCH(#REF!,#REF!,0)))</f>
        <v/>
      </c>
      <c r="FH228" s="56" t="str">
        <f t="array" ref="FH228">IF($DR228="","", INDEX(#REF!,MATCH(CONCATENATE(#REF!,$DR228),#REF!,0),MATCH(#REF!,#REF!,0)))</f>
        <v/>
      </c>
      <c r="FI228" s="56" t="str">
        <f t="array" ref="FI228">IF($DR228="","", INDEX(#REF!,MATCH(CONCATENATE(#REF!,$DR228),#REF!,0),MATCH(#REF!,#REF!,0)))</f>
        <v/>
      </c>
      <c r="FJ228" s="56" t="str">
        <f t="array" ref="FJ228">IF($DR228="","", INDEX(#REF!,MATCH(CONCATENATE(#REF!,$DR228),#REF!,0),MATCH(#REF!,#REF!,0)))</f>
        <v/>
      </c>
      <c r="FK228" s="45" t="str">
        <f t="array" ref="FK228">IF($DR228="","", INDEX(#REF!,MATCH(CONCATENATE(#REF!,$DR228),#REF!,0),MATCH(#REF!,#REF!,0)))</f>
        <v/>
      </c>
      <c r="FL228" s="45" t="str">
        <f t="array" ref="FL228">IF($DT228="","", INDEX(#REF!,MATCH(CONCATENATE('Respuestas de formulario 1.1'!$B228,$DS228),#REF!,0),MATCH('Respuestas de formulario 1.1'!FL$1,#REF!,0)))</f>
        <v/>
      </c>
      <c r="FM228" s="56" t="str">
        <f t="array" ref="FM228">IF($DT228="","", INDEX(#REF!,MATCH(CONCATENATE('Respuestas de formulario 1.1'!$B228,$DS228),#REF!,0),MATCH('Respuestas de formulario 1.1'!FM$1,#REF!,0)))</f>
        <v/>
      </c>
      <c r="FN228" s="56" t="str">
        <f t="array" ref="FN228">IF($DT228="","", INDEX(#REF!,MATCH(CONCATENATE('Respuestas de formulario 1.1'!$B228,$DS228),#REF!,0),MATCH('Respuestas de formulario 1.1'!FN$1,#REF!,0)))</f>
        <v/>
      </c>
      <c r="FO228" s="56" t="str">
        <f t="array" ref="FO228">IF($DT228="","", INDEX(#REF!,MATCH(CONCATENATE('Respuestas de formulario 1.1'!$B228,$DS228),#REF!,0),MATCH('Respuestas de formulario 1.1'!FO$1,#REF!,0)))</f>
        <v/>
      </c>
      <c r="FP228" s="56" t="str">
        <f t="array" ref="FP228">IF($DT228="","", INDEX(#REF!,MATCH(CONCATENATE('Respuestas de formulario 1.1'!$B228,$DS228),#REF!,0),MATCH('Respuestas de formulario 1.1'!FP$1,#REF!,0)))</f>
        <v/>
      </c>
      <c r="FQ228" s="56" t="str">
        <f t="array" ref="FQ228">IF($DT228="","", INDEX(#REF!,MATCH(CONCATENATE('Respuestas de formulario 1.1'!$B228,$DS228),#REF!,0),MATCH('Respuestas de formulario 1.1'!FQ$1,#REF!,0)))</f>
        <v/>
      </c>
      <c r="FR228" s="45" t="str">
        <f t="array" ref="FR228">IF($DT228="","", INDEX(#REF!,MATCH(CONCATENATE('Respuestas de formulario 1.1'!$B228,$DS228),#REF!,0),MATCH('Respuestas de formulario 1.1'!FR$1,#REF!,0)))</f>
        <v/>
      </c>
      <c r="FS228" s="45" t="str">
        <f t="array" ref="FS228">IF($DU228="","", INDEX(#REF!,MATCH(CONCATENATE('Respuestas de formulario 1.1'!$B228,$DT228),#REF!,0),MATCH('Respuestas de formulario 1.1'!FS$1,#REF!,0)))</f>
        <v/>
      </c>
      <c r="FT228" s="56" t="str">
        <f t="array" ref="FT228">IF($DU228="","", INDEX(#REF!,MATCH(CONCATENATE('Respuestas de formulario 1.1'!$B228,$DT228),#REF!,0),MATCH('Respuestas de formulario 1.1'!FT$1,#REF!,0)))</f>
        <v/>
      </c>
      <c r="FU228" s="56" t="str">
        <f t="array" ref="FU228">IF($DU228="","", INDEX(#REF!,MATCH(CONCATENATE('Respuestas de formulario 1.1'!$B228,$DT228),#REF!,0),MATCH('Respuestas de formulario 1.1'!FU$1,#REF!,0)))</f>
        <v/>
      </c>
      <c r="FV228" s="56" t="str">
        <f t="array" ref="FV228">IF($DU228="","", INDEX(#REF!,MATCH(CONCATENATE('Respuestas de formulario 1.1'!$B228,$DT228),#REF!,0),MATCH('Respuestas de formulario 1.1'!FV$1,#REF!,0)))</f>
        <v/>
      </c>
      <c r="FW228" s="56" t="str">
        <f t="array" ref="FW228">IF($DU228="","", INDEX(#REF!,MATCH(CONCATENATE('Respuestas de formulario 1.1'!$B228,$DT228),#REF!,0),MATCH('Respuestas de formulario 1.1'!FW$1,#REF!,0)))</f>
        <v/>
      </c>
      <c r="FX228" s="56" t="str">
        <f t="array" ref="FX228">IF($DU228="","", INDEX(#REF!,MATCH(CONCATENATE('Respuestas de formulario 1.1'!$B228,$DT228),#REF!,0),MATCH('Respuestas de formulario 1.1'!FX$1,#REF!,0)))</f>
        <v/>
      </c>
      <c r="FY228" s="45" t="str">
        <f t="array" ref="FY228">IF($DU228="","", INDEX(#REF!,MATCH(CONCATENATE('Respuestas de formulario 1.1'!$B228,$DT228),#REF!,0),MATCH('Respuestas de formulario 1.1'!FY$1,#REF!,0)))</f>
        <v/>
      </c>
      <c r="FZ228" s="3" t="s">
        <v>2860</v>
      </c>
      <c r="GA228" s="1" t="s">
        <v>6762</v>
      </c>
      <c r="GB228" s="5" t="s">
        <v>6763</v>
      </c>
      <c r="GC228" s="4" t="str">
        <f>HYPERLINK("https://drive.google.com/file/d/1btiNJ_iG6ZTlHsl8wQycPibEMOmuYEHI/view?usp=drivesdk","MARQUEZ  ENCARNACION  ALEJANDRA GUADALUPE  Formato de reinscripción y pago 2022-2")</f>
        <v>MARQUEZ  ENCARNACION  ALEJANDRA GUADALUPE  Formato de reinscripción y pago 2022-2</v>
      </c>
      <c r="GD228" s="1" t="s">
        <v>6764</v>
      </c>
      <c r="GE228" s="1"/>
      <c r="GF228" s="1"/>
      <c r="GG228" s="1"/>
      <c r="GH228" s="1"/>
      <c r="GI228" s="1" t="s">
        <v>6765</v>
      </c>
      <c r="GJ228" s="5" t="s">
        <v>6766</v>
      </c>
      <c r="GK228" s="5" t="str">
        <f>HYPERLINK("https://drive.google.com/file/d/16uL4hQwu9kl9k5c6OiBC6MIut5Bgriep/view?usp=drivesdk","MARQUEZ  ENCARNACION  ALEJANDRA GUADALUPE  Formato de reinscripción y pago 2022-2")</f>
        <v>MARQUEZ  ENCARNACION  ALEJANDRA GUADALUPE  Formato de reinscripción y pago 2022-2</v>
      </c>
      <c r="GL228" s="1" t="s">
        <v>6767</v>
      </c>
    </row>
    <row r="229" spans="1:194" ht="38.25" x14ac:dyDescent="0.2">
      <c r="A229" s="2">
        <v>45139.533927037039</v>
      </c>
      <c r="B229" s="1" t="s">
        <v>815</v>
      </c>
      <c r="C229" s="1" t="s">
        <v>997</v>
      </c>
      <c r="D229" s="1" t="s">
        <v>268</v>
      </c>
      <c r="E229" s="1" t="s">
        <v>816</v>
      </c>
      <c r="F229" s="1" t="s">
        <v>223</v>
      </c>
      <c r="G229" s="5" t="s">
        <v>6768</v>
      </c>
      <c r="H229" s="41">
        <v>39192</v>
      </c>
      <c r="I229" s="1">
        <v>16</v>
      </c>
      <c r="J229" s="1">
        <v>5542277808</v>
      </c>
      <c r="K229" s="1" t="s">
        <v>6769</v>
      </c>
      <c r="L229" s="1" t="s">
        <v>817</v>
      </c>
      <c r="M229" s="1">
        <v>22309060570600</v>
      </c>
      <c r="N229" s="1" t="s">
        <v>562</v>
      </c>
      <c r="O229" s="1" t="s">
        <v>247</v>
      </c>
      <c r="P229" s="1" t="s">
        <v>226</v>
      </c>
      <c r="Q229" s="1" t="s">
        <v>248</v>
      </c>
      <c r="R229" s="1" t="s">
        <v>236</v>
      </c>
      <c r="S229" s="1" t="s">
        <v>228</v>
      </c>
      <c r="T229" s="1" t="s">
        <v>229</v>
      </c>
      <c r="U229" s="1" t="s">
        <v>393</v>
      </c>
      <c r="V229" s="1" t="s">
        <v>228</v>
      </c>
      <c r="W229" s="1" t="s">
        <v>6770</v>
      </c>
      <c r="X229" s="1" t="s">
        <v>249</v>
      </c>
      <c r="Y229" s="1" t="s">
        <v>2067</v>
      </c>
      <c r="Z229" s="1" t="s">
        <v>240</v>
      </c>
      <c r="AA229" s="44" t="s">
        <v>681</v>
      </c>
      <c r="AB229" s="1">
        <v>11</v>
      </c>
      <c r="AC229" s="1">
        <v>6</v>
      </c>
      <c r="AD229" s="1" t="s">
        <v>6771</v>
      </c>
      <c r="AE229" s="1" t="s">
        <v>6772</v>
      </c>
      <c r="AF229" s="1" t="s">
        <v>265</v>
      </c>
      <c r="AG229" s="1">
        <v>42</v>
      </c>
      <c r="AH229" s="5" t="s">
        <v>6773</v>
      </c>
      <c r="AI229" s="1">
        <v>5542277808</v>
      </c>
      <c r="AJ229" s="1">
        <v>5542277808</v>
      </c>
      <c r="AK229" s="1" t="s">
        <v>818</v>
      </c>
      <c r="AL229" s="1" t="s">
        <v>997</v>
      </c>
      <c r="AM229" s="1" t="s">
        <v>761</v>
      </c>
      <c r="AN229" s="1" t="s">
        <v>1411</v>
      </c>
      <c r="AO229" s="1" t="s">
        <v>435</v>
      </c>
      <c r="AP229" s="1">
        <v>43</v>
      </c>
      <c r="AQ229" s="1" t="s">
        <v>2759</v>
      </c>
      <c r="AR229" s="42">
        <v>0</v>
      </c>
      <c r="AS229" s="42">
        <v>0</v>
      </c>
      <c r="AT229" s="1">
        <v>5542277808</v>
      </c>
      <c r="AU229" s="1">
        <v>5542277808</v>
      </c>
      <c r="AV229" s="1"/>
      <c r="AW229" s="5" t="s">
        <v>6774</v>
      </c>
      <c r="AX229" s="1" t="s">
        <v>997</v>
      </c>
      <c r="AY229" s="1" t="s">
        <v>268</v>
      </c>
      <c r="AZ229" s="1" t="s">
        <v>6775</v>
      </c>
      <c r="BA229" s="1" t="s">
        <v>2019</v>
      </c>
      <c r="BB229" s="1">
        <v>22</v>
      </c>
      <c r="BC229" s="1" t="s">
        <v>362</v>
      </c>
      <c r="BD229" s="43">
        <v>0.41666666666424135</v>
      </c>
      <c r="BE229" s="43">
        <v>0.29166666666424135</v>
      </c>
      <c r="BF229" s="1">
        <v>5564809429</v>
      </c>
      <c r="BG229" s="1">
        <v>5564809429</v>
      </c>
      <c r="BH229" s="1" t="s">
        <v>6776</v>
      </c>
      <c r="BI229" s="5" t="s">
        <v>6777</v>
      </c>
      <c r="BJ229" s="1" t="s">
        <v>236</v>
      </c>
      <c r="BL229" s="1">
        <v>1.61</v>
      </c>
      <c r="BM229" s="1">
        <v>54</v>
      </c>
      <c r="BN229" s="1" t="s">
        <v>236</v>
      </c>
      <c r="BO229" s="1" t="s">
        <v>228</v>
      </c>
      <c r="BQ229" s="1" t="s">
        <v>228</v>
      </c>
      <c r="BR229" s="1" t="s">
        <v>237</v>
      </c>
      <c r="BS229" s="1" t="s">
        <v>236</v>
      </c>
      <c r="BT229" s="1" t="s">
        <v>457</v>
      </c>
      <c r="BU229" s="1" t="s">
        <v>228</v>
      </c>
      <c r="BW229" s="1" t="s">
        <v>238</v>
      </c>
      <c r="BX229" s="1">
        <v>120</v>
      </c>
      <c r="BY229" s="1">
        <v>60</v>
      </c>
      <c r="BZ229" s="1" t="s">
        <v>253</v>
      </c>
      <c r="CA229" s="1" t="s">
        <v>6778</v>
      </c>
      <c r="CB229" s="1" t="s">
        <v>240</v>
      </c>
      <c r="CC229" s="1" t="s">
        <v>631</v>
      </c>
      <c r="CD229" s="1">
        <v>1000</v>
      </c>
      <c r="CE229" s="1">
        <v>2000</v>
      </c>
      <c r="CF229" s="1" t="s">
        <v>236</v>
      </c>
      <c r="CG229" s="1" t="s">
        <v>242</v>
      </c>
      <c r="CH229" s="1" t="s">
        <v>243</v>
      </c>
      <c r="CI229" s="1" t="s">
        <v>243</v>
      </c>
      <c r="CJ229" s="1" t="s">
        <v>2848</v>
      </c>
      <c r="CL229" s="5" t="s">
        <v>6779</v>
      </c>
      <c r="CM229" s="1">
        <v>12220792514</v>
      </c>
      <c r="CN229" s="1" t="s">
        <v>228</v>
      </c>
      <c r="CQ229" s="42">
        <v>0</v>
      </c>
      <c r="CR229" s="42">
        <v>0</v>
      </c>
      <c r="CT229" s="45" t="str">
        <f t="array" ref="CT229">IFERROR(INDEX(#REF!,MATCH('Respuestas de formulario 1.1'!$B229,#REF!,0),MATCH('Respuestas de formulario 1.1'!CT$1,#REF!,0)),"")</f>
        <v/>
      </c>
      <c r="CU229" s="56" t="str">
        <f t="array" ref="CU229">IFERROR(INDEX(#REF!,MATCH('Respuestas de formulario 1.1'!$B229,#REF!,0),MATCH('Respuestas de formulario 1.1'!CU$1,#REF!,0)),"")</f>
        <v/>
      </c>
      <c r="CV229" s="56" t="str">
        <f t="array" ref="CV229">IFERROR(INDEX(#REF!,MATCH('Respuestas de formulario 1.1'!$B229,#REF!,0),MATCH('Respuestas de formulario 1.1'!CV$1,#REF!,0)),"")</f>
        <v/>
      </c>
      <c r="CW229" s="56" t="str">
        <f t="array" ref="CW229">IFERROR(INDEX(#REF!,MATCH('Respuestas de formulario 1.1'!$B229,#REF!,0),MATCH('Respuestas de formulario 1.1'!CW$1,#REF!,0)),"")</f>
        <v/>
      </c>
      <c r="CX229" s="56" t="str">
        <f t="array" ref="CX229">IFERROR(INDEX(#REF!,MATCH('Respuestas de formulario 1.1'!$B229,#REF!,0),MATCH('Respuestas de formulario 1.1'!CX$1,#REF!,0)),"")</f>
        <v/>
      </c>
      <c r="CY229" s="56" t="str">
        <f t="array" ref="CY229">IFERROR(INDEX(#REF!,MATCH('Respuestas de formulario 1.1'!$B229,#REF!,0),MATCH('Respuestas de formulario 1.1'!CY$1,#REF!,0)),"")</f>
        <v/>
      </c>
      <c r="CZ229" s="57" t="str">
        <f t="array" ref="CZ229">IFERROR(INDEX(#REF!,MATCH('Respuestas de formulario 1.1'!$B229,#REF!,0),MATCH('Respuestas de formulario 1.1'!CZ$1,#REF!,0)),"")</f>
        <v/>
      </c>
      <c r="DA229" s="45" t="e">
        <f t="array" ref="DA229">INDEX(#REF!,MATCH('Respuestas de formulario 1.1'!$B229,#REF!,0),MATCH('Respuestas de formulario 1.1'!DA$1,#REF!,0))</f>
        <v>#REF!</v>
      </c>
      <c r="DB229" s="45" t="e">
        <f t="array" ref="DB229">INDEX(#REF!,MATCH('Respuestas de formulario 1.1'!$B229,#REF!,0),MATCH('Respuestas de formulario 1.1'!DB$1,#REF!,0))</f>
        <v>#REF!</v>
      </c>
      <c r="DC229" s="45" t="e">
        <f t="array" ref="DC229">INDEX(#REF!,MATCH('Respuestas de formulario 1.1'!$B229,#REF!,0),MATCH('Respuestas de formulario 1.1'!DC$1,#REF!,0))</f>
        <v>#REF!</v>
      </c>
      <c r="DD229" s="45" t="e">
        <f t="array" ref="DD229">INDEX(#REF!,MATCH('Respuestas de formulario 1.1'!$B229,#REF!,0),MATCH('Respuestas de formulario 1.1'!DD$1,#REF!,0))</f>
        <v>#REF!</v>
      </c>
      <c r="DE229" s="45" t="e">
        <f t="array" ref="DE229">INDEX(#REF!,MATCH('Respuestas de formulario 1.1'!$B229,#REF!,0),MATCH('Respuestas de formulario 1.1'!DE$1,#REF!,0))</f>
        <v>#REF!</v>
      </c>
      <c r="DF229" s="45" t="e">
        <f t="array" ref="DF229">INDEX(#REF!,MATCH('Respuestas de formulario 1.1'!$B229,#REF!,0),MATCH('Respuestas de formulario 1.1'!DF$1,#REF!,0))</f>
        <v>#REF!</v>
      </c>
      <c r="DG229" s="45" t="e">
        <f t="array" ref="DG229">INDEX(#REF!,MATCH('Respuestas de formulario 1.1'!$B229,#REF!,0),MATCH('Respuestas de formulario 1.1'!DG$1,#REF!,0))</f>
        <v>#REF!</v>
      </c>
      <c r="DH229" s="45" t="e">
        <f t="array" ref="DH229">INDEX(#REF!,MATCH('Respuestas de formulario 1.1'!$B229,#REF!,0),MATCH('Respuestas de formulario 1.1'!DH$1,#REF!,0))</f>
        <v>#REF!</v>
      </c>
      <c r="DI229" s="48" t="e">
        <f>VLOOKUP(CONCATENATE($DF229," TUTO ",$DC229),#REF!,3,0)</f>
        <v>#REF!</v>
      </c>
      <c r="DJ229" s="48" t="e">
        <f t="array" ref="DJ229">IF('Respuestas de formulario 1.1'!A229="","",INDEX(#REF!,MATCH('Respuestas de formulario 1.1'!B229,#REF!,0),MATCH('Respuestas de formulario 1.1'!$DH$1,#REF!,0)))</f>
        <v>#REF!</v>
      </c>
      <c r="DK229" s="52" t="str">
        <f>CONCATENATE("http://doc.google.com/uc?id=",MID('Respuestas de formulario 1.1'!G229,34,33))</f>
        <v>http://doc.google.com/uc?id=1sOg2Ero8QDYnUt-7P7rWY1w1Fvc6_q4U</v>
      </c>
      <c r="DL229" s="49" t="str">
        <f>CONCATENATE("http://doc.google.com/uc?id=",MID('Respuestas de formulario 1.1'!AH229,34,33))</f>
        <v>http://doc.google.com/uc?id=1cToLdMbcXBSbwY-Wh9XFp-XRzSevRyQN</v>
      </c>
      <c r="DM229" s="50" t="str">
        <f>CONCATENATE("http://doc.google.com/uc?id=",MID('Respuestas de formulario 1.1'!AW229,34,33))</f>
        <v>http://doc.google.com/uc?id=1zUeJr2TarHc-O2O8tr1foYRTUooiR8TE</v>
      </c>
      <c r="DN229" s="53" t="str">
        <f>CONCATENATE("http://doc.google.com/uc?id=",MID('Respuestas de formulario 1.1'!$BI229,34,33))</f>
        <v>http://doc.google.com/uc?id=10y4VqG4iWkur7eZ1RYKCpySNlhKskrpW</v>
      </c>
      <c r="DO229" s="45" t="str">
        <f>IFERROR(VLOOKUP(CONCATENATE('Respuestas de formulario 1.1'!$B229,MID('Respuestas de formulario 1.1'!DO$1,2,1)),#REF!,12,0),"")</f>
        <v/>
      </c>
      <c r="DP229" s="45" t="str">
        <f>IFERROR(VLOOKUP(CONCATENATE('Respuestas de formulario 1.1'!$B229,MID('Respuestas de formulario 1.1'!DP$1,2,1)),#REF!,12,0),"")</f>
        <v/>
      </c>
      <c r="DQ229" s="45" t="str">
        <f>IFERROR(VLOOKUP(CONCATENATE('Respuestas de formulario 1.1'!$B229,MID('Respuestas de formulario 1.1'!DQ$1,2,1)),#REF!,12,0),"")</f>
        <v/>
      </c>
      <c r="DR229" s="45" t="str">
        <f>IFERROR(VLOOKUP(CONCATENATE('Respuestas de formulario 1.1'!$B229,MID('Respuestas de formulario 1.1'!DR$1,2,1)),#REF!,12,0),"")</f>
        <v/>
      </c>
      <c r="DS229" s="45" t="str">
        <f>IFERROR(VLOOKUP(CONCATENATE('Respuestas de formulario 1.1'!$B229,MID('Respuestas de formulario 1.1'!DS$1,2,1)),#REF!,12,0),"")</f>
        <v/>
      </c>
      <c r="DT229" s="45" t="str">
        <f>IFERROR(VLOOKUP(CONCATENATE('Respuestas de formulario 1.1'!$B229,MID('Respuestas de formulario 1.1'!DT$1,2,1)),#REF!,12,0),"")</f>
        <v/>
      </c>
      <c r="DU229" s="45" t="str">
        <f>IFERROR(VLOOKUP(CONCATENATE('Respuestas de formulario 1.1'!$B229,MID('Respuestas de formulario 1.1'!DU$1,2,1)),#REF!,12,0),"")</f>
        <v/>
      </c>
      <c r="DV229" s="45" t="str">
        <f>IFERROR(VLOOKUP(CONCATENATE('Respuestas de formulario 1.1'!$B229,MID('Respuestas de formulario 1.1'!DV$1,2,1)),#REF!,12,0),"")</f>
        <v/>
      </c>
      <c r="DW229" s="45" t="str">
        <f>IFERROR(VLOOKUP(CONCATENATE('Respuestas de formulario 1.1'!$B229,MID('Respuestas de formulario 1.1'!DW$1,2,1)),#REF!,12,0),"")</f>
        <v/>
      </c>
      <c r="DX229" s="45" t="str">
        <f>IFERROR(VLOOKUP(CONCATENATE('Respuestas de formulario 1.1'!$B229,MID('Respuestas de formulario 1.1'!DX$1,2,1)),#REF!,12,0),"")</f>
        <v/>
      </c>
      <c r="DY229" s="45" t="str">
        <f>IFERROR(VLOOKUP(CONCATENATE('Respuestas de formulario 1.1'!$B229,MID('Respuestas de formulario 1.1'!DY$1,2,1)),#REF!,12,0),"")</f>
        <v/>
      </c>
      <c r="DZ229" s="45" t="str">
        <f>IFERROR(VLOOKUP(CONCATENATE('Respuestas de formulario 1.1'!$B229,MID('Respuestas de formulario 1.1'!DZ$1,2,1)),#REF!,12,0),"")</f>
        <v/>
      </c>
      <c r="EA229" s="45" t="str">
        <f>IFERROR(VLOOKUP(CONCATENATE('Respuestas de formulario 1.1'!$B229,MID('Respuestas de formulario 1.1'!EA$1,2,1)),#REF!,12,0),"")</f>
        <v/>
      </c>
      <c r="EB229" s="45" t="str">
        <f>IFERROR(VLOOKUP(CONCATENATE('Respuestas de formulario 1.1'!$B229,MID('Respuestas de formulario 1.1'!EB$1,2,1)),#REF!,12,0),"")</f>
        <v/>
      </c>
      <c r="EC229" s="45" t="str">
        <f>IFERROR(VLOOKUP(CONCATENATE('Respuestas de formulario 1.1'!$B229,MID('Respuestas de formulario 1.1'!EC$1,2,1)),#REF!,12,0),"")</f>
        <v/>
      </c>
      <c r="ED229" s="45" t="str">
        <f>IFERROR(VLOOKUP(CONCATENATE('Respuestas de formulario 1.1'!$B229,MID('Respuestas de formulario 1.1'!ED$1,2,1)),#REF!,12,0),"")</f>
        <v/>
      </c>
      <c r="EE229" s="45" t="str">
        <f>IFERROR(VLOOKUP(CONCATENATE('Respuestas de formulario 1.1'!$B229,MID('Respuestas de formulario 1.1'!EE$1,2,1)),#REF!,12,0),"")</f>
        <v/>
      </c>
      <c r="EF229" s="45" t="str">
        <f>IFERROR(VLOOKUP(CONCATENATE('Respuestas de formulario 1.1'!$B229,MID('Respuestas de formulario 1.1'!EF$1,2,1)),#REF!,12,0),"")</f>
        <v/>
      </c>
      <c r="EG229" s="45" t="str">
        <f>IFERROR(VLOOKUP(CONCATENATE('Respuestas de formulario 1.1'!$B229,MID('Respuestas de formulario 1.1'!EG$1,2,1)),#REF!,12,0),"")</f>
        <v/>
      </c>
      <c r="EH229" s="45" t="str">
        <f>IFERROR(VLOOKUP(CONCATENATE('Respuestas de formulario 1.1'!$B229,MID('Respuestas de formulario 1.1'!EH$1,2,1)),#REF!,12,0),"")</f>
        <v/>
      </c>
      <c r="EI229" s="45" t="str">
        <f>IFERROR(VLOOKUP(CONCATENATE('Respuestas de formulario 1.1'!$B229,MID('Respuestas de formulario 1.1'!EI$1,2,1)),#REF!,12,0),"")</f>
        <v/>
      </c>
      <c r="EJ229" s="45" t="str">
        <f t="array" ref="EJ229">IF(DO229="","", INDEX(#REF!,MATCH(CONCATENATE('Respuestas de formulario 1.1'!$B229,DO229),#REF!,0),MATCH('Respuestas de formulario 1.1'!EJ$1,#REF!,0)))</f>
        <v/>
      </c>
      <c r="EK229" s="56" t="str">
        <f t="array" ref="EK229">IF(DP229="","", INDEX(#REF!,MATCH(CONCATENATE('Respuestas de formulario 1.1'!$B229,DP229),#REF!,0),MATCH('Respuestas de formulario 1.1'!EK$1,#REF!,0)))</f>
        <v/>
      </c>
      <c r="EL229" s="56" t="str">
        <f t="array" ref="EL229">IF(DQ229="","", INDEX(#REF!,MATCH(CONCATENATE('Respuestas de formulario 1.1'!$B229,DQ229),#REF!,0),MATCH('Respuestas de formulario 1.1'!EL$1,#REF!,0)))</f>
        <v/>
      </c>
      <c r="EM229" s="56" t="str">
        <f t="array" ref="EM229">IF(DR229="","", INDEX(#REF!,MATCH(CONCATENATE('Respuestas de formulario 1.1'!$B229,DR229),#REF!,0),MATCH('Respuestas de formulario 1.1'!EM$1,#REF!,0)))</f>
        <v/>
      </c>
      <c r="EN229" s="56" t="str">
        <f t="array" ref="EN229">IF(DS229="","", INDEX(#REF!,MATCH(CONCATENATE('Respuestas de formulario 1.1'!$B229,DS229),#REF!,0),MATCH('Respuestas de formulario 1.1'!EN$1,#REF!,0)))</f>
        <v/>
      </c>
      <c r="EO229" s="56" t="str">
        <f t="array" ref="EO229">IF(DT229="","", INDEX(#REF!,MATCH(CONCATENATE('Respuestas de formulario 1.1'!$B229,DT229),#REF!,0),MATCH('Respuestas de formulario 1.1'!EO$1,#REF!,0)))</f>
        <v/>
      </c>
      <c r="EP229" s="45" t="str">
        <f t="array" ref="EP229">IF(DU229="","", INDEX(#REF!,MATCH(CONCATENATE('Respuestas de formulario 1.1'!$B229,DU229),#REF!,0),MATCH('Respuestas de formulario 1.1'!EP$1,#REF!,0)))</f>
        <v/>
      </c>
      <c r="EQ229" s="45" t="str">
        <f t="array" ref="EQ229">IF(DP229="","", INDEX(#REF!,MATCH(CONCATENATE('Respuestas de formulario 1.1'!$B229,DP229),#REF!,0),MATCH('Respuestas de formulario 1.1'!EQ$1,#REF!,0)))</f>
        <v/>
      </c>
      <c r="ER229" s="56" t="str">
        <f t="array" ref="ER229">IF(DQ229="","", INDEX(#REF!,MATCH(CONCATENATE('Respuestas de formulario 1.1'!$B229,DQ229),#REF!,0),MATCH('Respuestas de formulario 1.1'!ER$1,#REF!,0)))</f>
        <v/>
      </c>
      <c r="ES229" s="56" t="str">
        <f t="array" ref="ES229">IF(DR229="","", INDEX(#REF!,MATCH(CONCATENATE('Respuestas de formulario 1.1'!$B229,DR229),#REF!,0),MATCH('Respuestas de formulario 1.1'!ES$1,#REF!,0)))</f>
        <v/>
      </c>
      <c r="ET229" s="56" t="str">
        <f t="array" ref="ET229">IF(DS229="","", INDEX(#REF!,MATCH(CONCATENATE('Respuestas de formulario 1.1'!$B229,DS229),#REF!,0),MATCH('Respuestas de formulario 1.1'!ET$1,#REF!,0)))</f>
        <v/>
      </c>
      <c r="EU229" s="56" t="str">
        <f t="array" ref="EU229">IF(DT229="","", INDEX(#REF!,MATCH(CONCATENATE('Respuestas de formulario 1.1'!$B229,DT229),#REF!,0),MATCH('Respuestas de formulario 1.1'!EU$1,#REF!,0)))</f>
        <v/>
      </c>
      <c r="EV229" s="56" t="str">
        <f t="array" ref="EV229">IF(DU229="","", INDEX(#REF!,MATCH(CONCATENATE('Respuestas de formulario 1.1'!$B229,DU229),#REF!,0),MATCH('Respuestas de formulario 1.1'!EV$1,#REF!,0)))</f>
        <v/>
      </c>
      <c r="EW229" s="45" t="str">
        <f t="array" ref="EW229">IF(DV229="","", INDEX(#REF!,MATCH(CONCATENATE('Respuestas de formulario 1.1'!$B229,DV229),#REF!,0),MATCH('Respuestas de formulario 1.1'!EW$1,#REF!,0)))</f>
        <v/>
      </c>
      <c r="EX229" s="45" t="str">
        <f t="array" ref="EX229">IF($DQ229="","", INDEX(#REF!,MATCH(CONCATENATE('Respuestas de formulario 1.1'!$B229,$DQ229),#REF!,0),MATCH('Respuestas de formulario 1.1'!EX$1,#REF!,0)))</f>
        <v/>
      </c>
      <c r="EY229" s="56" t="str">
        <f t="array" ref="EY229">IF($DQ229="","", INDEX(#REF!,MATCH(CONCATENATE('Respuestas de formulario 1.1'!$B229,$DQ229),#REF!,0),MATCH('Respuestas de formulario 1.1'!EY$1,#REF!,0)))</f>
        <v/>
      </c>
      <c r="EZ229" s="56" t="str">
        <f t="array" ref="EZ229">IF($DQ229="","", INDEX(#REF!,MATCH(CONCATENATE('Respuestas de formulario 1.1'!$B229,$DQ229),#REF!,0),MATCH('Respuestas de formulario 1.1'!EZ$1,#REF!,0)))</f>
        <v/>
      </c>
      <c r="FA229" s="56" t="str">
        <f t="array" ref="FA229">IF($DQ229="","", INDEX(#REF!,MATCH(CONCATENATE('Respuestas de formulario 1.1'!$B229,$DQ229),#REF!,0),MATCH('Respuestas de formulario 1.1'!FA$1,#REF!,0)))</f>
        <v/>
      </c>
      <c r="FB229" s="56" t="str">
        <f t="array" ref="FB229">IF($DQ229="","", INDEX(#REF!,MATCH(CONCATENATE('Respuestas de formulario 1.1'!$B229,$DQ229),#REF!,0),MATCH('Respuestas de formulario 1.1'!FB$1,#REF!,0)))</f>
        <v/>
      </c>
      <c r="FC229" s="56" t="str">
        <f t="array" ref="FC229">IF($DQ229="","", INDEX(#REF!,MATCH(CONCATENATE('Respuestas de formulario 1.1'!$B229,$DQ229),#REF!,0),MATCH('Respuestas de formulario 1.1'!FC$1,#REF!,0)))</f>
        <v/>
      </c>
      <c r="FD229" s="45" t="str">
        <f t="array" ref="FD229">IF($DQ229="","", INDEX(#REF!,MATCH(CONCATENATE('Respuestas de formulario 1.1'!$B229,$DQ229),#REF!,0),MATCH('Respuestas de formulario 1.1'!FD$1,#REF!,0)))</f>
        <v/>
      </c>
      <c r="FE229" s="45" t="str">
        <f t="array" ref="FE229">IF($DR229="","", INDEX(#REF!,MATCH(CONCATENATE(#REF!,$DR229),#REF!,0),MATCH(#REF!,#REF!,0)))</f>
        <v/>
      </c>
      <c r="FF229" s="56" t="str">
        <f t="array" ref="FF229">IF($DR229="","", INDEX(#REF!,MATCH(CONCATENATE(#REF!,$DR229),#REF!,0),MATCH(#REF!,#REF!,0)))</f>
        <v/>
      </c>
      <c r="FG229" s="56" t="str">
        <f t="array" ref="FG229">IF($DR229="","", INDEX(#REF!,MATCH(CONCATENATE(#REF!,$DR229),#REF!,0),MATCH(#REF!,#REF!,0)))</f>
        <v/>
      </c>
      <c r="FH229" s="56" t="str">
        <f t="array" ref="FH229">IF($DR229="","", INDEX(#REF!,MATCH(CONCATENATE(#REF!,$DR229),#REF!,0),MATCH(#REF!,#REF!,0)))</f>
        <v/>
      </c>
      <c r="FI229" s="56" t="str">
        <f t="array" ref="FI229">IF($DR229="","", INDEX(#REF!,MATCH(CONCATENATE(#REF!,$DR229),#REF!,0),MATCH(#REF!,#REF!,0)))</f>
        <v/>
      </c>
      <c r="FJ229" s="56" t="str">
        <f t="array" ref="FJ229">IF($DR229="","", INDEX(#REF!,MATCH(CONCATENATE(#REF!,$DR229),#REF!,0),MATCH(#REF!,#REF!,0)))</f>
        <v/>
      </c>
      <c r="FK229" s="45" t="str">
        <f t="array" ref="FK229">IF($DR229="","", INDEX(#REF!,MATCH(CONCATENATE(#REF!,$DR229),#REF!,0),MATCH(#REF!,#REF!,0)))</f>
        <v/>
      </c>
      <c r="FL229" s="45" t="str">
        <f t="array" ref="FL229">IF($DT229="","", INDEX(#REF!,MATCH(CONCATENATE('Respuestas de formulario 1.1'!$B229,$DS229),#REF!,0),MATCH('Respuestas de formulario 1.1'!FL$1,#REF!,0)))</f>
        <v/>
      </c>
      <c r="FM229" s="56" t="str">
        <f t="array" ref="FM229">IF($DT229="","", INDEX(#REF!,MATCH(CONCATENATE('Respuestas de formulario 1.1'!$B229,$DS229),#REF!,0),MATCH('Respuestas de formulario 1.1'!FM$1,#REF!,0)))</f>
        <v/>
      </c>
      <c r="FN229" s="56" t="str">
        <f t="array" ref="FN229">IF($DT229="","", INDEX(#REF!,MATCH(CONCATENATE('Respuestas de formulario 1.1'!$B229,$DS229),#REF!,0),MATCH('Respuestas de formulario 1.1'!FN$1,#REF!,0)))</f>
        <v/>
      </c>
      <c r="FO229" s="56" t="str">
        <f t="array" ref="FO229">IF($DT229="","", INDEX(#REF!,MATCH(CONCATENATE('Respuestas de formulario 1.1'!$B229,$DS229),#REF!,0),MATCH('Respuestas de formulario 1.1'!FO$1,#REF!,0)))</f>
        <v/>
      </c>
      <c r="FP229" s="56" t="str">
        <f t="array" ref="FP229">IF($DT229="","", INDEX(#REF!,MATCH(CONCATENATE('Respuestas de formulario 1.1'!$B229,$DS229),#REF!,0),MATCH('Respuestas de formulario 1.1'!FP$1,#REF!,0)))</f>
        <v/>
      </c>
      <c r="FQ229" s="56" t="str">
        <f t="array" ref="FQ229">IF($DT229="","", INDEX(#REF!,MATCH(CONCATENATE('Respuestas de formulario 1.1'!$B229,$DS229),#REF!,0),MATCH('Respuestas de formulario 1.1'!FQ$1,#REF!,0)))</f>
        <v/>
      </c>
      <c r="FR229" s="45" t="str">
        <f t="array" ref="FR229">IF($DT229="","", INDEX(#REF!,MATCH(CONCATENATE('Respuestas de formulario 1.1'!$B229,$DS229),#REF!,0),MATCH('Respuestas de formulario 1.1'!FR$1,#REF!,0)))</f>
        <v/>
      </c>
      <c r="FS229" s="45" t="str">
        <f t="array" ref="FS229">IF($DU229="","", INDEX(#REF!,MATCH(CONCATENATE('Respuestas de formulario 1.1'!$B229,$DT229),#REF!,0),MATCH('Respuestas de formulario 1.1'!FS$1,#REF!,0)))</f>
        <v/>
      </c>
      <c r="FT229" s="56" t="str">
        <f t="array" ref="FT229">IF($DU229="","", INDEX(#REF!,MATCH(CONCATENATE('Respuestas de formulario 1.1'!$B229,$DT229),#REF!,0),MATCH('Respuestas de formulario 1.1'!FT$1,#REF!,0)))</f>
        <v/>
      </c>
      <c r="FU229" s="56" t="str">
        <f t="array" ref="FU229">IF($DU229="","", INDEX(#REF!,MATCH(CONCATENATE('Respuestas de formulario 1.1'!$B229,$DT229),#REF!,0),MATCH('Respuestas de formulario 1.1'!FU$1,#REF!,0)))</f>
        <v/>
      </c>
      <c r="FV229" s="56" t="str">
        <f t="array" ref="FV229">IF($DU229="","", INDEX(#REF!,MATCH(CONCATENATE('Respuestas de formulario 1.1'!$B229,$DT229),#REF!,0),MATCH('Respuestas de formulario 1.1'!FV$1,#REF!,0)))</f>
        <v/>
      </c>
      <c r="FW229" s="56" t="str">
        <f t="array" ref="FW229">IF($DU229="","", INDEX(#REF!,MATCH(CONCATENATE('Respuestas de formulario 1.1'!$B229,$DT229),#REF!,0),MATCH('Respuestas de formulario 1.1'!FW$1,#REF!,0)))</f>
        <v/>
      </c>
      <c r="FX229" s="56" t="str">
        <f t="array" ref="FX229">IF($DU229="","", INDEX(#REF!,MATCH(CONCATENATE('Respuestas de formulario 1.1'!$B229,$DT229),#REF!,0),MATCH('Respuestas de formulario 1.1'!FX$1,#REF!,0)))</f>
        <v/>
      </c>
      <c r="FY229" s="45" t="str">
        <f t="array" ref="FY229">IF($DU229="","", INDEX(#REF!,MATCH(CONCATENATE('Respuestas de formulario 1.1'!$B229,$DT229),#REF!,0),MATCH('Respuestas de formulario 1.1'!FY$1,#REF!,0)))</f>
        <v/>
      </c>
      <c r="FZ229" s="3" t="s">
        <v>2860</v>
      </c>
      <c r="GA229" s="1" t="s">
        <v>6780</v>
      </c>
      <c r="GB229" s="5" t="s">
        <v>6781</v>
      </c>
      <c r="GC229" s="4" t="str">
        <f>HYPERLINK("https://drive.google.com/file/d/1wkPQ2O0Gm5VHUnMSUDrEwosAb7obzCLl/view?usp=drivesdk","MENDOZA  AGUILAR ALEXA QUETZALLI  Formato de reinscripción y pago 2022-2")</f>
        <v>MENDOZA  AGUILAR ALEXA QUETZALLI  Formato de reinscripción y pago 2022-2</v>
      </c>
      <c r="GD229" s="1" t="s">
        <v>6782</v>
      </c>
      <c r="GE229" s="1"/>
      <c r="GF229" s="1"/>
      <c r="GG229" s="1"/>
      <c r="GH229" s="1"/>
      <c r="GI229" s="1" t="s">
        <v>6783</v>
      </c>
      <c r="GJ229" s="5" t="s">
        <v>6784</v>
      </c>
      <c r="GK229" s="5" t="str">
        <f>HYPERLINK("https://drive.google.com/file/d/1e-Oj_G1hb-79LgEhW1ZKjI5GOIVSK7dm/view?usp=drivesdk","MENDOZA  AGUILAR ALEXA QUETZALLI  Formato de reinscripción y pago 2022-2")</f>
        <v>MENDOZA  AGUILAR ALEXA QUETZALLI  Formato de reinscripción y pago 2022-2</v>
      </c>
      <c r="GL229" s="1" t="s">
        <v>6785</v>
      </c>
    </row>
    <row r="230" spans="1:194" ht="38.25" x14ac:dyDescent="0.2">
      <c r="A230" s="2">
        <v>45139.534333310185</v>
      </c>
      <c r="B230" s="1" t="s">
        <v>2698</v>
      </c>
      <c r="C230" s="1" t="s">
        <v>286</v>
      </c>
      <c r="D230" s="1" t="s">
        <v>1230</v>
      </c>
      <c r="E230" s="1" t="s">
        <v>2699</v>
      </c>
      <c r="F230" s="1" t="s">
        <v>223</v>
      </c>
      <c r="G230" s="5" t="s">
        <v>6786</v>
      </c>
      <c r="H230" s="41">
        <v>38613</v>
      </c>
      <c r="I230" s="1">
        <v>17</v>
      </c>
      <c r="J230" s="1">
        <v>5567992554</v>
      </c>
      <c r="K230" s="1">
        <v>5611485286</v>
      </c>
      <c r="L230" s="1" t="s">
        <v>2700</v>
      </c>
      <c r="M230" s="1">
        <v>21309060500153</v>
      </c>
      <c r="N230" s="1" t="s">
        <v>562</v>
      </c>
      <c r="O230" s="1" t="s">
        <v>225</v>
      </c>
      <c r="P230" s="1" t="s">
        <v>314</v>
      </c>
      <c r="Q230" s="1" t="s">
        <v>248</v>
      </c>
      <c r="R230" s="1" t="s">
        <v>228</v>
      </c>
      <c r="S230" s="1" t="s">
        <v>228</v>
      </c>
      <c r="T230" s="1" t="s">
        <v>411</v>
      </c>
      <c r="U230" s="1" t="s">
        <v>249</v>
      </c>
      <c r="V230" s="1" t="s">
        <v>228</v>
      </c>
      <c r="W230" s="1" t="s">
        <v>6787</v>
      </c>
      <c r="X230" s="1" t="s">
        <v>249</v>
      </c>
      <c r="Y230" s="1" t="s">
        <v>2704</v>
      </c>
      <c r="Z230" s="1" t="s">
        <v>240</v>
      </c>
      <c r="AA230" s="44" t="s">
        <v>460</v>
      </c>
      <c r="AB230" s="1">
        <v>278</v>
      </c>
      <c r="AC230" s="1">
        <v>8</v>
      </c>
      <c r="AD230" s="1" t="s">
        <v>6788</v>
      </c>
      <c r="AE230" s="1" t="s">
        <v>6789</v>
      </c>
      <c r="AF230" s="1" t="s">
        <v>493</v>
      </c>
      <c r="AG230" s="1">
        <v>52</v>
      </c>
      <c r="AH230" s="5" t="s">
        <v>6790</v>
      </c>
      <c r="AI230" s="1">
        <v>5578940475</v>
      </c>
      <c r="AJ230" s="1">
        <v>5578940475</v>
      </c>
      <c r="AK230" s="1" t="s">
        <v>6791</v>
      </c>
      <c r="AL230" s="1" t="s">
        <v>1230</v>
      </c>
      <c r="AM230" s="1" t="s">
        <v>6792</v>
      </c>
      <c r="AN230" s="1" t="s">
        <v>866</v>
      </c>
      <c r="AO230" s="1" t="s">
        <v>461</v>
      </c>
      <c r="AP230" s="1">
        <v>39</v>
      </c>
      <c r="AQ230" s="1" t="s">
        <v>546</v>
      </c>
      <c r="AR230" s="42">
        <v>0.45833333333575865</v>
      </c>
      <c r="AS230" s="42">
        <v>0.75</v>
      </c>
      <c r="AT230" s="1">
        <v>5614337186</v>
      </c>
      <c r="AU230" s="1">
        <v>5614337186</v>
      </c>
      <c r="AV230" s="1" t="s">
        <v>2701</v>
      </c>
      <c r="AW230" s="5" t="s">
        <v>6793</v>
      </c>
      <c r="AX230" s="1" t="s">
        <v>244</v>
      </c>
      <c r="AY230" s="1" t="s">
        <v>6794</v>
      </c>
      <c r="AZ230" s="1" t="s">
        <v>2225</v>
      </c>
      <c r="BA230" s="1" t="s">
        <v>493</v>
      </c>
      <c r="BB230" s="1">
        <v>55</v>
      </c>
      <c r="BC230" s="1" t="s">
        <v>328</v>
      </c>
      <c r="BD230" s="43">
        <v>0.375</v>
      </c>
      <c r="BE230" s="43">
        <v>0.75</v>
      </c>
      <c r="BF230" s="1">
        <v>5520568230</v>
      </c>
      <c r="BG230" s="1">
        <v>5520568230</v>
      </c>
      <c r="BH230" s="1" t="s">
        <v>6795</v>
      </c>
      <c r="BI230" s="5" t="s">
        <v>6796</v>
      </c>
      <c r="BJ230" s="1" t="s">
        <v>236</v>
      </c>
      <c r="BK230" s="1" t="s">
        <v>310</v>
      </c>
      <c r="BL230" s="1">
        <v>1.54</v>
      </c>
      <c r="BM230" s="1">
        <v>47</v>
      </c>
      <c r="BN230" s="1" t="s">
        <v>228</v>
      </c>
      <c r="BO230" s="1" t="s">
        <v>228</v>
      </c>
      <c r="BQ230" s="1" t="s">
        <v>228</v>
      </c>
      <c r="BR230" s="1" t="s">
        <v>237</v>
      </c>
      <c r="BS230" s="1" t="s">
        <v>236</v>
      </c>
      <c r="BT230" s="1" t="s">
        <v>271</v>
      </c>
      <c r="BU230" s="1" t="s">
        <v>228</v>
      </c>
      <c r="BW230" s="1" t="s">
        <v>238</v>
      </c>
      <c r="BX230" s="1">
        <v>30</v>
      </c>
      <c r="BY230" s="1">
        <v>30</v>
      </c>
      <c r="BZ230" s="1" t="s">
        <v>1070</v>
      </c>
      <c r="CA230" s="1" t="s">
        <v>343</v>
      </c>
      <c r="CB230" s="1" t="s">
        <v>231</v>
      </c>
      <c r="CC230" s="1" t="s">
        <v>6797</v>
      </c>
      <c r="CD230" s="1">
        <v>1700</v>
      </c>
      <c r="CE230" s="1">
        <v>500</v>
      </c>
      <c r="CF230" s="1" t="s">
        <v>236</v>
      </c>
      <c r="CG230" s="1" t="s">
        <v>242</v>
      </c>
      <c r="CH230" s="1" t="s">
        <v>243</v>
      </c>
      <c r="CI230" s="1" t="s">
        <v>243</v>
      </c>
      <c r="CJ230" s="1" t="s">
        <v>2848</v>
      </c>
      <c r="CL230" s="5" t="s">
        <v>6798</v>
      </c>
      <c r="CM230" s="44" t="s">
        <v>2703</v>
      </c>
      <c r="CN230" s="1" t="s">
        <v>228</v>
      </c>
      <c r="CQ230" s="42">
        <v>0.41666666666424135</v>
      </c>
      <c r="CR230" s="42">
        <v>0.79166666666424135</v>
      </c>
      <c r="CT230" s="45" t="str">
        <f t="array" ref="CT230">IFERROR(INDEX(#REF!,MATCH('Respuestas de formulario 1.1'!$B230,#REF!,0),MATCH('Respuestas de formulario 1.1'!CT$1,#REF!,0)),"")</f>
        <v/>
      </c>
      <c r="CU230" s="56" t="str">
        <f t="array" ref="CU230">IFERROR(INDEX(#REF!,MATCH('Respuestas de formulario 1.1'!$B230,#REF!,0),MATCH('Respuestas de formulario 1.1'!CU$1,#REF!,0)),"")</f>
        <v/>
      </c>
      <c r="CV230" s="56" t="str">
        <f t="array" ref="CV230">IFERROR(INDEX(#REF!,MATCH('Respuestas de formulario 1.1'!$B230,#REF!,0),MATCH('Respuestas de formulario 1.1'!CV$1,#REF!,0)),"")</f>
        <v/>
      </c>
      <c r="CW230" s="56" t="str">
        <f t="array" ref="CW230">IFERROR(INDEX(#REF!,MATCH('Respuestas de formulario 1.1'!$B230,#REF!,0),MATCH('Respuestas de formulario 1.1'!CW$1,#REF!,0)),"")</f>
        <v/>
      </c>
      <c r="CX230" s="56" t="str">
        <f t="array" ref="CX230">IFERROR(INDEX(#REF!,MATCH('Respuestas de formulario 1.1'!$B230,#REF!,0),MATCH('Respuestas de formulario 1.1'!CX$1,#REF!,0)),"")</f>
        <v/>
      </c>
      <c r="CY230" s="56" t="str">
        <f t="array" ref="CY230">IFERROR(INDEX(#REF!,MATCH('Respuestas de formulario 1.1'!$B230,#REF!,0),MATCH('Respuestas de formulario 1.1'!CY$1,#REF!,0)),"")</f>
        <v/>
      </c>
      <c r="CZ230" s="57" t="str">
        <f t="array" ref="CZ230">IFERROR(INDEX(#REF!,MATCH('Respuestas de formulario 1.1'!$B230,#REF!,0),MATCH('Respuestas de formulario 1.1'!CZ$1,#REF!,0)),"")</f>
        <v/>
      </c>
      <c r="DA230" s="45" t="e">
        <f t="array" ref="DA230">INDEX(#REF!,MATCH('Respuestas de formulario 1.1'!$B230,#REF!,0),MATCH('Respuestas de formulario 1.1'!DA$1,#REF!,0))</f>
        <v>#REF!</v>
      </c>
      <c r="DB230" s="45" t="e">
        <f t="array" ref="DB230">INDEX(#REF!,MATCH('Respuestas de formulario 1.1'!$B230,#REF!,0),MATCH('Respuestas de formulario 1.1'!DB$1,#REF!,0))</f>
        <v>#REF!</v>
      </c>
      <c r="DC230" s="45" t="e">
        <f t="array" ref="DC230">INDEX(#REF!,MATCH('Respuestas de formulario 1.1'!$B230,#REF!,0),MATCH('Respuestas de formulario 1.1'!DC$1,#REF!,0))</f>
        <v>#REF!</v>
      </c>
      <c r="DD230" s="45" t="e">
        <f t="array" ref="DD230">INDEX(#REF!,MATCH('Respuestas de formulario 1.1'!$B230,#REF!,0),MATCH('Respuestas de formulario 1.1'!DD$1,#REF!,0))</f>
        <v>#REF!</v>
      </c>
      <c r="DE230" s="45" t="e">
        <f t="array" ref="DE230">INDEX(#REF!,MATCH('Respuestas de formulario 1.1'!$B230,#REF!,0),MATCH('Respuestas de formulario 1.1'!DE$1,#REF!,0))</f>
        <v>#REF!</v>
      </c>
      <c r="DF230" s="45" t="e">
        <f t="array" ref="DF230">INDEX(#REF!,MATCH('Respuestas de formulario 1.1'!$B230,#REF!,0),MATCH('Respuestas de formulario 1.1'!DF$1,#REF!,0))</f>
        <v>#REF!</v>
      </c>
      <c r="DG230" s="45" t="e">
        <f t="array" ref="DG230">INDEX(#REF!,MATCH('Respuestas de formulario 1.1'!$B230,#REF!,0),MATCH('Respuestas de formulario 1.1'!DG$1,#REF!,0))</f>
        <v>#REF!</v>
      </c>
      <c r="DH230" s="45" t="e">
        <f t="array" ref="DH230">INDEX(#REF!,MATCH('Respuestas de formulario 1.1'!$B230,#REF!,0),MATCH('Respuestas de formulario 1.1'!DH$1,#REF!,0))</f>
        <v>#REF!</v>
      </c>
      <c r="DI230" s="48" t="e">
        <f>VLOOKUP(CONCATENATE($DF230," TUTO ",$DC230),#REF!,3,0)</f>
        <v>#REF!</v>
      </c>
      <c r="DJ230" s="48" t="e">
        <f t="array" ref="DJ230">IF('Respuestas de formulario 1.1'!A230="","",INDEX(#REF!,MATCH('Respuestas de formulario 1.1'!B230,#REF!,0),MATCH('Respuestas de formulario 1.1'!$DH$1,#REF!,0)))</f>
        <v>#REF!</v>
      </c>
      <c r="DK230" s="52" t="str">
        <f>CONCATENATE("http://doc.google.com/uc?id=",MID('Respuestas de formulario 1.1'!G230,34,33))</f>
        <v>http://doc.google.com/uc?id=1nTkwQnxIPdnZxE2VFyX9DN_cj0AbUYEA</v>
      </c>
      <c r="DL230" s="49" t="str">
        <f>CONCATENATE("http://doc.google.com/uc?id=",MID('Respuestas de formulario 1.1'!AH230,34,33))</f>
        <v>http://doc.google.com/uc?id=19rAyiWeM_k1pjUFp_zWjqi7Ez1Y18ZJ5</v>
      </c>
      <c r="DM230" s="50" t="str">
        <f>CONCATENATE("http://doc.google.com/uc?id=",MID('Respuestas de formulario 1.1'!AW230,34,33))</f>
        <v>http://doc.google.com/uc?id=1LHdN26FR2f2qOvd0Z5d9y_1jUrxD-wBg</v>
      </c>
      <c r="DN230" s="53" t="str">
        <f>CONCATENATE("http://doc.google.com/uc?id=",MID('Respuestas de formulario 1.1'!$BI230,34,33))</f>
        <v>http://doc.google.com/uc?id=1RyVCeM1UJQWb__iBiA91tgfomdjXAVo4</v>
      </c>
      <c r="DO230" s="45" t="str">
        <f>IFERROR(VLOOKUP(CONCATENATE('Respuestas de formulario 1.1'!$B230,MID('Respuestas de formulario 1.1'!DO$1,2,1)),#REF!,12,0),"")</f>
        <v/>
      </c>
      <c r="DP230" s="45" t="str">
        <f>IFERROR(VLOOKUP(CONCATENATE('Respuestas de formulario 1.1'!$B230,MID('Respuestas de formulario 1.1'!DP$1,2,1)),#REF!,12,0),"")</f>
        <v/>
      </c>
      <c r="DQ230" s="45" t="str">
        <f>IFERROR(VLOOKUP(CONCATENATE('Respuestas de formulario 1.1'!$B230,MID('Respuestas de formulario 1.1'!DQ$1,2,1)),#REF!,12,0),"")</f>
        <v/>
      </c>
      <c r="DR230" s="45" t="str">
        <f>IFERROR(VLOOKUP(CONCATENATE('Respuestas de formulario 1.1'!$B230,MID('Respuestas de formulario 1.1'!DR$1,2,1)),#REF!,12,0),"")</f>
        <v/>
      </c>
      <c r="DS230" s="45" t="str">
        <f>IFERROR(VLOOKUP(CONCATENATE('Respuestas de formulario 1.1'!$B230,MID('Respuestas de formulario 1.1'!DS$1,2,1)),#REF!,12,0),"")</f>
        <v/>
      </c>
      <c r="DT230" s="45" t="str">
        <f>IFERROR(VLOOKUP(CONCATENATE('Respuestas de formulario 1.1'!$B230,MID('Respuestas de formulario 1.1'!DT$1,2,1)),#REF!,12,0),"")</f>
        <v/>
      </c>
      <c r="DU230" s="45" t="str">
        <f>IFERROR(VLOOKUP(CONCATENATE('Respuestas de formulario 1.1'!$B230,MID('Respuestas de formulario 1.1'!DU$1,2,1)),#REF!,12,0),"")</f>
        <v/>
      </c>
      <c r="DV230" s="45" t="str">
        <f>IFERROR(VLOOKUP(CONCATENATE('Respuestas de formulario 1.1'!$B230,MID('Respuestas de formulario 1.1'!DV$1,2,1)),#REF!,12,0),"")</f>
        <v/>
      </c>
      <c r="DW230" s="45" t="str">
        <f>IFERROR(VLOOKUP(CONCATENATE('Respuestas de formulario 1.1'!$B230,MID('Respuestas de formulario 1.1'!DW$1,2,1)),#REF!,12,0),"")</f>
        <v/>
      </c>
      <c r="DX230" s="45" t="str">
        <f>IFERROR(VLOOKUP(CONCATENATE('Respuestas de formulario 1.1'!$B230,MID('Respuestas de formulario 1.1'!DX$1,2,1)),#REF!,12,0),"")</f>
        <v/>
      </c>
      <c r="DY230" s="45" t="str">
        <f>IFERROR(VLOOKUP(CONCATENATE('Respuestas de formulario 1.1'!$B230,MID('Respuestas de formulario 1.1'!DY$1,2,1)),#REF!,12,0),"")</f>
        <v/>
      </c>
      <c r="DZ230" s="45" t="str">
        <f>IFERROR(VLOOKUP(CONCATENATE('Respuestas de formulario 1.1'!$B230,MID('Respuestas de formulario 1.1'!DZ$1,2,1)),#REF!,12,0),"")</f>
        <v/>
      </c>
      <c r="EA230" s="45" t="str">
        <f>IFERROR(VLOOKUP(CONCATENATE('Respuestas de formulario 1.1'!$B230,MID('Respuestas de formulario 1.1'!EA$1,2,1)),#REF!,12,0),"")</f>
        <v/>
      </c>
      <c r="EB230" s="45" t="str">
        <f>IFERROR(VLOOKUP(CONCATENATE('Respuestas de formulario 1.1'!$B230,MID('Respuestas de formulario 1.1'!EB$1,2,1)),#REF!,12,0),"")</f>
        <v/>
      </c>
      <c r="EC230" s="45" t="str">
        <f>IFERROR(VLOOKUP(CONCATENATE('Respuestas de formulario 1.1'!$B230,MID('Respuestas de formulario 1.1'!EC$1,2,1)),#REF!,12,0),"")</f>
        <v/>
      </c>
      <c r="ED230" s="45" t="str">
        <f>IFERROR(VLOOKUP(CONCATENATE('Respuestas de formulario 1.1'!$B230,MID('Respuestas de formulario 1.1'!ED$1,2,1)),#REF!,12,0),"")</f>
        <v/>
      </c>
      <c r="EE230" s="45" t="str">
        <f>IFERROR(VLOOKUP(CONCATENATE('Respuestas de formulario 1.1'!$B230,MID('Respuestas de formulario 1.1'!EE$1,2,1)),#REF!,12,0),"")</f>
        <v/>
      </c>
      <c r="EF230" s="45" t="str">
        <f>IFERROR(VLOOKUP(CONCATENATE('Respuestas de formulario 1.1'!$B230,MID('Respuestas de formulario 1.1'!EF$1,2,1)),#REF!,12,0),"")</f>
        <v/>
      </c>
      <c r="EG230" s="45" t="str">
        <f>IFERROR(VLOOKUP(CONCATENATE('Respuestas de formulario 1.1'!$B230,MID('Respuestas de formulario 1.1'!EG$1,2,1)),#REF!,12,0),"")</f>
        <v/>
      </c>
      <c r="EH230" s="45" t="str">
        <f>IFERROR(VLOOKUP(CONCATENATE('Respuestas de formulario 1.1'!$B230,MID('Respuestas de formulario 1.1'!EH$1,2,1)),#REF!,12,0),"")</f>
        <v/>
      </c>
      <c r="EI230" s="45" t="str">
        <f>IFERROR(VLOOKUP(CONCATENATE('Respuestas de formulario 1.1'!$B230,MID('Respuestas de formulario 1.1'!EI$1,2,1)),#REF!,12,0),"")</f>
        <v/>
      </c>
      <c r="EJ230" s="45" t="str">
        <f t="array" ref="EJ230">IF(DO230="","", INDEX(#REF!,MATCH(CONCATENATE('Respuestas de formulario 1.1'!$B230,DO230),#REF!,0),MATCH('Respuestas de formulario 1.1'!EJ$1,#REF!,0)))</f>
        <v/>
      </c>
      <c r="EK230" s="56" t="str">
        <f t="array" ref="EK230">IF(DP230="","", INDEX(#REF!,MATCH(CONCATENATE('Respuestas de formulario 1.1'!$B230,DP230),#REF!,0),MATCH('Respuestas de formulario 1.1'!EK$1,#REF!,0)))</f>
        <v/>
      </c>
      <c r="EL230" s="56" t="str">
        <f t="array" ref="EL230">IF(DQ230="","", INDEX(#REF!,MATCH(CONCATENATE('Respuestas de formulario 1.1'!$B230,DQ230),#REF!,0),MATCH('Respuestas de formulario 1.1'!EL$1,#REF!,0)))</f>
        <v/>
      </c>
      <c r="EM230" s="56" t="str">
        <f t="array" ref="EM230">IF(DR230="","", INDEX(#REF!,MATCH(CONCATENATE('Respuestas de formulario 1.1'!$B230,DR230),#REF!,0),MATCH('Respuestas de formulario 1.1'!EM$1,#REF!,0)))</f>
        <v/>
      </c>
      <c r="EN230" s="56" t="str">
        <f t="array" ref="EN230">IF(DS230="","", INDEX(#REF!,MATCH(CONCATENATE('Respuestas de formulario 1.1'!$B230,DS230),#REF!,0),MATCH('Respuestas de formulario 1.1'!EN$1,#REF!,0)))</f>
        <v/>
      </c>
      <c r="EO230" s="56" t="str">
        <f t="array" ref="EO230">IF(DT230="","", INDEX(#REF!,MATCH(CONCATENATE('Respuestas de formulario 1.1'!$B230,DT230),#REF!,0),MATCH('Respuestas de formulario 1.1'!EO$1,#REF!,0)))</f>
        <v/>
      </c>
      <c r="EP230" s="45" t="str">
        <f t="array" ref="EP230">IF(DU230="","", INDEX(#REF!,MATCH(CONCATENATE('Respuestas de formulario 1.1'!$B230,DU230),#REF!,0),MATCH('Respuestas de formulario 1.1'!EP$1,#REF!,0)))</f>
        <v/>
      </c>
      <c r="EQ230" s="45" t="str">
        <f t="array" ref="EQ230">IF(DP230="","", INDEX(#REF!,MATCH(CONCATENATE('Respuestas de formulario 1.1'!$B230,DP230),#REF!,0),MATCH('Respuestas de formulario 1.1'!EQ$1,#REF!,0)))</f>
        <v/>
      </c>
      <c r="ER230" s="56" t="str">
        <f t="array" ref="ER230">IF(DQ230="","", INDEX(#REF!,MATCH(CONCATENATE('Respuestas de formulario 1.1'!$B230,DQ230),#REF!,0),MATCH('Respuestas de formulario 1.1'!ER$1,#REF!,0)))</f>
        <v/>
      </c>
      <c r="ES230" s="56" t="str">
        <f t="array" ref="ES230">IF(DR230="","", INDEX(#REF!,MATCH(CONCATENATE('Respuestas de formulario 1.1'!$B230,DR230),#REF!,0),MATCH('Respuestas de formulario 1.1'!ES$1,#REF!,0)))</f>
        <v/>
      </c>
      <c r="ET230" s="56" t="str">
        <f t="array" ref="ET230">IF(DS230="","", INDEX(#REF!,MATCH(CONCATENATE('Respuestas de formulario 1.1'!$B230,DS230),#REF!,0),MATCH('Respuestas de formulario 1.1'!ET$1,#REF!,0)))</f>
        <v/>
      </c>
      <c r="EU230" s="56" t="str">
        <f t="array" ref="EU230">IF(DT230="","", INDEX(#REF!,MATCH(CONCATENATE('Respuestas de formulario 1.1'!$B230,DT230),#REF!,0),MATCH('Respuestas de formulario 1.1'!EU$1,#REF!,0)))</f>
        <v/>
      </c>
      <c r="EV230" s="56" t="str">
        <f t="array" ref="EV230">IF(DU230="","", INDEX(#REF!,MATCH(CONCATENATE('Respuestas de formulario 1.1'!$B230,DU230),#REF!,0),MATCH('Respuestas de formulario 1.1'!EV$1,#REF!,0)))</f>
        <v/>
      </c>
      <c r="EW230" s="45" t="str">
        <f t="array" ref="EW230">IF(DV230="","", INDEX(#REF!,MATCH(CONCATENATE('Respuestas de formulario 1.1'!$B230,DV230),#REF!,0),MATCH('Respuestas de formulario 1.1'!EW$1,#REF!,0)))</f>
        <v/>
      </c>
      <c r="EX230" s="45" t="str">
        <f t="array" ref="EX230">IF($DQ230="","", INDEX(#REF!,MATCH(CONCATENATE('Respuestas de formulario 1.1'!$B230,$DQ230),#REF!,0),MATCH('Respuestas de formulario 1.1'!EX$1,#REF!,0)))</f>
        <v/>
      </c>
      <c r="EY230" s="56" t="str">
        <f t="array" ref="EY230">IF($DQ230="","", INDEX(#REF!,MATCH(CONCATENATE('Respuestas de formulario 1.1'!$B230,$DQ230),#REF!,0),MATCH('Respuestas de formulario 1.1'!EY$1,#REF!,0)))</f>
        <v/>
      </c>
      <c r="EZ230" s="56" t="str">
        <f t="array" ref="EZ230">IF($DQ230="","", INDEX(#REF!,MATCH(CONCATENATE('Respuestas de formulario 1.1'!$B230,$DQ230),#REF!,0),MATCH('Respuestas de formulario 1.1'!EZ$1,#REF!,0)))</f>
        <v/>
      </c>
      <c r="FA230" s="56" t="str">
        <f t="array" ref="FA230">IF($DQ230="","", INDEX(#REF!,MATCH(CONCATENATE('Respuestas de formulario 1.1'!$B230,$DQ230),#REF!,0),MATCH('Respuestas de formulario 1.1'!FA$1,#REF!,0)))</f>
        <v/>
      </c>
      <c r="FB230" s="56" t="str">
        <f t="array" ref="FB230">IF($DQ230="","", INDEX(#REF!,MATCH(CONCATENATE('Respuestas de formulario 1.1'!$B230,$DQ230),#REF!,0),MATCH('Respuestas de formulario 1.1'!FB$1,#REF!,0)))</f>
        <v/>
      </c>
      <c r="FC230" s="56" t="str">
        <f t="array" ref="FC230">IF($DQ230="","", INDEX(#REF!,MATCH(CONCATENATE('Respuestas de formulario 1.1'!$B230,$DQ230),#REF!,0),MATCH('Respuestas de formulario 1.1'!FC$1,#REF!,0)))</f>
        <v/>
      </c>
      <c r="FD230" s="45" t="str">
        <f t="array" ref="FD230">IF($DQ230="","", INDEX(#REF!,MATCH(CONCATENATE('Respuestas de formulario 1.1'!$B230,$DQ230),#REF!,0),MATCH('Respuestas de formulario 1.1'!FD$1,#REF!,0)))</f>
        <v/>
      </c>
      <c r="FE230" s="45" t="str">
        <f t="array" ref="FE230">IF($DR230="","", INDEX(#REF!,MATCH(CONCATENATE(#REF!,$DR230),#REF!,0),MATCH(#REF!,#REF!,0)))</f>
        <v/>
      </c>
      <c r="FF230" s="56" t="str">
        <f t="array" ref="FF230">IF($DR230="","", INDEX(#REF!,MATCH(CONCATENATE(#REF!,$DR230),#REF!,0),MATCH(#REF!,#REF!,0)))</f>
        <v/>
      </c>
      <c r="FG230" s="56" t="str">
        <f t="array" ref="FG230">IF($DR230="","", INDEX(#REF!,MATCH(CONCATENATE(#REF!,$DR230),#REF!,0),MATCH(#REF!,#REF!,0)))</f>
        <v/>
      </c>
      <c r="FH230" s="56" t="str">
        <f t="array" ref="FH230">IF($DR230="","", INDEX(#REF!,MATCH(CONCATENATE(#REF!,$DR230),#REF!,0),MATCH(#REF!,#REF!,0)))</f>
        <v/>
      </c>
      <c r="FI230" s="56" t="str">
        <f t="array" ref="FI230">IF($DR230="","", INDEX(#REF!,MATCH(CONCATENATE(#REF!,$DR230),#REF!,0),MATCH(#REF!,#REF!,0)))</f>
        <v/>
      </c>
      <c r="FJ230" s="56" t="str">
        <f t="array" ref="FJ230">IF($DR230="","", INDEX(#REF!,MATCH(CONCATENATE(#REF!,$DR230),#REF!,0),MATCH(#REF!,#REF!,0)))</f>
        <v/>
      </c>
      <c r="FK230" s="45" t="str">
        <f t="array" ref="FK230">IF($DR230="","", INDEX(#REF!,MATCH(CONCATENATE(#REF!,$DR230),#REF!,0),MATCH(#REF!,#REF!,0)))</f>
        <v/>
      </c>
      <c r="FL230" s="45" t="str">
        <f t="array" ref="FL230">IF($DT230="","", INDEX(#REF!,MATCH(CONCATENATE('Respuestas de formulario 1.1'!$B230,$DS230),#REF!,0),MATCH('Respuestas de formulario 1.1'!FL$1,#REF!,0)))</f>
        <v/>
      </c>
      <c r="FM230" s="56" t="str">
        <f t="array" ref="FM230">IF($DT230="","", INDEX(#REF!,MATCH(CONCATENATE('Respuestas de formulario 1.1'!$B230,$DS230),#REF!,0),MATCH('Respuestas de formulario 1.1'!FM$1,#REF!,0)))</f>
        <v/>
      </c>
      <c r="FN230" s="56" t="str">
        <f t="array" ref="FN230">IF($DT230="","", INDEX(#REF!,MATCH(CONCATENATE('Respuestas de formulario 1.1'!$B230,$DS230),#REF!,0),MATCH('Respuestas de formulario 1.1'!FN$1,#REF!,0)))</f>
        <v/>
      </c>
      <c r="FO230" s="56" t="str">
        <f t="array" ref="FO230">IF($DT230="","", INDEX(#REF!,MATCH(CONCATENATE('Respuestas de formulario 1.1'!$B230,$DS230),#REF!,0),MATCH('Respuestas de formulario 1.1'!FO$1,#REF!,0)))</f>
        <v/>
      </c>
      <c r="FP230" s="56" t="str">
        <f t="array" ref="FP230">IF($DT230="","", INDEX(#REF!,MATCH(CONCATENATE('Respuestas de formulario 1.1'!$B230,$DS230),#REF!,0),MATCH('Respuestas de formulario 1.1'!FP$1,#REF!,0)))</f>
        <v/>
      </c>
      <c r="FQ230" s="56" t="str">
        <f t="array" ref="FQ230">IF($DT230="","", INDEX(#REF!,MATCH(CONCATENATE('Respuestas de formulario 1.1'!$B230,$DS230),#REF!,0),MATCH('Respuestas de formulario 1.1'!FQ$1,#REF!,0)))</f>
        <v/>
      </c>
      <c r="FR230" s="45" t="str">
        <f t="array" ref="FR230">IF($DT230="","", INDEX(#REF!,MATCH(CONCATENATE('Respuestas de formulario 1.1'!$B230,$DS230),#REF!,0),MATCH('Respuestas de formulario 1.1'!FR$1,#REF!,0)))</f>
        <v/>
      </c>
      <c r="FS230" s="45" t="str">
        <f t="array" ref="FS230">IF($DU230="","", INDEX(#REF!,MATCH(CONCATENATE('Respuestas de formulario 1.1'!$B230,$DT230),#REF!,0),MATCH('Respuestas de formulario 1.1'!FS$1,#REF!,0)))</f>
        <v/>
      </c>
      <c r="FT230" s="56" t="str">
        <f t="array" ref="FT230">IF($DU230="","", INDEX(#REF!,MATCH(CONCATENATE('Respuestas de formulario 1.1'!$B230,$DT230),#REF!,0),MATCH('Respuestas de formulario 1.1'!FT$1,#REF!,0)))</f>
        <v/>
      </c>
      <c r="FU230" s="56" t="str">
        <f t="array" ref="FU230">IF($DU230="","", INDEX(#REF!,MATCH(CONCATENATE('Respuestas de formulario 1.1'!$B230,$DT230),#REF!,0),MATCH('Respuestas de formulario 1.1'!FU$1,#REF!,0)))</f>
        <v/>
      </c>
      <c r="FV230" s="56" t="str">
        <f t="array" ref="FV230">IF($DU230="","", INDEX(#REF!,MATCH(CONCATENATE('Respuestas de formulario 1.1'!$B230,$DT230),#REF!,0),MATCH('Respuestas de formulario 1.1'!FV$1,#REF!,0)))</f>
        <v/>
      </c>
      <c r="FW230" s="56" t="str">
        <f t="array" ref="FW230">IF($DU230="","", INDEX(#REF!,MATCH(CONCATENATE('Respuestas de formulario 1.1'!$B230,$DT230),#REF!,0),MATCH('Respuestas de formulario 1.1'!FW$1,#REF!,0)))</f>
        <v/>
      </c>
      <c r="FX230" s="56" t="str">
        <f t="array" ref="FX230">IF($DU230="","", INDEX(#REF!,MATCH(CONCATENATE('Respuestas de formulario 1.1'!$B230,$DT230),#REF!,0),MATCH('Respuestas de formulario 1.1'!FX$1,#REF!,0)))</f>
        <v/>
      </c>
      <c r="FY230" s="45" t="str">
        <f t="array" ref="FY230">IF($DU230="","", INDEX(#REF!,MATCH(CONCATENATE('Respuestas de formulario 1.1'!$B230,$DT230),#REF!,0),MATCH('Respuestas de formulario 1.1'!FY$1,#REF!,0)))</f>
        <v/>
      </c>
      <c r="FZ230" s="3" t="s">
        <v>2860</v>
      </c>
      <c r="GA230" s="1" t="s">
        <v>6799</v>
      </c>
      <c r="GB230" s="5" t="s">
        <v>6800</v>
      </c>
      <c r="GC230" s="4" t="str">
        <f>HYPERLINK("https://drive.google.com/file/d/1k-nff5tSbfaPEK1j-tcaKQcBQefgxuwx/view?usp=drivesdk","RAMIREZ  MIRANDA AYLIN Formato de reinscripción y pago 2022-2")</f>
        <v>RAMIREZ  MIRANDA AYLIN Formato de reinscripción y pago 2022-2</v>
      </c>
      <c r="GD230" s="1" t="s">
        <v>6801</v>
      </c>
      <c r="GE230" s="1"/>
      <c r="GF230" s="1"/>
      <c r="GG230" s="1"/>
      <c r="GH230" s="1"/>
      <c r="GI230" s="1" t="s">
        <v>6802</v>
      </c>
      <c r="GJ230" s="5" t="s">
        <v>6803</v>
      </c>
      <c r="GK230" s="5" t="str">
        <f>HYPERLINK("https://drive.google.com/file/d/18xOlhkppYCJwXfSOA9Lt_A8VBd67ZqoI/view?usp=drivesdk","RAMIREZ  MIRANDA AYLIN Formato de reinscripción y pago 2022-2")</f>
        <v>RAMIREZ  MIRANDA AYLIN Formato de reinscripción y pago 2022-2</v>
      </c>
      <c r="GL230" s="1" t="s">
        <v>6804</v>
      </c>
    </row>
    <row r="231" spans="1:194" ht="38.25" x14ac:dyDescent="0.2">
      <c r="A231" s="2">
        <v>45139.534372905095</v>
      </c>
      <c r="B231" s="1" t="s">
        <v>11</v>
      </c>
      <c r="C231" s="1" t="s">
        <v>869</v>
      </c>
      <c r="D231" s="1" t="s">
        <v>1434</v>
      </c>
      <c r="E231" s="1" t="s">
        <v>506</v>
      </c>
      <c r="F231" s="1" t="s">
        <v>223</v>
      </c>
      <c r="G231" s="5" t="s">
        <v>6805</v>
      </c>
      <c r="H231" s="41">
        <v>39383</v>
      </c>
      <c r="I231" s="1">
        <v>15</v>
      </c>
      <c r="J231" s="1">
        <v>5614831984</v>
      </c>
      <c r="K231" s="1">
        <v>5526334001</v>
      </c>
      <c r="L231" s="1" t="s">
        <v>1634</v>
      </c>
      <c r="M231" s="1">
        <v>22309060570115</v>
      </c>
      <c r="N231" s="1" t="s">
        <v>562</v>
      </c>
      <c r="O231" s="1" t="s">
        <v>247</v>
      </c>
      <c r="P231" s="1" t="s">
        <v>226</v>
      </c>
      <c r="Q231" s="1" t="s">
        <v>315</v>
      </c>
      <c r="R231" s="1" t="s">
        <v>236</v>
      </c>
      <c r="S231" s="1" t="s">
        <v>228</v>
      </c>
      <c r="T231" s="1" t="s">
        <v>229</v>
      </c>
      <c r="U231" s="1" t="s">
        <v>249</v>
      </c>
      <c r="V231" s="1" t="s">
        <v>228</v>
      </c>
      <c r="W231" s="1" t="s">
        <v>6806</v>
      </c>
      <c r="X231" s="1" t="s">
        <v>249</v>
      </c>
      <c r="Y231" s="1" t="s">
        <v>6807</v>
      </c>
      <c r="Z231" s="1" t="s">
        <v>240</v>
      </c>
      <c r="AA231" s="44" t="s">
        <v>530</v>
      </c>
      <c r="AB231" s="1">
        <v>3</v>
      </c>
      <c r="AC231" s="1">
        <v>3</v>
      </c>
      <c r="AD231" s="1" t="s">
        <v>6808</v>
      </c>
      <c r="AE231" s="1" t="s">
        <v>6809</v>
      </c>
      <c r="AF231" s="1" t="s">
        <v>488</v>
      </c>
      <c r="AG231" s="1">
        <v>32</v>
      </c>
      <c r="AH231" s="5" t="s">
        <v>6810</v>
      </c>
      <c r="AI231" s="1">
        <v>5586117149</v>
      </c>
      <c r="AJ231" s="1">
        <v>5526422232</v>
      </c>
      <c r="AK231" s="1"/>
      <c r="AL231" s="1" t="s">
        <v>1434</v>
      </c>
      <c r="AM231" s="1" t="s">
        <v>504</v>
      </c>
      <c r="AN231" s="1" t="s">
        <v>1344</v>
      </c>
      <c r="AO231" s="1" t="s">
        <v>265</v>
      </c>
      <c r="AP231" s="1">
        <v>50</v>
      </c>
      <c r="AQ231" s="1" t="s">
        <v>233</v>
      </c>
      <c r="AR231" s="42">
        <v>0</v>
      </c>
      <c r="AS231" s="42">
        <v>0.99930555555329192</v>
      </c>
      <c r="AT231" s="1">
        <v>5538048819</v>
      </c>
      <c r="AU231" s="1">
        <v>5526334001</v>
      </c>
      <c r="AV231" s="1"/>
      <c r="AW231" s="5" t="s">
        <v>6811</v>
      </c>
      <c r="AX231" s="1" t="s">
        <v>869</v>
      </c>
      <c r="AY231" s="1" t="s">
        <v>281</v>
      </c>
      <c r="AZ231" s="1" t="s">
        <v>6812</v>
      </c>
      <c r="BA231" s="1" t="s">
        <v>6813</v>
      </c>
      <c r="BB231" s="1">
        <v>73</v>
      </c>
      <c r="BC231" s="1" t="s">
        <v>364</v>
      </c>
      <c r="BD231" s="43">
        <v>0</v>
      </c>
      <c r="BE231" s="43">
        <v>0.99998842592322035</v>
      </c>
      <c r="BF231" s="1">
        <v>7341484439</v>
      </c>
      <c r="BG231" s="1">
        <v>5526334001</v>
      </c>
      <c r="BH231" s="1"/>
      <c r="BI231" s="5" t="s">
        <v>6814</v>
      </c>
      <c r="BJ231" s="1" t="s">
        <v>236</v>
      </c>
      <c r="BK231" s="1" t="s">
        <v>1875</v>
      </c>
      <c r="BL231" s="1">
        <v>155</v>
      </c>
      <c r="BM231" s="1">
        <v>58</v>
      </c>
      <c r="BN231" s="1" t="s">
        <v>236</v>
      </c>
      <c r="BO231" s="1" t="s">
        <v>228</v>
      </c>
      <c r="BQ231" s="1" t="s">
        <v>228</v>
      </c>
      <c r="BR231" s="1" t="s">
        <v>237</v>
      </c>
      <c r="BS231" s="1" t="s">
        <v>228</v>
      </c>
      <c r="BT231" s="1" t="s">
        <v>237</v>
      </c>
      <c r="BU231" s="1" t="s">
        <v>228</v>
      </c>
      <c r="BW231" s="1" t="s">
        <v>238</v>
      </c>
      <c r="BX231" s="1">
        <v>10</v>
      </c>
      <c r="BY231" s="1">
        <v>200</v>
      </c>
      <c r="BZ231" s="1" t="s">
        <v>1973</v>
      </c>
      <c r="CA231" s="1" t="s">
        <v>858</v>
      </c>
      <c r="CB231" s="1" t="s">
        <v>240</v>
      </c>
      <c r="CC231" s="1" t="s">
        <v>274</v>
      </c>
      <c r="CD231" s="1">
        <v>5000</v>
      </c>
      <c r="CE231" s="1">
        <v>1000</v>
      </c>
      <c r="CF231" s="1" t="s">
        <v>236</v>
      </c>
      <c r="CG231" s="1" t="s">
        <v>242</v>
      </c>
      <c r="CH231" s="1" t="s">
        <v>243</v>
      </c>
      <c r="CI231" s="1" t="s">
        <v>243</v>
      </c>
      <c r="CJ231" s="1" t="s">
        <v>2848</v>
      </c>
      <c r="CL231" s="5" t="s">
        <v>6815</v>
      </c>
      <c r="CM231" s="44" t="s">
        <v>1636</v>
      </c>
      <c r="CN231" s="1" t="s">
        <v>236</v>
      </c>
      <c r="CO231" s="1" t="s">
        <v>2774</v>
      </c>
      <c r="CP231" s="1" t="s">
        <v>237</v>
      </c>
      <c r="CQ231" s="42">
        <v>0</v>
      </c>
      <c r="CR231" s="42">
        <v>0.99930555555329192</v>
      </c>
      <c r="CT231" s="45" t="str">
        <f t="array" ref="CT231">IFERROR(INDEX(#REF!,MATCH('Respuestas de formulario 1.1'!$B231,#REF!,0),MATCH('Respuestas de formulario 1.1'!CT$1,#REF!,0)),"")</f>
        <v/>
      </c>
      <c r="CU231" s="56" t="str">
        <f t="array" ref="CU231">IFERROR(INDEX(#REF!,MATCH('Respuestas de formulario 1.1'!$B231,#REF!,0),MATCH('Respuestas de formulario 1.1'!CU$1,#REF!,0)),"")</f>
        <v/>
      </c>
      <c r="CV231" s="56" t="str">
        <f t="array" ref="CV231">IFERROR(INDEX(#REF!,MATCH('Respuestas de formulario 1.1'!$B231,#REF!,0),MATCH('Respuestas de formulario 1.1'!CV$1,#REF!,0)),"")</f>
        <v/>
      </c>
      <c r="CW231" s="56" t="str">
        <f t="array" ref="CW231">IFERROR(INDEX(#REF!,MATCH('Respuestas de formulario 1.1'!$B231,#REF!,0),MATCH('Respuestas de formulario 1.1'!CW$1,#REF!,0)),"")</f>
        <v/>
      </c>
      <c r="CX231" s="56" t="str">
        <f t="array" ref="CX231">IFERROR(INDEX(#REF!,MATCH('Respuestas de formulario 1.1'!$B231,#REF!,0),MATCH('Respuestas de formulario 1.1'!CX$1,#REF!,0)),"")</f>
        <v/>
      </c>
      <c r="CY231" s="56" t="str">
        <f t="array" ref="CY231">IFERROR(INDEX(#REF!,MATCH('Respuestas de formulario 1.1'!$B231,#REF!,0),MATCH('Respuestas de formulario 1.1'!CY$1,#REF!,0)),"")</f>
        <v/>
      </c>
      <c r="CZ231" s="57" t="str">
        <f t="array" ref="CZ231">IFERROR(INDEX(#REF!,MATCH('Respuestas de formulario 1.1'!$B231,#REF!,0),MATCH('Respuestas de formulario 1.1'!CZ$1,#REF!,0)),"")</f>
        <v/>
      </c>
      <c r="DA231" s="45" t="e">
        <f t="array" ref="DA231">INDEX(#REF!,MATCH('Respuestas de formulario 1.1'!$B231,#REF!,0),MATCH('Respuestas de formulario 1.1'!DA$1,#REF!,0))</f>
        <v>#REF!</v>
      </c>
      <c r="DB231" s="45" t="e">
        <f t="array" ref="DB231">INDEX(#REF!,MATCH('Respuestas de formulario 1.1'!$B231,#REF!,0),MATCH('Respuestas de formulario 1.1'!DB$1,#REF!,0))</f>
        <v>#REF!</v>
      </c>
      <c r="DC231" s="45" t="e">
        <f t="array" ref="DC231">INDEX(#REF!,MATCH('Respuestas de formulario 1.1'!$B231,#REF!,0),MATCH('Respuestas de formulario 1.1'!DC$1,#REF!,0))</f>
        <v>#REF!</v>
      </c>
      <c r="DD231" s="45" t="e">
        <f t="array" ref="DD231">INDEX(#REF!,MATCH('Respuestas de formulario 1.1'!$B231,#REF!,0),MATCH('Respuestas de formulario 1.1'!DD$1,#REF!,0))</f>
        <v>#REF!</v>
      </c>
      <c r="DE231" s="45" t="e">
        <f t="array" ref="DE231">INDEX(#REF!,MATCH('Respuestas de formulario 1.1'!$B231,#REF!,0),MATCH('Respuestas de formulario 1.1'!DE$1,#REF!,0))</f>
        <v>#REF!</v>
      </c>
      <c r="DF231" s="45" t="e">
        <f t="array" ref="DF231">INDEX(#REF!,MATCH('Respuestas de formulario 1.1'!$B231,#REF!,0),MATCH('Respuestas de formulario 1.1'!DF$1,#REF!,0))</f>
        <v>#REF!</v>
      </c>
      <c r="DG231" s="45" t="e">
        <f t="array" ref="DG231">INDEX(#REF!,MATCH('Respuestas de formulario 1.1'!$B231,#REF!,0),MATCH('Respuestas de formulario 1.1'!DG$1,#REF!,0))</f>
        <v>#REF!</v>
      </c>
      <c r="DH231" s="45" t="e">
        <f t="array" ref="DH231">INDEX(#REF!,MATCH('Respuestas de formulario 1.1'!$B231,#REF!,0),MATCH('Respuestas de formulario 1.1'!DH$1,#REF!,0))</f>
        <v>#REF!</v>
      </c>
      <c r="DI231" s="48" t="e">
        <f>VLOOKUP(CONCATENATE($DF231," TUTO ",$DC231),#REF!,3,0)</f>
        <v>#REF!</v>
      </c>
      <c r="DJ231" s="48" t="e">
        <f t="array" ref="DJ231">IF('Respuestas de formulario 1.1'!A231="","",INDEX(#REF!,MATCH('Respuestas de formulario 1.1'!B231,#REF!,0),MATCH('Respuestas de formulario 1.1'!$DH$1,#REF!,0)))</f>
        <v>#REF!</v>
      </c>
      <c r="DK231" s="52" t="str">
        <f>CONCATENATE("http://doc.google.com/uc?id=",MID('Respuestas de formulario 1.1'!G231,34,33))</f>
        <v>http://doc.google.com/uc?id=1sOaA6mTbiUP74HFBHRB0Ge5mNVpEAlO8</v>
      </c>
      <c r="DL231" s="49" t="str">
        <f>CONCATENATE("http://doc.google.com/uc?id=",MID('Respuestas de formulario 1.1'!AH231,34,33))</f>
        <v>http://doc.google.com/uc?id=1XpCcaxugqM5AepLZzFfjr6kSSzmHHZLW</v>
      </c>
      <c r="DM231" s="50" t="str">
        <f>CONCATENATE("http://doc.google.com/uc?id=",MID('Respuestas de formulario 1.1'!AW231,34,33))</f>
        <v>http://doc.google.com/uc?id=1inwg532djGkVlVHHLljiLhxP0zQKFlAc</v>
      </c>
      <c r="DN231" s="53" t="str">
        <f>CONCATENATE("http://doc.google.com/uc?id=",MID('Respuestas de formulario 1.1'!$BI231,34,33))</f>
        <v>http://doc.google.com/uc?id=14M0f-j07ZW44Q2ZCZ3G42MXhffUMEaGj</v>
      </c>
      <c r="DO231" s="45" t="str">
        <f>IFERROR(VLOOKUP(CONCATENATE('Respuestas de formulario 1.1'!$B231,MID('Respuestas de formulario 1.1'!DO$1,2,1)),#REF!,12,0),"")</f>
        <v/>
      </c>
      <c r="DP231" s="45" t="str">
        <f>IFERROR(VLOOKUP(CONCATENATE('Respuestas de formulario 1.1'!$B231,MID('Respuestas de formulario 1.1'!DP$1,2,1)),#REF!,12,0),"")</f>
        <v/>
      </c>
      <c r="DQ231" s="45" t="str">
        <f>IFERROR(VLOOKUP(CONCATENATE('Respuestas de formulario 1.1'!$B231,MID('Respuestas de formulario 1.1'!DQ$1,2,1)),#REF!,12,0),"")</f>
        <v/>
      </c>
      <c r="DR231" s="45" t="str">
        <f>IFERROR(VLOOKUP(CONCATENATE('Respuestas de formulario 1.1'!$B231,MID('Respuestas de formulario 1.1'!DR$1,2,1)),#REF!,12,0),"")</f>
        <v/>
      </c>
      <c r="DS231" s="45" t="str">
        <f>IFERROR(VLOOKUP(CONCATENATE('Respuestas de formulario 1.1'!$B231,MID('Respuestas de formulario 1.1'!DS$1,2,1)),#REF!,12,0),"")</f>
        <v/>
      </c>
      <c r="DT231" s="45" t="str">
        <f>IFERROR(VLOOKUP(CONCATENATE('Respuestas de formulario 1.1'!$B231,MID('Respuestas de formulario 1.1'!DT$1,2,1)),#REF!,12,0),"")</f>
        <v/>
      </c>
      <c r="DU231" s="45" t="str">
        <f>IFERROR(VLOOKUP(CONCATENATE('Respuestas de formulario 1.1'!$B231,MID('Respuestas de formulario 1.1'!DU$1,2,1)),#REF!,12,0),"")</f>
        <v/>
      </c>
      <c r="DV231" s="45" t="str">
        <f>IFERROR(VLOOKUP(CONCATENATE('Respuestas de formulario 1.1'!$B231,MID('Respuestas de formulario 1.1'!DV$1,2,1)),#REF!,12,0),"")</f>
        <v/>
      </c>
      <c r="DW231" s="45" t="str">
        <f>IFERROR(VLOOKUP(CONCATENATE('Respuestas de formulario 1.1'!$B231,MID('Respuestas de formulario 1.1'!DW$1,2,1)),#REF!,12,0),"")</f>
        <v/>
      </c>
      <c r="DX231" s="45" t="str">
        <f>IFERROR(VLOOKUP(CONCATENATE('Respuestas de formulario 1.1'!$B231,MID('Respuestas de formulario 1.1'!DX$1,2,1)),#REF!,12,0),"")</f>
        <v/>
      </c>
      <c r="DY231" s="45" t="str">
        <f>IFERROR(VLOOKUP(CONCATENATE('Respuestas de formulario 1.1'!$B231,MID('Respuestas de formulario 1.1'!DY$1,2,1)),#REF!,12,0),"")</f>
        <v/>
      </c>
      <c r="DZ231" s="45" t="str">
        <f>IFERROR(VLOOKUP(CONCATENATE('Respuestas de formulario 1.1'!$B231,MID('Respuestas de formulario 1.1'!DZ$1,2,1)),#REF!,12,0),"")</f>
        <v/>
      </c>
      <c r="EA231" s="45" t="str">
        <f>IFERROR(VLOOKUP(CONCATENATE('Respuestas de formulario 1.1'!$B231,MID('Respuestas de formulario 1.1'!EA$1,2,1)),#REF!,12,0),"")</f>
        <v/>
      </c>
      <c r="EB231" s="45" t="str">
        <f>IFERROR(VLOOKUP(CONCATENATE('Respuestas de formulario 1.1'!$B231,MID('Respuestas de formulario 1.1'!EB$1,2,1)),#REF!,12,0),"")</f>
        <v/>
      </c>
      <c r="EC231" s="45" t="str">
        <f>IFERROR(VLOOKUP(CONCATENATE('Respuestas de formulario 1.1'!$B231,MID('Respuestas de formulario 1.1'!EC$1,2,1)),#REF!,12,0),"")</f>
        <v/>
      </c>
      <c r="ED231" s="45" t="str">
        <f>IFERROR(VLOOKUP(CONCATENATE('Respuestas de formulario 1.1'!$B231,MID('Respuestas de formulario 1.1'!ED$1,2,1)),#REF!,12,0),"")</f>
        <v/>
      </c>
      <c r="EE231" s="45" t="str">
        <f>IFERROR(VLOOKUP(CONCATENATE('Respuestas de formulario 1.1'!$B231,MID('Respuestas de formulario 1.1'!EE$1,2,1)),#REF!,12,0),"")</f>
        <v/>
      </c>
      <c r="EF231" s="45" t="str">
        <f>IFERROR(VLOOKUP(CONCATENATE('Respuestas de formulario 1.1'!$B231,MID('Respuestas de formulario 1.1'!EF$1,2,1)),#REF!,12,0),"")</f>
        <v/>
      </c>
      <c r="EG231" s="45" t="str">
        <f>IFERROR(VLOOKUP(CONCATENATE('Respuestas de formulario 1.1'!$B231,MID('Respuestas de formulario 1.1'!EG$1,2,1)),#REF!,12,0),"")</f>
        <v/>
      </c>
      <c r="EH231" s="45" t="str">
        <f>IFERROR(VLOOKUP(CONCATENATE('Respuestas de formulario 1.1'!$B231,MID('Respuestas de formulario 1.1'!EH$1,2,1)),#REF!,12,0),"")</f>
        <v/>
      </c>
      <c r="EI231" s="45" t="str">
        <f>IFERROR(VLOOKUP(CONCATENATE('Respuestas de formulario 1.1'!$B231,MID('Respuestas de formulario 1.1'!EI$1,2,1)),#REF!,12,0),"")</f>
        <v/>
      </c>
      <c r="EJ231" s="45" t="str">
        <f t="array" ref="EJ231">IF(DO231="","", INDEX(#REF!,MATCH(CONCATENATE('Respuestas de formulario 1.1'!$B231,DO231),#REF!,0),MATCH('Respuestas de formulario 1.1'!EJ$1,#REF!,0)))</f>
        <v/>
      </c>
      <c r="EK231" s="56" t="str">
        <f t="array" ref="EK231">IF(DP231="","", INDEX(#REF!,MATCH(CONCATENATE('Respuestas de formulario 1.1'!$B231,DP231),#REF!,0),MATCH('Respuestas de formulario 1.1'!EK$1,#REF!,0)))</f>
        <v/>
      </c>
      <c r="EL231" s="56" t="str">
        <f t="array" ref="EL231">IF(DQ231="","", INDEX(#REF!,MATCH(CONCATENATE('Respuestas de formulario 1.1'!$B231,DQ231),#REF!,0),MATCH('Respuestas de formulario 1.1'!EL$1,#REF!,0)))</f>
        <v/>
      </c>
      <c r="EM231" s="56" t="str">
        <f t="array" ref="EM231">IF(DR231="","", INDEX(#REF!,MATCH(CONCATENATE('Respuestas de formulario 1.1'!$B231,DR231),#REF!,0),MATCH('Respuestas de formulario 1.1'!EM$1,#REF!,0)))</f>
        <v/>
      </c>
      <c r="EN231" s="56" t="str">
        <f t="array" ref="EN231">IF(DS231="","", INDEX(#REF!,MATCH(CONCATENATE('Respuestas de formulario 1.1'!$B231,DS231),#REF!,0),MATCH('Respuestas de formulario 1.1'!EN$1,#REF!,0)))</f>
        <v/>
      </c>
      <c r="EO231" s="56" t="str">
        <f t="array" ref="EO231">IF(DT231="","", INDEX(#REF!,MATCH(CONCATENATE('Respuestas de formulario 1.1'!$B231,DT231),#REF!,0),MATCH('Respuestas de formulario 1.1'!EO$1,#REF!,0)))</f>
        <v/>
      </c>
      <c r="EP231" s="45" t="str">
        <f t="array" ref="EP231">IF(DU231="","", INDEX(#REF!,MATCH(CONCATENATE('Respuestas de formulario 1.1'!$B231,DU231),#REF!,0),MATCH('Respuestas de formulario 1.1'!EP$1,#REF!,0)))</f>
        <v/>
      </c>
      <c r="EQ231" s="45" t="str">
        <f t="array" ref="EQ231">IF(DP231="","", INDEX(#REF!,MATCH(CONCATENATE('Respuestas de formulario 1.1'!$B231,DP231),#REF!,0),MATCH('Respuestas de formulario 1.1'!EQ$1,#REF!,0)))</f>
        <v/>
      </c>
      <c r="ER231" s="56" t="str">
        <f t="array" ref="ER231">IF(DQ231="","", INDEX(#REF!,MATCH(CONCATENATE('Respuestas de formulario 1.1'!$B231,DQ231),#REF!,0),MATCH('Respuestas de formulario 1.1'!ER$1,#REF!,0)))</f>
        <v/>
      </c>
      <c r="ES231" s="56" t="str">
        <f t="array" ref="ES231">IF(DR231="","", INDEX(#REF!,MATCH(CONCATENATE('Respuestas de formulario 1.1'!$B231,DR231),#REF!,0),MATCH('Respuestas de formulario 1.1'!ES$1,#REF!,0)))</f>
        <v/>
      </c>
      <c r="ET231" s="56" t="str">
        <f t="array" ref="ET231">IF(DS231="","", INDEX(#REF!,MATCH(CONCATENATE('Respuestas de formulario 1.1'!$B231,DS231),#REF!,0),MATCH('Respuestas de formulario 1.1'!ET$1,#REF!,0)))</f>
        <v/>
      </c>
      <c r="EU231" s="56" t="str">
        <f t="array" ref="EU231">IF(DT231="","", INDEX(#REF!,MATCH(CONCATENATE('Respuestas de formulario 1.1'!$B231,DT231),#REF!,0),MATCH('Respuestas de formulario 1.1'!EU$1,#REF!,0)))</f>
        <v/>
      </c>
      <c r="EV231" s="56" t="str">
        <f t="array" ref="EV231">IF(DU231="","", INDEX(#REF!,MATCH(CONCATENATE('Respuestas de formulario 1.1'!$B231,DU231),#REF!,0),MATCH('Respuestas de formulario 1.1'!EV$1,#REF!,0)))</f>
        <v/>
      </c>
      <c r="EW231" s="45" t="str">
        <f t="array" ref="EW231">IF(DV231="","", INDEX(#REF!,MATCH(CONCATENATE('Respuestas de formulario 1.1'!$B231,DV231),#REF!,0),MATCH('Respuestas de formulario 1.1'!EW$1,#REF!,0)))</f>
        <v/>
      </c>
      <c r="EX231" s="45" t="str">
        <f t="array" ref="EX231">IF($DQ231="","", INDEX(#REF!,MATCH(CONCATENATE('Respuestas de formulario 1.1'!$B231,$DQ231),#REF!,0),MATCH('Respuestas de formulario 1.1'!EX$1,#REF!,0)))</f>
        <v/>
      </c>
      <c r="EY231" s="56" t="str">
        <f t="array" ref="EY231">IF($DQ231="","", INDEX(#REF!,MATCH(CONCATENATE('Respuestas de formulario 1.1'!$B231,$DQ231),#REF!,0),MATCH('Respuestas de formulario 1.1'!EY$1,#REF!,0)))</f>
        <v/>
      </c>
      <c r="EZ231" s="56" t="str">
        <f t="array" ref="EZ231">IF($DQ231="","", INDEX(#REF!,MATCH(CONCATENATE('Respuestas de formulario 1.1'!$B231,$DQ231),#REF!,0),MATCH('Respuestas de formulario 1.1'!EZ$1,#REF!,0)))</f>
        <v/>
      </c>
      <c r="FA231" s="56" t="str">
        <f t="array" ref="FA231">IF($DQ231="","", INDEX(#REF!,MATCH(CONCATENATE('Respuestas de formulario 1.1'!$B231,$DQ231),#REF!,0),MATCH('Respuestas de formulario 1.1'!FA$1,#REF!,0)))</f>
        <v/>
      </c>
      <c r="FB231" s="56" t="str">
        <f t="array" ref="FB231">IF($DQ231="","", INDEX(#REF!,MATCH(CONCATENATE('Respuestas de formulario 1.1'!$B231,$DQ231),#REF!,0),MATCH('Respuestas de formulario 1.1'!FB$1,#REF!,0)))</f>
        <v/>
      </c>
      <c r="FC231" s="56" t="str">
        <f t="array" ref="FC231">IF($DQ231="","", INDEX(#REF!,MATCH(CONCATENATE('Respuestas de formulario 1.1'!$B231,$DQ231),#REF!,0),MATCH('Respuestas de formulario 1.1'!FC$1,#REF!,0)))</f>
        <v/>
      </c>
      <c r="FD231" s="45" t="str">
        <f t="array" ref="FD231">IF($DQ231="","", INDEX(#REF!,MATCH(CONCATENATE('Respuestas de formulario 1.1'!$B231,$DQ231),#REF!,0),MATCH('Respuestas de formulario 1.1'!FD$1,#REF!,0)))</f>
        <v/>
      </c>
      <c r="FE231" s="45" t="str">
        <f t="array" ref="FE231">IF($DR231="","", INDEX(#REF!,MATCH(CONCATENATE(#REF!,$DR231),#REF!,0),MATCH(#REF!,#REF!,0)))</f>
        <v/>
      </c>
      <c r="FF231" s="56" t="str">
        <f t="array" ref="FF231">IF($DR231="","", INDEX(#REF!,MATCH(CONCATENATE(#REF!,$DR231),#REF!,0),MATCH(#REF!,#REF!,0)))</f>
        <v/>
      </c>
      <c r="FG231" s="56" t="str">
        <f t="array" ref="FG231">IF($DR231="","", INDEX(#REF!,MATCH(CONCATENATE(#REF!,$DR231),#REF!,0),MATCH(#REF!,#REF!,0)))</f>
        <v/>
      </c>
      <c r="FH231" s="56" t="str">
        <f t="array" ref="FH231">IF($DR231="","", INDEX(#REF!,MATCH(CONCATENATE(#REF!,$DR231),#REF!,0),MATCH(#REF!,#REF!,0)))</f>
        <v/>
      </c>
      <c r="FI231" s="56" t="str">
        <f t="array" ref="FI231">IF($DR231="","", INDEX(#REF!,MATCH(CONCATENATE(#REF!,$DR231),#REF!,0),MATCH(#REF!,#REF!,0)))</f>
        <v/>
      </c>
      <c r="FJ231" s="56" t="str">
        <f t="array" ref="FJ231">IF($DR231="","", INDEX(#REF!,MATCH(CONCATENATE(#REF!,$DR231),#REF!,0),MATCH(#REF!,#REF!,0)))</f>
        <v/>
      </c>
      <c r="FK231" s="45" t="str">
        <f t="array" ref="FK231">IF($DR231="","", INDEX(#REF!,MATCH(CONCATENATE(#REF!,$DR231),#REF!,0),MATCH(#REF!,#REF!,0)))</f>
        <v/>
      </c>
      <c r="FL231" s="45" t="str">
        <f t="array" ref="FL231">IF($DT231="","", INDEX(#REF!,MATCH(CONCATENATE('Respuestas de formulario 1.1'!$B231,$DS231),#REF!,0),MATCH('Respuestas de formulario 1.1'!FL$1,#REF!,0)))</f>
        <v/>
      </c>
      <c r="FM231" s="56" t="str">
        <f t="array" ref="FM231">IF($DT231="","", INDEX(#REF!,MATCH(CONCATENATE('Respuestas de formulario 1.1'!$B231,$DS231),#REF!,0),MATCH('Respuestas de formulario 1.1'!FM$1,#REF!,0)))</f>
        <v/>
      </c>
      <c r="FN231" s="56" t="str">
        <f t="array" ref="FN231">IF($DT231="","", INDEX(#REF!,MATCH(CONCATENATE('Respuestas de formulario 1.1'!$B231,$DS231),#REF!,0),MATCH('Respuestas de formulario 1.1'!FN$1,#REF!,0)))</f>
        <v/>
      </c>
      <c r="FO231" s="56" t="str">
        <f t="array" ref="FO231">IF($DT231="","", INDEX(#REF!,MATCH(CONCATENATE('Respuestas de formulario 1.1'!$B231,$DS231),#REF!,0),MATCH('Respuestas de formulario 1.1'!FO$1,#REF!,0)))</f>
        <v/>
      </c>
      <c r="FP231" s="56" t="str">
        <f t="array" ref="FP231">IF($DT231="","", INDEX(#REF!,MATCH(CONCATENATE('Respuestas de formulario 1.1'!$B231,$DS231),#REF!,0),MATCH('Respuestas de formulario 1.1'!FP$1,#REF!,0)))</f>
        <v/>
      </c>
      <c r="FQ231" s="56" t="str">
        <f t="array" ref="FQ231">IF($DT231="","", INDEX(#REF!,MATCH(CONCATENATE('Respuestas de formulario 1.1'!$B231,$DS231),#REF!,0),MATCH('Respuestas de formulario 1.1'!FQ$1,#REF!,0)))</f>
        <v/>
      </c>
      <c r="FR231" s="45" t="str">
        <f t="array" ref="FR231">IF($DT231="","", INDEX(#REF!,MATCH(CONCATENATE('Respuestas de formulario 1.1'!$B231,$DS231),#REF!,0),MATCH('Respuestas de formulario 1.1'!FR$1,#REF!,0)))</f>
        <v/>
      </c>
      <c r="FS231" s="45" t="str">
        <f t="array" ref="FS231">IF($DU231="","", INDEX(#REF!,MATCH(CONCATENATE('Respuestas de formulario 1.1'!$B231,$DT231),#REF!,0),MATCH('Respuestas de formulario 1.1'!FS$1,#REF!,0)))</f>
        <v/>
      </c>
      <c r="FT231" s="56" t="str">
        <f t="array" ref="FT231">IF($DU231="","", INDEX(#REF!,MATCH(CONCATENATE('Respuestas de formulario 1.1'!$B231,$DT231),#REF!,0),MATCH('Respuestas de formulario 1.1'!FT$1,#REF!,0)))</f>
        <v/>
      </c>
      <c r="FU231" s="56" t="str">
        <f t="array" ref="FU231">IF($DU231="","", INDEX(#REF!,MATCH(CONCATENATE('Respuestas de formulario 1.1'!$B231,$DT231),#REF!,0),MATCH('Respuestas de formulario 1.1'!FU$1,#REF!,0)))</f>
        <v/>
      </c>
      <c r="FV231" s="56" t="str">
        <f t="array" ref="FV231">IF($DU231="","", INDEX(#REF!,MATCH(CONCATENATE('Respuestas de formulario 1.1'!$B231,$DT231),#REF!,0),MATCH('Respuestas de formulario 1.1'!FV$1,#REF!,0)))</f>
        <v/>
      </c>
      <c r="FW231" s="56" t="str">
        <f t="array" ref="FW231">IF($DU231="","", INDEX(#REF!,MATCH(CONCATENATE('Respuestas de formulario 1.1'!$B231,$DT231),#REF!,0),MATCH('Respuestas de formulario 1.1'!FW$1,#REF!,0)))</f>
        <v/>
      </c>
      <c r="FX231" s="56" t="str">
        <f t="array" ref="FX231">IF($DU231="","", INDEX(#REF!,MATCH(CONCATENATE('Respuestas de formulario 1.1'!$B231,$DT231),#REF!,0),MATCH('Respuestas de formulario 1.1'!FX$1,#REF!,0)))</f>
        <v/>
      </c>
      <c r="FY231" s="45" t="str">
        <f t="array" ref="FY231">IF($DU231="","", INDEX(#REF!,MATCH(CONCATENATE('Respuestas de formulario 1.1'!$B231,$DT231),#REF!,0),MATCH('Respuestas de formulario 1.1'!FY$1,#REF!,0)))</f>
        <v/>
      </c>
      <c r="FZ231" s="3" t="s">
        <v>2860</v>
      </c>
      <c r="GA231" s="1" t="s">
        <v>6816</v>
      </c>
      <c r="GB231" s="5" t="s">
        <v>6817</v>
      </c>
      <c r="GC231" s="4" t="str">
        <f>HYPERLINK("https://drive.google.com/file/d/1CK1eZQouhlCg9Bgt5GnphTo5OFD73C4-/view?usp=drivesdk","ALVAREZ  FERNANDEZ  JAZMIN Formato de reinscripción y pago 2022-2")</f>
        <v>ALVAREZ  FERNANDEZ  JAZMIN Formato de reinscripción y pago 2022-2</v>
      </c>
      <c r="GD231" s="1" t="s">
        <v>6818</v>
      </c>
      <c r="GE231" s="1"/>
      <c r="GF231" s="1"/>
      <c r="GG231" s="1"/>
      <c r="GH231" s="1"/>
      <c r="GI231" s="1" t="s">
        <v>6819</v>
      </c>
      <c r="GJ231" s="5" t="s">
        <v>6820</v>
      </c>
      <c r="GK231" s="5" t="str">
        <f>HYPERLINK("https://drive.google.com/file/d/1HKWhQ9ghsypZTiWWbImsastg_MVEuynA/view?usp=drivesdk","ALVAREZ  FERNANDEZ  &lt;&lt;Nombre(S)&gt;&gt; Formato de reinscripción y pago 2022-2")</f>
        <v>ALVAREZ  FERNANDEZ  &lt;&lt;Nombre(S)&gt;&gt; Formato de reinscripción y pago 2022-2</v>
      </c>
      <c r="GL231" s="1" t="s">
        <v>6821</v>
      </c>
    </row>
    <row r="232" spans="1:194" ht="38.25" x14ac:dyDescent="0.2">
      <c r="A232" s="2">
        <v>45139.534493090279</v>
      </c>
      <c r="B232" s="1" t="s">
        <v>32</v>
      </c>
      <c r="C232" s="1" t="s">
        <v>641</v>
      </c>
      <c r="D232" s="1" t="s">
        <v>671</v>
      </c>
      <c r="E232" s="1" t="s">
        <v>6822</v>
      </c>
      <c r="F232" s="1" t="s">
        <v>223</v>
      </c>
      <c r="G232" s="5" t="s">
        <v>6823</v>
      </c>
      <c r="H232" s="41">
        <v>39228</v>
      </c>
      <c r="I232" s="1">
        <v>16</v>
      </c>
      <c r="J232" s="1">
        <v>5559579566</v>
      </c>
      <c r="K232" s="1">
        <v>26135131</v>
      </c>
      <c r="L232" s="1" t="s">
        <v>802</v>
      </c>
      <c r="M232" s="1">
        <v>22309060570523</v>
      </c>
      <c r="N232" s="1" t="s">
        <v>562</v>
      </c>
      <c r="O232" s="1" t="s">
        <v>247</v>
      </c>
      <c r="P232" s="1" t="s">
        <v>314</v>
      </c>
      <c r="Q232" s="1" t="s">
        <v>315</v>
      </c>
      <c r="R232" s="1" t="s">
        <v>236</v>
      </c>
      <c r="S232" s="1" t="s">
        <v>228</v>
      </c>
      <c r="T232" s="1" t="s">
        <v>345</v>
      </c>
      <c r="U232" s="1" t="s">
        <v>309</v>
      </c>
      <c r="V232" s="1" t="s">
        <v>228</v>
      </c>
      <c r="W232" s="1" t="s">
        <v>6824</v>
      </c>
      <c r="X232" s="1" t="s">
        <v>394</v>
      </c>
      <c r="Y232" s="1" t="s">
        <v>6825</v>
      </c>
      <c r="Z232" s="1" t="s">
        <v>231</v>
      </c>
      <c r="AA232" s="1">
        <v>56514</v>
      </c>
      <c r="AB232" s="1" t="s">
        <v>6826</v>
      </c>
      <c r="AC232" s="1" t="s">
        <v>757</v>
      </c>
      <c r="AD232" s="1" t="s">
        <v>6827</v>
      </c>
      <c r="AE232" s="1" t="s">
        <v>6828</v>
      </c>
      <c r="AF232" s="1" t="s">
        <v>461</v>
      </c>
      <c r="AG232" s="1">
        <v>39</v>
      </c>
      <c r="AH232" s="5" t="s">
        <v>6829</v>
      </c>
      <c r="AI232" s="1">
        <v>5518602138</v>
      </c>
      <c r="AJ232" s="1">
        <v>5526135131</v>
      </c>
      <c r="AK232" s="1" t="s">
        <v>6830</v>
      </c>
      <c r="AL232" s="1" t="s">
        <v>641</v>
      </c>
      <c r="AM232" s="1" t="s">
        <v>340</v>
      </c>
      <c r="AN232" s="1" t="s">
        <v>6831</v>
      </c>
      <c r="AO232" s="1" t="s">
        <v>420</v>
      </c>
      <c r="AP232" s="1">
        <v>42</v>
      </c>
      <c r="AQ232" s="1" t="s">
        <v>854</v>
      </c>
      <c r="AR232" s="42">
        <v>0.20833333333575865</v>
      </c>
      <c r="AS232" s="42">
        <v>0.25</v>
      </c>
      <c r="AT232" s="1">
        <v>5549834471</v>
      </c>
      <c r="AU232" s="1">
        <v>5526135131</v>
      </c>
      <c r="AV232" s="1" t="s">
        <v>804</v>
      </c>
      <c r="AW232" s="5" t="s">
        <v>6832</v>
      </c>
      <c r="AX232" s="1" t="s">
        <v>671</v>
      </c>
      <c r="AY232" s="1" t="s">
        <v>803</v>
      </c>
      <c r="AZ232" s="1" t="s">
        <v>1630</v>
      </c>
      <c r="BA232" s="1" t="s">
        <v>461</v>
      </c>
      <c r="BB232" s="1">
        <v>39</v>
      </c>
      <c r="BC232" s="1" t="s">
        <v>2284</v>
      </c>
      <c r="BD232" s="43">
        <v>0.375</v>
      </c>
      <c r="BE232" s="43">
        <v>0.16666666666424135</v>
      </c>
      <c r="BF232" s="1">
        <v>5518602138</v>
      </c>
      <c r="BG232" s="1">
        <v>5526135131</v>
      </c>
      <c r="BH232" s="1" t="s">
        <v>6830</v>
      </c>
      <c r="BI232" s="5" t="s">
        <v>6833</v>
      </c>
      <c r="BJ232" s="1" t="s">
        <v>236</v>
      </c>
      <c r="BL232" s="1">
        <v>1.6</v>
      </c>
      <c r="BM232" s="1">
        <v>61</v>
      </c>
      <c r="BN232" s="1" t="s">
        <v>228</v>
      </c>
      <c r="BO232" s="1" t="s">
        <v>228</v>
      </c>
      <c r="BQ232" s="1" t="s">
        <v>228</v>
      </c>
      <c r="BR232" s="1" t="s">
        <v>237</v>
      </c>
      <c r="BS232" s="1" t="s">
        <v>236</v>
      </c>
      <c r="BT232" s="1" t="s">
        <v>462</v>
      </c>
      <c r="BU232" s="1" t="s">
        <v>228</v>
      </c>
      <c r="BW232" s="1" t="s">
        <v>272</v>
      </c>
      <c r="BX232" s="1">
        <v>120</v>
      </c>
      <c r="BY232" s="1">
        <v>250</v>
      </c>
      <c r="BZ232" s="1" t="s">
        <v>1416</v>
      </c>
      <c r="CA232" s="1" t="s">
        <v>1083</v>
      </c>
      <c r="CB232" s="1" t="s">
        <v>240</v>
      </c>
      <c r="CC232" s="1" t="s">
        <v>1263</v>
      </c>
      <c r="CD232" s="1">
        <v>1300</v>
      </c>
      <c r="CE232" s="1">
        <v>2000</v>
      </c>
      <c r="CF232" s="1" t="s">
        <v>236</v>
      </c>
      <c r="CG232" s="1" t="s">
        <v>242</v>
      </c>
      <c r="CH232" s="1" t="s">
        <v>243</v>
      </c>
      <c r="CI232" s="1" t="s">
        <v>243</v>
      </c>
      <c r="CJ232" s="1" t="s">
        <v>2848</v>
      </c>
      <c r="CL232" s="5" t="s">
        <v>6834</v>
      </c>
      <c r="CM232" s="1">
        <v>13220770286</v>
      </c>
      <c r="CN232" s="1" t="s">
        <v>228</v>
      </c>
      <c r="CQ232" s="42">
        <v>0.375</v>
      </c>
      <c r="CR232" s="42">
        <v>0.16666666666424135</v>
      </c>
      <c r="CT232" s="45" t="str">
        <f t="array" ref="CT232">IFERROR(INDEX(#REF!,MATCH('Respuestas de formulario 1.1'!$B232,#REF!,0),MATCH('Respuestas de formulario 1.1'!CT$1,#REF!,0)),"")</f>
        <v/>
      </c>
      <c r="CU232" s="56" t="str">
        <f t="array" ref="CU232">IFERROR(INDEX(#REF!,MATCH('Respuestas de formulario 1.1'!$B232,#REF!,0),MATCH('Respuestas de formulario 1.1'!CU$1,#REF!,0)),"")</f>
        <v/>
      </c>
      <c r="CV232" s="56" t="str">
        <f t="array" ref="CV232">IFERROR(INDEX(#REF!,MATCH('Respuestas de formulario 1.1'!$B232,#REF!,0),MATCH('Respuestas de formulario 1.1'!CV$1,#REF!,0)),"")</f>
        <v/>
      </c>
      <c r="CW232" s="56" t="str">
        <f t="array" ref="CW232">IFERROR(INDEX(#REF!,MATCH('Respuestas de formulario 1.1'!$B232,#REF!,0),MATCH('Respuestas de formulario 1.1'!CW$1,#REF!,0)),"")</f>
        <v/>
      </c>
      <c r="CX232" s="56" t="str">
        <f t="array" ref="CX232">IFERROR(INDEX(#REF!,MATCH('Respuestas de formulario 1.1'!$B232,#REF!,0),MATCH('Respuestas de formulario 1.1'!CX$1,#REF!,0)),"")</f>
        <v/>
      </c>
      <c r="CY232" s="56" t="str">
        <f t="array" ref="CY232">IFERROR(INDEX(#REF!,MATCH('Respuestas de formulario 1.1'!$B232,#REF!,0),MATCH('Respuestas de formulario 1.1'!CY$1,#REF!,0)),"")</f>
        <v/>
      </c>
      <c r="CZ232" s="57" t="str">
        <f t="array" ref="CZ232">IFERROR(INDEX(#REF!,MATCH('Respuestas de formulario 1.1'!$B232,#REF!,0),MATCH('Respuestas de formulario 1.1'!CZ$1,#REF!,0)),"")</f>
        <v/>
      </c>
      <c r="DA232" s="45" t="e">
        <f t="array" ref="DA232">INDEX(#REF!,MATCH('Respuestas de formulario 1.1'!$B232,#REF!,0),MATCH('Respuestas de formulario 1.1'!DA$1,#REF!,0))</f>
        <v>#REF!</v>
      </c>
      <c r="DB232" s="45" t="e">
        <f t="array" ref="DB232">INDEX(#REF!,MATCH('Respuestas de formulario 1.1'!$B232,#REF!,0),MATCH('Respuestas de formulario 1.1'!DB$1,#REF!,0))</f>
        <v>#REF!</v>
      </c>
      <c r="DC232" s="45" t="e">
        <f t="array" ref="DC232">INDEX(#REF!,MATCH('Respuestas de formulario 1.1'!$B232,#REF!,0),MATCH('Respuestas de formulario 1.1'!DC$1,#REF!,0))</f>
        <v>#REF!</v>
      </c>
      <c r="DD232" s="45" t="e">
        <f t="array" ref="DD232">INDEX(#REF!,MATCH('Respuestas de formulario 1.1'!$B232,#REF!,0),MATCH('Respuestas de formulario 1.1'!DD$1,#REF!,0))</f>
        <v>#REF!</v>
      </c>
      <c r="DE232" s="45" t="e">
        <f t="array" ref="DE232">INDEX(#REF!,MATCH('Respuestas de formulario 1.1'!$B232,#REF!,0),MATCH('Respuestas de formulario 1.1'!DE$1,#REF!,0))</f>
        <v>#REF!</v>
      </c>
      <c r="DF232" s="45" t="e">
        <f t="array" ref="DF232">INDEX(#REF!,MATCH('Respuestas de formulario 1.1'!$B232,#REF!,0),MATCH('Respuestas de formulario 1.1'!DF$1,#REF!,0))</f>
        <v>#REF!</v>
      </c>
      <c r="DG232" s="45" t="e">
        <f t="array" ref="DG232">INDEX(#REF!,MATCH('Respuestas de formulario 1.1'!$B232,#REF!,0),MATCH('Respuestas de formulario 1.1'!DG$1,#REF!,0))</f>
        <v>#REF!</v>
      </c>
      <c r="DH232" s="45" t="e">
        <f t="array" ref="DH232">INDEX(#REF!,MATCH('Respuestas de formulario 1.1'!$B232,#REF!,0),MATCH('Respuestas de formulario 1.1'!DH$1,#REF!,0))</f>
        <v>#REF!</v>
      </c>
      <c r="DI232" s="48" t="e">
        <f>VLOOKUP(CONCATENATE($DF232," TUTO ",$DC232),#REF!,3,0)</f>
        <v>#REF!</v>
      </c>
      <c r="DJ232" s="48" t="e">
        <f t="array" ref="DJ232">IF('Respuestas de formulario 1.1'!A232="","",INDEX(#REF!,MATCH('Respuestas de formulario 1.1'!B232,#REF!,0),MATCH('Respuestas de formulario 1.1'!$DH$1,#REF!,0)))</f>
        <v>#REF!</v>
      </c>
      <c r="DK232" s="52" t="str">
        <f>CONCATENATE("http://doc.google.com/uc?id=",MID('Respuestas de formulario 1.1'!G232,34,33))</f>
        <v>http://doc.google.com/uc?id=1hp95kaJYKexMejBeJMyP4CGwfASShejj</v>
      </c>
      <c r="DL232" s="49" t="str">
        <f>CONCATENATE("http://doc.google.com/uc?id=",MID('Respuestas de formulario 1.1'!AH232,34,33))</f>
        <v>http://doc.google.com/uc?id=1MgdC9dJWOCsAJpvFkajz9e-eTaUUiBMG</v>
      </c>
      <c r="DM232" s="50" t="str">
        <f>CONCATENATE("http://doc.google.com/uc?id=",MID('Respuestas de formulario 1.1'!AW232,34,33))</f>
        <v>http://doc.google.com/uc?id=1b8Ix7PkJYXxfwc1bVRftyArsga7Cv04M</v>
      </c>
      <c r="DN232" s="53" t="str">
        <f>CONCATENATE("http://doc.google.com/uc?id=",MID('Respuestas de formulario 1.1'!$BI232,34,33))</f>
        <v>http://doc.google.com/uc?id=1oaILvLWFxxapCXouOx8tPRGiJEGfF94h</v>
      </c>
      <c r="DO232" s="45" t="str">
        <f>IFERROR(VLOOKUP(CONCATENATE('Respuestas de formulario 1.1'!$B232,MID('Respuestas de formulario 1.1'!DO$1,2,1)),#REF!,12,0),"")</f>
        <v/>
      </c>
      <c r="DP232" s="45" t="str">
        <f>IFERROR(VLOOKUP(CONCATENATE('Respuestas de formulario 1.1'!$B232,MID('Respuestas de formulario 1.1'!DP$1,2,1)),#REF!,12,0),"")</f>
        <v/>
      </c>
      <c r="DQ232" s="45" t="str">
        <f>IFERROR(VLOOKUP(CONCATENATE('Respuestas de formulario 1.1'!$B232,MID('Respuestas de formulario 1.1'!DQ$1,2,1)),#REF!,12,0),"")</f>
        <v/>
      </c>
      <c r="DR232" s="45" t="str">
        <f>IFERROR(VLOOKUP(CONCATENATE('Respuestas de formulario 1.1'!$B232,MID('Respuestas de formulario 1.1'!DR$1,2,1)),#REF!,12,0),"")</f>
        <v/>
      </c>
      <c r="DS232" s="45" t="str">
        <f>IFERROR(VLOOKUP(CONCATENATE('Respuestas de formulario 1.1'!$B232,MID('Respuestas de formulario 1.1'!DS$1,2,1)),#REF!,12,0),"")</f>
        <v/>
      </c>
      <c r="DT232" s="45" t="str">
        <f>IFERROR(VLOOKUP(CONCATENATE('Respuestas de formulario 1.1'!$B232,MID('Respuestas de formulario 1.1'!DT$1,2,1)),#REF!,12,0),"")</f>
        <v/>
      </c>
      <c r="DU232" s="45" t="str">
        <f>IFERROR(VLOOKUP(CONCATENATE('Respuestas de formulario 1.1'!$B232,MID('Respuestas de formulario 1.1'!DU$1,2,1)),#REF!,12,0),"")</f>
        <v/>
      </c>
      <c r="DV232" s="45" t="str">
        <f>IFERROR(VLOOKUP(CONCATENATE('Respuestas de formulario 1.1'!$B232,MID('Respuestas de formulario 1.1'!DV$1,2,1)),#REF!,12,0),"")</f>
        <v/>
      </c>
      <c r="DW232" s="45" t="str">
        <f>IFERROR(VLOOKUP(CONCATENATE('Respuestas de formulario 1.1'!$B232,MID('Respuestas de formulario 1.1'!DW$1,2,1)),#REF!,12,0),"")</f>
        <v/>
      </c>
      <c r="DX232" s="45" t="str">
        <f>IFERROR(VLOOKUP(CONCATENATE('Respuestas de formulario 1.1'!$B232,MID('Respuestas de formulario 1.1'!DX$1,2,1)),#REF!,12,0),"")</f>
        <v/>
      </c>
      <c r="DY232" s="45" t="str">
        <f>IFERROR(VLOOKUP(CONCATENATE('Respuestas de formulario 1.1'!$B232,MID('Respuestas de formulario 1.1'!DY$1,2,1)),#REF!,12,0),"")</f>
        <v/>
      </c>
      <c r="DZ232" s="45" t="str">
        <f>IFERROR(VLOOKUP(CONCATENATE('Respuestas de formulario 1.1'!$B232,MID('Respuestas de formulario 1.1'!DZ$1,2,1)),#REF!,12,0),"")</f>
        <v/>
      </c>
      <c r="EA232" s="45" t="str">
        <f>IFERROR(VLOOKUP(CONCATENATE('Respuestas de formulario 1.1'!$B232,MID('Respuestas de formulario 1.1'!EA$1,2,1)),#REF!,12,0),"")</f>
        <v/>
      </c>
      <c r="EB232" s="45" t="str">
        <f>IFERROR(VLOOKUP(CONCATENATE('Respuestas de formulario 1.1'!$B232,MID('Respuestas de formulario 1.1'!EB$1,2,1)),#REF!,12,0),"")</f>
        <v/>
      </c>
      <c r="EC232" s="45" t="str">
        <f>IFERROR(VLOOKUP(CONCATENATE('Respuestas de formulario 1.1'!$B232,MID('Respuestas de formulario 1.1'!EC$1,2,1)),#REF!,12,0),"")</f>
        <v/>
      </c>
      <c r="ED232" s="45" t="str">
        <f>IFERROR(VLOOKUP(CONCATENATE('Respuestas de formulario 1.1'!$B232,MID('Respuestas de formulario 1.1'!ED$1,2,1)),#REF!,12,0),"")</f>
        <v/>
      </c>
      <c r="EE232" s="45" t="str">
        <f>IFERROR(VLOOKUP(CONCATENATE('Respuestas de formulario 1.1'!$B232,MID('Respuestas de formulario 1.1'!EE$1,2,1)),#REF!,12,0),"")</f>
        <v/>
      </c>
      <c r="EF232" s="45" t="str">
        <f>IFERROR(VLOOKUP(CONCATENATE('Respuestas de formulario 1.1'!$B232,MID('Respuestas de formulario 1.1'!EF$1,2,1)),#REF!,12,0),"")</f>
        <v/>
      </c>
      <c r="EG232" s="45" t="str">
        <f>IFERROR(VLOOKUP(CONCATENATE('Respuestas de formulario 1.1'!$B232,MID('Respuestas de formulario 1.1'!EG$1,2,1)),#REF!,12,0),"")</f>
        <v/>
      </c>
      <c r="EH232" s="45" t="str">
        <f>IFERROR(VLOOKUP(CONCATENATE('Respuestas de formulario 1.1'!$B232,MID('Respuestas de formulario 1.1'!EH$1,2,1)),#REF!,12,0),"")</f>
        <v/>
      </c>
      <c r="EI232" s="45" t="str">
        <f>IFERROR(VLOOKUP(CONCATENATE('Respuestas de formulario 1.1'!$B232,MID('Respuestas de formulario 1.1'!EI$1,2,1)),#REF!,12,0),"")</f>
        <v/>
      </c>
      <c r="EJ232" s="45" t="str">
        <f t="array" ref="EJ232">IF(DO232="","", INDEX(#REF!,MATCH(CONCATENATE('Respuestas de formulario 1.1'!$B232,DO232),#REF!,0),MATCH('Respuestas de formulario 1.1'!EJ$1,#REF!,0)))</f>
        <v/>
      </c>
      <c r="EK232" s="56" t="str">
        <f t="array" ref="EK232">IF(DP232="","", INDEX(#REF!,MATCH(CONCATENATE('Respuestas de formulario 1.1'!$B232,DP232),#REF!,0),MATCH('Respuestas de formulario 1.1'!EK$1,#REF!,0)))</f>
        <v/>
      </c>
      <c r="EL232" s="56" t="str">
        <f t="array" ref="EL232">IF(DQ232="","", INDEX(#REF!,MATCH(CONCATENATE('Respuestas de formulario 1.1'!$B232,DQ232),#REF!,0),MATCH('Respuestas de formulario 1.1'!EL$1,#REF!,0)))</f>
        <v/>
      </c>
      <c r="EM232" s="56" t="str">
        <f t="array" ref="EM232">IF(DR232="","", INDEX(#REF!,MATCH(CONCATENATE('Respuestas de formulario 1.1'!$B232,DR232),#REF!,0),MATCH('Respuestas de formulario 1.1'!EM$1,#REF!,0)))</f>
        <v/>
      </c>
      <c r="EN232" s="56" t="str">
        <f t="array" ref="EN232">IF(DS232="","", INDEX(#REF!,MATCH(CONCATENATE('Respuestas de formulario 1.1'!$B232,DS232),#REF!,0),MATCH('Respuestas de formulario 1.1'!EN$1,#REF!,0)))</f>
        <v/>
      </c>
      <c r="EO232" s="56" t="str">
        <f t="array" ref="EO232">IF(DT232="","", INDEX(#REF!,MATCH(CONCATENATE('Respuestas de formulario 1.1'!$B232,DT232),#REF!,0),MATCH('Respuestas de formulario 1.1'!EO$1,#REF!,0)))</f>
        <v/>
      </c>
      <c r="EP232" s="45" t="str">
        <f t="array" ref="EP232">IF(DU232="","", INDEX(#REF!,MATCH(CONCATENATE('Respuestas de formulario 1.1'!$B232,DU232),#REF!,0),MATCH('Respuestas de formulario 1.1'!EP$1,#REF!,0)))</f>
        <v/>
      </c>
      <c r="EQ232" s="45" t="str">
        <f t="array" ref="EQ232">IF(DP232="","", INDEX(#REF!,MATCH(CONCATENATE('Respuestas de formulario 1.1'!$B232,DP232),#REF!,0),MATCH('Respuestas de formulario 1.1'!EQ$1,#REF!,0)))</f>
        <v/>
      </c>
      <c r="ER232" s="56" t="str">
        <f t="array" ref="ER232">IF(DQ232="","", INDEX(#REF!,MATCH(CONCATENATE('Respuestas de formulario 1.1'!$B232,DQ232),#REF!,0),MATCH('Respuestas de formulario 1.1'!ER$1,#REF!,0)))</f>
        <v/>
      </c>
      <c r="ES232" s="56" t="str">
        <f t="array" ref="ES232">IF(DR232="","", INDEX(#REF!,MATCH(CONCATENATE('Respuestas de formulario 1.1'!$B232,DR232),#REF!,0),MATCH('Respuestas de formulario 1.1'!ES$1,#REF!,0)))</f>
        <v/>
      </c>
      <c r="ET232" s="56" t="str">
        <f t="array" ref="ET232">IF(DS232="","", INDEX(#REF!,MATCH(CONCATENATE('Respuestas de formulario 1.1'!$B232,DS232),#REF!,0),MATCH('Respuestas de formulario 1.1'!ET$1,#REF!,0)))</f>
        <v/>
      </c>
      <c r="EU232" s="56" t="str">
        <f t="array" ref="EU232">IF(DT232="","", INDEX(#REF!,MATCH(CONCATENATE('Respuestas de formulario 1.1'!$B232,DT232),#REF!,0),MATCH('Respuestas de formulario 1.1'!EU$1,#REF!,0)))</f>
        <v/>
      </c>
      <c r="EV232" s="56" t="str">
        <f t="array" ref="EV232">IF(DU232="","", INDEX(#REF!,MATCH(CONCATENATE('Respuestas de formulario 1.1'!$B232,DU232),#REF!,0),MATCH('Respuestas de formulario 1.1'!EV$1,#REF!,0)))</f>
        <v/>
      </c>
      <c r="EW232" s="45" t="str">
        <f t="array" ref="EW232">IF(DV232="","", INDEX(#REF!,MATCH(CONCATENATE('Respuestas de formulario 1.1'!$B232,DV232),#REF!,0),MATCH('Respuestas de formulario 1.1'!EW$1,#REF!,0)))</f>
        <v/>
      </c>
      <c r="EX232" s="45" t="str">
        <f t="array" ref="EX232">IF($DQ232="","", INDEX(#REF!,MATCH(CONCATENATE('Respuestas de formulario 1.1'!$B232,$DQ232),#REF!,0),MATCH('Respuestas de formulario 1.1'!EX$1,#REF!,0)))</f>
        <v/>
      </c>
      <c r="EY232" s="56" t="str">
        <f t="array" ref="EY232">IF($DQ232="","", INDEX(#REF!,MATCH(CONCATENATE('Respuestas de formulario 1.1'!$B232,$DQ232),#REF!,0),MATCH('Respuestas de formulario 1.1'!EY$1,#REF!,0)))</f>
        <v/>
      </c>
      <c r="EZ232" s="56" t="str">
        <f t="array" ref="EZ232">IF($DQ232="","", INDEX(#REF!,MATCH(CONCATENATE('Respuestas de formulario 1.1'!$B232,$DQ232),#REF!,0),MATCH('Respuestas de formulario 1.1'!EZ$1,#REF!,0)))</f>
        <v/>
      </c>
      <c r="FA232" s="56" t="str">
        <f t="array" ref="FA232">IF($DQ232="","", INDEX(#REF!,MATCH(CONCATENATE('Respuestas de formulario 1.1'!$B232,$DQ232),#REF!,0),MATCH('Respuestas de formulario 1.1'!FA$1,#REF!,0)))</f>
        <v/>
      </c>
      <c r="FB232" s="56" t="str">
        <f t="array" ref="FB232">IF($DQ232="","", INDEX(#REF!,MATCH(CONCATENATE('Respuestas de formulario 1.1'!$B232,$DQ232),#REF!,0),MATCH('Respuestas de formulario 1.1'!FB$1,#REF!,0)))</f>
        <v/>
      </c>
      <c r="FC232" s="56" t="str">
        <f t="array" ref="FC232">IF($DQ232="","", INDEX(#REF!,MATCH(CONCATENATE('Respuestas de formulario 1.1'!$B232,$DQ232),#REF!,0),MATCH('Respuestas de formulario 1.1'!FC$1,#REF!,0)))</f>
        <v/>
      </c>
      <c r="FD232" s="45" t="str">
        <f t="array" ref="FD232">IF($DQ232="","", INDEX(#REF!,MATCH(CONCATENATE('Respuestas de formulario 1.1'!$B232,$DQ232),#REF!,0),MATCH('Respuestas de formulario 1.1'!FD$1,#REF!,0)))</f>
        <v/>
      </c>
      <c r="FE232" s="45" t="str">
        <f t="array" ref="FE232">IF($DR232="","", INDEX(#REF!,MATCH(CONCATENATE(#REF!,$DR232),#REF!,0),MATCH(#REF!,#REF!,0)))</f>
        <v/>
      </c>
      <c r="FF232" s="56" t="str">
        <f t="array" ref="FF232">IF($DR232="","", INDEX(#REF!,MATCH(CONCATENATE(#REF!,$DR232),#REF!,0),MATCH(#REF!,#REF!,0)))</f>
        <v/>
      </c>
      <c r="FG232" s="56" t="str">
        <f t="array" ref="FG232">IF($DR232="","", INDEX(#REF!,MATCH(CONCATENATE(#REF!,$DR232),#REF!,0),MATCH(#REF!,#REF!,0)))</f>
        <v/>
      </c>
      <c r="FH232" s="56" t="str">
        <f t="array" ref="FH232">IF($DR232="","", INDEX(#REF!,MATCH(CONCATENATE(#REF!,$DR232),#REF!,0),MATCH(#REF!,#REF!,0)))</f>
        <v/>
      </c>
      <c r="FI232" s="56" t="str">
        <f t="array" ref="FI232">IF($DR232="","", INDEX(#REF!,MATCH(CONCATENATE(#REF!,$DR232),#REF!,0),MATCH(#REF!,#REF!,0)))</f>
        <v/>
      </c>
      <c r="FJ232" s="56" t="str">
        <f t="array" ref="FJ232">IF($DR232="","", INDEX(#REF!,MATCH(CONCATENATE(#REF!,$DR232),#REF!,0),MATCH(#REF!,#REF!,0)))</f>
        <v/>
      </c>
      <c r="FK232" s="45" t="str">
        <f t="array" ref="FK232">IF($DR232="","", INDEX(#REF!,MATCH(CONCATENATE(#REF!,$DR232),#REF!,0),MATCH(#REF!,#REF!,0)))</f>
        <v/>
      </c>
      <c r="FL232" s="45" t="str">
        <f t="array" ref="FL232">IF($DT232="","", INDEX(#REF!,MATCH(CONCATENATE('Respuestas de formulario 1.1'!$B232,$DS232),#REF!,0),MATCH('Respuestas de formulario 1.1'!FL$1,#REF!,0)))</f>
        <v/>
      </c>
      <c r="FM232" s="56" t="str">
        <f t="array" ref="FM232">IF($DT232="","", INDEX(#REF!,MATCH(CONCATENATE('Respuestas de formulario 1.1'!$B232,$DS232),#REF!,0),MATCH('Respuestas de formulario 1.1'!FM$1,#REF!,0)))</f>
        <v/>
      </c>
      <c r="FN232" s="56" t="str">
        <f t="array" ref="FN232">IF($DT232="","", INDEX(#REF!,MATCH(CONCATENATE('Respuestas de formulario 1.1'!$B232,$DS232),#REF!,0),MATCH('Respuestas de formulario 1.1'!FN$1,#REF!,0)))</f>
        <v/>
      </c>
      <c r="FO232" s="56" t="str">
        <f t="array" ref="FO232">IF($DT232="","", INDEX(#REF!,MATCH(CONCATENATE('Respuestas de formulario 1.1'!$B232,$DS232),#REF!,0),MATCH('Respuestas de formulario 1.1'!FO$1,#REF!,0)))</f>
        <v/>
      </c>
      <c r="FP232" s="56" t="str">
        <f t="array" ref="FP232">IF($DT232="","", INDEX(#REF!,MATCH(CONCATENATE('Respuestas de formulario 1.1'!$B232,$DS232),#REF!,0),MATCH('Respuestas de formulario 1.1'!FP$1,#REF!,0)))</f>
        <v/>
      </c>
      <c r="FQ232" s="56" t="str">
        <f t="array" ref="FQ232">IF($DT232="","", INDEX(#REF!,MATCH(CONCATENATE('Respuestas de formulario 1.1'!$B232,$DS232),#REF!,0),MATCH('Respuestas de formulario 1.1'!FQ$1,#REF!,0)))</f>
        <v/>
      </c>
      <c r="FR232" s="45" t="str">
        <f t="array" ref="FR232">IF($DT232="","", INDEX(#REF!,MATCH(CONCATENATE('Respuestas de formulario 1.1'!$B232,$DS232),#REF!,0),MATCH('Respuestas de formulario 1.1'!FR$1,#REF!,0)))</f>
        <v/>
      </c>
      <c r="FS232" s="45" t="str">
        <f t="array" ref="FS232">IF($DU232="","", INDEX(#REF!,MATCH(CONCATENATE('Respuestas de formulario 1.1'!$B232,$DT232),#REF!,0),MATCH('Respuestas de formulario 1.1'!FS$1,#REF!,0)))</f>
        <v/>
      </c>
      <c r="FT232" s="56" t="str">
        <f t="array" ref="FT232">IF($DU232="","", INDEX(#REF!,MATCH(CONCATENATE('Respuestas de formulario 1.1'!$B232,$DT232),#REF!,0),MATCH('Respuestas de formulario 1.1'!FT$1,#REF!,0)))</f>
        <v/>
      </c>
      <c r="FU232" s="56" t="str">
        <f t="array" ref="FU232">IF($DU232="","", INDEX(#REF!,MATCH(CONCATENATE('Respuestas de formulario 1.1'!$B232,$DT232),#REF!,0),MATCH('Respuestas de formulario 1.1'!FU$1,#REF!,0)))</f>
        <v/>
      </c>
      <c r="FV232" s="56" t="str">
        <f t="array" ref="FV232">IF($DU232="","", INDEX(#REF!,MATCH(CONCATENATE('Respuestas de formulario 1.1'!$B232,$DT232),#REF!,0),MATCH('Respuestas de formulario 1.1'!FV$1,#REF!,0)))</f>
        <v/>
      </c>
      <c r="FW232" s="56" t="str">
        <f t="array" ref="FW232">IF($DU232="","", INDEX(#REF!,MATCH(CONCATENATE('Respuestas de formulario 1.1'!$B232,$DT232),#REF!,0),MATCH('Respuestas de formulario 1.1'!FW$1,#REF!,0)))</f>
        <v/>
      </c>
      <c r="FX232" s="56" t="str">
        <f t="array" ref="FX232">IF($DU232="","", INDEX(#REF!,MATCH(CONCATENATE('Respuestas de formulario 1.1'!$B232,$DT232),#REF!,0),MATCH('Respuestas de formulario 1.1'!FX$1,#REF!,0)))</f>
        <v/>
      </c>
      <c r="FY232" s="45" t="str">
        <f t="array" ref="FY232">IF($DU232="","", INDEX(#REF!,MATCH(CONCATENATE('Respuestas de formulario 1.1'!$B232,$DT232),#REF!,0),MATCH('Respuestas de formulario 1.1'!FY$1,#REF!,0)))</f>
        <v/>
      </c>
      <c r="FZ232" s="3" t="s">
        <v>2860</v>
      </c>
      <c r="GA232" s="1" t="s">
        <v>6835</v>
      </c>
      <c r="GB232" s="5" t="s">
        <v>6836</v>
      </c>
      <c r="GC232" s="4" t="str">
        <f>HYPERLINK("https://drive.google.com/file/d/1a1EBcpUl3uGEQHFH-yvmv5py253V7Ty0/view?usp=drivesdk","MORA VEGA VALERIA YAQUELIN Formato de reinscripción y pago 2022-2")</f>
        <v>MORA VEGA VALERIA YAQUELIN Formato de reinscripción y pago 2022-2</v>
      </c>
      <c r="GD232" s="1" t="s">
        <v>6837</v>
      </c>
      <c r="GE232" s="1"/>
      <c r="GF232" s="1"/>
      <c r="GG232" s="1"/>
      <c r="GH232" s="1"/>
      <c r="GI232" s="1" t="s">
        <v>6838</v>
      </c>
      <c r="GJ232" s="5" t="s">
        <v>6839</v>
      </c>
      <c r="GK232" s="5" t="str">
        <f>HYPERLINK("https://drive.google.com/file/d/1bsW04ewIup2r0yX95WStwTSuUKprm9c2/view?usp=drivesdk","MORA VEGA &lt;&lt;Nombre(S)&gt;&gt; Formato de reinscripción y pago 2022-2")</f>
        <v>MORA VEGA &lt;&lt;Nombre(S)&gt;&gt; Formato de reinscripción y pago 2022-2</v>
      </c>
      <c r="GL232" s="1" t="s">
        <v>6840</v>
      </c>
    </row>
    <row r="233" spans="1:194" ht="38.25" x14ac:dyDescent="0.2">
      <c r="A233" s="2">
        <v>45139.535255150462</v>
      </c>
      <c r="B233" s="1" t="s">
        <v>29</v>
      </c>
      <c r="C233" s="1" t="s">
        <v>806</v>
      </c>
      <c r="D233" s="1" t="s">
        <v>490</v>
      </c>
      <c r="E233" s="1" t="s">
        <v>899</v>
      </c>
      <c r="F233" s="1" t="s">
        <v>262</v>
      </c>
      <c r="G233" s="5" t="s">
        <v>6841</v>
      </c>
      <c r="H233" s="41">
        <v>38823</v>
      </c>
      <c r="I233" s="1">
        <v>17</v>
      </c>
      <c r="J233" s="1">
        <v>5578326022</v>
      </c>
      <c r="K233" s="1">
        <v>5589719419</v>
      </c>
      <c r="L233" s="1" t="s">
        <v>900</v>
      </c>
      <c r="M233" s="1">
        <v>21309060570406</v>
      </c>
      <c r="N233" s="1" t="s">
        <v>1108</v>
      </c>
      <c r="O233" s="1" t="s">
        <v>247</v>
      </c>
      <c r="P233" s="1" t="s">
        <v>278</v>
      </c>
      <c r="Q233" s="1" t="s">
        <v>227</v>
      </c>
      <c r="R233" s="1" t="s">
        <v>236</v>
      </c>
      <c r="S233" s="1" t="s">
        <v>228</v>
      </c>
      <c r="T233" s="1" t="s">
        <v>411</v>
      </c>
      <c r="U233" s="1" t="s">
        <v>249</v>
      </c>
      <c r="V233" s="1" t="s">
        <v>228</v>
      </c>
      <c r="W233" s="1" t="s">
        <v>6842</v>
      </c>
      <c r="X233" s="1" t="s">
        <v>394</v>
      </c>
      <c r="Y233" s="1" t="s">
        <v>6843</v>
      </c>
      <c r="Z233" s="1" t="s">
        <v>231</v>
      </c>
      <c r="AA233" s="1">
        <v>56400</v>
      </c>
      <c r="AB233" s="1">
        <v>25</v>
      </c>
      <c r="AC233" s="1">
        <v>0</v>
      </c>
      <c r="AD233" s="1" t="s">
        <v>6844</v>
      </c>
      <c r="AE233" s="1" t="s">
        <v>6845</v>
      </c>
      <c r="AF233" s="1" t="s">
        <v>265</v>
      </c>
      <c r="AG233" s="1">
        <v>39</v>
      </c>
      <c r="AH233" s="5" t="s">
        <v>6846</v>
      </c>
      <c r="AI233" s="1">
        <v>5574725045</v>
      </c>
      <c r="AJ233" s="1">
        <v>5589719419</v>
      </c>
      <c r="AK233" s="1" t="s">
        <v>6847</v>
      </c>
      <c r="AL233" s="1" t="s">
        <v>905</v>
      </c>
      <c r="AM233" s="1" t="s">
        <v>474</v>
      </c>
      <c r="AN233" s="1" t="s">
        <v>6848</v>
      </c>
      <c r="AO233" s="1" t="s">
        <v>435</v>
      </c>
      <c r="AP233" s="1">
        <v>42</v>
      </c>
      <c r="AQ233" s="1" t="s">
        <v>306</v>
      </c>
      <c r="AR233" s="42">
        <v>0.25</v>
      </c>
      <c r="AS233" s="42">
        <v>0.60416666666424135</v>
      </c>
      <c r="AT233" s="1">
        <v>5632168828</v>
      </c>
      <c r="AU233" s="1">
        <v>5589719419</v>
      </c>
      <c r="AV233" s="1" t="s">
        <v>6849</v>
      </c>
      <c r="AW233" s="5" t="s">
        <v>6850</v>
      </c>
      <c r="AX233" s="1" t="s">
        <v>507</v>
      </c>
      <c r="AY233" s="1" t="s">
        <v>490</v>
      </c>
      <c r="AZ233" s="1" t="s">
        <v>1653</v>
      </c>
      <c r="BA233" s="1" t="s">
        <v>493</v>
      </c>
      <c r="BB233" s="1">
        <v>50</v>
      </c>
      <c r="BC233" s="1" t="s">
        <v>1876</v>
      </c>
      <c r="BD233" s="43">
        <v>0.29166666666424135</v>
      </c>
      <c r="BE233" s="43">
        <v>0.75</v>
      </c>
      <c r="BF233" s="1">
        <v>5512951587</v>
      </c>
      <c r="BG233" s="1">
        <v>5558557272</v>
      </c>
      <c r="BH233" s="1"/>
      <c r="BI233" s="5" t="s">
        <v>6851</v>
      </c>
      <c r="BJ233" s="1" t="s">
        <v>236</v>
      </c>
      <c r="BL233" s="1">
        <v>160</v>
      </c>
      <c r="BM233" s="1">
        <v>61</v>
      </c>
      <c r="BN233" s="1" t="s">
        <v>236</v>
      </c>
      <c r="BO233" s="1" t="s">
        <v>228</v>
      </c>
      <c r="BQ233" s="1" t="s">
        <v>228</v>
      </c>
      <c r="BR233" s="1" t="s">
        <v>237</v>
      </c>
      <c r="BS233" s="1" t="s">
        <v>228</v>
      </c>
      <c r="BT233" s="1" t="s">
        <v>237</v>
      </c>
      <c r="BU233" s="1" t="s">
        <v>228</v>
      </c>
      <c r="BW233" s="1" t="s">
        <v>272</v>
      </c>
      <c r="BX233" s="1">
        <v>60</v>
      </c>
      <c r="BY233" s="1">
        <v>110</v>
      </c>
      <c r="BZ233" s="1" t="s">
        <v>621</v>
      </c>
      <c r="CA233" s="1" t="s">
        <v>343</v>
      </c>
      <c r="CB233" s="1" t="s">
        <v>240</v>
      </c>
      <c r="CC233" s="1" t="s">
        <v>255</v>
      </c>
      <c r="CD233" s="1">
        <v>15000</v>
      </c>
      <c r="CE233" s="1">
        <v>5000</v>
      </c>
      <c r="CF233" s="1" t="s">
        <v>236</v>
      </c>
      <c r="CG233" s="1" t="s">
        <v>323</v>
      </c>
      <c r="CH233" s="1" t="s">
        <v>243</v>
      </c>
      <c r="CI233" s="1" t="s">
        <v>243</v>
      </c>
      <c r="CJ233" s="1" t="s">
        <v>2848</v>
      </c>
      <c r="CL233" s="5" t="s">
        <v>6852</v>
      </c>
      <c r="CM233" s="1">
        <v>12210659996</v>
      </c>
      <c r="CN233" s="1" t="s">
        <v>228</v>
      </c>
      <c r="CQ233" s="42">
        <v>0.20833333333575865</v>
      </c>
      <c r="CR233" s="42">
        <v>0.79166666666424135</v>
      </c>
      <c r="CT233" s="45" t="str">
        <f t="array" ref="CT233">IFERROR(INDEX(#REF!,MATCH('Respuestas de formulario 1.1'!$B233,#REF!,0),MATCH('Respuestas de formulario 1.1'!CT$1,#REF!,0)),"")</f>
        <v/>
      </c>
      <c r="CU233" s="56" t="str">
        <f t="array" ref="CU233">IFERROR(INDEX(#REF!,MATCH('Respuestas de formulario 1.1'!$B233,#REF!,0),MATCH('Respuestas de formulario 1.1'!CU$1,#REF!,0)),"")</f>
        <v/>
      </c>
      <c r="CV233" s="56" t="str">
        <f t="array" ref="CV233">IFERROR(INDEX(#REF!,MATCH('Respuestas de formulario 1.1'!$B233,#REF!,0),MATCH('Respuestas de formulario 1.1'!CV$1,#REF!,0)),"")</f>
        <v/>
      </c>
      <c r="CW233" s="56" t="str">
        <f t="array" ref="CW233">IFERROR(INDEX(#REF!,MATCH('Respuestas de formulario 1.1'!$B233,#REF!,0),MATCH('Respuestas de formulario 1.1'!CW$1,#REF!,0)),"")</f>
        <v/>
      </c>
      <c r="CX233" s="56" t="str">
        <f t="array" ref="CX233">IFERROR(INDEX(#REF!,MATCH('Respuestas de formulario 1.1'!$B233,#REF!,0),MATCH('Respuestas de formulario 1.1'!CX$1,#REF!,0)),"")</f>
        <v/>
      </c>
      <c r="CY233" s="56" t="str">
        <f t="array" ref="CY233">IFERROR(INDEX(#REF!,MATCH('Respuestas de formulario 1.1'!$B233,#REF!,0),MATCH('Respuestas de formulario 1.1'!CY$1,#REF!,0)),"")</f>
        <v/>
      </c>
      <c r="CZ233" s="57" t="str">
        <f t="array" ref="CZ233">IFERROR(INDEX(#REF!,MATCH('Respuestas de formulario 1.1'!$B233,#REF!,0),MATCH('Respuestas de formulario 1.1'!CZ$1,#REF!,0)),"")</f>
        <v/>
      </c>
      <c r="DA233" s="45" t="e">
        <f t="array" ref="DA233">INDEX(#REF!,MATCH('Respuestas de formulario 1.1'!$B233,#REF!,0),MATCH('Respuestas de formulario 1.1'!DA$1,#REF!,0))</f>
        <v>#REF!</v>
      </c>
      <c r="DB233" s="45" t="e">
        <f t="array" ref="DB233">INDEX(#REF!,MATCH('Respuestas de formulario 1.1'!$B233,#REF!,0),MATCH('Respuestas de formulario 1.1'!DB$1,#REF!,0))</f>
        <v>#REF!</v>
      </c>
      <c r="DC233" s="45" t="e">
        <f t="array" ref="DC233">INDEX(#REF!,MATCH('Respuestas de formulario 1.1'!$B233,#REF!,0),MATCH('Respuestas de formulario 1.1'!DC$1,#REF!,0))</f>
        <v>#REF!</v>
      </c>
      <c r="DD233" s="45" t="e">
        <f t="array" ref="DD233">INDEX(#REF!,MATCH('Respuestas de formulario 1.1'!$B233,#REF!,0),MATCH('Respuestas de formulario 1.1'!DD$1,#REF!,0))</f>
        <v>#REF!</v>
      </c>
      <c r="DE233" s="45" t="e">
        <f t="array" ref="DE233">INDEX(#REF!,MATCH('Respuestas de formulario 1.1'!$B233,#REF!,0),MATCH('Respuestas de formulario 1.1'!DE$1,#REF!,0))</f>
        <v>#REF!</v>
      </c>
      <c r="DF233" s="45" t="e">
        <f t="array" ref="DF233">INDEX(#REF!,MATCH('Respuestas de formulario 1.1'!$B233,#REF!,0),MATCH('Respuestas de formulario 1.1'!DF$1,#REF!,0))</f>
        <v>#REF!</v>
      </c>
      <c r="DG233" s="45" t="e">
        <f t="array" ref="DG233">INDEX(#REF!,MATCH('Respuestas de formulario 1.1'!$B233,#REF!,0),MATCH('Respuestas de formulario 1.1'!DG$1,#REF!,0))</f>
        <v>#REF!</v>
      </c>
      <c r="DH233" s="45" t="e">
        <f t="array" ref="DH233">INDEX(#REF!,MATCH('Respuestas de formulario 1.1'!$B233,#REF!,0),MATCH('Respuestas de formulario 1.1'!DH$1,#REF!,0))</f>
        <v>#REF!</v>
      </c>
      <c r="DI233" s="48" t="e">
        <f>VLOOKUP(CONCATENATE($DF233," TUTO ",$DC233),#REF!,3,0)</f>
        <v>#REF!</v>
      </c>
      <c r="DJ233" s="48" t="e">
        <f t="array" ref="DJ233">IF('Respuestas de formulario 1.1'!A233="","",INDEX(#REF!,MATCH('Respuestas de formulario 1.1'!B233,#REF!,0),MATCH('Respuestas de formulario 1.1'!$DH$1,#REF!,0)))</f>
        <v>#REF!</v>
      </c>
      <c r="DK233" s="52" t="str">
        <f>CONCATENATE("http://doc.google.com/uc?id=",MID('Respuestas de formulario 1.1'!G233,34,33))</f>
        <v>http://doc.google.com/uc?id=1Ag9BUBGYIw4nIIGQf1UjZWjiV2XC4ZDy</v>
      </c>
      <c r="DL233" s="49" t="str">
        <f>CONCATENATE("http://doc.google.com/uc?id=",MID('Respuestas de formulario 1.1'!AH233,34,33))</f>
        <v>http://doc.google.com/uc?id=1oKtdxXKfgh5fLeAkYiUbhfYGnEyqRljh</v>
      </c>
      <c r="DM233" s="50" t="str">
        <f>CONCATENATE("http://doc.google.com/uc?id=",MID('Respuestas de formulario 1.1'!AW233,34,33))</f>
        <v>http://doc.google.com/uc?id=1ZioPNV0wmRCEEf7nTKN6igSs-XQK83SZ</v>
      </c>
      <c r="DN233" s="53" t="str">
        <f>CONCATENATE("http://doc.google.com/uc?id=",MID('Respuestas de formulario 1.1'!$BI233,34,33))</f>
        <v>http://doc.google.com/uc?id=1zu9Py_OSNm-fRk_nw-u7iWwumzDDtI-E</v>
      </c>
      <c r="DO233" s="45" t="str">
        <f>IFERROR(VLOOKUP(CONCATENATE('Respuestas de formulario 1.1'!$B233,MID('Respuestas de formulario 1.1'!DO$1,2,1)),#REF!,12,0),"")</f>
        <v/>
      </c>
      <c r="DP233" s="45" t="str">
        <f>IFERROR(VLOOKUP(CONCATENATE('Respuestas de formulario 1.1'!$B233,MID('Respuestas de formulario 1.1'!DP$1,2,1)),#REF!,12,0),"")</f>
        <v/>
      </c>
      <c r="DQ233" s="45" t="str">
        <f>IFERROR(VLOOKUP(CONCATENATE('Respuestas de formulario 1.1'!$B233,MID('Respuestas de formulario 1.1'!DQ$1,2,1)),#REF!,12,0),"")</f>
        <v/>
      </c>
      <c r="DR233" s="45" t="str">
        <f>IFERROR(VLOOKUP(CONCATENATE('Respuestas de formulario 1.1'!$B233,MID('Respuestas de formulario 1.1'!DR$1,2,1)),#REF!,12,0),"")</f>
        <v/>
      </c>
      <c r="DS233" s="45" t="str">
        <f>IFERROR(VLOOKUP(CONCATENATE('Respuestas de formulario 1.1'!$B233,MID('Respuestas de formulario 1.1'!DS$1,2,1)),#REF!,12,0),"")</f>
        <v/>
      </c>
      <c r="DT233" s="45" t="str">
        <f>IFERROR(VLOOKUP(CONCATENATE('Respuestas de formulario 1.1'!$B233,MID('Respuestas de formulario 1.1'!DT$1,2,1)),#REF!,12,0),"")</f>
        <v/>
      </c>
      <c r="DU233" s="45" t="str">
        <f>IFERROR(VLOOKUP(CONCATENATE('Respuestas de formulario 1.1'!$B233,MID('Respuestas de formulario 1.1'!DU$1,2,1)),#REF!,12,0),"")</f>
        <v/>
      </c>
      <c r="DV233" s="45" t="str">
        <f>IFERROR(VLOOKUP(CONCATENATE('Respuestas de formulario 1.1'!$B233,MID('Respuestas de formulario 1.1'!DV$1,2,1)),#REF!,12,0),"")</f>
        <v/>
      </c>
      <c r="DW233" s="45" t="str">
        <f>IFERROR(VLOOKUP(CONCATENATE('Respuestas de formulario 1.1'!$B233,MID('Respuestas de formulario 1.1'!DW$1,2,1)),#REF!,12,0),"")</f>
        <v/>
      </c>
      <c r="DX233" s="45" t="str">
        <f>IFERROR(VLOOKUP(CONCATENATE('Respuestas de formulario 1.1'!$B233,MID('Respuestas de formulario 1.1'!DX$1,2,1)),#REF!,12,0),"")</f>
        <v/>
      </c>
      <c r="DY233" s="45" t="str">
        <f>IFERROR(VLOOKUP(CONCATENATE('Respuestas de formulario 1.1'!$B233,MID('Respuestas de formulario 1.1'!DY$1,2,1)),#REF!,12,0),"")</f>
        <v/>
      </c>
      <c r="DZ233" s="45" t="str">
        <f>IFERROR(VLOOKUP(CONCATENATE('Respuestas de formulario 1.1'!$B233,MID('Respuestas de formulario 1.1'!DZ$1,2,1)),#REF!,12,0),"")</f>
        <v/>
      </c>
      <c r="EA233" s="45" t="str">
        <f>IFERROR(VLOOKUP(CONCATENATE('Respuestas de formulario 1.1'!$B233,MID('Respuestas de formulario 1.1'!EA$1,2,1)),#REF!,12,0),"")</f>
        <v/>
      </c>
      <c r="EB233" s="45" t="str">
        <f>IFERROR(VLOOKUP(CONCATENATE('Respuestas de formulario 1.1'!$B233,MID('Respuestas de formulario 1.1'!EB$1,2,1)),#REF!,12,0),"")</f>
        <v/>
      </c>
      <c r="EC233" s="45" t="str">
        <f>IFERROR(VLOOKUP(CONCATENATE('Respuestas de formulario 1.1'!$B233,MID('Respuestas de formulario 1.1'!EC$1,2,1)),#REF!,12,0),"")</f>
        <v/>
      </c>
      <c r="ED233" s="45" t="str">
        <f>IFERROR(VLOOKUP(CONCATENATE('Respuestas de formulario 1.1'!$B233,MID('Respuestas de formulario 1.1'!ED$1,2,1)),#REF!,12,0),"")</f>
        <v/>
      </c>
      <c r="EE233" s="45" t="str">
        <f>IFERROR(VLOOKUP(CONCATENATE('Respuestas de formulario 1.1'!$B233,MID('Respuestas de formulario 1.1'!EE$1,2,1)),#REF!,12,0),"")</f>
        <v/>
      </c>
      <c r="EF233" s="45" t="str">
        <f>IFERROR(VLOOKUP(CONCATENATE('Respuestas de formulario 1.1'!$B233,MID('Respuestas de formulario 1.1'!EF$1,2,1)),#REF!,12,0),"")</f>
        <v/>
      </c>
      <c r="EG233" s="45" t="str">
        <f>IFERROR(VLOOKUP(CONCATENATE('Respuestas de formulario 1.1'!$B233,MID('Respuestas de formulario 1.1'!EG$1,2,1)),#REF!,12,0),"")</f>
        <v/>
      </c>
      <c r="EH233" s="45" t="str">
        <f>IFERROR(VLOOKUP(CONCATENATE('Respuestas de formulario 1.1'!$B233,MID('Respuestas de formulario 1.1'!EH$1,2,1)),#REF!,12,0),"")</f>
        <v/>
      </c>
      <c r="EI233" s="45" t="str">
        <f>IFERROR(VLOOKUP(CONCATENATE('Respuestas de formulario 1.1'!$B233,MID('Respuestas de formulario 1.1'!EI$1,2,1)),#REF!,12,0),"")</f>
        <v/>
      </c>
      <c r="EJ233" s="45" t="str">
        <f t="array" ref="EJ233">IF(DO233="","", INDEX(#REF!,MATCH(CONCATENATE('Respuestas de formulario 1.1'!$B233,DO233),#REF!,0),MATCH('Respuestas de formulario 1.1'!EJ$1,#REF!,0)))</f>
        <v/>
      </c>
      <c r="EK233" s="56" t="str">
        <f t="array" ref="EK233">IF(DP233="","", INDEX(#REF!,MATCH(CONCATENATE('Respuestas de formulario 1.1'!$B233,DP233),#REF!,0),MATCH('Respuestas de formulario 1.1'!EK$1,#REF!,0)))</f>
        <v/>
      </c>
      <c r="EL233" s="56" t="str">
        <f t="array" ref="EL233">IF(DQ233="","", INDEX(#REF!,MATCH(CONCATENATE('Respuestas de formulario 1.1'!$B233,DQ233),#REF!,0),MATCH('Respuestas de formulario 1.1'!EL$1,#REF!,0)))</f>
        <v/>
      </c>
      <c r="EM233" s="56" t="str">
        <f t="array" ref="EM233">IF(DR233="","", INDEX(#REF!,MATCH(CONCATENATE('Respuestas de formulario 1.1'!$B233,DR233),#REF!,0),MATCH('Respuestas de formulario 1.1'!EM$1,#REF!,0)))</f>
        <v/>
      </c>
      <c r="EN233" s="56" t="str">
        <f t="array" ref="EN233">IF(DS233="","", INDEX(#REF!,MATCH(CONCATENATE('Respuestas de formulario 1.1'!$B233,DS233),#REF!,0),MATCH('Respuestas de formulario 1.1'!EN$1,#REF!,0)))</f>
        <v/>
      </c>
      <c r="EO233" s="56" t="str">
        <f t="array" ref="EO233">IF(DT233="","", INDEX(#REF!,MATCH(CONCATENATE('Respuestas de formulario 1.1'!$B233,DT233),#REF!,0),MATCH('Respuestas de formulario 1.1'!EO$1,#REF!,0)))</f>
        <v/>
      </c>
      <c r="EP233" s="45" t="str">
        <f t="array" ref="EP233">IF(DU233="","", INDEX(#REF!,MATCH(CONCATENATE('Respuestas de formulario 1.1'!$B233,DU233),#REF!,0),MATCH('Respuestas de formulario 1.1'!EP$1,#REF!,0)))</f>
        <v/>
      </c>
      <c r="EQ233" s="45" t="str">
        <f t="array" ref="EQ233">IF(DP233="","", INDEX(#REF!,MATCH(CONCATENATE('Respuestas de formulario 1.1'!$B233,DP233),#REF!,0),MATCH('Respuestas de formulario 1.1'!EQ$1,#REF!,0)))</f>
        <v/>
      </c>
      <c r="ER233" s="56" t="str">
        <f t="array" ref="ER233">IF(DQ233="","", INDEX(#REF!,MATCH(CONCATENATE('Respuestas de formulario 1.1'!$B233,DQ233),#REF!,0),MATCH('Respuestas de formulario 1.1'!ER$1,#REF!,0)))</f>
        <v/>
      </c>
      <c r="ES233" s="56" t="str">
        <f t="array" ref="ES233">IF(DR233="","", INDEX(#REF!,MATCH(CONCATENATE('Respuestas de formulario 1.1'!$B233,DR233),#REF!,0),MATCH('Respuestas de formulario 1.1'!ES$1,#REF!,0)))</f>
        <v/>
      </c>
      <c r="ET233" s="56" t="str">
        <f t="array" ref="ET233">IF(DS233="","", INDEX(#REF!,MATCH(CONCATENATE('Respuestas de formulario 1.1'!$B233,DS233),#REF!,0),MATCH('Respuestas de formulario 1.1'!ET$1,#REF!,0)))</f>
        <v/>
      </c>
      <c r="EU233" s="56" t="str">
        <f t="array" ref="EU233">IF(DT233="","", INDEX(#REF!,MATCH(CONCATENATE('Respuestas de formulario 1.1'!$B233,DT233),#REF!,0),MATCH('Respuestas de formulario 1.1'!EU$1,#REF!,0)))</f>
        <v/>
      </c>
      <c r="EV233" s="56" t="str">
        <f t="array" ref="EV233">IF(DU233="","", INDEX(#REF!,MATCH(CONCATENATE('Respuestas de formulario 1.1'!$B233,DU233),#REF!,0),MATCH('Respuestas de formulario 1.1'!EV$1,#REF!,0)))</f>
        <v/>
      </c>
      <c r="EW233" s="45" t="str">
        <f t="array" ref="EW233">IF(DV233="","", INDEX(#REF!,MATCH(CONCATENATE('Respuestas de formulario 1.1'!$B233,DV233),#REF!,0),MATCH('Respuestas de formulario 1.1'!EW$1,#REF!,0)))</f>
        <v/>
      </c>
      <c r="EX233" s="45" t="str">
        <f t="array" ref="EX233">IF($DQ233="","", INDEX(#REF!,MATCH(CONCATENATE('Respuestas de formulario 1.1'!$B233,$DQ233),#REF!,0),MATCH('Respuestas de formulario 1.1'!EX$1,#REF!,0)))</f>
        <v/>
      </c>
      <c r="EY233" s="56" t="str">
        <f t="array" ref="EY233">IF($DQ233="","", INDEX(#REF!,MATCH(CONCATENATE('Respuestas de formulario 1.1'!$B233,$DQ233),#REF!,0),MATCH('Respuestas de formulario 1.1'!EY$1,#REF!,0)))</f>
        <v/>
      </c>
      <c r="EZ233" s="56" t="str">
        <f t="array" ref="EZ233">IF($DQ233="","", INDEX(#REF!,MATCH(CONCATENATE('Respuestas de formulario 1.1'!$B233,$DQ233),#REF!,0),MATCH('Respuestas de formulario 1.1'!EZ$1,#REF!,0)))</f>
        <v/>
      </c>
      <c r="FA233" s="56" t="str">
        <f t="array" ref="FA233">IF($DQ233="","", INDEX(#REF!,MATCH(CONCATENATE('Respuestas de formulario 1.1'!$B233,$DQ233),#REF!,0),MATCH('Respuestas de formulario 1.1'!FA$1,#REF!,0)))</f>
        <v/>
      </c>
      <c r="FB233" s="56" t="str">
        <f t="array" ref="FB233">IF($DQ233="","", INDEX(#REF!,MATCH(CONCATENATE('Respuestas de formulario 1.1'!$B233,$DQ233),#REF!,0),MATCH('Respuestas de formulario 1.1'!FB$1,#REF!,0)))</f>
        <v/>
      </c>
      <c r="FC233" s="56" t="str">
        <f t="array" ref="FC233">IF($DQ233="","", INDEX(#REF!,MATCH(CONCATENATE('Respuestas de formulario 1.1'!$B233,$DQ233),#REF!,0),MATCH('Respuestas de formulario 1.1'!FC$1,#REF!,0)))</f>
        <v/>
      </c>
      <c r="FD233" s="45" t="str">
        <f t="array" ref="FD233">IF($DQ233="","", INDEX(#REF!,MATCH(CONCATENATE('Respuestas de formulario 1.1'!$B233,$DQ233),#REF!,0),MATCH('Respuestas de formulario 1.1'!FD$1,#REF!,0)))</f>
        <v/>
      </c>
      <c r="FE233" s="45" t="str">
        <f t="array" ref="FE233">IF($DR233="","", INDEX(#REF!,MATCH(CONCATENATE(#REF!,$DR233),#REF!,0),MATCH(#REF!,#REF!,0)))</f>
        <v/>
      </c>
      <c r="FF233" s="56" t="str">
        <f t="array" ref="FF233">IF($DR233="","", INDEX(#REF!,MATCH(CONCATENATE(#REF!,$DR233),#REF!,0),MATCH(#REF!,#REF!,0)))</f>
        <v/>
      </c>
      <c r="FG233" s="56" t="str">
        <f t="array" ref="FG233">IF($DR233="","", INDEX(#REF!,MATCH(CONCATENATE(#REF!,$DR233),#REF!,0),MATCH(#REF!,#REF!,0)))</f>
        <v/>
      </c>
      <c r="FH233" s="56" t="str">
        <f t="array" ref="FH233">IF($DR233="","", INDEX(#REF!,MATCH(CONCATENATE(#REF!,$DR233),#REF!,0),MATCH(#REF!,#REF!,0)))</f>
        <v/>
      </c>
      <c r="FI233" s="56" t="str">
        <f t="array" ref="FI233">IF($DR233="","", INDEX(#REF!,MATCH(CONCATENATE(#REF!,$DR233),#REF!,0),MATCH(#REF!,#REF!,0)))</f>
        <v/>
      </c>
      <c r="FJ233" s="56" t="str">
        <f t="array" ref="FJ233">IF($DR233="","", INDEX(#REF!,MATCH(CONCATENATE(#REF!,$DR233),#REF!,0),MATCH(#REF!,#REF!,0)))</f>
        <v/>
      </c>
      <c r="FK233" s="45" t="str">
        <f t="array" ref="FK233">IF($DR233="","", INDEX(#REF!,MATCH(CONCATENATE(#REF!,$DR233),#REF!,0),MATCH(#REF!,#REF!,0)))</f>
        <v/>
      </c>
      <c r="FL233" s="45" t="str">
        <f t="array" ref="FL233">IF($DT233="","", INDEX(#REF!,MATCH(CONCATENATE('Respuestas de formulario 1.1'!$B233,$DS233),#REF!,0),MATCH('Respuestas de formulario 1.1'!FL$1,#REF!,0)))</f>
        <v/>
      </c>
      <c r="FM233" s="56" t="str">
        <f t="array" ref="FM233">IF($DT233="","", INDEX(#REF!,MATCH(CONCATENATE('Respuestas de formulario 1.1'!$B233,$DS233),#REF!,0),MATCH('Respuestas de formulario 1.1'!FM$1,#REF!,0)))</f>
        <v/>
      </c>
      <c r="FN233" s="56" t="str">
        <f t="array" ref="FN233">IF($DT233="","", INDEX(#REF!,MATCH(CONCATENATE('Respuestas de formulario 1.1'!$B233,$DS233),#REF!,0),MATCH('Respuestas de formulario 1.1'!FN$1,#REF!,0)))</f>
        <v/>
      </c>
      <c r="FO233" s="56" t="str">
        <f t="array" ref="FO233">IF($DT233="","", INDEX(#REF!,MATCH(CONCATENATE('Respuestas de formulario 1.1'!$B233,$DS233),#REF!,0),MATCH('Respuestas de formulario 1.1'!FO$1,#REF!,0)))</f>
        <v/>
      </c>
      <c r="FP233" s="56" t="str">
        <f t="array" ref="FP233">IF($DT233="","", INDEX(#REF!,MATCH(CONCATENATE('Respuestas de formulario 1.1'!$B233,$DS233),#REF!,0),MATCH('Respuestas de formulario 1.1'!FP$1,#REF!,0)))</f>
        <v/>
      </c>
      <c r="FQ233" s="56" t="str">
        <f t="array" ref="FQ233">IF($DT233="","", INDEX(#REF!,MATCH(CONCATENATE('Respuestas de formulario 1.1'!$B233,$DS233),#REF!,0),MATCH('Respuestas de formulario 1.1'!FQ$1,#REF!,0)))</f>
        <v/>
      </c>
      <c r="FR233" s="45" t="str">
        <f t="array" ref="FR233">IF($DT233="","", INDEX(#REF!,MATCH(CONCATENATE('Respuestas de formulario 1.1'!$B233,$DS233),#REF!,0),MATCH('Respuestas de formulario 1.1'!FR$1,#REF!,0)))</f>
        <v/>
      </c>
      <c r="FS233" s="45" t="str">
        <f t="array" ref="FS233">IF($DU233="","", INDEX(#REF!,MATCH(CONCATENATE('Respuestas de formulario 1.1'!$B233,$DT233),#REF!,0),MATCH('Respuestas de formulario 1.1'!FS$1,#REF!,0)))</f>
        <v/>
      </c>
      <c r="FT233" s="56" t="str">
        <f t="array" ref="FT233">IF($DU233="","", INDEX(#REF!,MATCH(CONCATENATE('Respuestas de formulario 1.1'!$B233,$DT233),#REF!,0),MATCH('Respuestas de formulario 1.1'!FT$1,#REF!,0)))</f>
        <v/>
      </c>
      <c r="FU233" s="56" t="str">
        <f t="array" ref="FU233">IF($DU233="","", INDEX(#REF!,MATCH(CONCATENATE('Respuestas de formulario 1.1'!$B233,$DT233),#REF!,0),MATCH('Respuestas de formulario 1.1'!FU$1,#REF!,0)))</f>
        <v/>
      </c>
      <c r="FV233" s="56" t="str">
        <f t="array" ref="FV233">IF($DU233="","", INDEX(#REF!,MATCH(CONCATENATE('Respuestas de formulario 1.1'!$B233,$DT233),#REF!,0),MATCH('Respuestas de formulario 1.1'!FV$1,#REF!,0)))</f>
        <v/>
      </c>
      <c r="FW233" s="56" t="str">
        <f t="array" ref="FW233">IF($DU233="","", INDEX(#REF!,MATCH(CONCATENATE('Respuestas de formulario 1.1'!$B233,$DT233),#REF!,0),MATCH('Respuestas de formulario 1.1'!FW$1,#REF!,0)))</f>
        <v/>
      </c>
      <c r="FX233" s="56" t="str">
        <f t="array" ref="FX233">IF($DU233="","", INDEX(#REF!,MATCH(CONCATENATE('Respuestas de formulario 1.1'!$B233,$DT233),#REF!,0),MATCH('Respuestas de formulario 1.1'!FX$1,#REF!,0)))</f>
        <v/>
      </c>
      <c r="FY233" s="45" t="str">
        <f t="array" ref="FY233">IF($DU233="","", INDEX(#REF!,MATCH(CONCATENATE('Respuestas de formulario 1.1'!$B233,$DT233),#REF!,0),MATCH('Respuestas de formulario 1.1'!FY$1,#REF!,0)))</f>
        <v/>
      </c>
      <c r="FZ233" s="3" t="s">
        <v>2860</v>
      </c>
      <c r="GA233" s="1" t="s">
        <v>6853</v>
      </c>
      <c r="GB233" s="5" t="s">
        <v>6854</v>
      </c>
      <c r="GC233" s="4" t="str">
        <f>HYPERLINK("https://drive.google.com/file/d/1nMxl3xplK7vVEZXVbg0APFvCeWP03vEP/view?usp=drivesdk","MENDOZA MENDEZ JOSE ANTONIO Formato de reinscripción y pago 2022-2")</f>
        <v>MENDOZA MENDEZ JOSE ANTONIO Formato de reinscripción y pago 2022-2</v>
      </c>
      <c r="GD233" s="1" t="s">
        <v>6855</v>
      </c>
      <c r="GE233" s="1"/>
      <c r="GF233" s="1"/>
      <c r="GG233" s="1"/>
      <c r="GH233" s="1"/>
      <c r="GI233" s="1" t="s">
        <v>6856</v>
      </c>
      <c r="GJ233" s="5" t="s">
        <v>6857</v>
      </c>
      <c r="GK233" s="5" t="str">
        <f>HYPERLINK("https://drive.google.com/file/d/1lFveJ-44_4mdDauACrQmsXjOZ3QJho6B/view?usp=drivesdk","MENDOZA MENDEZ &lt;&lt;Nombre(S)&gt;&gt; Formato de reinscripción y pago 2022-2")</f>
        <v>MENDOZA MENDEZ &lt;&lt;Nombre(S)&gt;&gt; Formato de reinscripción y pago 2022-2</v>
      </c>
      <c r="GL233" s="1" t="s">
        <v>6858</v>
      </c>
    </row>
    <row r="234" spans="1:194" ht="38.25" x14ac:dyDescent="0.2">
      <c r="A234" s="2">
        <v>45139.535399375003</v>
      </c>
      <c r="B234" s="1" t="s">
        <v>962</v>
      </c>
      <c r="C234" s="1" t="s">
        <v>963</v>
      </c>
      <c r="D234" s="1" t="s">
        <v>964</v>
      </c>
      <c r="E234" s="1" t="s">
        <v>965</v>
      </c>
      <c r="F234" s="1" t="s">
        <v>223</v>
      </c>
      <c r="G234" s="5" t="s">
        <v>6859</v>
      </c>
      <c r="H234" s="41">
        <v>38885</v>
      </c>
      <c r="I234" s="1">
        <v>17</v>
      </c>
      <c r="J234" s="1">
        <v>5514169105</v>
      </c>
      <c r="K234" s="1">
        <v>5570968207</v>
      </c>
      <c r="L234" s="1" t="s">
        <v>966</v>
      </c>
      <c r="M234" s="1">
        <v>21309060570001</v>
      </c>
      <c r="N234" s="1" t="s">
        <v>1108</v>
      </c>
      <c r="O234" s="1" t="s">
        <v>247</v>
      </c>
      <c r="P234" s="1" t="s">
        <v>278</v>
      </c>
      <c r="Q234" s="1" t="s">
        <v>263</v>
      </c>
      <c r="R234" s="1" t="s">
        <v>236</v>
      </c>
      <c r="S234" s="1" t="s">
        <v>228</v>
      </c>
      <c r="T234" s="1" t="s">
        <v>411</v>
      </c>
      <c r="U234" s="1" t="s">
        <v>249</v>
      </c>
      <c r="V234" s="1" t="s">
        <v>228</v>
      </c>
      <c r="W234" s="1" t="s">
        <v>6860</v>
      </c>
      <c r="X234" s="1" t="s">
        <v>249</v>
      </c>
      <c r="Y234" s="1" t="s">
        <v>1804</v>
      </c>
      <c r="Z234" s="1" t="s">
        <v>240</v>
      </c>
      <c r="AA234" s="44" t="s">
        <v>967</v>
      </c>
      <c r="AB234" s="1">
        <v>13</v>
      </c>
      <c r="AC234" s="1" t="s">
        <v>923</v>
      </c>
      <c r="AD234" s="1" t="s">
        <v>6861</v>
      </c>
      <c r="AE234" s="1" t="s">
        <v>6862</v>
      </c>
      <c r="AF234" s="1" t="s">
        <v>580</v>
      </c>
      <c r="AG234" s="1">
        <v>35</v>
      </c>
      <c r="AH234" s="5" t="s">
        <v>6863</v>
      </c>
      <c r="AI234" s="1">
        <v>5549259607</v>
      </c>
      <c r="AJ234" s="1">
        <v>5559705302</v>
      </c>
      <c r="AK234" s="1" t="s">
        <v>969</v>
      </c>
      <c r="AL234" s="1" t="s">
        <v>244</v>
      </c>
      <c r="AM234" s="1" t="s">
        <v>1795</v>
      </c>
      <c r="AN234" s="1" t="s">
        <v>6864</v>
      </c>
      <c r="AO234" s="1" t="s">
        <v>968</v>
      </c>
      <c r="AP234" s="1">
        <v>57</v>
      </c>
      <c r="AQ234" s="1" t="s">
        <v>233</v>
      </c>
      <c r="AR234" s="42">
        <v>0</v>
      </c>
      <c r="AS234" s="42">
        <v>0.5</v>
      </c>
      <c r="AT234" s="1">
        <v>5618874188</v>
      </c>
      <c r="AU234" s="1">
        <v>5570968207</v>
      </c>
      <c r="AV234" s="1"/>
      <c r="AW234" s="5" t="s">
        <v>6865</v>
      </c>
      <c r="AX234" s="1" t="s">
        <v>963</v>
      </c>
      <c r="AY234" s="1" t="s">
        <v>6866</v>
      </c>
      <c r="AZ234" s="1" t="s">
        <v>970</v>
      </c>
      <c r="BA234" s="1" t="s">
        <v>420</v>
      </c>
      <c r="BB234" s="1">
        <v>43</v>
      </c>
      <c r="BC234" s="1" t="s">
        <v>739</v>
      </c>
      <c r="BD234" s="43">
        <v>0.29166666666424135</v>
      </c>
      <c r="BE234" s="43">
        <v>0.66666666666424135</v>
      </c>
      <c r="BF234" s="1">
        <v>5537707009</v>
      </c>
      <c r="BG234" s="1">
        <v>5570968207</v>
      </c>
      <c r="BH234" s="1" t="s">
        <v>6867</v>
      </c>
      <c r="BI234" s="5" t="s">
        <v>6868</v>
      </c>
      <c r="BJ234" s="1" t="s">
        <v>228</v>
      </c>
      <c r="BK234" s="1" t="s">
        <v>971</v>
      </c>
      <c r="BL234" s="1">
        <v>153</v>
      </c>
      <c r="BM234" s="1">
        <v>38</v>
      </c>
      <c r="BN234" s="1" t="s">
        <v>228</v>
      </c>
      <c r="BO234" s="1" t="s">
        <v>228</v>
      </c>
      <c r="BQ234" s="1" t="s">
        <v>228</v>
      </c>
      <c r="BR234" s="1" t="s">
        <v>237</v>
      </c>
      <c r="BS234" s="1" t="s">
        <v>228</v>
      </c>
      <c r="BT234" s="1" t="s">
        <v>237</v>
      </c>
      <c r="BU234" s="1" t="s">
        <v>228</v>
      </c>
      <c r="BW234" s="1" t="s">
        <v>657</v>
      </c>
      <c r="BX234" s="1">
        <v>120</v>
      </c>
      <c r="BY234" s="1">
        <v>0</v>
      </c>
      <c r="BZ234" s="1" t="s">
        <v>1417</v>
      </c>
      <c r="CA234" s="1" t="s">
        <v>847</v>
      </c>
      <c r="CB234" s="1" t="s">
        <v>240</v>
      </c>
      <c r="CC234" s="1" t="s">
        <v>274</v>
      </c>
      <c r="CD234" s="1">
        <v>30</v>
      </c>
      <c r="CE234" s="1">
        <v>30</v>
      </c>
      <c r="CF234" s="1" t="s">
        <v>236</v>
      </c>
      <c r="CG234" s="1" t="s">
        <v>242</v>
      </c>
      <c r="CH234" s="1" t="s">
        <v>243</v>
      </c>
      <c r="CI234" s="1" t="s">
        <v>243</v>
      </c>
      <c r="CJ234" s="1" t="s">
        <v>2848</v>
      </c>
      <c r="CL234" s="5" t="s">
        <v>6869</v>
      </c>
      <c r="CM234" s="44" t="s">
        <v>972</v>
      </c>
      <c r="CN234" s="1" t="s">
        <v>228</v>
      </c>
      <c r="CQ234" s="42">
        <v>0</v>
      </c>
      <c r="CR234" s="42">
        <v>0.5</v>
      </c>
      <c r="CT234" s="45" t="str">
        <f t="array" ref="CT234">IFERROR(INDEX(#REF!,MATCH('Respuestas de formulario 1.1'!$B234,#REF!,0),MATCH('Respuestas de formulario 1.1'!CT$1,#REF!,0)),"")</f>
        <v/>
      </c>
      <c r="CU234" s="56" t="str">
        <f t="array" ref="CU234">IFERROR(INDEX(#REF!,MATCH('Respuestas de formulario 1.1'!$B234,#REF!,0),MATCH('Respuestas de formulario 1.1'!CU$1,#REF!,0)),"")</f>
        <v/>
      </c>
      <c r="CV234" s="56" t="str">
        <f t="array" ref="CV234">IFERROR(INDEX(#REF!,MATCH('Respuestas de formulario 1.1'!$B234,#REF!,0),MATCH('Respuestas de formulario 1.1'!CV$1,#REF!,0)),"")</f>
        <v/>
      </c>
      <c r="CW234" s="56" t="str">
        <f t="array" ref="CW234">IFERROR(INDEX(#REF!,MATCH('Respuestas de formulario 1.1'!$B234,#REF!,0),MATCH('Respuestas de formulario 1.1'!CW$1,#REF!,0)),"")</f>
        <v/>
      </c>
      <c r="CX234" s="56" t="str">
        <f t="array" ref="CX234">IFERROR(INDEX(#REF!,MATCH('Respuestas de formulario 1.1'!$B234,#REF!,0),MATCH('Respuestas de formulario 1.1'!CX$1,#REF!,0)),"")</f>
        <v/>
      </c>
      <c r="CY234" s="56" t="str">
        <f t="array" ref="CY234">IFERROR(INDEX(#REF!,MATCH('Respuestas de formulario 1.1'!$B234,#REF!,0),MATCH('Respuestas de formulario 1.1'!CY$1,#REF!,0)),"")</f>
        <v/>
      </c>
      <c r="CZ234" s="57" t="str">
        <f t="array" ref="CZ234">IFERROR(INDEX(#REF!,MATCH('Respuestas de formulario 1.1'!$B234,#REF!,0),MATCH('Respuestas de formulario 1.1'!CZ$1,#REF!,0)),"")</f>
        <v/>
      </c>
      <c r="DA234" s="45" t="e">
        <f t="array" ref="DA234">INDEX(#REF!,MATCH('Respuestas de formulario 1.1'!$B234,#REF!,0),MATCH('Respuestas de formulario 1.1'!DA$1,#REF!,0))</f>
        <v>#REF!</v>
      </c>
      <c r="DB234" s="45" t="e">
        <f t="array" ref="DB234">INDEX(#REF!,MATCH('Respuestas de formulario 1.1'!$B234,#REF!,0),MATCH('Respuestas de formulario 1.1'!DB$1,#REF!,0))</f>
        <v>#REF!</v>
      </c>
      <c r="DC234" s="45" t="e">
        <f t="array" ref="DC234">INDEX(#REF!,MATCH('Respuestas de formulario 1.1'!$B234,#REF!,0),MATCH('Respuestas de formulario 1.1'!DC$1,#REF!,0))</f>
        <v>#REF!</v>
      </c>
      <c r="DD234" s="45" t="e">
        <f t="array" ref="DD234">INDEX(#REF!,MATCH('Respuestas de formulario 1.1'!$B234,#REF!,0),MATCH('Respuestas de formulario 1.1'!DD$1,#REF!,0))</f>
        <v>#REF!</v>
      </c>
      <c r="DE234" s="45" t="e">
        <f t="array" ref="DE234">INDEX(#REF!,MATCH('Respuestas de formulario 1.1'!$B234,#REF!,0),MATCH('Respuestas de formulario 1.1'!DE$1,#REF!,0))</f>
        <v>#REF!</v>
      </c>
      <c r="DF234" s="45" t="e">
        <f t="array" ref="DF234">INDEX(#REF!,MATCH('Respuestas de formulario 1.1'!$B234,#REF!,0),MATCH('Respuestas de formulario 1.1'!DF$1,#REF!,0))</f>
        <v>#REF!</v>
      </c>
      <c r="DG234" s="45" t="e">
        <f t="array" ref="DG234">INDEX(#REF!,MATCH('Respuestas de formulario 1.1'!$B234,#REF!,0),MATCH('Respuestas de formulario 1.1'!DG$1,#REF!,0))</f>
        <v>#REF!</v>
      </c>
      <c r="DH234" s="45" t="e">
        <f t="array" ref="DH234">INDEX(#REF!,MATCH('Respuestas de formulario 1.1'!$B234,#REF!,0),MATCH('Respuestas de formulario 1.1'!DH$1,#REF!,0))</f>
        <v>#REF!</v>
      </c>
      <c r="DI234" s="48" t="e">
        <f>VLOOKUP(CONCATENATE($DF234," TUTO ",$DC234),#REF!,3,0)</f>
        <v>#REF!</v>
      </c>
      <c r="DJ234" s="48" t="e">
        <f t="array" ref="DJ234">IF('Respuestas de formulario 1.1'!A234="","",INDEX(#REF!,MATCH('Respuestas de formulario 1.1'!B234,#REF!,0),MATCH('Respuestas de formulario 1.1'!$DH$1,#REF!,0)))</f>
        <v>#REF!</v>
      </c>
      <c r="DK234" s="52" t="str">
        <f>CONCATENATE("http://doc.google.com/uc?id=",MID('Respuestas de formulario 1.1'!G234,34,33))</f>
        <v>http://doc.google.com/uc?id=1QMslQ9tgL7kJWx_e8rVoLOgD4renbk-g</v>
      </c>
      <c r="DL234" s="49" t="str">
        <f>CONCATENATE("http://doc.google.com/uc?id=",MID('Respuestas de formulario 1.1'!AH234,34,33))</f>
        <v>http://doc.google.com/uc?id=1B_EXMoJndlyEKLqNdESKquI3Nff70rfZ</v>
      </c>
      <c r="DM234" s="50" t="str">
        <f>CONCATENATE("http://doc.google.com/uc?id=",MID('Respuestas de formulario 1.1'!AW234,34,33))</f>
        <v>http://doc.google.com/uc?id=1yJBkAwC3rsnRxzMR5nl3aOErZ_5x37Cn</v>
      </c>
      <c r="DN234" s="53" t="str">
        <f>CONCATENATE("http://doc.google.com/uc?id=",MID('Respuestas de formulario 1.1'!$BI234,34,33))</f>
        <v>http://doc.google.com/uc?id=1QPpSs9fsGBV6RkkrWi8Q9ykoYOKg1fth</v>
      </c>
      <c r="DO234" s="45" t="str">
        <f>IFERROR(VLOOKUP(CONCATENATE('Respuestas de formulario 1.1'!$B234,MID('Respuestas de formulario 1.1'!DO$1,2,1)),#REF!,12,0),"")</f>
        <v/>
      </c>
      <c r="DP234" s="45" t="str">
        <f>IFERROR(VLOOKUP(CONCATENATE('Respuestas de formulario 1.1'!$B234,MID('Respuestas de formulario 1.1'!DP$1,2,1)),#REF!,12,0),"")</f>
        <v/>
      </c>
      <c r="DQ234" s="45" t="str">
        <f>IFERROR(VLOOKUP(CONCATENATE('Respuestas de formulario 1.1'!$B234,MID('Respuestas de formulario 1.1'!DQ$1,2,1)),#REF!,12,0),"")</f>
        <v/>
      </c>
      <c r="DR234" s="45" t="str">
        <f>IFERROR(VLOOKUP(CONCATENATE('Respuestas de formulario 1.1'!$B234,MID('Respuestas de formulario 1.1'!DR$1,2,1)),#REF!,12,0),"")</f>
        <v/>
      </c>
      <c r="DS234" s="45" t="str">
        <f>IFERROR(VLOOKUP(CONCATENATE('Respuestas de formulario 1.1'!$B234,MID('Respuestas de formulario 1.1'!DS$1,2,1)),#REF!,12,0),"")</f>
        <v/>
      </c>
      <c r="DT234" s="45" t="str">
        <f>IFERROR(VLOOKUP(CONCATENATE('Respuestas de formulario 1.1'!$B234,MID('Respuestas de formulario 1.1'!DT$1,2,1)),#REF!,12,0),"")</f>
        <v/>
      </c>
      <c r="DU234" s="45" t="str">
        <f>IFERROR(VLOOKUP(CONCATENATE('Respuestas de formulario 1.1'!$B234,MID('Respuestas de formulario 1.1'!DU$1,2,1)),#REF!,12,0),"")</f>
        <v/>
      </c>
      <c r="DV234" s="45" t="str">
        <f>IFERROR(VLOOKUP(CONCATENATE('Respuestas de formulario 1.1'!$B234,MID('Respuestas de formulario 1.1'!DV$1,2,1)),#REF!,12,0),"")</f>
        <v/>
      </c>
      <c r="DW234" s="45" t="str">
        <f>IFERROR(VLOOKUP(CONCATENATE('Respuestas de formulario 1.1'!$B234,MID('Respuestas de formulario 1.1'!DW$1,2,1)),#REF!,12,0),"")</f>
        <v/>
      </c>
      <c r="DX234" s="45" t="str">
        <f>IFERROR(VLOOKUP(CONCATENATE('Respuestas de formulario 1.1'!$B234,MID('Respuestas de formulario 1.1'!DX$1,2,1)),#REF!,12,0),"")</f>
        <v/>
      </c>
      <c r="DY234" s="45" t="str">
        <f>IFERROR(VLOOKUP(CONCATENATE('Respuestas de formulario 1.1'!$B234,MID('Respuestas de formulario 1.1'!DY$1,2,1)),#REF!,12,0),"")</f>
        <v/>
      </c>
      <c r="DZ234" s="45" t="str">
        <f>IFERROR(VLOOKUP(CONCATENATE('Respuestas de formulario 1.1'!$B234,MID('Respuestas de formulario 1.1'!DZ$1,2,1)),#REF!,12,0),"")</f>
        <v/>
      </c>
      <c r="EA234" s="45" t="str">
        <f>IFERROR(VLOOKUP(CONCATENATE('Respuestas de formulario 1.1'!$B234,MID('Respuestas de formulario 1.1'!EA$1,2,1)),#REF!,12,0),"")</f>
        <v/>
      </c>
      <c r="EB234" s="45" t="str">
        <f>IFERROR(VLOOKUP(CONCATENATE('Respuestas de formulario 1.1'!$B234,MID('Respuestas de formulario 1.1'!EB$1,2,1)),#REF!,12,0),"")</f>
        <v/>
      </c>
      <c r="EC234" s="45" t="str">
        <f>IFERROR(VLOOKUP(CONCATENATE('Respuestas de formulario 1.1'!$B234,MID('Respuestas de formulario 1.1'!EC$1,2,1)),#REF!,12,0),"")</f>
        <v/>
      </c>
      <c r="ED234" s="45" t="str">
        <f>IFERROR(VLOOKUP(CONCATENATE('Respuestas de formulario 1.1'!$B234,MID('Respuestas de formulario 1.1'!ED$1,2,1)),#REF!,12,0),"")</f>
        <v/>
      </c>
      <c r="EE234" s="45" t="str">
        <f>IFERROR(VLOOKUP(CONCATENATE('Respuestas de formulario 1.1'!$B234,MID('Respuestas de formulario 1.1'!EE$1,2,1)),#REF!,12,0),"")</f>
        <v/>
      </c>
      <c r="EF234" s="45" t="str">
        <f>IFERROR(VLOOKUP(CONCATENATE('Respuestas de formulario 1.1'!$B234,MID('Respuestas de formulario 1.1'!EF$1,2,1)),#REF!,12,0),"")</f>
        <v/>
      </c>
      <c r="EG234" s="45" t="str">
        <f>IFERROR(VLOOKUP(CONCATENATE('Respuestas de formulario 1.1'!$B234,MID('Respuestas de formulario 1.1'!EG$1,2,1)),#REF!,12,0),"")</f>
        <v/>
      </c>
      <c r="EH234" s="45" t="str">
        <f>IFERROR(VLOOKUP(CONCATENATE('Respuestas de formulario 1.1'!$B234,MID('Respuestas de formulario 1.1'!EH$1,2,1)),#REF!,12,0),"")</f>
        <v/>
      </c>
      <c r="EI234" s="45" t="str">
        <f>IFERROR(VLOOKUP(CONCATENATE('Respuestas de formulario 1.1'!$B234,MID('Respuestas de formulario 1.1'!EI$1,2,1)),#REF!,12,0),"")</f>
        <v/>
      </c>
      <c r="EJ234" s="45" t="str">
        <f t="array" ref="EJ234">IF(DO234="","", INDEX(#REF!,MATCH(CONCATENATE('Respuestas de formulario 1.1'!$B234,DO234),#REF!,0),MATCH('Respuestas de formulario 1.1'!EJ$1,#REF!,0)))</f>
        <v/>
      </c>
      <c r="EK234" s="56" t="str">
        <f t="array" ref="EK234">IF(DP234="","", INDEX(#REF!,MATCH(CONCATENATE('Respuestas de formulario 1.1'!$B234,DP234),#REF!,0),MATCH('Respuestas de formulario 1.1'!EK$1,#REF!,0)))</f>
        <v/>
      </c>
      <c r="EL234" s="56" t="str">
        <f t="array" ref="EL234">IF(DQ234="","", INDEX(#REF!,MATCH(CONCATENATE('Respuestas de formulario 1.1'!$B234,DQ234),#REF!,0),MATCH('Respuestas de formulario 1.1'!EL$1,#REF!,0)))</f>
        <v/>
      </c>
      <c r="EM234" s="56" t="str">
        <f t="array" ref="EM234">IF(DR234="","", INDEX(#REF!,MATCH(CONCATENATE('Respuestas de formulario 1.1'!$B234,DR234),#REF!,0),MATCH('Respuestas de formulario 1.1'!EM$1,#REF!,0)))</f>
        <v/>
      </c>
      <c r="EN234" s="56" t="str">
        <f t="array" ref="EN234">IF(DS234="","", INDEX(#REF!,MATCH(CONCATENATE('Respuestas de formulario 1.1'!$B234,DS234),#REF!,0),MATCH('Respuestas de formulario 1.1'!EN$1,#REF!,0)))</f>
        <v/>
      </c>
      <c r="EO234" s="56" t="str">
        <f t="array" ref="EO234">IF(DT234="","", INDEX(#REF!,MATCH(CONCATENATE('Respuestas de formulario 1.1'!$B234,DT234),#REF!,0),MATCH('Respuestas de formulario 1.1'!EO$1,#REF!,0)))</f>
        <v/>
      </c>
      <c r="EP234" s="45" t="str">
        <f t="array" ref="EP234">IF(DU234="","", INDEX(#REF!,MATCH(CONCATENATE('Respuestas de formulario 1.1'!$B234,DU234),#REF!,0),MATCH('Respuestas de formulario 1.1'!EP$1,#REF!,0)))</f>
        <v/>
      </c>
      <c r="EQ234" s="45" t="str">
        <f t="array" ref="EQ234">IF(DP234="","", INDEX(#REF!,MATCH(CONCATENATE('Respuestas de formulario 1.1'!$B234,DP234),#REF!,0),MATCH('Respuestas de formulario 1.1'!EQ$1,#REF!,0)))</f>
        <v/>
      </c>
      <c r="ER234" s="56" t="str">
        <f t="array" ref="ER234">IF(DQ234="","", INDEX(#REF!,MATCH(CONCATENATE('Respuestas de formulario 1.1'!$B234,DQ234),#REF!,0),MATCH('Respuestas de formulario 1.1'!ER$1,#REF!,0)))</f>
        <v/>
      </c>
      <c r="ES234" s="56" t="str">
        <f t="array" ref="ES234">IF(DR234="","", INDEX(#REF!,MATCH(CONCATENATE('Respuestas de formulario 1.1'!$B234,DR234),#REF!,0),MATCH('Respuestas de formulario 1.1'!ES$1,#REF!,0)))</f>
        <v/>
      </c>
      <c r="ET234" s="56" t="str">
        <f t="array" ref="ET234">IF(DS234="","", INDEX(#REF!,MATCH(CONCATENATE('Respuestas de formulario 1.1'!$B234,DS234),#REF!,0),MATCH('Respuestas de formulario 1.1'!ET$1,#REF!,0)))</f>
        <v/>
      </c>
      <c r="EU234" s="56" t="str">
        <f t="array" ref="EU234">IF(DT234="","", INDEX(#REF!,MATCH(CONCATENATE('Respuestas de formulario 1.1'!$B234,DT234),#REF!,0),MATCH('Respuestas de formulario 1.1'!EU$1,#REF!,0)))</f>
        <v/>
      </c>
      <c r="EV234" s="56" t="str">
        <f t="array" ref="EV234">IF(DU234="","", INDEX(#REF!,MATCH(CONCATENATE('Respuestas de formulario 1.1'!$B234,DU234),#REF!,0),MATCH('Respuestas de formulario 1.1'!EV$1,#REF!,0)))</f>
        <v/>
      </c>
      <c r="EW234" s="45" t="str">
        <f t="array" ref="EW234">IF(DV234="","", INDEX(#REF!,MATCH(CONCATENATE('Respuestas de formulario 1.1'!$B234,DV234),#REF!,0),MATCH('Respuestas de formulario 1.1'!EW$1,#REF!,0)))</f>
        <v/>
      </c>
      <c r="EX234" s="45" t="str">
        <f t="array" ref="EX234">IF($DQ234="","", INDEX(#REF!,MATCH(CONCATENATE('Respuestas de formulario 1.1'!$B234,$DQ234),#REF!,0),MATCH('Respuestas de formulario 1.1'!EX$1,#REF!,0)))</f>
        <v/>
      </c>
      <c r="EY234" s="56" t="str">
        <f t="array" ref="EY234">IF($DQ234="","", INDEX(#REF!,MATCH(CONCATENATE('Respuestas de formulario 1.1'!$B234,$DQ234),#REF!,0),MATCH('Respuestas de formulario 1.1'!EY$1,#REF!,0)))</f>
        <v/>
      </c>
      <c r="EZ234" s="56" t="str">
        <f t="array" ref="EZ234">IF($DQ234="","", INDEX(#REF!,MATCH(CONCATENATE('Respuestas de formulario 1.1'!$B234,$DQ234),#REF!,0),MATCH('Respuestas de formulario 1.1'!EZ$1,#REF!,0)))</f>
        <v/>
      </c>
      <c r="FA234" s="56" t="str">
        <f t="array" ref="FA234">IF($DQ234="","", INDEX(#REF!,MATCH(CONCATENATE('Respuestas de formulario 1.1'!$B234,$DQ234),#REF!,0),MATCH('Respuestas de formulario 1.1'!FA$1,#REF!,0)))</f>
        <v/>
      </c>
      <c r="FB234" s="56" t="str">
        <f t="array" ref="FB234">IF($DQ234="","", INDEX(#REF!,MATCH(CONCATENATE('Respuestas de formulario 1.1'!$B234,$DQ234),#REF!,0),MATCH('Respuestas de formulario 1.1'!FB$1,#REF!,0)))</f>
        <v/>
      </c>
      <c r="FC234" s="56" t="str">
        <f t="array" ref="FC234">IF($DQ234="","", INDEX(#REF!,MATCH(CONCATENATE('Respuestas de formulario 1.1'!$B234,$DQ234),#REF!,0),MATCH('Respuestas de formulario 1.1'!FC$1,#REF!,0)))</f>
        <v/>
      </c>
      <c r="FD234" s="45" t="str">
        <f t="array" ref="FD234">IF($DQ234="","", INDEX(#REF!,MATCH(CONCATENATE('Respuestas de formulario 1.1'!$B234,$DQ234),#REF!,0),MATCH('Respuestas de formulario 1.1'!FD$1,#REF!,0)))</f>
        <v/>
      </c>
      <c r="FE234" s="45" t="str">
        <f t="array" ref="FE234">IF($DR234="","", INDEX(#REF!,MATCH(CONCATENATE(#REF!,$DR234),#REF!,0),MATCH(#REF!,#REF!,0)))</f>
        <v/>
      </c>
      <c r="FF234" s="56" t="str">
        <f t="array" ref="FF234">IF($DR234="","", INDEX(#REF!,MATCH(CONCATENATE(#REF!,$DR234),#REF!,0),MATCH(#REF!,#REF!,0)))</f>
        <v/>
      </c>
      <c r="FG234" s="56" t="str">
        <f t="array" ref="FG234">IF($DR234="","", INDEX(#REF!,MATCH(CONCATENATE(#REF!,$DR234),#REF!,0),MATCH(#REF!,#REF!,0)))</f>
        <v/>
      </c>
      <c r="FH234" s="56" t="str">
        <f t="array" ref="FH234">IF($DR234="","", INDEX(#REF!,MATCH(CONCATENATE(#REF!,$DR234),#REF!,0),MATCH(#REF!,#REF!,0)))</f>
        <v/>
      </c>
      <c r="FI234" s="56" t="str">
        <f t="array" ref="FI234">IF($DR234="","", INDEX(#REF!,MATCH(CONCATENATE(#REF!,$DR234),#REF!,0),MATCH(#REF!,#REF!,0)))</f>
        <v/>
      </c>
      <c r="FJ234" s="56" t="str">
        <f t="array" ref="FJ234">IF($DR234="","", INDEX(#REF!,MATCH(CONCATENATE(#REF!,$DR234),#REF!,0),MATCH(#REF!,#REF!,0)))</f>
        <v/>
      </c>
      <c r="FK234" s="45" t="str">
        <f t="array" ref="FK234">IF($DR234="","", INDEX(#REF!,MATCH(CONCATENATE(#REF!,$DR234),#REF!,0),MATCH(#REF!,#REF!,0)))</f>
        <v/>
      </c>
      <c r="FL234" s="45" t="str">
        <f t="array" ref="FL234">IF($DT234="","", INDEX(#REF!,MATCH(CONCATENATE('Respuestas de formulario 1.1'!$B234,$DS234),#REF!,0),MATCH('Respuestas de formulario 1.1'!FL$1,#REF!,0)))</f>
        <v/>
      </c>
      <c r="FM234" s="56" t="str">
        <f t="array" ref="FM234">IF($DT234="","", INDEX(#REF!,MATCH(CONCATENATE('Respuestas de formulario 1.1'!$B234,$DS234),#REF!,0),MATCH('Respuestas de formulario 1.1'!FM$1,#REF!,0)))</f>
        <v/>
      </c>
      <c r="FN234" s="56" t="str">
        <f t="array" ref="FN234">IF($DT234="","", INDEX(#REF!,MATCH(CONCATENATE('Respuestas de formulario 1.1'!$B234,$DS234),#REF!,0),MATCH('Respuestas de formulario 1.1'!FN$1,#REF!,0)))</f>
        <v/>
      </c>
      <c r="FO234" s="56" t="str">
        <f t="array" ref="FO234">IF($DT234="","", INDEX(#REF!,MATCH(CONCATENATE('Respuestas de formulario 1.1'!$B234,$DS234),#REF!,0),MATCH('Respuestas de formulario 1.1'!FO$1,#REF!,0)))</f>
        <v/>
      </c>
      <c r="FP234" s="56" t="str">
        <f t="array" ref="FP234">IF($DT234="","", INDEX(#REF!,MATCH(CONCATENATE('Respuestas de formulario 1.1'!$B234,$DS234),#REF!,0),MATCH('Respuestas de formulario 1.1'!FP$1,#REF!,0)))</f>
        <v/>
      </c>
      <c r="FQ234" s="56" t="str">
        <f t="array" ref="FQ234">IF($DT234="","", INDEX(#REF!,MATCH(CONCATENATE('Respuestas de formulario 1.1'!$B234,$DS234),#REF!,0),MATCH('Respuestas de formulario 1.1'!FQ$1,#REF!,0)))</f>
        <v/>
      </c>
      <c r="FR234" s="45" t="str">
        <f t="array" ref="FR234">IF($DT234="","", INDEX(#REF!,MATCH(CONCATENATE('Respuestas de formulario 1.1'!$B234,$DS234),#REF!,0),MATCH('Respuestas de formulario 1.1'!FR$1,#REF!,0)))</f>
        <v/>
      </c>
      <c r="FS234" s="45" t="str">
        <f t="array" ref="FS234">IF($DU234="","", INDEX(#REF!,MATCH(CONCATENATE('Respuestas de formulario 1.1'!$B234,$DT234),#REF!,0),MATCH('Respuestas de formulario 1.1'!FS$1,#REF!,0)))</f>
        <v/>
      </c>
      <c r="FT234" s="56" t="str">
        <f t="array" ref="FT234">IF($DU234="","", INDEX(#REF!,MATCH(CONCATENATE('Respuestas de formulario 1.1'!$B234,$DT234),#REF!,0),MATCH('Respuestas de formulario 1.1'!FT$1,#REF!,0)))</f>
        <v/>
      </c>
      <c r="FU234" s="56" t="str">
        <f t="array" ref="FU234">IF($DU234="","", INDEX(#REF!,MATCH(CONCATENATE('Respuestas de formulario 1.1'!$B234,$DT234),#REF!,0),MATCH('Respuestas de formulario 1.1'!FU$1,#REF!,0)))</f>
        <v/>
      </c>
      <c r="FV234" s="56" t="str">
        <f t="array" ref="FV234">IF($DU234="","", INDEX(#REF!,MATCH(CONCATENATE('Respuestas de formulario 1.1'!$B234,$DT234),#REF!,0),MATCH('Respuestas de formulario 1.1'!FV$1,#REF!,0)))</f>
        <v/>
      </c>
      <c r="FW234" s="56" t="str">
        <f t="array" ref="FW234">IF($DU234="","", INDEX(#REF!,MATCH(CONCATENATE('Respuestas de formulario 1.1'!$B234,$DT234),#REF!,0),MATCH('Respuestas de formulario 1.1'!FW$1,#REF!,0)))</f>
        <v/>
      </c>
      <c r="FX234" s="56" t="str">
        <f t="array" ref="FX234">IF($DU234="","", INDEX(#REF!,MATCH(CONCATENATE('Respuestas de formulario 1.1'!$B234,$DT234),#REF!,0),MATCH('Respuestas de formulario 1.1'!FX$1,#REF!,0)))</f>
        <v/>
      </c>
      <c r="FY234" s="45" t="str">
        <f t="array" ref="FY234">IF($DU234="","", INDEX(#REF!,MATCH(CONCATENATE('Respuestas de formulario 1.1'!$B234,$DT234),#REF!,0),MATCH('Respuestas de formulario 1.1'!FY$1,#REF!,0)))</f>
        <v/>
      </c>
      <c r="FZ234" s="3" t="s">
        <v>2860</v>
      </c>
      <c r="GA234" s="1" t="s">
        <v>6870</v>
      </c>
      <c r="GB234" s="5" t="s">
        <v>6871</v>
      </c>
      <c r="GC234" s="4" t="str">
        <f>HYPERLINK("https://drive.google.com/file/d/1pF0iO_PVDnY7Nnk2bfe9Qdlpce6H_9XP/view?usp=drivesdk","ABELLEYRA PINAL JACQUELINE Formato de reinscripción y pago 2022-2")</f>
        <v>ABELLEYRA PINAL JACQUELINE Formato de reinscripción y pago 2022-2</v>
      </c>
      <c r="GD234" s="1" t="s">
        <v>6872</v>
      </c>
      <c r="GE234" s="1"/>
      <c r="GF234" s="1"/>
      <c r="GG234" s="1"/>
      <c r="GH234" s="1"/>
      <c r="GI234" s="1" t="s">
        <v>6873</v>
      </c>
      <c r="GJ234" s="5" t="s">
        <v>6874</v>
      </c>
      <c r="GK234" s="5" t="str">
        <f>HYPERLINK("https://drive.google.com/file/d/1ep4IOuwoFDyDcqP_p15EPgTzu__rx6m2/view?usp=drivesdk","ABELLEYRA PINAL &lt;&lt;Nombre(S)&gt;&gt; Formato de reinscripción y pago 2022-2")</f>
        <v>ABELLEYRA PINAL &lt;&lt;Nombre(S)&gt;&gt; Formato de reinscripción y pago 2022-2</v>
      </c>
      <c r="GL234" s="1" t="s">
        <v>6875</v>
      </c>
    </row>
    <row r="235" spans="1:194" ht="38.25" x14ac:dyDescent="0.2">
      <c r="A235" s="2">
        <v>45139.536823715272</v>
      </c>
      <c r="B235" s="1" t="s">
        <v>2610</v>
      </c>
      <c r="C235" s="1" t="s">
        <v>252</v>
      </c>
      <c r="D235" s="1" t="s">
        <v>1084</v>
      </c>
      <c r="E235" s="1" t="s">
        <v>6876</v>
      </c>
      <c r="F235" s="1" t="s">
        <v>223</v>
      </c>
      <c r="G235" s="5" t="s">
        <v>6877</v>
      </c>
      <c r="H235" s="41">
        <v>38744</v>
      </c>
      <c r="I235" s="1">
        <v>17</v>
      </c>
      <c r="J235" s="1">
        <v>5584620474</v>
      </c>
      <c r="K235" s="1">
        <v>5557328874</v>
      </c>
      <c r="L235" s="1" t="s">
        <v>2611</v>
      </c>
      <c r="M235" s="1">
        <v>21309060570607</v>
      </c>
      <c r="N235" s="1" t="s">
        <v>1108</v>
      </c>
      <c r="O235" s="1" t="s">
        <v>247</v>
      </c>
      <c r="P235" s="1" t="s">
        <v>226</v>
      </c>
      <c r="Q235" s="1" t="s">
        <v>227</v>
      </c>
      <c r="R235" s="1" t="s">
        <v>236</v>
      </c>
      <c r="S235" s="1" t="s">
        <v>228</v>
      </c>
      <c r="T235" s="1" t="s">
        <v>411</v>
      </c>
      <c r="U235" s="1" t="s">
        <v>249</v>
      </c>
      <c r="V235" s="1" t="s">
        <v>228</v>
      </c>
      <c r="W235" s="1" t="s">
        <v>6878</v>
      </c>
      <c r="X235" s="1" t="s">
        <v>249</v>
      </c>
      <c r="Y235" s="1" t="s">
        <v>1835</v>
      </c>
      <c r="Z235" s="1" t="s">
        <v>240</v>
      </c>
      <c r="AA235" s="44" t="s">
        <v>563</v>
      </c>
      <c r="AB235" s="1" t="s">
        <v>6879</v>
      </c>
      <c r="AC235" s="1" t="s">
        <v>6880</v>
      </c>
      <c r="AD235" s="1" t="s">
        <v>6881</v>
      </c>
      <c r="AE235" s="1" t="s">
        <v>6882</v>
      </c>
      <c r="AF235" s="1" t="s">
        <v>279</v>
      </c>
      <c r="AG235" s="1">
        <v>78</v>
      </c>
      <c r="AH235" s="5" t="s">
        <v>6883</v>
      </c>
      <c r="AI235" s="1">
        <v>2225602769</v>
      </c>
      <c r="AJ235" s="1">
        <v>5557328874</v>
      </c>
      <c r="AK235" s="1"/>
      <c r="AL235" s="1" t="s">
        <v>1084</v>
      </c>
      <c r="AM235" s="1" t="s">
        <v>1151</v>
      </c>
      <c r="AN235" s="1" t="s">
        <v>2280</v>
      </c>
      <c r="AO235" s="1" t="s">
        <v>265</v>
      </c>
      <c r="AP235" s="1">
        <v>36</v>
      </c>
      <c r="AQ235" s="1" t="s">
        <v>6884</v>
      </c>
      <c r="AR235" s="42">
        <v>0.5</v>
      </c>
      <c r="AS235" s="42">
        <v>0.16666666666424135</v>
      </c>
      <c r="AT235" s="1">
        <v>5542700797</v>
      </c>
      <c r="AU235" s="1">
        <v>5557328874</v>
      </c>
      <c r="AV235" s="1" t="s">
        <v>2613</v>
      </c>
      <c r="AW235" s="5" t="s">
        <v>6885</v>
      </c>
      <c r="AX235" s="1" t="s">
        <v>252</v>
      </c>
      <c r="AY235" s="1" t="s">
        <v>480</v>
      </c>
      <c r="AZ235" s="1" t="s">
        <v>514</v>
      </c>
      <c r="BA235" s="1" t="s">
        <v>435</v>
      </c>
      <c r="BB235" s="1">
        <v>37</v>
      </c>
      <c r="BC235" s="1" t="s">
        <v>663</v>
      </c>
      <c r="BD235" s="43">
        <v>0.375</v>
      </c>
      <c r="BE235" s="43">
        <v>0.66666666666424135</v>
      </c>
      <c r="BF235" s="1">
        <v>5518228657</v>
      </c>
      <c r="BG235" s="1">
        <v>5557328874</v>
      </c>
      <c r="BH235" s="1" t="s">
        <v>2614</v>
      </c>
      <c r="BI235" s="5" t="s">
        <v>6886</v>
      </c>
      <c r="BJ235" s="1" t="s">
        <v>236</v>
      </c>
      <c r="BL235" s="1">
        <v>1.56</v>
      </c>
      <c r="BM235" s="1">
        <v>52</v>
      </c>
      <c r="BN235" s="1" t="s">
        <v>236</v>
      </c>
      <c r="BO235" s="1" t="s">
        <v>228</v>
      </c>
      <c r="BQ235" s="1" t="s">
        <v>228</v>
      </c>
      <c r="BR235" s="1" t="s">
        <v>237</v>
      </c>
      <c r="BS235" s="1" t="s">
        <v>228</v>
      </c>
      <c r="BT235" s="1" t="s">
        <v>462</v>
      </c>
      <c r="BU235" s="1" t="s">
        <v>228</v>
      </c>
      <c r="BW235" s="1" t="s">
        <v>272</v>
      </c>
      <c r="BX235" s="1">
        <v>30</v>
      </c>
      <c r="BY235" s="1">
        <v>110</v>
      </c>
      <c r="BZ235" s="1" t="s">
        <v>6887</v>
      </c>
      <c r="CA235" s="1" t="s">
        <v>365</v>
      </c>
      <c r="CB235" s="1" t="s">
        <v>240</v>
      </c>
      <c r="CC235" s="1" t="s">
        <v>274</v>
      </c>
      <c r="CD235" s="1">
        <v>2000</v>
      </c>
      <c r="CE235" s="1">
        <v>1400</v>
      </c>
      <c r="CF235" s="1" t="s">
        <v>236</v>
      </c>
      <c r="CG235" s="1" t="s">
        <v>242</v>
      </c>
      <c r="CH235" s="1" t="s">
        <v>243</v>
      </c>
      <c r="CI235" s="1" t="s">
        <v>243</v>
      </c>
      <c r="CJ235" s="1" t="s">
        <v>2848</v>
      </c>
      <c r="CL235" s="5" t="s">
        <v>6888</v>
      </c>
      <c r="CM235" s="1">
        <v>14210612439</v>
      </c>
      <c r="CN235" s="1" t="s">
        <v>228</v>
      </c>
      <c r="CQ235" s="42">
        <v>0.375</v>
      </c>
      <c r="CR235" s="42">
        <v>0.5</v>
      </c>
      <c r="CT235" s="45" t="str">
        <f t="array" ref="CT235">IFERROR(INDEX(#REF!,MATCH('Respuestas de formulario 1.1'!$B235,#REF!,0),MATCH('Respuestas de formulario 1.1'!CT$1,#REF!,0)),"")</f>
        <v/>
      </c>
      <c r="CU235" s="56" t="str">
        <f t="array" ref="CU235">IFERROR(INDEX(#REF!,MATCH('Respuestas de formulario 1.1'!$B235,#REF!,0),MATCH('Respuestas de formulario 1.1'!CU$1,#REF!,0)),"")</f>
        <v/>
      </c>
      <c r="CV235" s="56" t="str">
        <f t="array" ref="CV235">IFERROR(INDEX(#REF!,MATCH('Respuestas de formulario 1.1'!$B235,#REF!,0),MATCH('Respuestas de formulario 1.1'!CV$1,#REF!,0)),"")</f>
        <v/>
      </c>
      <c r="CW235" s="56" t="str">
        <f t="array" ref="CW235">IFERROR(INDEX(#REF!,MATCH('Respuestas de formulario 1.1'!$B235,#REF!,0),MATCH('Respuestas de formulario 1.1'!CW$1,#REF!,0)),"")</f>
        <v/>
      </c>
      <c r="CX235" s="56" t="str">
        <f t="array" ref="CX235">IFERROR(INDEX(#REF!,MATCH('Respuestas de formulario 1.1'!$B235,#REF!,0),MATCH('Respuestas de formulario 1.1'!CX$1,#REF!,0)),"")</f>
        <v/>
      </c>
      <c r="CY235" s="56" t="str">
        <f t="array" ref="CY235">IFERROR(INDEX(#REF!,MATCH('Respuestas de formulario 1.1'!$B235,#REF!,0),MATCH('Respuestas de formulario 1.1'!CY$1,#REF!,0)),"")</f>
        <v/>
      </c>
      <c r="CZ235" s="57" t="str">
        <f t="array" ref="CZ235">IFERROR(INDEX(#REF!,MATCH('Respuestas de formulario 1.1'!$B235,#REF!,0),MATCH('Respuestas de formulario 1.1'!CZ$1,#REF!,0)),"")</f>
        <v/>
      </c>
      <c r="DA235" s="45" t="e">
        <f t="array" ref="DA235">INDEX(#REF!,MATCH('Respuestas de formulario 1.1'!$B235,#REF!,0),MATCH('Respuestas de formulario 1.1'!DA$1,#REF!,0))</f>
        <v>#REF!</v>
      </c>
      <c r="DB235" s="45" t="e">
        <f t="array" ref="DB235">INDEX(#REF!,MATCH('Respuestas de formulario 1.1'!$B235,#REF!,0),MATCH('Respuestas de formulario 1.1'!DB$1,#REF!,0))</f>
        <v>#REF!</v>
      </c>
      <c r="DC235" s="45" t="e">
        <f t="array" ref="DC235">INDEX(#REF!,MATCH('Respuestas de formulario 1.1'!$B235,#REF!,0),MATCH('Respuestas de formulario 1.1'!DC$1,#REF!,0))</f>
        <v>#REF!</v>
      </c>
      <c r="DD235" s="45" t="e">
        <f t="array" ref="DD235">INDEX(#REF!,MATCH('Respuestas de formulario 1.1'!$B235,#REF!,0),MATCH('Respuestas de formulario 1.1'!DD$1,#REF!,0))</f>
        <v>#REF!</v>
      </c>
      <c r="DE235" s="45" t="e">
        <f t="array" ref="DE235">INDEX(#REF!,MATCH('Respuestas de formulario 1.1'!$B235,#REF!,0),MATCH('Respuestas de formulario 1.1'!DE$1,#REF!,0))</f>
        <v>#REF!</v>
      </c>
      <c r="DF235" s="45" t="e">
        <f t="array" ref="DF235">INDEX(#REF!,MATCH('Respuestas de formulario 1.1'!$B235,#REF!,0),MATCH('Respuestas de formulario 1.1'!DF$1,#REF!,0))</f>
        <v>#REF!</v>
      </c>
      <c r="DG235" s="45" t="e">
        <f t="array" ref="DG235">INDEX(#REF!,MATCH('Respuestas de formulario 1.1'!$B235,#REF!,0),MATCH('Respuestas de formulario 1.1'!DG$1,#REF!,0))</f>
        <v>#REF!</v>
      </c>
      <c r="DH235" s="45" t="e">
        <f t="array" ref="DH235">INDEX(#REF!,MATCH('Respuestas de formulario 1.1'!$B235,#REF!,0),MATCH('Respuestas de formulario 1.1'!DH$1,#REF!,0))</f>
        <v>#REF!</v>
      </c>
      <c r="DI235" s="48" t="e">
        <f>VLOOKUP(CONCATENATE($DF235," TUTO ",$DC235),#REF!,3,0)</f>
        <v>#REF!</v>
      </c>
      <c r="DJ235" s="48" t="e">
        <f t="array" ref="DJ235">IF('Respuestas de formulario 1.1'!A235="","",INDEX(#REF!,MATCH('Respuestas de formulario 1.1'!B235,#REF!,0),MATCH('Respuestas de formulario 1.1'!$DH$1,#REF!,0)))</f>
        <v>#REF!</v>
      </c>
      <c r="DK235" s="52" t="str">
        <f>CONCATENATE("http://doc.google.com/uc?id=",MID('Respuestas de formulario 1.1'!G235,34,33))</f>
        <v>http://doc.google.com/uc?id=10-iDro85rpl8OM-nauYHbVK28DZ0ziMb</v>
      </c>
      <c r="DL235" s="49" t="str">
        <f>CONCATENATE("http://doc.google.com/uc?id=",MID('Respuestas de formulario 1.1'!AH235,34,33))</f>
        <v>http://doc.google.com/uc?id=1QbawYU9RM304Od-IQenJVlp789HoQh6e</v>
      </c>
      <c r="DM235" s="50" t="str">
        <f>CONCATENATE("http://doc.google.com/uc?id=",MID('Respuestas de formulario 1.1'!AW235,34,33))</f>
        <v>http://doc.google.com/uc?id=1r92PRdEJCXjzLDINoIodH4WMbolOohoQ</v>
      </c>
      <c r="DN235" s="53" t="str">
        <f>CONCATENATE("http://doc.google.com/uc?id=",MID('Respuestas de formulario 1.1'!$BI235,34,33))</f>
        <v>http://doc.google.com/uc?id=1QDI8FCO6EFPcvfEFiTmzrMVgsJ7p4wzv</v>
      </c>
      <c r="DO235" s="45" t="str">
        <f>IFERROR(VLOOKUP(CONCATENATE('Respuestas de formulario 1.1'!$B235,MID('Respuestas de formulario 1.1'!DO$1,2,1)),#REF!,12,0),"")</f>
        <v/>
      </c>
      <c r="DP235" s="45" t="str">
        <f>IFERROR(VLOOKUP(CONCATENATE('Respuestas de formulario 1.1'!$B235,MID('Respuestas de formulario 1.1'!DP$1,2,1)),#REF!,12,0),"")</f>
        <v/>
      </c>
      <c r="DQ235" s="45" t="str">
        <f>IFERROR(VLOOKUP(CONCATENATE('Respuestas de formulario 1.1'!$B235,MID('Respuestas de formulario 1.1'!DQ$1,2,1)),#REF!,12,0),"")</f>
        <v/>
      </c>
      <c r="DR235" s="45" t="str">
        <f>IFERROR(VLOOKUP(CONCATENATE('Respuestas de formulario 1.1'!$B235,MID('Respuestas de formulario 1.1'!DR$1,2,1)),#REF!,12,0),"")</f>
        <v/>
      </c>
      <c r="DS235" s="45" t="str">
        <f>IFERROR(VLOOKUP(CONCATENATE('Respuestas de formulario 1.1'!$B235,MID('Respuestas de formulario 1.1'!DS$1,2,1)),#REF!,12,0),"")</f>
        <v/>
      </c>
      <c r="DT235" s="45" t="str">
        <f>IFERROR(VLOOKUP(CONCATENATE('Respuestas de formulario 1.1'!$B235,MID('Respuestas de formulario 1.1'!DT$1,2,1)),#REF!,12,0),"")</f>
        <v/>
      </c>
      <c r="DU235" s="45" t="str">
        <f>IFERROR(VLOOKUP(CONCATENATE('Respuestas de formulario 1.1'!$B235,MID('Respuestas de formulario 1.1'!DU$1,2,1)),#REF!,12,0),"")</f>
        <v/>
      </c>
      <c r="DV235" s="45" t="str">
        <f>IFERROR(VLOOKUP(CONCATENATE('Respuestas de formulario 1.1'!$B235,MID('Respuestas de formulario 1.1'!DV$1,2,1)),#REF!,12,0),"")</f>
        <v/>
      </c>
      <c r="DW235" s="45" t="str">
        <f>IFERROR(VLOOKUP(CONCATENATE('Respuestas de formulario 1.1'!$B235,MID('Respuestas de formulario 1.1'!DW$1,2,1)),#REF!,12,0),"")</f>
        <v/>
      </c>
      <c r="DX235" s="45" t="str">
        <f>IFERROR(VLOOKUP(CONCATENATE('Respuestas de formulario 1.1'!$B235,MID('Respuestas de formulario 1.1'!DX$1,2,1)),#REF!,12,0),"")</f>
        <v/>
      </c>
      <c r="DY235" s="45" t="str">
        <f>IFERROR(VLOOKUP(CONCATENATE('Respuestas de formulario 1.1'!$B235,MID('Respuestas de formulario 1.1'!DY$1,2,1)),#REF!,12,0),"")</f>
        <v/>
      </c>
      <c r="DZ235" s="45" t="str">
        <f>IFERROR(VLOOKUP(CONCATENATE('Respuestas de formulario 1.1'!$B235,MID('Respuestas de formulario 1.1'!DZ$1,2,1)),#REF!,12,0),"")</f>
        <v/>
      </c>
      <c r="EA235" s="45" t="str">
        <f>IFERROR(VLOOKUP(CONCATENATE('Respuestas de formulario 1.1'!$B235,MID('Respuestas de formulario 1.1'!EA$1,2,1)),#REF!,12,0),"")</f>
        <v/>
      </c>
      <c r="EB235" s="45" t="str">
        <f>IFERROR(VLOOKUP(CONCATENATE('Respuestas de formulario 1.1'!$B235,MID('Respuestas de formulario 1.1'!EB$1,2,1)),#REF!,12,0),"")</f>
        <v/>
      </c>
      <c r="EC235" s="45" t="str">
        <f>IFERROR(VLOOKUP(CONCATENATE('Respuestas de formulario 1.1'!$B235,MID('Respuestas de formulario 1.1'!EC$1,2,1)),#REF!,12,0),"")</f>
        <v/>
      </c>
      <c r="ED235" s="45" t="str">
        <f>IFERROR(VLOOKUP(CONCATENATE('Respuestas de formulario 1.1'!$B235,MID('Respuestas de formulario 1.1'!ED$1,2,1)),#REF!,12,0),"")</f>
        <v/>
      </c>
      <c r="EE235" s="45" t="str">
        <f>IFERROR(VLOOKUP(CONCATENATE('Respuestas de formulario 1.1'!$B235,MID('Respuestas de formulario 1.1'!EE$1,2,1)),#REF!,12,0),"")</f>
        <v/>
      </c>
      <c r="EF235" s="45" t="str">
        <f>IFERROR(VLOOKUP(CONCATENATE('Respuestas de formulario 1.1'!$B235,MID('Respuestas de formulario 1.1'!EF$1,2,1)),#REF!,12,0),"")</f>
        <v/>
      </c>
      <c r="EG235" s="45" t="str">
        <f>IFERROR(VLOOKUP(CONCATENATE('Respuestas de formulario 1.1'!$B235,MID('Respuestas de formulario 1.1'!EG$1,2,1)),#REF!,12,0),"")</f>
        <v/>
      </c>
      <c r="EH235" s="45" t="str">
        <f>IFERROR(VLOOKUP(CONCATENATE('Respuestas de formulario 1.1'!$B235,MID('Respuestas de formulario 1.1'!EH$1,2,1)),#REF!,12,0),"")</f>
        <v/>
      </c>
      <c r="EI235" s="45" t="str">
        <f>IFERROR(VLOOKUP(CONCATENATE('Respuestas de formulario 1.1'!$B235,MID('Respuestas de formulario 1.1'!EI$1,2,1)),#REF!,12,0),"")</f>
        <v/>
      </c>
      <c r="EJ235" s="45" t="str">
        <f t="array" ref="EJ235">IF(DO235="","", INDEX(#REF!,MATCH(CONCATENATE('Respuestas de formulario 1.1'!$B235,DO235),#REF!,0),MATCH('Respuestas de formulario 1.1'!EJ$1,#REF!,0)))</f>
        <v/>
      </c>
      <c r="EK235" s="56" t="str">
        <f t="array" ref="EK235">IF(DP235="","", INDEX(#REF!,MATCH(CONCATENATE('Respuestas de formulario 1.1'!$B235,DP235),#REF!,0),MATCH('Respuestas de formulario 1.1'!EK$1,#REF!,0)))</f>
        <v/>
      </c>
      <c r="EL235" s="56" t="str">
        <f t="array" ref="EL235">IF(DQ235="","", INDEX(#REF!,MATCH(CONCATENATE('Respuestas de formulario 1.1'!$B235,DQ235),#REF!,0),MATCH('Respuestas de formulario 1.1'!EL$1,#REF!,0)))</f>
        <v/>
      </c>
      <c r="EM235" s="56" t="str">
        <f t="array" ref="EM235">IF(DR235="","", INDEX(#REF!,MATCH(CONCATENATE('Respuestas de formulario 1.1'!$B235,DR235),#REF!,0),MATCH('Respuestas de formulario 1.1'!EM$1,#REF!,0)))</f>
        <v/>
      </c>
      <c r="EN235" s="56" t="str">
        <f t="array" ref="EN235">IF(DS235="","", INDEX(#REF!,MATCH(CONCATENATE('Respuestas de formulario 1.1'!$B235,DS235),#REF!,0),MATCH('Respuestas de formulario 1.1'!EN$1,#REF!,0)))</f>
        <v/>
      </c>
      <c r="EO235" s="56" t="str">
        <f t="array" ref="EO235">IF(DT235="","", INDEX(#REF!,MATCH(CONCATENATE('Respuestas de formulario 1.1'!$B235,DT235),#REF!,0),MATCH('Respuestas de formulario 1.1'!EO$1,#REF!,0)))</f>
        <v/>
      </c>
      <c r="EP235" s="45" t="str">
        <f t="array" ref="EP235">IF(DU235="","", INDEX(#REF!,MATCH(CONCATENATE('Respuestas de formulario 1.1'!$B235,DU235),#REF!,0),MATCH('Respuestas de formulario 1.1'!EP$1,#REF!,0)))</f>
        <v/>
      </c>
      <c r="EQ235" s="45" t="str">
        <f t="array" ref="EQ235">IF(DP235="","", INDEX(#REF!,MATCH(CONCATENATE('Respuestas de formulario 1.1'!$B235,DP235),#REF!,0),MATCH('Respuestas de formulario 1.1'!EQ$1,#REF!,0)))</f>
        <v/>
      </c>
      <c r="ER235" s="56" t="str">
        <f t="array" ref="ER235">IF(DQ235="","", INDEX(#REF!,MATCH(CONCATENATE('Respuestas de formulario 1.1'!$B235,DQ235),#REF!,0),MATCH('Respuestas de formulario 1.1'!ER$1,#REF!,0)))</f>
        <v/>
      </c>
      <c r="ES235" s="56" t="str">
        <f t="array" ref="ES235">IF(DR235="","", INDEX(#REF!,MATCH(CONCATENATE('Respuestas de formulario 1.1'!$B235,DR235),#REF!,0),MATCH('Respuestas de formulario 1.1'!ES$1,#REF!,0)))</f>
        <v/>
      </c>
      <c r="ET235" s="56" t="str">
        <f t="array" ref="ET235">IF(DS235="","", INDEX(#REF!,MATCH(CONCATENATE('Respuestas de formulario 1.1'!$B235,DS235),#REF!,0),MATCH('Respuestas de formulario 1.1'!ET$1,#REF!,0)))</f>
        <v/>
      </c>
      <c r="EU235" s="56" t="str">
        <f t="array" ref="EU235">IF(DT235="","", INDEX(#REF!,MATCH(CONCATENATE('Respuestas de formulario 1.1'!$B235,DT235),#REF!,0),MATCH('Respuestas de formulario 1.1'!EU$1,#REF!,0)))</f>
        <v/>
      </c>
      <c r="EV235" s="56" t="str">
        <f t="array" ref="EV235">IF(DU235="","", INDEX(#REF!,MATCH(CONCATENATE('Respuestas de formulario 1.1'!$B235,DU235),#REF!,0),MATCH('Respuestas de formulario 1.1'!EV$1,#REF!,0)))</f>
        <v/>
      </c>
      <c r="EW235" s="45" t="str">
        <f t="array" ref="EW235">IF(DV235="","", INDEX(#REF!,MATCH(CONCATENATE('Respuestas de formulario 1.1'!$B235,DV235),#REF!,0),MATCH('Respuestas de formulario 1.1'!EW$1,#REF!,0)))</f>
        <v/>
      </c>
      <c r="EX235" s="45" t="str">
        <f t="array" ref="EX235">IF($DQ235="","", INDEX(#REF!,MATCH(CONCATENATE('Respuestas de formulario 1.1'!$B235,$DQ235),#REF!,0),MATCH('Respuestas de formulario 1.1'!EX$1,#REF!,0)))</f>
        <v/>
      </c>
      <c r="EY235" s="56" t="str">
        <f t="array" ref="EY235">IF($DQ235="","", INDEX(#REF!,MATCH(CONCATENATE('Respuestas de formulario 1.1'!$B235,$DQ235),#REF!,0),MATCH('Respuestas de formulario 1.1'!EY$1,#REF!,0)))</f>
        <v/>
      </c>
      <c r="EZ235" s="56" t="str">
        <f t="array" ref="EZ235">IF($DQ235="","", INDEX(#REF!,MATCH(CONCATENATE('Respuestas de formulario 1.1'!$B235,$DQ235),#REF!,0),MATCH('Respuestas de formulario 1.1'!EZ$1,#REF!,0)))</f>
        <v/>
      </c>
      <c r="FA235" s="56" t="str">
        <f t="array" ref="FA235">IF($DQ235="","", INDEX(#REF!,MATCH(CONCATENATE('Respuestas de formulario 1.1'!$B235,$DQ235),#REF!,0),MATCH('Respuestas de formulario 1.1'!FA$1,#REF!,0)))</f>
        <v/>
      </c>
      <c r="FB235" s="56" t="str">
        <f t="array" ref="FB235">IF($DQ235="","", INDEX(#REF!,MATCH(CONCATENATE('Respuestas de formulario 1.1'!$B235,$DQ235),#REF!,0),MATCH('Respuestas de formulario 1.1'!FB$1,#REF!,0)))</f>
        <v/>
      </c>
      <c r="FC235" s="56" t="str">
        <f t="array" ref="FC235">IF($DQ235="","", INDEX(#REF!,MATCH(CONCATENATE('Respuestas de formulario 1.1'!$B235,$DQ235),#REF!,0),MATCH('Respuestas de formulario 1.1'!FC$1,#REF!,0)))</f>
        <v/>
      </c>
      <c r="FD235" s="45" t="str">
        <f t="array" ref="FD235">IF($DQ235="","", INDEX(#REF!,MATCH(CONCATENATE('Respuestas de formulario 1.1'!$B235,$DQ235),#REF!,0),MATCH('Respuestas de formulario 1.1'!FD$1,#REF!,0)))</f>
        <v/>
      </c>
      <c r="FE235" s="45" t="str">
        <f t="array" ref="FE235">IF($DR235="","", INDEX(#REF!,MATCH(CONCATENATE(#REF!,$DR235),#REF!,0),MATCH(#REF!,#REF!,0)))</f>
        <v/>
      </c>
      <c r="FF235" s="56" t="str">
        <f t="array" ref="FF235">IF($DR235="","", INDEX(#REF!,MATCH(CONCATENATE(#REF!,$DR235),#REF!,0),MATCH(#REF!,#REF!,0)))</f>
        <v/>
      </c>
      <c r="FG235" s="56" t="str">
        <f t="array" ref="FG235">IF($DR235="","", INDEX(#REF!,MATCH(CONCATENATE(#REF!,$DR235),#REF!,0),MATCH(#REF!,#REF!,0)))</f>
        <v/>
      </c>
      <c r="FH235" s="56" t="str">
        <f t="array" ref="FH235">IF($DR235="","", INDEX(#REF!,MATCH(CONCATENATE(#REF!,$DR235),#REF!,0),MATCH(#REF!,#REF!,0)))</f>
        <v/>
      </c>
      <c r="FI235" s="56" t="str">
        <f t="array" ref="FI235">IF($DR235="","", INDEX(#REF!,MATCH(CONCATENATE(#REF!,$DR235),#REF!,0),MATCH(#REF!,#REF!,0)))</f>
        <v/>
      </c>
      <c r="FJ235" s="56" t="str">
        <f t="array" ref="FJ235">IF($DR235="","", INDEX(#REF!,MATCH(CONCATENATE(#REF!,$DR235),#REF!,0),MATCH(#REF!,#REF!,0)))</f>
        <v/>
      </c>
      <c r="FK235" s="45" t="str">
        <f t="array" ref="FK235">IF($DR235="","", INDEX(#REF!,MATCH(CONCATENATE(#REF!,$DR235),#REF!,0),MATCH(#REF!,#REF!,0)))</f>
        <v/>
      </c>
      <c r="FL235" s="45" t="str">
        <f t="array" ref="FL235">IF($DT235="","", INDEX(#REF!,MATCH(CONCATENATE('Respuestas de formulario 1.1'!$B235,$DS235),#REF!,0),MATCH('Respuestas de formulario 1.1'!FL$1,#REF!,0)))</f>
        <v/>
      </c>
      <c r="FM235" s="56" t="str">
        <f t="array" ref="FM235">IF($DT235="","", INDEX(#REF!,MATCH(CONCATENATE('Respuestas de formulario 1.1'!$B235,$DS235),#REF!,0),MATCH('Respuestas de formulario 1.1'!FM$1,#REF!,0)))</f>
        <v/>
      </c>
      <c r="FN235" s="56" t="str">
        <f t="array" ref="FN235">IF($DT235="","", INDEX(#REF!,MATCH(CONCATENATE('Respuestas de formulario 1.1'!$B235,$DS235),#REF!,0),MATCH('Respuestas de formulario 1.1'!FN$1,#REF!,0)))</f>
        <v/>
      </c>
      <c r="FO235" s="56" t="str">
        <f t="array" ref="FO235">IF($DT235="","", INDEX(#REF!,MATCH(CONCATENATE('Respuestas de formulario 1.1'!$B235,$DS235),#REF!,0),MATCH('Respuestas de formulario 1.1'!FO$1,#REF!,0)))</f>
        <v/>
      </c>
      <c r="FP235" s="56" t="str">
        <f t="array" ref="FP235">IF($DT235="","", INDEX(#REF!,MATCH(CONCATENATE('Respuestas de formulario 1.1'!$B235,$DS235),#REF!,0),MATCH('Respuestas de formulario 1.1'!FP$1,#REF!,0)))</f>
        <v/>
      </c>
      <c r="FQ235" s="56" t="str">
        <f t="array" ref="FQ235">IF($DT235="","", INDEX(#REF!,MATCH(CONCATENATE('Respuestas de formulario 1.1'!$B235,$DS235),#REF!,0),MATCH('Respuestas de formulario 1.1'!FQ$1,#REF!,0)))</f>
        <v/>
      </c>
      <c r="FR235" s="45" t="str">
        <f t="array" ref="FR235">IF($DT235="","", INDEX(#REF!,MATCH(CONCATENATE('Respuestas de formulario 1.1'!$B235,$DS235),#REF!,0),MATCH('Respuestas de formulario 1.1'!FR$1,#REF!,0)))</f>
        <v/>
      </c>
      <c r="FS235" s="45" t="str">
        <f t="array" ref="FS235">IF($DU235="","", INDEX(#REF!,MATCH(CONCATENATE('Respuestas de formulario 1.1'!$B235,$DT235),#REF!,0),MATCH('Respuestas de formulario 1.1'!FS$1,#REF!,0)))</f>
        <v/>
      </c>
      <c r="FT235" s="56" t="str">
        <f t="array" ref="FT235">IF($DU235="","", INDEX(#REF!,MATCH(CONCATENATE('Respuestas de formulario 1.1'!$B235,$DT235),#REF!,0),MATCH('Respuestas de formulario 1.1'!FT$1,#REF!,0)))</f>
        <v/>
      </c>
      <c r="FU235" s="56" t="str">
        <f t="array" ref="FU235">IF($DU235="","", INDEX(#REF!,MATCH(CONCATENATE('Respuestas de formulario 1.1'!$B235,$DT235),#REF!,0),MATCH('Respuestas de formulario 1.1'!FU$1,#REF!,0)))</f>
        <v/>
      </c>
      <c r="FV235" s="56" t="str">
        <f t="array" ref="FV235">IF($DU235="","", INDEX(#REF!,MATCH(CONCATENATE('Respuestas de formulario 1.1'!$B235,$DT235),#REF!,0),MATCH('Respuestas de formulario 1.1'!FV$1,#REF!,0)))</f>
        <v/>
      </c>
      <c r="FW235" s="56" t="str">
        <f t="array" ref="FW235">IF($DU235="","", INDEX(#REF!,MATCH(CONCATENATE('Respuestas de formulario 1.1'!$B235,$DT235),#REF!,0),MATCH('Respuestas de formulario 1.1'!FW$1,#REF!,0)))</f>
        <v/>
      </c>
      <c r="FX235" s="56" t="str">
        <f t="array" ref="FX235">IF($DU235="","", INDEX(#REF!,MATCH(CONCATENATE('Respuestas de formulario 1.1'!$B235,$DT235),#REF!,0),MATCH('Respuestas de formulario 1.1'!FX$1,#REF!,0)))</f>
        <v/>
      </c>
      <c r="FY235" s="45" t="str">
        <f t="array" ref="FY235">IF($DU235="","", INDEX(#REF!,MATCH(CONCATENATE('Respuestas de formulario 1.1'!$B235,$DT235),#REF!,0),MATCH('Respuestas de formulario 1.1'!FY$1,#REF!,0)))</f>
        <v/>
      </c>
      <c r="FZ235" s="3" t="s">
        <v>2860</v>
      </c>
      <c r="GA235" s="1" t="s">
        <v>6889</v>
      </c>
      <c r="GB235" s="5" t="s">
        <v>6890</v>
      </c>
      <c r="GC235" s="4" t="str">
        <f>HYPERLINK("https://drive.google.com/file/d/1Q5uU5jnsgHeGOZ3lnCDMhZun49H4kc7N/view?usp=drivesdk","PEREZ PRIETO MIRIAM ARLET Formato de reinscripción y pago 2022-2")</f>
        <v>PEREZ PRIETO MIRIAM ARLET Formato de reinscripción y pago 2022-2</v>
      </c>
      <c r="GD235" s="1" t="s">
        <v>6891</v>
      </c>
      <c r="GE235" s="1"/>
      <c r="GF235" s="1"/>
      <c r="GG235" s="1"/>
      <c r="GH235" s="1"/>
      <c r="GI235" s="1" t="s">
        <v>6892</v>
      </c>
      <c r="GJ235" s="5" t="s">
        <v>6893</v>
      </c>
      <c r="GK235" s="5" t="str">
        <f>HYPERLINK("https://drive.google.com/file/d/1ZViWTTeDhQ8RS0URxd7QUzl0smlmE3FY/view?usp=drivesdk","PEREZ PRIETO &lt;&lt;Nombre(S)&gt;&gt; Formato de reinscripción y pago 2022-2")</f>
        <v>PEREZ PRIETO &lt;&lt;Nombre(S)&gt;&gt; Formato de reinscripción y pago 2022-2</v>
      </c>
      <c r="GL235" s="1" t="s">
        <v>6894</v>
      </c>
    </row>
    <row r="236" spans="1:194" ht="38.25" x14ac:dyDescent="0.2">
      <c r="A236" s="2">
        <v>45139.53956474537</v>
      </c>
      <c r="B236" s="1" t="s">
        <v>2763</v>
      </c>
      <c r="C236" s="1" t="s">
        <v>286</v>
      </c>
      <c r="D236" s="1" t="s">
        <v>1447</v>
      </c>
      <c r="E236" s="1" t="s">
        <v>6895</v>
      </c>
      <c r="F236" s="1" t="s">
        <v>223</v>
      </c>
      <c r="G236" s="5" t="s">
        <v>6896</v>
      </c>
      <c r="H236" s="41">
        <v>38806</v>
      </c>
      <c r="I236" s="1">
        <v>17</v>
      </c>
      <c r="J236" s="1">
        <v>5543751227</v>
      </c>
      <c r="K236" s="1">
        <v>86</v>
      </c>
      <c r="L236" s="1" t="s">
        <v>2764</v>
      </c>
      <c r="M236" s="1">
        <v>21309060541246</v>
      </c>
      <c r="N236" s="1" t="s">
        <v>562</v>
      </c>
      <c r="O236" s="1" t="s">
        <v>225</v>
      </c>
      <c r="P236" s="1" t="s">
        <v>226</v>
      </c>
      <c r="Q236" s="1" t="s">
        <v>263</v>
      </c>
      <c r="R236" s="1" t="s">
        <v>236</v>
      </c>
      <c r="S236" s="1" t="s">
        <v>228</v>
      </c>
      <c r="T236" s="1" t="s">
        <v>229</v>
      </c>
      <c r="U236" s="1" t="s">
        <v>393</v>
      </c>
      <c r="V236" s="1" t="s">
        <v>228</v>
      </c>
      <c r="W236" s="1" t="s">
        <v>6897</v>
      </c>
      <c r="X236" s="1" t="s">
        <v>6898</v>
      </c>
      <c r="Y236" s="1" t="s">
        <v>640</v>
      </c>
      <c r="Z236" s="1" t="s">
        <v>231</v>
      </c>
      <c r="AA236" s="1">
        <v>57720</v>
      </c>
      <c r="AB236" s="1">
        <v>86</v>
      </c>
      <c r="AC236" s="1" t="s">
        <v>865</v>
      </c>
      <c r="AD236" s="1" t="s">
        <v>6899</v>
      </c>
      <c r="AE236" s="1" t="s">
        <v>6900</v>
      </c>
      <c r="AF236" s="1" t="s">
        <v>461</v>
      </c>
      <c r="AG236" s="1">
        <v>51</v>
      </c>
      <c r="AH236" s="5" t="s">
        <v>6901</v>
      </c>
      <c r="AI236" s="1">
        <v>5525206071</v>
      </c>
      <c r="AJ236" s="1">
        <v>5525206071</v>
      </c>
      <c r="AK236" s="1" t="s">
        <v>2765</v>
      </c>
      <c r="AL236" s="1" t="s">
        <v>333</v>
      </c>
      <c r="AM236" s="1" t="s">
        <v>2766</v>
      </c>
      <c r="AN236" s="1" t="s">
        <v>2767</v>
      </c>
      <c r="AO236" s="1" t="s">
        <v>420</v>
      </c>
      <c r="AP236" s="1">
        <v>57</v>
      </c>
      <c r="AQ236" s="1" t="s">
        <v>306</v>
      </c>
      <c r="AR236" s="42">
        <v>0.29166666666424135</v>
      </c>
      <c r="AS236" s="42">
        <v>0.20833333333575865</v>
      </c>
      <c r="AT236" s="1">
        <v>5525049646</v>
      </c>
      <c r="AU236" s="1">
        <v>5525206071</v>
      </c>
      <c r="AV236" s="1" t="s">
        <v>2768</v>
      </c>
      <c r="AW236" s="5" t="s">
        <v>6902</v>
      </c>
      <c r="AX236" s="1" t="s">
        <v>1447</v>
      </c>
      <c r="AY236" s="1" t="s">
        <v>2573</v>
      </c>
      <c r="AZ236" s="1" t="s">
        <v>2251</v>
      </c>
      <c r="BA236" s="1" t="s">
        <v>493</v>
      </c>
      <c r="BB236" s="1">
        <v>46</v>
      </c>
      <c r="BC236" s="1" t="s">
        <v>267</v>
      </c>
      <c r="BD236" s="43">
        <v>0.33333333333575865</v>
      </c>
      <c r="BE236" s="43">
        <v>0.125</v>
      </c>
      <c r="BF236" s="1">
        <v>5535137903</v>
      </c>
      <c r="BG236" s="1">
        <v>5525206071</v>
      </c>
      <c r="BH236" s="1"/>
      <c r="BI236" s="5" t="s">
        <v>6903</v>
      </c>
      <c r="BJ236" s="1" t="s">
        <v>236</v>
      </c>
      <c r="BL236" s="1">
        <v>1.58</v>
      </c>
      <c r="BM236" s="1">
        <v>56</v>
      </c>
      <c r="BN236" s="1" t="s">
        <v>236</v>
      </c>
      <c r="BO236" s="1" t="s">
        <v>228</v>
      </c>
      <c r="BQ236" s="1" t="s">
        <v>228</v>
      </c>
      <c r="BR236" s="1" t="s">
        <v>237</v>
      </c>
      <c r="BS236" s="1" t="s">
        <v>228</v>
      </c>
      <c r="BT236" s="1" t="s">
        <v>237</v>
      </c>
      <c r="BU236" s="1" t="s">
        <v>228</v>
      </c>
      <c r="BW236" s="1" t="s">
        <v>238</v>
      </c>
      <c r="BX236" s="1">
        <v>30</v>
      </c>
      <c r="BY236" s="1">
        <v>30</v>
      </c>
      <c r="BZ236" s="1" t="s">
        <v>6904</v>
      </c>
      <c r="CA236" s="1" t="s">
        <v>273</v>
      </c>
      <c r="CB236" s="1" t="s">
        <v>240</v>
      </c>
      <c r="CC236" s="1" t="s">
        <v>754</v>
      </c>
      <c r="CD236" s="1">
        <v>1000</v>
      </c>
      <c r="CE236" s="1">
        <v>1500</v>
      </c>
      <c r="CF236" s="1" t="s">
        <v>236</v>
      </c>
      <c r="CG236" s="1" t="s">
        <v>242</v>
      </c>
      <c r="CH236" s="1" t="s">
        <v>243</v>
      </c>
      <c r="CI236" s="1" t="s">
        <v>243</v>
      </c>
      <c r="CJ236" s="1" t="s">
        <v>2848</v>
      </c>
      <c r="CL236" s="5" t="s">
        <v>6905</v>
      </c>
      <c r="CM236" s="1">
        <v>30881105302</v>
      </c>
      <c r="CN236" s="1" t="s">
        <v>236</v>
      </c>
      <c r="CO236" s="1" t="s">
        <v>2761</v>
      </c>
      <c r="CP236" s="1" t="s">
        <v>237</v>
      </c>
      <c r="CQ236" s="42">
        <v>0.29166666666424135</v>
      </c>
      <c r="CR236" s="42">
        <v>0.375</v>
      </c>
      <c r="CT236" s="45" t="str">
        <f t="array" ref="CT236">IFERROR(INDEX(#REF!,MATCH('Respuestas de formulario 1.1'!$B236,#REF!,0),MATCH('Respuestas de formulario 1.1'!CT$1,#REF!,0)),"")</f>
        <v/>
      </c>
      <c r="CU236" s="56" t="str">
        <f t="array" ref="CU236">IFERROR(INDEX(#REF!,MATCH('Respuestas de formulario 1.1'!$B236,#REF!,0),MATCH('Respuestas de formulario 1.1'!CU$1,#REF!,0)),"")</f>
        <v/>
      </c>
      <c r="CV236" s="56" t="str">
        <f t="array" ref="CV236">IFERROR(INDEX(#REF!,MATCH('Respuestas de formulario 1.1'!$B236,#REF!,0),MATCH('Respuestas de formulario 1.1'!CV$1,#REF!,0)),"")</f>
        <v/>
      </c>
      <c r="CW236" s="56" t="str">
        <f t="array" ref="CW236">IFERROR(INDEX(#REF!,MATCH('Respuestas de formulario 1.1'!$B236,#REF!,0),MATCH('Respuestas de formulario 1.1'!CW$1,#REF!,0)),"")</f>
        <v/>
      </c>
      <c r="CX236" s="56" t="str">
        <f t="array" ref="CX236">IFERROR(INDEX(#REF!,MATCH('Respuestas de formulario 1.1'!$B236,#REF!,0),MATCH('Respuestas de formulario 1.1'!CX$1,#REF!,0)),"")</f>
        <v/>
      </c>
      <c r="CY236" s="56" t="str">
        <f t="array" ref="CY236">IFERROR(INDEX(#REF!,MATCH('Respuestas de formulario 1.1'!$B236,#REF!,0),MATCH('Respuestas de formulario 1.1'!CY$1,#REF!,0)),"")</f>
        <v/>
      </c>
      <c r="CZ236" s="57" t="str">
        <f t="array" ref="CZ236">IFERROR(INDEX(#REF!,MATCH('Respuestas de formulario 1.1'!$B236,#REF!,0),MATCH('Respuestas de formulario 1.1'!CZ$1,#REF!,0)),"")</f>
        <v/>
      </c>
      <c r="DA236" s="45" t="e">
        <f t="array" ref="DA236">INDEX(#REF!,MATCH('Respuestas de formulario 1.1'!$B236,#REF!,0),MATCH('Respuestas de formulario 1.1'!DA$1,#REF!,0))</f>
        <v>#REF!</v>
      </c>
      <c r="DB236" s="45" t="e">
        <f t="array" ref="DB236">INDEX(#REF!,MATCH('Respuestas de formulario 1.1'!$B236,#REF!,0),MATCH('Respuestas de formulario 1.1'!DB$1,#REF!,0))</f>
        <v>#REF!</v>
      </c>
      <c r="DC236" s="45" t="e">
        <f t="array" ref="DC236">INDEX(#REF!,MATCH('Respuestas de formulario 1.1'!$B236,#REF!,0),MATCH('Respuestas de formulario 1.1'!DC$1,#REF!,0))</f>
        <v>#REF!</v>
      </c>
      <c r="DD236" s="45" t="e">
        <f t="array" ref="DD236">INDEX(#REF!,MATCH('Respuestas de formulario 1.1'!$B236,#REF!,0),MATCH('Respuestas de formulario 1.1'!DD$1,#REF!,0))</f>
        <v>#REF!</v>
      </c>
      <c r="DE236" s="45" t="e">
        <f t="array" ref="DE236">INDEX(#REF!,MATCH('Respuestas de formulario 1.1'!$B236,#REF!,0),MATCH('Respuestas de formulario 1.1'!DE$1,#REF!,0))</f>
        <v>#REF!</v>
      </c>
      <c r="DF236" s="45" t="e">
        <f t="array" ref="DF236">INDEX(#REF!,MATCH('Respuestas de formulario 1.1'!$B236,#REF!,0),MATCH('Respuestas de formulario 1.1'!DF$1,#REF!,0))</f>
        <v>#REF!</v>
      </c>
      <c r="DG236" s="45" t="e">
        <f t="array" ref="DG236">INDEX(#REF!,MATCH('Respuestas de formulario 1.1'!$B236,#REF!,0),MATCH('Respuestas de formulario 1.1'!DG$1,#REF!,0))</f>
        <v>#REF!</v>
      </c>
      <c r="DH236" s="45" t="e">
        <f t="array" ref="DH236">INDEX(#REF!,MATCH('Respuestas de formulario 1.1'!$B236,#REF!,0),MATCH('Respuestas de formulario 1.1'!DH$1,#REF!,0))</f>
        <v>#REF!</v>
      </c>
      <c r="DI236" s="48" t="e">
        <f>VLOOKUP(CONCATENATE($DF236," TUTO ",$DC236),#REF!,3,0)</f>
        <v>#REF!</v>
      </c>
      <c r="DJ236" s="48" t="e">
        <f t="array" ref="DJ236">IF('Respuestas de formulario 1.1'!A236="","",INDEX(#REF!,MATCH('Respuestas de formulario 1.1'!B236,#REF!,0),MATCH('Respuestas de formulario 1.1'!$DH$1,#REF!,0)))</f>
        <v>#REF!</v>
      </c>
      <c r="DK236" s="52" t="str">
        <f>CONCATENATE("http://doc.google.com/uc?id=",MID('Respuestas de formulario 1.1'!G236,34,33))</f>
        <v>http://doc.google.com/uc?id=1TeNMf01_5zQD2pVWp66jUbrYyBALBIa9</v>
      </c>
      <c r="DL236" s="49" t="str">
        <f>CONCATENATE("http://doc.google.com/uc?id=",MID('Respuestas de formulario 1.1'!AH236,34,33))</f>
        <v>http://doc.google.com/uc?id=1hB3Nrct-NepJTD41ROxAOaDrYULO8kO_</v>
      </c>
      <c r="DM236" s="50" t="str">
        <f>CONCATENATE("http://doc.google.com/uc?id=",MID('Respuestas de formulario 1.1'!AW236,34,33))</f>
        <v>http://doc.google.com/uc?id=1NnUmL6wSprGvoHuO77MsT5wfI1AtP7Ur</v>
      </c>
      <c r="DN236" s="53" t="str">
        <f>CONCATENATE("http://doc.google.com/uc?id=",MID('Respuestas de formulario 1.1'!$BI236,34,33))</f>
        <v>http://doc.google.com/uc?id=1Eq3QSVwAlDCVxjiVNCtKyvkT3UTYQDsg</v>
      </c>
      <c r="DO236" s="45" t="str">
        <f>IFERROR(VLOOKUP(CONCATENATE('Respuestas de formulario 1.1'!$B236,MID('Respuestas de formulario 1.1'!DO$1,2,1)),#REF!,12,0),"")</f>
        <v/>
      </c>
      <c r="DP236" s="45" t="str">
        <f>IFERROR(VLOOKUP(CONCATENATE('Respuestas de formulario 1.1'!$B236,MID('Respuestas de formulario 1.1'!DP$1,2,1)),#REF!,12,0),"")</f>
        <v/>
      </c>
      <c r="DQ236" s="45" t="str">
        <f>IFERROR(VLOOKUP(CONCATENATE('Respuestas de formulario 1.1'!$B236,MID('Respuestas de formulario 1.1'!DQ$1,2,1)),#REF!,12,0),"")</f>
        <v/>
      </c>
      <c r="DR236" s="45" t="str">
        <f>IFERROR(VLOOKUP(CONCATENATE('Respuestas de formulario 1.1'!$B236,MID('Respuestas de formulario 1.1'!DR$1,2,1)),#REF!,12,0),"")</f>
        <v/>
      </c>
      <c r="DS236" s="45" t="str">
        <f>IFERROR(VLOOKUP(CONCATENATE('Respuestas de formulario 1.1'!$B236,MID('Respuestas de formulario 1.1'!DS$1,2,1)),#REF!,12,0),"")</f>
        <v/>
      </c>
      <c r="DT236" s="45" t="str">
        <f>IFERROR(VLOOKUP(CONCATENATE('Respuestas de formulario 1.1'!$B236,MID('Respuestas de formulario 1.1'!DT$1,2,1)),#REF!,12,0),"")</f>
        <v/>
      </c>
      <c r="DU236" s="45" t="str">
        <f>IFERROR(VLOOKUP(CONCATENATE('Respuestas de formulario 1.1'!$B236,MID('Respuestas de formulario 1.1'!DU$1,2,1)),#REF!,12,0),"")</f>
        <v/>
      </c>
      <c r="DV236" s="45" t="str">
        <f>IFERROR(VLOOKUP(CONCATENATE('Respuestas de formulario 1.1'!$B236,MID('Respuestas de formulario 1.1'!DV$1,2,1)),#REF!,12,0),"")</f>
        <v/>
      </c>
      <c r="DW236" s="45" t="str">
        <f>IFERROR(VLOOKUP(CONCATENATE('Respuestas de formulario 1.1'!$B236,MID('Respuestas de formulario 1.1'!DW$1,2,1)),#REF!,12,0),"")</f>
        <v/>
      </c>
      <c r="DX236" s="45" t="str">
        <f>IFERROR(VLOOKUP(CONCATENATE('Respuestas de formulario 1.1'!$B236,MID('Respuestas de formulario 1.1'!DX$1,2,1)),#REF!,12,0),"")</f>
        <v/>
      </c>
      <c r="DY236" s="45" t="str">
        <f>IFERROR(VLOOKUP(CONCATENATE('Respuestas de formulario 1.1'!$B236,MID('Respuestas de formulario 1.1'!DY$1,2,1)),#REF!,12,0),"")</f>
        <v/>
      </c>
      <c r="DZ236" s="45" t="str">
        <f>IFERROR(VLOOKUP(CONCATENATE('Respuestas de formulario 1.1'!$B236,MID('Respuestas de formulario 1.1'!DZ$1,2,1)),#REF!,12,0),"")</f>
        <v/>
      </c>
      <c r="EA236" s="45" t="str">
        <f>IFERROR(VLOOKUP(CONCATENATE('Respuestas de formulario 1.1'!$B236,MID('Respuestas de formulario 1.1'!EA$1,2,1)),#REF!,12,0),"")</f>
        <v/>
      </c>
      <c r="EB236" s="45" t="str">
        <f>IFERROR(VLOOKUP(CONCATENATE('Respuestas de formulario 1.1'!$B236,MID('Respuestas de formulario 1.1'!EB$1,2,1)),#REF!,12,0),"")</f>
        <v/>
      </c>
      <c r="EC236" s="45" t="str">
        <f>IFERROR(VLOOKUP(CONCATENATE('Respuestas de formulario 1.1'!$B236,MID('Respuestas de formulario 1.1'!EC$1,2,1)),#REF!,12,0),"")</f>
        <v/>
      </c>
      <c r="ED236" s="45" t="str">
        <f>IFERROR(VLOOKUP(CONCATENATE('Respuestas de formulario 1.1'!$B236,MID('Respuestas de formulario 1.1'!ED$1,2,1)),#REF!,12,0),"")</f>
        <v/>
      </c>
      <c r="EE236" s="45" t="str">
        <f>IFERROR(VLOOKUP(CONCATENATE('Respuestas de formulario 1.1'!$B236,MID('Respuestas de formulario 1.1'!EE$1,2,1)),#REF!,12,0),"")</f>
        <v/>
      </c>
      <c r="EF236" s="45" t="str">
        <f>IFERROR(VLOOKUP(CONCATENATE('Respuestas de formulario 1.1'!$B236,MID('Respuestas de formulario 1.1'!EF$1,2,1)),#REF!,12,0),"")</f>
        <v/>
      </c>
      <c r="EG236" s="45" t="str">
        <f>IFERROR(VLOOKUP(CONCATENATE('Respuestas de formulario 1.1'!$B236,MID('Respuestas de formulario 1.1'!EG$1,2,1)),#REF!,12,0),"")</f>
        <v/>
      </c>
      <c r="EH236" s="45" t="str">
        <f>IFERROR(VLOOKUP(CONCATENATE('Respuestas de formulario 1.1'!$B236,MID('Respuestas de formulario 1.1'!EH$1,2,1)),#REF!,12,0),"")</f>
        <v/>
      </c>
      <c r="EI236" s="45" t="str">
        <f>IFERROR(VLOOKUP(CONCATENATE('Respuestas de formulario 1.1'!$B236,MID('Respuestas de formulario 1.1'!EI$1,2,1)),#REF!,12,0),"")</f>
        <v/>
      </c>
      <c r="EJ236" s="45" t="str">
        <f t="array" ref="EJ236">IF(DO236="","", INDEX(#REF!,MATCH(CONCATENATE('Respuestas de formulario 1.1'!$B236,DO236),#REF!,0),MATCH('Respuestas de formulario 1.1'!EJ$1,#REF!,0)))</f>
        <v/>
      </c>
      <c r="EK236" s="56" t="str">
        <f t="array" ref="EK236">IF(DP236="","", INDEX(#REF!,MATCH(CONCATENATE('Respuestas de formulario 1.1'!$B236,DP236),#REF!,0),MATCH('Respuestas de formulario 1.1'!EK$1,#REF!,0)))</f>
        <v/>
      </c>
      <c r="EL236" s="56" t="str">
        <f t="array" ref="EL236">IF(DQ236="","", INDEX(#REF!,MATCH(CONCATENATE('Respuestas de formulario 1.1'!$B236,DQ236),#REF!,0),MATCH('Respuestas de formulario 1.1'!EL$1,#REF!,0)))</f>
        <v/>
      </c>
      <c r="EM236" s="56" t="str">
        <f t="array" ref="EM236">IF(DR236="","", INDEX(#REF!,MATCH(CONCATENATE('Respuestas de formulario 1.1'!$B236,DR236),#REF!,0),MATCH('Respuestas de formulario 1.1'!EM$1,#REF!,0)))</f>
        <v/>
      </c>
      <c r="EN236" s="56" t="str">
        <f t="array" ref="EN236">IF(DS236="","", INDEX(#REF!,MATCH(CONCATENATE('Respuestas de formulario 1.1'!$B236,DS236),#REF!,0),MATCH('Respuestas de formulario 1.1'!EN$1,#REF!,0)))</f>
        <v/>
      </c>
      <c r="EO236" s="56" t="str">
        <f t="array" ref="EO236">IF(DT236="","", INDEX(#REF!,MATCH(CONCATENATE('Respuestas de formulario 1.1'!$B236,DT236),#REF!,0),MATCH('Respuestas de formulario 1.1'!EO$1,#REF!,0)))</f>
        <v/>
      </c>
      <c r="EP236" s="45" t="str">
        <f t="array" ref="EP236">IF(DU236="","", INDEX(#REF!,MATCH(CONCATENATE('Respuestas de formulario 1.1'!$B236,DU236),#REF!,0),MATCH('Respuestas de formulario 1.1'!EP$1,#REF!,0)))</f>
        <v/>
      </c>
      <c r="EQ236" s="45" t="str">
        <f t="array" ref="EQ236">IF(DP236="","", INDEX(#REF!,MATCH(CONCATENATE('Respuestas de formulario 1.1'!$B236,DP236),#REF!,0),MATCH('Respuestas de formulario 1.1'!EQ$1,#REF!,0)))</f>
        <v/>
      </c>
      <c r="ER236" s="56" t="str">
        <f t="array" ref="ER236">IF(DQ236="","", INDEX(#REF!,MATCH(CONCATENATE('Respuestas de formulario 1.1'!$B236,DQ236),#REF!,0),MATCH('Respuestas de formulario 1.1'!ER$1,#REF!,0)))</f>
        <v/>
      </c>
      <c r="ES236" s="56" t="str">
        <f t="array" ref="ES236">IF(DR236="","", INDEX(#REF!,MATCH(CONCATENATE('Respuestas de formulario 1.1'!$B236,DR236),#REF!,0),MATCH('Respuestas de formulario 1.1'!ES$1,#REF!,0)))</f>
        <v/>
      </c>
      <c r="ET236" s="56" t="str">
        <f t="array" ref="ET236">IF(DS236="","", INDEX(#REF!,MATCH(CONCATENATE('Respuestas de formulario 1.1'!$B236,DS236),#REF!,0),MATCH('Respuestas de formulario 1.1'!ET$1,#REF!,0)))</f>
        <v/>
      </c>
      <c r="EU236" s="56" t="str">
        <f t="array" ref="EU236">IF(DT236="","", INDEX(#REF!,MATCH(CONCATENATE('Respuestas de formulario 1.1'!$B236,DT236),#REF!,0),MATCH('Respuestas de formulario 1.1'!EU$1,#REF!,0)))</f>
        <v/>
      </c>
      <c r="EV236" s="56" t="str">
        <f t="array" ref="EV236">IF(DU236="","", INDEX(#REF!,MATCH(CONCATENATE('Respuestas de formulario 1.1'!$B236,DU236),#REF!,0),MATCH('Respuestas de formulario 1.1'!EV$1,#REF!,0)))</f>
        <v/>
      </c>
      <c r="EW236" s="45" t="str">
        <f t="array" ref="EW236">IF(DV236="","", INDEX(#REF!,MATCH(CONCATENATE('Respuestas de formulario 1.1'!$B236,DV236),#REF!,0),MATCH('Respuestas de formulario 1.1'!EW$1,#REF!,0)))</f>
        <v/>
      </c>
      <c r="EX236" s="45" t="str">
        <f t="array" ref="EX236">IF($DQ236="","", INDEX(#REF!,MATCH(CONCATENATE('Respuestas de formulario 1.1'!$B236,$DQ236),#REF!,0),MATCH('Respuestas de formulario 1.1'!EX$1,#REF!,0)))</f>
        <v/>
      </c>
      <c r="EY236" s="56" t="str">
        <f t="array" ref="EY236">IF($DQ236="","", INDEX(#REF!,MATCH(CONCATENATE('Respuestas de formulario 1.1'!$B236,$DQ236),#REF!,0),MATCH('Respuestas de formulario 1.1'!EY$1,#REF!,0)))</f>
        <v/>
      </c>
      <c r="EZ236" s="56" t="str">
        <f t="array" ref="EZ236">IF($DQ236="","", INDEX(#REF!,MATCH(CONCATENATE('Respuestas de formulario 1.1'!$B236,$DQ236),#REF!,0),MATCH('Respuestas de formulario 1.1'!EZ$1,#REF!,0)))</f>
        <v/>
      </c>
      <c r="FA236" s="56" t="str">
        <f t="array" ref="FA236">IF($DQ236="","", INDEX(#REF!,MATCH(CONCATENATE('Respuestas de formulario 1.1'!$B236,$DQ236),#REF!,0),MATCH('Respuestas de formulario 1.1'!FA$1,#REF!,0)))</f>
        <v/>
      </c>
      <c r="FB236" s="56" t="str">
        <f t="array" ref="FB236">IF($DQ236="","", INDEX(#REF!,MATCH(CONCATENATE('Respuestas de formulario 1.1'!$B236,$DQ236),#REF!,0),MATCH('Respuestas de formulario 1.1'!FB$1,#REF!,0)))</f>
        <v/>
      </c>
      <c r="FC236" s="56" t="str">
        <f t="array" ref="FC236">IF($DQ236="","", INDEX(#REF!,MATCH(CONCATENATE('Respuestas de formulario 1.1'!$B236,$DQ236),#REF!,0),MATCH('Respuestas de formulario 1.1'!FC$1,#REF!,0)))</f>
        <v/>
      </c>
      <c r="FD236" s="45" t="str">
        <f t="array" ref="FD236">IF($DQ236="","", INDEX(#REF!,MATCH(CONCATENATE('Respuestas de formulario 1.1'!$B236,$DQ236),#REF!,0),MATCH('Respuestas de formulario 1.1'!FD$1,#REF!,0)))</f>
        <v/>
      </c>
      <c r="FE236" s="45" t="str">
        <f t="array" ref="FE236">IF($DR236="","", INDEX(#REF!,MATCH(CONCATENATE(#REF!,$DR236),#REF!,0),MATCH(#REF!,#REF!,0)))</f>
        <v/>
      </c>
      <c r="FF236" s="56" t="str">
        <f t="array" ref="FF236">IF($DR236="","", INDEX(#REF!,MATCH(CONCATENATE(#REF!,$DR236),#REF!,0),MATCH(#REF!,#REF!,0)))</f>
        <v/>
      </c>
      <c r="FG236" s="56" t="str">
        <f t="array" ref="FG236">IF($DR236="","", INDEX(#REF!,MATCH(CONCATENATE(#REF!,$DR236),#REF!,0),MATCH(#REF!,#REF!,0)))</f>
        <v/>
      </c>
      <c r="FH236" s="56" t="str">
        <f t="array" ref="FH236">IF($DR236="","", INDEX(#REF!,MATCH(CONCATENATE(#REF!,$DR236),#REF!,0),MATCH(#REF!,#REF!,0)))</f>
        <v/>
      </c>
      <c r="FI236" s="56" t="str">
        <f t="array" ref="FI236">IF($DR236="","", INDEX(#REF!,MATCH(CONCATENATE(#REF!,$DR236),#REF!,0),MATCH(#REF!,#REF!,0)))</f>
        <v/>
      </c>
      <c r="FJ236" s="56" t="str">
        <f t="array" ref="FJ236">IF($DR236="","", INDEX(#REF!,MATCH(CONCATENATE(#REF!,$DR236),#REF!,0),MATCH(#REF!,#REF!,0)))</f>
        <v/>
      </c>
      <c r="FK236" s="45" t="str">
        <f t="array" ref="FK236">IF($DR236="","", INDEX(#REF!,MATCH(CONCATENATE(#REF!,$DR236),#REF!,0),MATCH(#REF!,#REF!,0)))</f>
        <v/>
      </c>
      <c r="FL236" s="45" t="str">
        <f t="array" ref="FL236">IF($DT236="","", INDEX(#REF!,MATCH(CONCATENATE('Respuestas de formulario 1.1'!$B236,$DS236),#REF!,0),MATCH('Respuestas de formulario 1.1'!FL$1,#REF!,0)))</f>
        <v/>
      </c>
      <c r="FM236" s="56" t="str">
        <f t="array" ref="FM236">IF($DT236="","", INDEX(#REF!,MATCH(CONCATENATE('Respuestas de formulario 1.1'!$B236,$DS236),#REF!,0),MATCH('Respuestas de formulario 1.1'!FM$1,#REF!,0)))</f>
        <v/>
      </c>
      <c r="FN236" s="56" t="str">
        <f t="array" ref="FN236">IF($DT236="","", INDEX(#REF!,MATCH(CONCATENATE('Respuestas de formulario 1.1'!$B236,$DS236),#REF!,0),MATCH('Respuestas de formulario 1.1'!FN$1,#REF!,0)))</f>
        <v/>
      </c>
      <c r="FO236" s="56" t="str">
        <f t="array" ref="FO236">IF($DT236="","", INDEX(#REF!,MATCH(CONCATENATE('Respuestas de formulario 1.1'!$B236,$DS236),#REF!,0),MATCH('Respuestas de formulario 1.1'!FO$1,#REF!,0)))</f>
        <v/>
      </c>
      <c r="FP236" s="56" t="str">
        <f t="array" ref="FP236">IF($DT236="","", INDEX(#REF!,MATCH(CONCATENATE('Respuestas de formulario 1.1'!$B236,$DS236),#REF!,0),MATCH('Respuestas de formulario 1.1'!FP$1,#REF!,0)))</f>
        <v/>
      </c>
      <c r="FQ236" s="56" t="str">
        <f t="array" ref="FQ236">IF($DT236="","", INDEX(#REF!,MATCH(CONCATENATE('Respuestas de formulario 1.1'!$B236,$DS236),#REF!,0),MATCH('Respuestas de formulario 1.1'!FQ$1,#REF!,0)))</f>
        <v/>
      </c>
      <c r="FR236" s="45" t="str">
        <f t="array" ref="FR236">IF($DT236="","", INDEX(#REF!,MATCH(CONCATENATE('Respuestas de formulario 1.1'!$B236,$DS236),#REF!,0),MATCH('Respuestas de formulario 1.1'!FR$1,#REF!,0)))</f>
        <v/>
      </c>
      <c r="FS236" s="45" t="str">
        <f t="array" ref="FS236">IF($DU236="","", INDEX(#REF!,MATCH(CONCATENATE('Respuestas de formulario 1.1'!$B236,$DT236),#REF!,0),MATCH('Respuestas de formulario 1.1'!FS$1,#REF!,0)))</f>
        <v/>
      </c>
      <c r="FT236" s="56" t="str">
        <f t="array" ref="FT236">IF($DU236="","", INDEX(#REF!,MATCH(CONCATENATE('Respuestas de formulario 1.1'!$B236,$DT236),#REF!,0),MATCH('Respuestas de formulario 1.1'!FT$1,#REF!,0)))</f>
        <v/>
      </c>
      <c r="FU236" s="56" t="str">
        <f t="array" ref="FU236">IF($DU236="","", INDEX(#REF!,MATCH(CONCATENATE('Respuestas de formulario 1.1'!$B236,$DT236),#REF!,0),MATCH('Respuestas de formulario 1.1'!FU$1,#REF!,0)))</f>
        <v/>
      </c>
      <c r="FV236" s="56" t="str">
        <f t="array" ref="FV236">IF($DU236="","", INDEX(#REF!,MATCH(CONCATENATE('Respuestas de formulario 1.1'!$B236,$DT236),#REF!,0),MATCH('Respuestas de formulario 1.1'!FV$1,#REF!,0)))</f>
        <v/>
      </c>
      <c r="FW236" s="56" t="str">
        <f t="array" ref="FW236">IF($DU236="","", INDEX(#REF!,MATCH(CONCATENATE('Respuestas de formulario 1.1'!$B236,$DT236),#REF!,0),MATCH('Respuestas de formulario 1.1'!FW$1,#REF!,0)))</f>
        <v/>
      </c>
      <c r="FX236" s="56" t="str">
        <f t="array" ref="FX236">IF($DU236="","", INDEX(#REF!,MATCH(CONCATENATE('Respuestas de formulario 1.1'!$B236,$DT236),#REF!,0),MATCH('Respuestas de formulario 1.1'!FX$1,#REF!,0)))</f>
        <v/>
      </c>
      <c r="FY236" s="45" t="str">
        <f t="array" ref="FY236">IF($DU236="","", INDEX(#REF!,MATCH(CONCATENATE('Respuestas de formulario 1.1'!$B236,$DT236),#REF!,0),MATCH('Respuestas de formulario 1.1'!FY$1,#REF!,0)))</f>
        <v/>
      </c>
      <c r="FZ236" s="3" t="s">
        <v>2860</v>
      </c>
      <c r="GA236" s="1" t="s">
        <v>6906</v>
      </c>
      <c r="GB236" s="5" t="s">
        <v>6907</v>
      </c>
      <c r="GC236" s="4" t="str">
        <f>HYPERLINK("https://drive.google.com/file/d/1bO3_Kbz6ZfybvPejfvlrNtNm8OqeHOaa/view?usp=drivesdk","RAMIREZ  NEGRETE MELISA ASTRID  Formato de reinscripción y pago 2022-2")</f>
        <v>RAMIREZ  NEGRETE MELISA ASTRID  Formato de reinscripción y pago 2022-2</v>
      </c>
      <c r="GD236" s="1" t="s">
        <v>6908</v>
      </c>
      <c r="GE236" s="1"/>
      <c r="GF236" s="1"/>
      <c r="GG236" s="1"/>
      <c r="GH236" s="1"/>
      <c r="GI236" s="1"/>
      <c r="GJ236" s="1"/>
      <c r="GK236" s="1"/>
      <c r="GL236" s="1" t="s">
        <v>6909</v>
      </c>
    </row>
    <row r="237" spans="1:194" ht="38.25" x14ac:dyDescent="0.2">
      <c r="A237" s="2">
        <v>45141.770218229169</v>
      </c>
      <c r="B237" s="1" t="s">
        <v>2606</v>
      </c>
      <c r="C237" s="1" t="s">
        <v>2607</v>
      </c>
      <c r="D237" s="1" t="s">
        <v>560</v>
      </c>
      <c r="E237" s="1" t="s">
        <v>6910</v>
      </c>
      <c r="F237" s="1" t="s">
        <v>223</v>
      </c>
      <c r="G237" s="5" t="s">
        <v>6911</v>
      </c>
      <c r="H237" s="41">
        <v>39010</v>
      </c>
      <c r="I237" s="1">
        <v>16</v>
      </c>
      <c r="J237" s="1">
        <v>5591891234</v>
      </c>
      <c r="K237" s="1">
        <v>5591891234</v>
      </c>
      <c r="L237" s="1" t="s">
        <v>2608</v>
      </c>
      <c r="M237" s="1">
        <v>21309060570851</v>
      </c>
      <c r="N237" s="1" t="s">
        <v>1108</v>
      </c>
      <c r="O237" s="1" t="s">
        <v>225</v>
      </c>
      <c r="P237" s="1" t="s">
        <v>278</v>
      </c>
      <c r="Q237" s="1" t="s">
        <v>227</v>
      </c>
      <c r="R237" s="1" t="s">
        <v>236</v>
      </c>
      <c r="S237" s="1" t="s">
        <v>228</v>
      </c>
      <c r="T237" s="1" t="s">
        <v>229</v>
      </c>
      <c r="U237" s="1" t="s">
        <v>393</v>
      </c>
      <c r="V237" s="1" t="s">
        <v>228</v>
      </c>
      <c r="W237" s="1" t="s">
        <v>6912</v>
      </c>
      <c r="X237" s="1" t="s">
        <v>393</v>
      </c>
      <c r="Y237" s="1" t="s">
        <v>708</v>
      </c>
      <c r="Z237" s="1" t="s">
        <v>240</v>
      </c>
      <c r="AA237" s="44" t="s">
        <v>707</v>
      </c>
      <c r="AB237" s="1">
        <v>44</v>
      </c>
      <c r="AC237" s="1">
        <v>5</v>
      </c>
      <c r="AD237" s="1" t="s">
        <v>6913</v>
      </c>
      <c r="AE237" s="1" t="s">
        <v>6914</v>
      </c>
      <c r="AF237" s="1" t="s">
        <v>435</v>
      </c>
      <c r="AG237" s="1">
        <v>69</v>
      </c>
      <c r="AH237" s="5" t="s">
        <v>6915</v>
      </c>
      <c r="AI237" s="1">
        <v>5524045637</v>
      </c>
      <c r="AJ237" s="1">
        <v>5518717708</v>
      </c>
      <c r="AK237" s="1" t="s">
        <v>6916</v>
      </c>
      <c r="AL237" s="1" t="s">
        <v>6917</v>
      </c>
      <c r="AM237" s="1" t="s">
        <v>560</v>
      </c>
      <c r="AN237" s="1" t="s">
        <v>6918</v>
      </c>
      <c r="AO237" s="1" t="s">
        <v>586</v>
      </c>
      <c r="AP237" s="1">
        <v>27</v>
      </c>
      <c r="AQ237" s="1" t="s">
        <v>267</v>
      </c>
      <c r="AR237" s="42">
        <v>0.25</v>
      </c>
      <c r="AS237" s="42">
        <v>4.1666666664241347E-2</v>
      </c>
      <c r="AT237" s="1">
        <v>5591891234</v>
      </c>
      <c r="AU237" s="1">
        <v>5591891234</v>
      </c>
      <c r="AV237" s="1" t="s">
        <v>2609</v>
      </c>
      <c r="AW237" s="5" t="s">
        <v>6919</v>
      </c>
      <c r="AX237" s="1" t="s">
        <v>560</v>
      </c>
      <c r="AY237" s="1" t="s">
        <v>560</v>
      </c>
      <c r="AZ237" s="1" t="s">
        <v>2056</v>
      </c>
      <c r="BA237" s="1" t="s">
        <v>265</v>
      </c>
      <c r="BB237" s="1">
        <v>55</v>
      </c>
      <c r="BC237" s="1" t="s">
        <v>233</v>
      </c>
      <c r="BD237" s="43">
        <v>1</v>
      </c>
      <c r="BE237" s="43">
        <v>1</v>
      </c>
      <c r="BF237" s="1">
        <v>5518717708</v>
      </c>
      <c r="BG237" s="1">
        <v>5518717708</v>
      </c>
      <c r="BH237" s="1" t="s">
        <v>2609</v>
      </c>
      <c r="BI237" s="5" t="s">
        <v>6920</v>
      </c>
      <c r="BJ237" s="1" t="s">
        <v>236</v>
      </c>
      <c r="BL237" s="1">
        <v>1.54</v>
      </c>
      <c r="BM237" s="1">
        <v>62</v>
      </c>
      <c r="BN237" s="1" t="s">
        <v>236</v>
      </c>
      <c r="BO237" s="1" t="s">
        <v>228</v>
      </c>
      <c r="BP237" s="1"/>
      <c r="BQ237" s="1" t="s">
        <v>228</v>
      </c>
      <c r="BR237" s="1" t="s">
        <v>237</v>
      </c>
      <c r="BS237" s="1" t="s">
        <v>228</v>
      </c>
      <c r="BT237" s="1" t="s">
        <v>237</v>
      </c>
      <c r="BU237" s="1" t="s">
        <v>228</v>
      </c>
      <c r="BW237" s="1" t="s">
        <v>238</v>
      </c>
      <c r="BX237" s="1">
        <v>20</v>
      </c>
      <c r="BY237" s="1">
        <v>100</v>
      </c>
      <c r="BZ237" s="1" t="s">
        <v>253</v>
      </c>
      <c r="CA237" s="1" t="s">
        <v>2206</v>
      </c>
      <c r="CB237" s="1" t="s">
        <v>240</v>
      </c>
      <c r="CC237" s="1" t="s">
        <v>2027</v>
      </c>
      <c r="CD237" s="1">
        <v>1000</v>
      </c>
      <c r="CE237" s="1">
        <v>2000</v>
      </c>
      <c r="CF237" s="1" t="s">
        <v>228</v>
      </c>
      <c r="CG237" s="1" t="s">
        <v>242</v>
      </c>
      <c r="CH237" s="1" t="s">
        <v>243</v>
      </c>
      <c r="CI237" s="1" t="s">
        <v>243</v>
      </c>
      <c r="CJ237" s="1" t="s">
        <v>2848</v>
      </c>
      <c r="CL237" s="5" t="s">
        <v>6921</v>
      </c>
      <c r="CM237" s="1">
        <v>16210678930</v>
      </c>
      <c r="CN237" s="1" t="s">
        <v>228</v>
      </c>
      <c r="CQ237" s="42">
        <v>0.33333333333575865</v>
      </c>
      <c r="CR237" s="42">
        <v>0.41666666666424135</v>
      </c>
      <c r="CT237" s="45" t="str">
        <f t="array" ref="CT237">IFERROR(INDEX(#REF!,MATCH('Respuestas de formulario 1.1'!$B237,#REF!,0),MATCH('Respuestas de formulario 1.1'!CT$1,#REF!,0)),"")</f>
        <v/>
      </c>
      <c r="CU237" s="56" t="str">
        <f t="array" ref="CU237">IFERROR(INDEX(#REF!,MATCH('Respuestas de formulario 1.1'!$B237,#REF!,0),MATCH('Respuestas de formulario 1.1'!CU$1,#REF!,0)),"")</f>
        <v/>
      </c>
      <c r="CV237" s="56" t="str">
        <f t="array" ref="CV237">IFERROR(INDEX(#REF!,MATCH('Respuestas de formulario 1.1'!$B237,#REF!,0),MATCH('Respuestas de formulario 1.1'!CV$1,#REF!,0)),"")</f>
        <v/>
      </c>
      <c r="CW237" s="56" t="str">
        <f t="array" ref="CW237">IFERROR(INDEX(#REF!,MATCH('Respuestas de formulario 1.1'!$B237,#REF!,0),MATCH('Respuestas de formulario 1.1'!CW$1,#REF!,0)),"")</f>
        <v/>
      </c>
      <c r="CX237" s="56" t="str">
        <f t="array" ref="CX237">IFERROR(INDEX(#REF!,MATCH('Respuestas de formulario 1.1'!$B237,#REF!,0),MATCH('Respuestas de formulario 1.1'!CX$1,#REF!,0)),"")</f>
        <v/>
      </c>
      <c r="CY237" s="56" t="str">
        <f t="array" ref="CY237">IFERROR(INDEX(#REF!,MATCH('Respuestas de formulario 1.1'!$B237,#REF!,0),MATCH('Respuestas de formulario 1.1'!CY$1,#REF!,0)),"")</f>
        <v/>
      </c>
      <c r="CZ237" s="57" t="str">
        <f t="array" ref="CZ237">IFERROR(INDEX(#REF!,MATCH('Respuestas de formulario 1.1'!$B237,#REF!,0),MATCH('Respuestas de formulario 1.1'!CZ$1,#REF!,0)),"")</f>
        <v/>
      </c>
      <c r="DA237" s="45" t="e">
        <f t="array" ref="DA237">INDEX(#REF!,MATCH('Respuestas de formulario 1.1'!$B237,#REF!,0),MATCH('Respuestas de formulario 1.1'!DA$1,#REF!,0))</f>
        <v>#REF!</v>
      </c>
      <c r="DB237" s="45" t="e">
        <f t="array" ref="DB237">INDEX(#REF!,MATCH('Respuestas de formulario 1.1'!$B237,#REF!,0),MATCH('Respuestas de formulario 1.1'!DB$1,#REF!,0))</f>
        <v>#REF!</v>
      </c>
      <c r="DC237" s="45" t="e">
        <f t="array" ref="DC237">INDEX(#REF!,MATCH('Respuestas de formulario 1.1'!$B237,#REF!,0),MATCH('Respuestas de formulario 1.1'!DC$1,#REF!,0))</f>
        <v>#REF!</v>
      </c>
      <c r="DD237" s="45" t="e">
        <f t="array" ref="DD237">INDEX(#REF!,MATCH('Respuestas de formulario 1.1'!$B237,#REF!,0),MATCH('Respuestas de formulario 1.1'!DD$1,#REF!,0))</f>
        <v>#REF!</v>
      </c>
      <c r="DE237" s="45" t="e">
        <f t="array" ref="DE237">INDEX(#REF!,MATCH('Respuestas de formulario 1.1'!$B237,#REF!,0),MATCH('Respuestas de formulario 1.1'!DE$1,#REF!,0))</f>
        <v>#REF!</v>
      </c>
      <c r="DF237" s="45" t="e">
        <f t="array" ref="DF237">INDEX(#REF!,MATCH('Respuestas de formulario 1.1'!$B237,#REF!,0),MATCH('Respuestas de formulario 1.1'!DF$1,#REF!,0))</f>
        <v>#REF!</v>
      </c>
      <c r="DG237" s="45" t="e">
        <f t="array" ref="DG237">INDEX(#REF!,MATCH('Respuestas de formulario 1.1'!$B237,#REF!,0),MATCH('Respuestas de formulario 1.1'!DG$1,#REF!,0))</f>
        <v>#REF!</v>
      </c>
      <c r="DH237" s="45" t="e">
        <f t="array" ref="DH237">INDEX(#REF!,MATCH('Respuestas de formulario 1.1'!$B237,#REF!,0),MATCH('Respuestas de formulario 1.1'!DH$1,#REF!,0))</f>
        <v>#REF!</v>
      </c>
      <c r="DI237" s="48" t="e">
        <f>VLOOKUP(CONCATENATE($DF237," TUTO ",$DC237),#REF!,3,0)</f>
        <v>#REF!</v>
      </c>
      <c r="DJ237" s="48" t="e">
        <f t="array" ref="DJ237">IF('Respuestas de formulario 1.1'!A237="","",INDEX(#REF!,MATCH('Respuestas de formulario 1.1'!B237,#REF!,0),MATCH('Respuestas de formulario 1.1'!$DH$1,#REF!,0)))</f>
        <v>#REF!</v>
      </c>
      <c r="DK237" s="52" t="str">
        <f>CONCATENATE("http://doc.google.com/uc?id=",MID('Respuestas de formulario 1.1'!G237,34,33))</f>
        <v>http://doc.google.com/uc?id=18igOkMjiE_KCEbmcBz_16UjNyF0SNgtR</v>
      </c>
      <c r="DL237" s="49" t="str">
        <f>CONCATENATE("http://doc.google.com/uc?id=",MID('Respuestas de formulario 1.1'!AH237,34,33))</f>
        <v>http://doc.google.com/uc?id=1QBS7xqacF0HxaT83Sm9dz0hLET-irV8w</v>
      </c>
      <c r="DM237" s="50" t="str">
        <f>CONCATENATE("http://doc.google.com/uc?id=",MID('Respuestas de formulario 1.1'!AW237,34,33))</f>
        <v>http://doc.google.com/uc?id=14j5JLNxbwv0OAE-Q0dlFhHNNp1VQf3dD</v>
      </c>
      <c r="DN237" s="53" t="str">
        <f>CONCATENATE("http://doc.google.com/uc?id=",MID('Respuestas de formulario 1.1'!$BI237,34,33))</f>
        <v>http://doc.google.com/uc?id=1Yf5DSp2SKpx_1xcPwqExaFDNJkaT1AHe</v>
      </c>
      <c r="DO237" s="45" t="str">
        <f>IFERROR(VLOOKUP(CONCATENATE('Respuestas de formulario 1.1'!$B237,MID('Respuestas de formulario 1.1'!DO$1,2,1)),#REF!,12,0),"")</f>
        <v/>
      </c>
      <c r="DP237" s="45" t="str">
        <f>IFERROR(VLOOKUP(CONCATENATE('Respuestas de formulario 1.1'!$B237,MID('Respuestas de formulario 1.1'!DP$1,2,1)),#REF!,12,0),"")</f>
        <v/>
      </c>
      <c r="DQ237" s="45" t="str">
        <f>IFERROR(VLOOKUP(CONCATENATE('Respuestas de formulario 1.1'!$B237,MID('Respuestas de formulario 1.1'!DQ$1,2,1)),#REF!,12,0),"")</f>
        <v/>
      </c>
      <c r="DR237" s="45" t="str">
        <f>IFERROR(VLOOKUP(CONCATENATE('Respuestas de formulario 1.1'!$B237,MID('Respuestas de formulario 1.1'!DR$1,2,1)),#REF!,12,0),"")</f>
        <v/>
      </c>
      <c r="DS237" s="45" t="str">
        <f>IFERROR(VLOOKUP(CONCATENATE('Respuestas de formulario 1.1'!$B237,MID('Respuestas de formulario 1.1'!DS$1,2,1)),#REF!,12,0),"")</f>
        <v/>
      </c>
      <c r="DT237" s="45" t="str">
        <f>IFERROR(VLOOKUP(CONCATENATE('Respuestas de formulario 1.1'!$B237,MID('Respuestas de formulario 1.1'!DT$1,2,1)),#REF!,12,0),"")</f>
        <v/>
      </c>
      <c r="DU237" s="45" t="str">
        <f>IFERROR(VLOOKUP(CONCATENATE('Respuestas de formulario 1.1'!$B237,MID('Respuestas de formulario 1.1'!DU$1,2,1)),#REF!,12,0),"")</f>
        <v/>
      </c>
      <c r="DV237" s="45" t="str">
        <f>IFERROR(VLOOKUP(CONCATENATE('Respuestas de formulario 1.1'!$B237,MID('Respuestas de formulario 1.1'!DV$1,2,1)),#REF!,12,0),"")</f>
        <v/>
      </c>
      <c r="DW237" s="45" t="str">
        <f>IFERROR(VLOOKUP(CONCATENATE('Respuestas de formulario 1.1'!$B237,MID('Respuestas de formulario 1.1'!DW$1,2,1)),#REF!,12,0),"")</f>
        <v/>
      </c>
      <c r="DX237" s="45" t="str">
        <f>IFERROR(VLOOKUP(CONCATENATE('Respuestas de formulario 1.1'!$B237,MID('Respuestas de formulario 1.1'!DX$1,2,1)),#REF!,12,0),"")</f>
        <v/>
      </c>
      <c r="DY237" s="45" t="str">
        <f>IFERROR(VLOOKUP(CONCATENATE('Respuestas de formulario 1.1'!$B237,MID('Respuestas de formulario 1.1'!DY$1,2,1)),#REF!,12,0),"")</f>
        <v/>
      </c>
      <c r="DZ237" s="45" t="str">
        <f>IFERROR(VLOOKUP(CONCATENATE('Respuestas de formulario 1.1'!$B237,MID('Respuestas de formulario 1.1'!DZ$1,2,1)),#REF!,12,0),"")</f>
        <v/>
      </c>
      <c r="EA237" s="45" t="str">
        <f>IFERROR(VLOOKUP(CONCATENATE('Respuestas de formulario 1.1'!$B237,MID('Respuestas de formulario 1.1'!EA$1,2,1)),#REF!,12,0),"")</f>
        <v/>
      </c>
      <c r="EB237" s="45" t="str">
        <f>IFERROR(VLOOKUP(CONCATENATE('Respuestas de formulario 1.1'!$B237,MID('Respuestas de formulario 1.1'!EB$1,2,1)),#REF!,12,0),"")</f>
        <v/>
      </c>
      <c r="EC237" s="45" t="str">
        <f>IFERROR(VLOOKUP(CONCATENATE('Respuestas de formulario 1.1'!$B237,MID('Respuestas de formulario 1.1'!EC$1,2,1)),#REF!,12,0),"")</f>
        <v/>
      </c>
      <c r="ED237" s="45" t="str">
        <f>IFERROR(VLOOKUP(CONCATENATE('Respuestas de formulario 1.1'!$B237,MID('Respuestas de formulario 1.1'!ED$1,2,1)),#REF!,12,0),"")</f>
        <v/>
      </c>
      <c r="EE237" s="45" t="str">
        <f>IFERROR(VLOOKUP(CONCATENATE('Respuestas de formulario 1.1'!$B237,MID('Respuestas de formulario 1.1'!EE$1,2,1)),#REF!,12,0),"")</f>
        <v/>
      </c>
      <c r="EF237" s="45" t="str">
        <f>IFERROR(VLOOKUP(CONCATENATE('Respuestas de formulario 1.1'!$B237,MID('Respuestas de formulario 1.1'!EF$1,2,1)),#REF!,12,0),"")</f>
        <v/>
      </c>
      <c r="EG237" s="45" t="str">
        <f>IFERROR(VLOOKUP(CONCATENATE('Respuestas de formulario 1.1'!$B237,MID('Respuestas de formulario 1.1'!EG$1,2,1)),#REF!,12,0),"")</f>
        <v/>
      </c>
      <c r="EH237" s="45" t="str">
        <f>IFERROR(VLOOKUP(CONCATENATE('Respuestas de formulario 1.1'!$B237,MID('Respuestas de formulario 1.1'!EH$1,2,1)),#REF!,12,0),"")</f>
        <v/>
      </c>
      <c r="EI237" s="45" t="str">
        <f>IFERROR(VLOOKUP(CONCATENATE('Respuestas de formulario 1.1'!$B237,MID('Respuestas de formulario 1.1'!EI$1,2,1)),#REF!,12,0),"")</f>
        <v/>
      </c>
      <c r="EJ237" s="45" t="str">
        <f t="array" ref="EJ237">IF(DO237="","", INDEX(#REF!,MATCH(CONCATENATE('Respuestas de formulario 1.1'!$B237,DO237),#REF!,0),MATCH('Respuestas de formulario 1.1'!EJ$1,#REF!,0)))</f>
        <v/>
      </c>
      <c r="EK237" s="56" t="str">
        <f t="array" ref="EK237">IF(DP237="","", INDEX(#REF!,MATCH(CONCATENATE('Respuestas de formulario 1.1'!$B237,DP237),#REF!,0),MATCH('Respuestas de formulario 1.1'!EK$1,#REF!,0)))</f>
        <v/>
      </c>
      <c r="EL237" s="56" t="str">
        <f t="array" ref="EL237">IF(DQ237="","", INDEX(#REF!,MATCH(CONCATENATE('Respuestas de formulario 1.1'!$B237,DQ237),#REF!,0),MATCH('Respuestas de formulario 1.1'!EL$1,#REF!,0)))</f>
        <v/>
      </c>
      <c r="EM237" s="56" t="str">
        <f t="array" ref="EM237">IF(DR237="","", INDEX(#REF!,MATCH(CONCATENATE('Respuestas de formulario 1.1'!$B237,DR237),#REF!,0),MATCH('Respuestas de formulario 1.1'!EM$1,#REF!,0)))</f>
        <v/>
      </c>
      <c r="EN237" s="56" t="str">
        <f t="array" ref="EN237">IF(DS237="","", INDEX(#REF!,MATCH(CONCATENATE('Respuestas de formulario 1.1'!$B237,DS237),#REF!,0),MATCH('Respuestas de formulario 1.1'!EN$1,#REF!,0)))</f>
        <v/>
      </c>
      <c r="EO237" s="56" t="str">
        <f t="array" ref="EO237">IF(DT237="","", INDEX(#REF!,MATCH(CONCATENATE('Respuestas de formulario 1.1'!$B237,DT237),#REF!,0),MATCH('Respuestas de formulario 1.1'!EO$1,#REF!,0)))</f>
        <v/>
      </c>
      <c r="EP237" s="45" t="str">
        <f t="array" ref="EP237">IF(DU237="","", INDEX(#REF!,MATCH(CONCATENATE('Respuestas de formulario 1.1'!$B237,DU237),#REF!,0),MATCH('Respuestas de formulario 1.1'!EP$1,#REF!,0)))</f>
        <v/>
      </c>
      <c r="EQ237" s="45" t="str">
        <f t="array" ref="EQ237">IF(DP237="","", INDEX(#REF!,MATCH(CONCATENATE('Respuestas de formulario 1.1'!$B237,DP237),#REF!,0),MATCH('Respuestas de formulario 1.1'!EQ$1,#REF!,0)))</f>
        <v/>
      </c>
      <c r="ER237" s="56" t="str">
        <f t="array" ref="ER237">IF(DQ237="","", INDEX(#REF!,MATCH(CONCATENATE('Respuestas de formulario 1.1'!$B237,DQ237),#REF!,0),MATCH('Respuestas de formulario 1.1'!ER$1,#REF!,0)))</f>
        <v/>
      </c>
      <c r="ES237" s="56" t="str">
        <f t="array" ref="ES237">IF(DR237="","", INDEX(#REF!,MATCH(CONCATENATE('Respuestas de formulario 1.1'!$B237,DR237),#REF!,0),MATCH('Respuestas de formulario 1.1'!ES$1,#REF!,0)))</f>
        <v/>
      </c>
      <c r="ET237" s="56" t="str">
        <f t="array" ref="ET237">IF(DS237="","", INDEX(#REF!,MATCH(CONCATENATE('Respuestas de formulario 1.1'!$B237,DS237),#REF!,0),MATCH('Respuestas de formulario 1.1'!ET$1,#REF!,0)))</f>
        <v/>
      </c>
      <c r="EU237" s="56" t="str">
        <f t="array" ref="EU237">IF(DT237="","", INDEX(#REF!,MATCH(CONCATENATE('Respuestas de formulario 1.1'!$B237,DT237),#REF!,0),MATCH('Respuestas de formulario 1.1'!EU$1,#REF!,0)))</f>
        <v/>
      </c>
      <c r="EV237" s="56" t="str">
        <f t="array" ref="EV237">IF(DU237="","", INDEX(#REF!,MATCH(CONCATENATE('Respuestas de formulario 1.1'!$B237,DU237),#REF!,0),MATCH('Respuestas de formulario 1.1'!EV$1,#REF!,0)))</f>
        <v/>
      </c>
      <c r="EW237" s="45" t="str">
        <f t="array" ref="EW237">IF(DV237="","", INDEX(#REF!,MATCH(CONCATENATE('Respuestas de formulario 1.1'!$B237,DV237),#REF!,0),MATCH('Respuestas de formulario 1.1'!EW$1,#REF!,0)))</f>
        <v/>
      </c>
      <c r="EX237" s="45" t="str">
        <f t="array" ref="EX237">IF($DQ237="","", INDEX(#REF!,MATCH(CONCATENATE('Respuestas de formulario 1.1'!$B237,$DQ237),#REF!,0),MATCH('Respuestas de formulario 1.1'!EX$1,#REF!,0)))</f>
        <v/>
      </c>
      <c r="EY237" s="56" t="str">
        <f t="array" ref="EY237">IF($DQ237="","", INDEX(#REF!,MATCH(CONCATENATE('Respuestas de formulario 1.1'!$B237,$DQ237),#REF!,0),MATCH('Respuestas de formulario 1.1'!EY$1,#REF!,0)))</f>
        <v/>
      </c>
      <c r="EZ237" s="56" t="str">
        <f t="array" ref="EZ237">IF($DQ237="","", INDEX(#REF!,MATCH(CONCATENATE('Respuestas de formulario 1.1'!$B237,$DQ237),#REF!,0),MATCH('Respuestas de formulario 1.1'!EZ$1,#REF!,0)))</f>
        <v/>
      </c>
      <c r="FA237" s="56" t="str">
        <f t="array" ref="FA237">IF($DQ237="","", INDEX(#REF!,MATCH(CONCATENATE('Respuestas de formulario 1.1'!$B237,$DQ237),#REF!,0),MATCH('Respuestas de formulario 1.1'!FA$1,#REF!,0)))</f>
        <v/>
      </c>
      <c r="FB237" s="56" t="str">
        <f t="array" ref="FB237">IF($DQ237="","", INDEX(#REF!,MATCH(CONCATENATE('Respuestas de formulario 1.1'!$B237,$DQ237),#REF!,0),MATCH('Respuestas de formulario 1.1'!FB$1,#REF!,0)))</f>
        <v/>
      </c>
      <c r="FC237" s="56" t="str">
        <f t="array" ref="FC237">IF($DQ237="","", INDEX(#REF!,MATCH(CONCATENATE('Respuestas de formulario 1.1'!$B237,$DQ237),#REF!,0),MATCH('Respuestas de formulario 1.1'!FC$1,#REF!,0)))</f>
        <v/>
      </c>
      <c r="FD237" s="45" t="str">
        <f t="array" ref="FD237">IF($DQ237="","", INDEX(#REF!,MATCH(CONCATENATE('Respuestas de formulario 1.1'!$B237,$DQ237),#REF!,0),MATCH('Respuestas de formulario 1.1'!FD$1,#REF!,0)))</f>
        <v/>
      </c>
      <c r="FE237" s="45" t="str">
        <f t="array" ref="FE237">IF($DR237="","", INDEX(#REF!,MATCH(CONCATENATE(#REF!,$DR237),#REF!,0),MATCH(#REF!,#REF!,0)))</f>
        <v/>
      </c>
      <c r="FF237" s="56" t="str">
        <f t="array" ref="FF237">IF($DR237="","", INDEX(#REF!,MATCH(CONCATENATE(#REF!,$DR237),#REF!,0),MATCH(#REF!,#REF!,0)))</f>
        <v/>
      </c>
      <c r="FG237" s="56" t="str">
        <f t="array" ref="FG237">IF($DR237="","", INDEX(#REF!,MATCH(CONCATENATE(#REF!,$DR237),#REF!,0),MATCH(#REF!,#REF!,0)))</f>
        <v/>
      </c>
      <c r="FH237" s="56" t="str">
        <f t="array" ref="FH237">IF($DR237="","", INDEX(#REF!,MATCH(CONCATENATE(#REF!,$DR237),#REF!,0),MATCH(#REF!,#REF!,0)))</f>
        <v/>
      </c>
      <c r="FI237" s="56" t="str">
        <f t="array" ref="FI237">IF($DR237="","", INDEX(#REF!,MATCH(CONCATENATE(#REF!,$DR237),#REF!,0),MATCH(#REF!,#REF!,0)))</f>
        <v/>
      </c>
      <c r="FJ237" s="56" t="str">
        <f t="array" ref="FJ237">IF($DR237="","", INDEX(#REF!,MATCH(CONCATENATE(#REF!,$DR237),#REF!,0),MATCH(#REF!,#REF!,0)))</f>
        <v/>
      </c>
      <c r="FK237" s="45" t="str">
        <f t="array" ref="FK237">IF($DR237="","", INDEX(#REF!,MATCH(CONCATENATE(#REF!,$DR237),#REF!,0),MATCH(#REF!,#REF!,0)))</f>
        <v/>
      </c>
      <c r="FL237" s="45" t="str">
        <f t="array" ref="FL237">IF($DT237="","", INDEX(#REF!,MATCH(CONCATENATE('Respuestas de formulario 1.1'!$B237,$DS237),#REF!,0),MATCH('Respuestas de formulario 1.1'!FL$1,#REF!,0)))</f>
        <v/>
      </c>
      <c r="FM237" s="56" t="str">
        <f t="array" ref="FM237">IF($DT237="","", INDEX(#REF!,MATCH(CONCATENATE('Respuestas de formulario 1.1'!$B237,$DS237),#REF!,0),MATCH('Respuestas de formulario 1.1'!FM$1,#REF!,0)))</f>
        <v/>
      </c>
      <c r="FN237" s="56" t="str">
        <f t="array" ref="FN237">IF($DT237="","", INDEX(#REF!,MATCH(CONCATENATE('Respuestas de formulario 1.1'!$B237,$DS237),#REF!,0),MATCH('Respuestas de formulario 1.1'!FN$1,#REF!,0)))</f>
        <v/>
      </c>
      <c r="FO237" s="56" t="str">
        <f t="array" ref="FO237">IF($DT237="","", INDEX(#REF!,MATCH(CONCATENATE('Respuestas de formulario 1.1'!$B237,$DS237),#REF!,0),MATCH('Respuestas de formulario 1.1'!FO$1,#REF!,0)))</f>
        <v/>
      </c>
      <c r="FP237" s="56" t="str">
        <f t="array" ref="FP237">IF($DT237="","", INDEX(#REF!,MATCH(CONCATENATE('Respuestas de formulario 1.1'!$B237,$DS237),#REF!,0),MATCH('Respuestas de formulario 1.1'!FP$1,#REF!,0)))</f>
        <v/>
      </c>
      <c r="FQ237" s="56" t="str">
        <f t="array" ref="FQ237">IF($DT237="","", INDEX(#REF!,MATCH(CONCATENATE('Respuestas de formulario 1.1'!$B237,$DS237),#REF!,0),MATCH('Respuestas de formulario 1.1'!FQ$1,#REF!,0)))</f>
        <v/>
      </c>
      <c r="FR237" s="45" t="str">
        <f t="array" ref="FR237">IF($DT237="","", INDEX(#REF!,MATCH(CONCATENATE('Respuestas de formulario 1.1'!$B237,$DS237),#REF!,0),MATCH('Respuestas de formulario 1.1'!FR$1,#REF!,0)))</f>
        <v/>
      </c>
      <c r="FS237" s="45" t="str">
        <f t="array" ref="FS237">IF($DU237="","", INDEX(#REF!,MATCH(CONCATENATE('Respuestas de formulario 1.1'!$B237,$DT237),#REF!,0),MATCH('Respuestas de formulario 1.1'!FS$1,#REF!,0)))</f>
        <v/>
      </c>
      <c r="FT237" s="56" t="str">
        <f t="array" ref="FT237">IF($DU237="","", INDEX(#REF!,MATCH(CONCATENATE('Respuestas de formulario 1.1'!$B237,$DT237),#REF!,0),MATCH('Respuestas de formulario 1.1'!FT$1,#REF!,0)))</f>
        <v/>
      </c>
      <c r="FU237" s="56" t="str">
        <f t="array" ref="FU237">IF($DU237="","", INDEX(#REF!,MATCH(CONCATENATE('Respuestas de formulario 1.1'!$B237,$DT237),#REF!,0),MATCH('Respuestas de formulario 1.1'!FU$1,#REF!,0)))</f>
        <v/>
      </c>
      <c r="FV237" s="56" t="str">
        <f t="array" ref="FV237">IF($DU237="","", INDEX(#REF!,MATCH(CONCATENATE('Respuestas de formulario 1.1'!$B237,$DT237),#REF!,0),MATCH('Respuestas de formulario 1.1'!FV$1,#REF!,0)))</f>
        <v/>
      </c>
      <c r="FW237" s="56" t="str">
        <f t="array" ref="FW237">IF($DU237="","", INDEX(#REF!,MATCH(CONCATENATE('Respuestas de formulario 1.1'!$B237,$DT237),#REF!,0),MATCH('Respuestas de formulario 1.1'!FW$1,#REF!,0)))</f>
        <v/>
      </c>
      <c r="FX237" s="56" t="str">
        <f t="array" ref="FX237">IF($DU237="","", INDEX(#REF!,MATCH(CONCATENATE('Respuestas de formulario 1.1'!$B237,$DT237),#REF!,0),MATCH('Respuestas de formulario 1.1'!FX$1,#REF!,0)))</f>
        <v/>
      </c>
      <c r="FY237" s="45" t="str">
        <f t="array" ref="FY237">IF($DU237="","", INDEX(#REF!,MATCH(CONCATENATE('Respuestas de formulario 1.1'!$B237,$DT237),#REF!,0),MATCH('Respuestas de formulario 1.1'!FY$1,#REF!,0)))</f>
        <v/>
      </c>
      <c r="FZ237" s="3" t="s">
        <v>2860</v>
      </c>
      <c r="GA237" s="1" t="s">
        <v>6922</v>
      </c>
      <c r="GB237" s="5" t="s">
        <v>6923</v>
      </c>
      <c r="GC237" s="4" t="str">
        <f>HYPERLINK("https://drive.google.com/file/d/1Sx6lzaQqEwikgWlqWy0Qv3h75EMx4MzA/view?usp=drivesdk","VANEGAS GONZALEZ  YOSELIN YAMILET  Formato de reinscripción y pago 2022-2")</f>
        <v>VANEGAS GONZALEZ  YOSELIN YAMILET  Formato de reinscripción y pago 2022-2</v>
      </c>
      <c r="GD237" s="1" t="s">
        <v>6924</v>
      </c>
      <c r="GE237" s="1"/>
      <c r="GF237" s="1"/>
      <c r="GG237" s="1"/>
      <c r="GH237" s="1"/>
      <c r="GI237" s="1" t="s">
        <v>6925</v>
      </c>
      <c r="GJ237" s="5" t="s">
        <v>6926</v>
      </c>
      <c r="GK237" s="5" t="str">
        <f>HYPERLINK("https://drive.google.com/file/d/13L-sxvU8B8GBnbqnpLSlpa3PeHrtjXSj/view?usp=drivesdk","RAMIREZ  NEGRETE MELISA ASTRID  Formato de reinscripción y pago 2022-2")</f>
        <v>RAMIREZ  NEGRETE MELISA ASTRID  Formato de reinscripción y pago 2022-2</v>
      </c>
      <c r="GL237" s="1" t="s">
        <v>6927</v>
      </c>
    </row>
    <row r="238" spans="1:194" ht="38.25" x14ac:dyDescent="0.2">
      <c r="A238" s="2">
        <v>45139.541293553237</v>
      </c>
      <c r="B238" s="1" t="s">
        <v>953</v>
      </c>
      <c r="C238" s="1" t="s">
        <v>954</v>
      </c>
      <c r="D238" s="1" t="s">
        <v>245</v>
      </c>
      <c r="E238" s="1" t="s">
        <v>955</v>
      </c>
      <c r="F238" s="1" t="s">
        <v>223</v>
      </c>
      <c r="G238" s="5" t="s">
        <v>6928</v>
      </c>
      <c r="H238" s="41">
        <v>38735</v>
      </c>
      <c r="I238" s="1">
        <v>17</v>
      </c>
      <c r="J238" s="1">
        <v>5618153175</v>
      </c>
      <c r="K238" s="1">
        <v>54270929</v>
      </c>
      <c r="L238" s="1" t="s">
        <v>956</v>
      </c>
      <c r="M238" s="1">
        <v>21309060570197</v>
      </c>
      <c r="N238" s="1" t="s">
        <v>1108</v>
      </c>
      <c r="O238" s="1" t="s">
        <v>247</v>
      </c>
      <c r="P238" s="1" t="s">
        <v>278</v>
      </c>
      <c r="Q238" s="1" t="s">
        <v>248</v>
      </c>
      <c r="R238" s="1" t="s">
        <v>236</v>
      </c>
      <c r="S238" s="1" t="s">
        <v>228</v>
      </c>
      <c r="T238" s="1" t="s">
        <v>411</v>
      </c>
      <c r="U238" s="1" t="s">
        <v>249</v>
      </c>
      <c r="V238" s="1" t="s">
        <v>228</v>
      </c>
      <c r="W238" s="1" t="s">
        <v>6929</v>
      </c>
      <c r="X238" s="1" t="s">
        <v>249</v>
      </c>
      <c r="Y238" s="1" t="s">
        <v>2512</v>
      </c>
      <c r="Z238" s="1" t="s">
        <v>240</v>
      </c>
      <c r="AA238" s="44" t="s">
        <v>957</v>
      </c>
      <c r="AB238" s="1">
        <v>127</v>
      </c>
      <c r="AC238" s="1">
        <v>31</v>
      </c>
      <c r="AD238" s="1" t="s">
        <v>6930</v>
      </c>
      <c r="AE238" s="1" t="s">
        <v>6931</v>
      </c>
      <c r="AF238" s="1" t="s">
        <v>445</v>
      </c>
      <c r="AG238" s="1">
        <v>46</v>
      </c>
      <c r="AH238" s="5" t="s">
        <v>6932</v>
      </c>
      <c r="AI238" s="1">
        <v>5578697251</v>
      </c>
      <c r="AJ238" s="1">
        <v>5554270929</v>
      </c>
      <c r="AK238" s="1" t="s">
        <v>959</v>
      </c>
      <c r="AL238" s="1" t="s">
        <v>308</v>
      </c>
      <c r="AM238" s="1" t="s">
        <v>1809</v>
      </c>
      <c r="AN238" s="1" t="s">
        <v>6933</v>
      </c>
      <c r="AO238" s="1" t="s">
        <v>445</v>
      </c>
      <c r="AP238" s="1">
        <v>46</v>
      </c>
      <c r="AQ238" s="1" t="s">
        <v>280</v>
      </c>
      <c r="AR238" s="42">
        <v>0.375</v>
      </c>
      <c r="AS238" s="42">
        <v>0.25</v>
      </c>
      <c r="AT238" s="1">
        <v>5578697251</v>
      </c>
      <c r="AU238" s="1">
        <v>5554270929</v>
      </c>
      <c r="AV238" s="1" t="s">
        <v>959</v>
      </c>
      <c r="AW238" s="5" t="s">
        <v>6934</v>
      </c>
      <c r="AX238" s="1" t="s">
        <v>954</v>
      </c>
      <c r="AY238" s="1" t="s">
        <v>308</v>
      </c>
      <c r="AZ238" s="1" t="s">
        <v>6935</v>
      </c>
      <c r="BA238" s="1" t="s">
        <v>488</v>
      </c>
      <c r="BB238" s="1">
        <v>19</v>
      </c>
      <c r="BC238" s="1" t="s">
        <v>1044</v>
      </c>
      <c r="BD238" s="43">
        <v>0.375</v>
      </c>
      <c r="BE238" s="43">
        <v>4.1666666664241347E-2</v>
      </c>
      <c r="BF238" s="1">
        <v>5522928651</v>
      </c>
      <c r="BG238" s="1">
        <v>5554270929</v>
      </c>
      <c r="BH238" s="1" t="s">
        <v>958</v>
      </c>
      <c r="BI238" s="5" t="s">
        <v>6936</v>
      </c>
      <c r="BJ238" s="1" t="s">
        <v>236</v>
      </c>
      <c r="BL238" s="1">
        <v>149</v>
      </c>
      <c r="BM238" s="1">
        <v>44</v>
      </c>
      <c r="BN238" s="1" t="s">
        <v>228</v>
      </c>
      <c r="BO238" s="1" t="s">
        <v>228</v>
      </c>
      <c r="BQ238" s="1" t="s">
        <v>228</v>
      </c>
      <c r="BR238" s="1" t="s">
        <v>237</v>
      </c>
      <c r="BS238" s="1" t="s">
        <v>228</v>
      </c>
      <c r="BT238" s="1" t="s">
        <v>237</v>
      </c>
      <c r="BU238" s="1" t="s">
        <v>228</v>
      </c>
      <c r="BW238" s="1" t="s">
        <v>238</v>
      </c>
      <c r="BX238" s="1">
        <v>60</v>
      </c>
      <c r="BY238" s="1">
        <v>250</v>
      </c>
      <c r="BZ238" s="1" t="s">
        <v>298</v>
      </c>
      <c r="CA238" s="1" t="s">
        <v>468</v>
      </c>
      <c r="CB238" s="1" t="s">
        <v>240</v>
      </c>
      <c r="CC238" s="1" t="s">
        <v>274</v>
      </c>
      <c r="CD238" s="1">
        <v>750</v>
      </c>
      <c r="CE238" s="1">
        <v>860</v>
      </c>
      <c r="CF238" s="1" t="s">
        <v>236</v>
      </c>
      <c r="CG238" s="1" t="s">
        <v>242</v>
      </c>
      <c r="CH238" s="1" t="s">
        <v>243</v>
      </c>
      <c r="CI238" s="1" t="s">
        <v>243</v>
      </c>
      <c r="CJ238" s="1" t="s">
        <v>2848</v>
      </c>
      <c r="CL238" s="5" t="s">
        <v>6937</v>
      </c>
      <c r="CM238" s="44" t="s">
        <v>6938</v>
      </c>
      <c r="CN238" s="1" t="s">
        <v>228</v>
      </c>
      <c r="CQ238" s="42">
        <v>0.375</v>
      </c>
      <c r="CR238" s="42">
        <v>0.25</v>
      </c>
      <c r="CT238" s="45" t="str">
        <f t="array" ref="CT238">IFERROR(INDEX(#REF!,MATCH('Respuestas de formulario 1.1'!$B238,#REF!,0),MATCH('Respuestas de formulario 1.1'!CT$1,#REF!,0)),"")</f>
        <v/>
      </c>
      <c r="CU238" s="56" t="str">
        <f t="array" ref="CU238">IFERROR(INDEX(#REF!,MATCH('Respuestas de formulario 1.1'!$B238,#REF!,0),MATCH('Respuestas de formulario 1.1'!CU$1,#REF!,0)),"")</f>
        <v/>
      </c>
      <c r="CV238" s="56" t="str">
        <f t="array" ref="CV238">IFERROR(INDEX(#REF!,MATCH('Respuestas de formulario 1.1'!$B238,#REF!,0),MATCH('Respuestas de formulario 1.1'!CV$1,#REF!,0)),"")</f>
        <v/>
      </c>
      <c r="CW238" s="56" t="str">
        <f t="array" ref="CW238">IFERROR(INDEX(#REF!,MATCH('Respuestas de formulario 1.1'!$B238,#REF!,0),MATCH('Respuestas de formulario 1.1'!CW$1,#REF!,0)),"")</f>
        <v/>
      </c>
      <c r="CX238" s="56" t="str">
        <f t="array" ref="CX238">IFERROR(INDEX(#REF!,MATCH('Respuestas de formulario 1.1'!$B238,#REF!,0),MATCH('Respuestas de formulario 1.1'!CX$1,#REF!,0)),"")</f>
        <v/>
      </c>
      <c r="CY238" s="56" t="str">
        <f t="array" ref="CY238">IFERROR(INDEX(#REF!,MATCH('Respuestas de formulario 1.1'!$B238,#REF!,0),MATCH('Respuestas de formulario 1.1'!CY$1,#REF!,0)),"")</f>
        <v/>
      </c>
      <c r="CZ238" s="57" t="str">
        <f t="array" ref="CZ238">IFERROR(INDEX(#REF!,MATCH('Respuestas de formulario 1.1'!$B238,#REF!,0),MATCH('Respuestas de formulario 1.1'!CZ$1,#REF!,0)),"")</f>
        <v/>
      </c>
      <c r="DA238" s="45" t="e">
        <f t="array" ref="DA238">INDEX(#REF!,MATCH('Respuestas de formulario 1.1'!$B238,#REF!,0),MATCH('Respuestas de formulario 1.1'!DA$1,#REF!,0))</f>
        <v>#REF!</v>
      </c>
      <c r="DB238" s="45" t="e">
        <f t="array" ref="DB238">INDEX(#REF!,MATCH('Respuestas de formulario 1.1'!$B238,#REF!,0),MATCH('Respuestas de formulario 1.1'!DB$1,#REF!,0))</f>
        <v>#REF!</v>
      </c>
      <c r="DC238" s="45" t="e">
        <f t="array" ref="DC238">INDEX(#REF!,MATCH('Respuestas de formulario 1.1'!$B238,#REF!,0),MATCH('Respuestas de formulario 1.1'!DC$1,#REF!,0))</f>
        <v>#REF!</v>
      </c>
      <c r="DD238" s="45" t="e">
        <f t="array" ref="DD238">INDEX(#REF!,MATCH('Respuestas de formulario 1.1'!$B238,#REF!,0),MATCH('Respuestas de formulario 1.1'!DD$1,#REF!,0))</f>
        <v>#REF!</v>
      </c>
      <c r="DE238" s="45" t="e">
        <f t="array" ref="DE238">INDEX(#REF!,MATCH('Respuestas de formulario 1.1'!$B238,#REF!,0),MATCH('Respuestas de formulario 1.1'!DE$1,#REF!,0))</f>
        <v>#REF!</v>
      </c>
      <c r="DF238" s="45" t="e">
        <f t="array" ref="DF238">INDEX(#REF!,MATCH('Respuestas de formulario 1.1'!$B238,#REF!,0),MATCH('Respuestas de formulario 1.1'!DF$1,#REF!,0))</f>
        <v>#REF!</v>
      </c>
      <c r="DG238" s="45" t="e">
        <f t="array" ref="DG238">INDEX(#REF!,MATCH('Respuestas de formulario 1.1'!$B238,#REF!,0),MATCH('Respuestas de formulario 1.1'!DG$1,#REF!,0))</f>
        <v>#REF!</v>
      </c>
      <c r="DH238" s="45" t="e">
        <f t="array" ref="DH238">INDEX(#REF!,MATCH('Respuestas de formulario 1.1'!$B238,#REF!,0),MATCH('Respuestas de formulario 1.1'!DH$1,#REF!,0))</f>
        <v>#REF!</v>
      </c>
      <c r="DI238" s="48" t="e">
        <f>VLOOKUP(CONCATENATE($DF238," TUTO ",$DC238),#REF!,3,0)</f>
        <v>#REF!</v>
      </c>
      <c r="DJ238" s="48" t="e">
        <f t="array" ref="DJ238">IF('Respuestas de formulario 1.1'!A238="","",INDEX(#REF!,MATCH('Respuestas de formulario 1.1'!B238,#REF!,0),MATCH('Respuestas de formulario 1.1'!$DH$1,#REF!,0)))</f>
        <v>#REF!</v>
      </c>
      <c r="DK238" s="52" t="str">
        <f>CONCATENATE("http://doc.google.com/uc?id=",MID('Respuestas de formulario 1.1'!G238,34,33))</f>
        <v>http://doc.google.com/uc?id=1GAUy03VrVoJeqOyD15fIGtEmygh4sYkE</v>
      </c>
      <c r="DL238" s="49" t="str">
        <f>CONCATENATE("http://doc.google.com/uc?id=",MID('Respuestas de formulario 1.1'!AH238,34,33))</f>
        <v>http://doc.google.com/uc?id=195hVXBBRPRM8V9N3DOtCswGwF9dd-X8T</v>
      </c>
      <c r="DM238" s="50" t="str">
        <f>CONCATENATE("http://doc.google.com/uc?id=",MID('Respuestas de formulario 1.1'!AW238,34,33))</f>
        <v>http://doc.google.com/uc?id=1s8TzYnXJvA4zRKPu7WZdRz9SRGO1iLef</v>
      </c>
      <c r="DN238" s="53" t="str">
        <f>CONCATENATE("http://doc.google.com/uc?id=",MID('Respuestas de formulario 1.1'!$BI238,34,33))</f>
        <v>http://doc.google.com/uc?id=1bJcCtZQ52YTmOgJrYiHA2IkLHnmST_C3</v>
      </c>
      <c r="DO238" s="45" t="str">
        <f>IFERROR(VLOOKUP(CONCATENATE('Respuestas de formulario 1.1'!$B238,MID('Respuestas de formulario 1.1'!DO$1,2,1)),#REF!,12,0),"")</f>
        <v/>
      </c>
      <c r="DP238" s="45" t="str">
        <f>IFERROR(VLOOKUP(CONCATENATE('Respuestas de formulario 1.1'!$B238,MID('Respuestas de formulario 1.1'!DP$1,2,1)),#REF!,12,0),"")</f>
        <v/>
      </c>
      <c r="DQ238" s="45" t="str">
        <f>IFERROR(VLOOKUP(CONCATENATE('Respuestas de formulario 1.1'!$B238,MID('Respuestas de formulario 1.1'!DQ$1,2,1)),#REF!,12,0),"")</f>
        <v/>
      </c>
      <c r="DR238" s="45" t="str">
        <f>IFERROR(VLOOKUP(CONCATENATE('Respuestas de formulario 1.1'!$B238,MID('Respuestas de formulario 1.1'!DR$1,2,1)),#REF!,12,0),"")</f>
        <v/>
      </c>
      <c r="DS238" s="45" t="str">
        <f>IFERROR(VLOOKUP(CONCATENATE('Respuestas de formulario 1.1'!$B238,MID('Respuestas de formulario 1.1'!DS$1,2,1)),#REF!,12,0),"")</f>
        <v/>
      </c>
      <c r="DT238" s="45" t="str">
        <f>IFERROR(VLOOKUP(CONCATENATE('Respuestas de formulario 1.1'!$B238,MID('Respuestas de formulario 1.1'!DT$1,2,1)),#REF!,12,0),"")</f>
        <v/>
      </c>
      <c r="DU238" s="45" t="str">
        <f>IFERROR(VLOOKUP(CONCATENATE('Respuestas de formulario 1.1'!$B238,MID('Respuestas de formulario 1.1'!DU$1,2,1)),#REF!,12,0),"")</f>
        <v/>
      </c>
      <c r="DV238" s="45" t="str">
        <f>IFERROR(VLOOKUP(CONCATENATE('Respuestas de formulario 1.1'!$B238,MID('Respuestas de formulario 1.1'!DV$1,2,1)),#REF!,12,0),"")</f>
        <v/>
      </c>
      <c r="DW238" s="45" t="str">
        <f>IFERROR(VLOOKUP(CONCATENATE('Respuestas de formulario 1.1'!$B238,MID('Respuestas de formulario 1.1'!DW$1,2,1)),#REF!,12,0),"")</f>
        <v/>
      </c>
      <c r="DX238" s="45" t="str">
        <f>IFERROR(VLOOKUP(CONCATENATE('Respuestas de formulario 1.1'!$B238,MID('Respuestas de formulario 1.1'!DX$1,2,1)),#REF!,12,0),"")</f>
        <v/>
      </c>
      <c r="DY238" s="45" t="str">
        <f>IFERROR(VLOOKUP(CONCATENATE('Respuestas de formulario 1.1'!$B238,MID('Respuestas de formulario 1.1'!DY$1,2,1)),#REF!,12,0),"")</f>
        <v/>
      </c>
      <c r="DZ238" s="45" t="str">
        <f>IFERROR(VLOOKUP(CONCATENATE('Respuestas de formulario 1.1'!$B238,MID('Respuestas de formulario 1.1'!DZ$1,2,1)),#REF!,12,0),"")</f>
        <v/>
      </c>
      <c r="EA238" s="45" t="str">
        <f>IFERROR(VLOOKUP(CONCATENATE('Respuestas de formulario 1.1'!$B238,MID('Respuestas de formulario 1.1'!EA$1,2,1)),#REF!,12,0),"")</f>
        <v/>
      </c>
      <c r="EB238" s="45" t="str">
        <f>IFERROR(VLOOKUP(CONCATENATE('Respuestas de formulario 1.1'!$B238,MID('Respuestas de formulario 1.1'!EB$1,2,1)),#REF!,12,0),"")</f>
        <v/>
      </c>
      <c r="EC238" s="45" t="str">
        <f>IFERROR(VLOOKUP(CONCATENATE('Respuestas de formulario 1.1'!$B238,MID('Respuestas de formulario 1.1'!EC$1,2,1)),#REF!,12,0),"")</f>
        <v/>
      </c>
      <c r="ED238" s="45" t="str">
        <f>IFERROR(VLOOKUP(CONCATENATE('Respuestas de formulario 1.1'!$B238,MID('Respuestas de formulario 1.1'!ED$1,2,1)),#REF!,12,0),"")</f>
        <v/>
      </c>
      <c r="EE238" s="45" t="str">
        <f>IFERROR(VLOOKUP(CONCATENATE('Respuestas de formulario 1.1'!$B238,MID('Respuestas de formulario 1.1'!EE$1,2,1)),#REF!,12,0),"")</f>
        <v/>
      </c>
      <c r="EF238" s="45" t="str">
        <f>IFERROR(VLOOKUP(CONCATENATE('Respuestas de formulario 1.1'!$B238,MID('Respuestas de formulario 1.1'!EF$1,2,1)),#REF!,12,0),"")</f>
        <v/>
      </c>
      <c r="EG238" s="45" t="str">
        <f>IFERROR(VLOOKUP(CONCATENATE('Respuestas de formulario 1.1'!$B238,MID('Respuestas de formulario 1.1'!EG$1,2,1)),#REF!,12,0),"")</f>
        <v/>
      </c>
      <c r="EH238" s="45" t="str">
        <f>IFERROR(VLOOKUP(CONCATENATE('Respuestas de formulario 1.1'!$B238,MID('Respuestas de formulario 1.1'!EH$1,2,1)),#REF!,12,0),"")</f>
        <v/>
      </c>
      <c r="EI238" s="45" t="str">
        <f>IFERROR(VLOOKUP(CONCATENATE('Respuestas de formulario 1.1'!$B238,MID('Respuestas de formulario 1.1'!EI$1,2,1)),#REF!,12,0),"")</f>
        <v/>
      </c>
      <c r="EJ238" s="45" t="str">
        <f t="array" ref="EJ238">IF(DO238="","", INDEX(#REF!,MATCH(CONCATENATE('Respuestas de formulario 1.1'!$B238,DO238),#REF!,0),MATCH('Respuestas de formulario 1.1'!EJ$1,#REF!,0)))</f>
        <v/>
      </c>
      <c r="EK238" s="56" t="str">
        <f t="array" ref="EK238">IF(DP238="","", INDEX(#REF!,MATCH(CONCATENATE('Respuestas de formulario 1.1'!$B238,DP238),#REF!,0),MATCH('Respuestas de formulario 1.1'!EK$1,#REF!,0)))</f>
        <v/>
      </c>
      <c r="EL238" s="56" t="str">
        <f t="array" ref="EL238">IF(DQ238="","", INDEX(#REF!,MATCH(CONCATENATE('Respuestas de formulario 1.1'!$B238,DQ238),#REF!,0),MATCH('Respuestas de formulario 1.1'!EL$1,#REF!,0)))</f>
        <v/>
      </c>
      <c r="EM238" s="56" t="str">
        <f t="array" ref="EM238">IF(DR238="","", INDEX(#REF!,MATCH(CONCATENATE('Respuestas de formulario 1.1'!$B238,DR238),#REF!,0),MATCH('Respuestas de formulario 1.1'!EM$1,#REF!,0)))</f>
        <v/>
      </c>
      <c r="EN238" s="56" t="str">
        <f t="array" ref="EN238">IF(DS238="","", INDEX(#REF!,MATCH(CONCATENATE('Respuestas de formulario 1.1'!$B238,DS238),#REF!,0),MATCH('Respuestas de formulario 1.1'!EN$1,#REF!,0)))</f>
        <v/>
      </c>
      <c r="EO238" s="56" t="str">
        <f t="array" ref="EO238">IF(DT238="","", INDEX(#REF!,MATCH(CONCATENATE('Respuestas de formulario 1.1'!$B238,DT238),#REF!,0),MATCH('Respuestas de formulario 1.1'!EO$1,#REF!,0)))</f>
        <v/>
      </c>
      <c r="EP238" s="45" t="str">
        <f t="array" ref="EP238">IF(DU238="","", INDEX(#REF!,MATCH(CONCATENATE('Respuestas de formulario 1.1'!$B238,DU238),#REF!,0),MATCH('Respuestas de formulario 1.1'!EP$1,#REF!,0)))</f>
        <v/>
      </c>
      <c r="EQ238" s="45" t="str">
        <f t="array" ref="EQ238">IF(DP238="","", INDEX(#REF!,MATCH(CONCATENATE('Respuestas de formulario 1.1'!$B238,DP238),#REF!,0),MATCH('Respuestas de formulario 1.1'!EQ$1,#REF!,0)))</f>
        <v/>
      </c>
      <c r="ER238" s="56" t="str">
        <f t="array" ref="ER238">IF(DQ238="","", INDEX(#REF!,MATCH(CONCATENATE('Respuestas de formulario 1.1'!$B238,DQ238),#REF!,0),MATCH('Respuestas de formulario 1.1'!ER$1,#REF!,0)))</f>
        <v/>
      </c>
      <c r="ES238" s="56" t="str">
        <f t="array" ref="ES238">IF(DR238="","", INDEX(#REF!,MATCH(CONCATENATE('Respuestas de formulario 1.1'!$B238,DR238),#REF!,0),MATCH('Respuestas de formulario 1.1'!ES$1,#REF!,0)))</f>
        <v/>
      </c>
      <c r="ET238" s="56" t="str">
        <f t="array" ref="ET238">IF(DS238="","", INDEX(#REF!,MATCH(CONCATENATE('Respuestas de formulario 1.1'!$B238,DS238),#REF!,0),MATCH('Respuestas de formulario 1.1'!ET$1,#REF!,0)))</f>
        <v/>
      </c>
      <c r="EU238" s="56" t="str">
        <f t="array" ref="EU238">IF(DT238="","", INDEX(#REF!,MATCH(CONCATENATE('Respuestas de formulario 1.1'!$B238,DT238),#REF!,0),MATCH('Respuestas de formulario 1.1'!EU$1,#REF!,0)))</f>
        <v/>
      </c>
      <c r="EV238" s="56" t="str">
        <f t="array" ref="EV238">IF(DU238="","", INDEX(#REF!,MATCH(CONCATENATE('Respuestas de formulario 1.1'!$B238,DU238),#REF!,0),MATCH('Respuestas de formulario 1.1'!EV$1,#REF!,0)))</f>
        <v/>
      </c>
      <c r="EW238" s="45" t="str">
        <f t="array" ref="EW238">IF(DV238="","", INDEX(#REF!,MATCH(CONCATENATE('Respuestas de formulario 1.1'!$B238,DV238),#REF!,0),MATCH('Respuestas de formulario 1.1'!EW$1,#REF!,0)))</f>
        <v/>
      </c>
      <c r="EX238" s="45" t="str">
        <f t="array" ref="EX238">IF($DQ238="","", INDEX(#REF!,MATCH(CONCATENATE('Respuestas de formulario 1.1'!$B238,$DQ238),#REF!,0),MATCH('Respuestas de formulario 1.1'!EX$1,#REF!,0)))</f>
        <v/>
      </c>
      <c r="EY238" s="56" t="str">
        <f t="array" ref="EY238">IF($DQ238="","", INDEX(#REF!,MATCH(CONCATENATE('Respuestas de formulario 1.1'!$B238,$DQ238),#REF!,0),MATCH('Respuestas de formulario 1.1'!EY$1,#REF!,0)))</f>
        <v/>
      </c>
      <c r="EZ238" s="56" t="str">
        <f t="array" ref="EZ238">IF($DQ238="","", INDEX(#REF!,MATCH(CONCATENATE('Respuestas de formulario 1.1'!$B238,$DQ238),#REF!,0),MATCH('Respuestas de formulario 1.1'!EZ$1,#REF!,0)))</f>
        <v/>
      </c>
      <c r="FA238" s="56" t="str">
        <f t="array" ref="FA238">IF($DQ238="","", INDEX(#REF!,MATCH(CONCATENATE('Respuestas de formulario 1.1'!$B238,$DQ238),#REF!,0),MATCH('Respuestas de formulario 1.1'!FA$1,#REF!,0)))</f>
        <v/>
      </c>
      <c r="FB238" s="56" t="str">
        <f t="array" ref="FB238">IF($DQ238="","", INDEX(#REF!,MATCH(CONCATENATE('Respuestas de formulario 1.1'!$B238,$DQ238),#REF!,0),MATCH('Respuestas de formulario 1.1'!FB$1,#REF!,0)))</f>
        <v/>
      </c>
      <c r="FC238" s="56" t="str">
        <f t="array" ref="FC238">IF($DQ238="","", INDEX(#REF!,MATCH(CONCATENATE('Respuestas de formulario 1.1'!$B238,$DQ238),#REF!,0),MATCH('Respuestas de formulario 1.1'!FC$1,#REF!,0)))</f>
        <v/>
      </c>
      <c r="FD238" s="45" t="str">
        <f t="array" ref="FD238">IF($DQ238="","", INDEX(#REF!,MATCH(CONCATENATE('Respuestas de formulario 1.1'!$B238,$DQ238),#REF!,0),MATCH('Respuestas de formulario 1.1'!FD$1,#REF!,0)))</f>
        <v/>
      </c>
      <c r="FE238" s="45" t="str">
        <f t="array" ref="FE238">IF($DR238="","", INDEX(#REF!,MATCH(CONCATENATE(#REF!,$DR238),#REF!,0),MATCH(#REF!,#REF!,0)))</f>
        <v/>
      </c>
      <c r="FF238" s="56" t="str">
        <f t="array" ref="FF238">IF($DR238="","", INDEX(#REF!,MATCH(CONCATENATE(#REF!,$DR238),#REF!,0),MATCH(#REF!,#REF!,0)))</f>
        <v/>
      </c>
      <c r="FG238" s="56" t="str">
        <f t="array" ref="FG238">IF($DR238="","", INDEX(#REF!,MATCH(CONCATENATE(#REF!,$DR238),#REF!,0),MATCH(#REF!,#REF!,0)))</f>
        <v/>
      </c>
      <c r="FH238" s="56" t="str">
        <f t="array" ref="FH238">IF($DR238="","", INDEX(#REF!,MATCH(CONCATENATE(#REF!,$DR238),#REF!,0),MATCH(#REF!,#REF!,0)))</f>
        <v/>
      </c>
      <c r="FI238" s="56" t="str">
        <f t="array" ref="FI238">IF($DR238="","", INDEX(#REF!,MATCH(CONCATENATE(#REF!,$DR238),#REF!,0),MATCH(#REF!,#REF!,0)))</f>
        <v/>
      </c>
      <c r="FJ238" s="56" t="str">
        <f t="array" ref="FJ238">IF($DR238="","", INDEX(#REF!,MATCH(CONCATENATE(#REF!,$DR238),#REF!,0),MATCH(#REF!,#REF!,0)))</f>
        <v/>
      </c>
      <c r="FK238" s="45" t="str">
        <f t="array" ref="FK238">IF($DR238="","", INDEX(#REF!,MATCH(CONCATENATE(#REF!,$DR238),#REF!,0),MATCH(#REF!,#REF!,0)))</f>
        <v/>
      </c>
      <c r="FL238" s="45" t="str">
        <f t="array" ref="FL238">IF($DT238="","", INDEX(#REF!,MATCH(CONCATENATE('Respuestas de formulario 1.1'!$B238,$DS238),#REF!,0),MATCH('Respuestas de formulario 1.1'!FL$1,#REF!,0)))</f>
        <v/>
      </c>
      <c r="FM238" s="56" t="str">
        <f t="array" ref="FM238">IF($DT238="","", INDEX(#REF!,MATCH(CONCATENATE('Respuestas de formulario 1.1'!$B238,$DS238),#REF!,0),MATCH('Respuestas de formulario 1.1'!FM$1,#REF!,0)))</f>
        <v/>
      </c>
      <c r="FN238" s="56" t="str">
        <f t="array" ref="FN238">IF($DT238="","", INDEX(#REF!,MATCH(CONCATENATE('Respuestas de formulario 1.1'!$B238,$DS238),#REF!,0),MATCH('Respuestas de formulario 1.1'!FN$1,#REF!,0)))</f>
        <v/>
      </c>
      <c r="FO238" s="56" t="str">
        <f t="array" ref="FO238">IF($DT238="","", INDEX(#REF!,MATCH(CONCATENATE('Respuestas de formulario 1.1'!$B238,$DS238),#REF!,0),MATCH('Respuestas de formulario 1.1'!FO$1,#REF!,0)))</f>
        <v/>
      </c>
      <c r="FP238" s="56" t="str">
        <f t="array" ref="FP238">IF($DT238="","", INDEX(#REF!,MATCH(CONCATENATE('Respuestas de formulario 1.1'!$B238,$DS238),#REF!,0),MATCH('Respuestas de formulario 1.1'!FP$1,#REF!,0)))</f>
        <v/>
      </c>
      <c r="FQ238" s="56" t="str">
        <f t="array" ref="FQ238">IF($DT238="","", INDEX(#REF!,MATCH(CONCATENATE('Respuestas de formulario 1.1'!$B238,$DS238),#REF!,0),MATCH('Respuestas de formulario 1.1'!FQ$1,#REF!,0)))</f>
        <v/>
      </c>
      <c r="FR238" s="45" t="str">
        <f t="array" ref="FR238">IF($DT238="","", INDEX(#REF!,MATCH(CONCATENATE('Respuestas de formulario 1.1'!$B238,$DS238),#REF!,0),MATCH('Respuestas de formulario 1.1'!FR$1,#REF!,0)))</f>
        <v/>
      </c>
      <c r="FS238" s="45" t="str">
        <f t="array" ref="FS238">IF($DU238="","", INDEX(#REF!,MATCH(CONCATENATE('Respuestas de formulario 1.1'!$B238,$DT238),#REF!,0),MATCH('Respuestas de formulario 1.1'!FS$1,#REF!,0)))</f>
        <v/>
      </c>
      <c r="FT238" s="56" t="str">
        <f t="array" ref="FT238">IF($DU238="","", INDEX(#REF!,MATCH(CONCATENATE('Respuestas de formulario 1.1'!$B238,$DT238),#REF!,0),MATCH('Respuestas de formulario 1.1'!FT$1,#REF!,0)))</f>
        <v/>
      </c>
      <c r="FU238" s="56" t="str">
        <f t="array" ref="FU238">IF($DU238="","", INDEX(#REF!,MATCH(CONCATENATE('Respuestas de formulario 1.1'!$B238,$DT238),#REF!,0),MATCH('Respuestas de formulario 1.1'!FU$1,#REF!,0)))</f>
        <v/>
      </c>
      <c r="FV238" s="56" t="str">
        <f t="array" ref="FV238">IF($DU238="","", INDEX(#REF!,MATCH(CONCATENATE('Respuestas de formulario 1.1'!$B238,$DT238),#REF!,0),MATCH('Respuestas de formulario 1.1'!FV$1,#REF!,0)))</f>
        <v/>
      </c>
      <c r="FW238" s="56" t="str">
        <f t="array" ref="FW238">IF($DU238="","", INDEX(#REF!,MATCH(CONCATENATE('Respuestas de formulario 1.1'!$B238,$DT238),#REF!,0),MATCH('Respuestas de formulario 1.1'!FW$1,#REF!,0)))</f>
        <v/>
      </c>
      <c r="FX238" s="56" t="str">
        <f t="array" ref="FX238">IF($DU238="","", INDEX(#REF!,MATCH(CONCATENATE('Respuestas de formulario 1.1'!$B238,$DT238),#REF!,0),MATCH('Respuestas de formulario 1.1'!FX$1,#REF!,0)))</f>
        <v/>
      </c>
      <c r="FY238" s="45" t="str">
        <f t="array" ref="FY238">IF($DU238="","", INDEX(#REF!,MATCH(CONCATENATE('Respuestas de formulario 1.1'!$B238,$DT238),#REF!,0),MATCH('Respuestas de formulario 1.1'!FY$1,#REF!,0)))</f>
        <v/>
      </c>
      <c r="FZ238" s="3" t="s">
        <v>2860</v>
      </c>
      <c r="GA238" s="1" t="s">
        <v>6939</v>
      </c>
      <c r="GB238" s="5" t="s">
        <v>6940</v>
      </c>
      <c r="GC238" s="4" t="str">
        <f>HYPERLINK("https://drive.google.com/file/d/1RHjOu6LShRmCALSBIamnit-Js3mfw1zJ/view?usp=drivesdk","BARCO  LOPEZ MELANY  Formato de reinscripción y pago 2022-2")</f>
        <v>BARCO  LOPEZ MELANY  Formato de reinscripción y pago 2022-2</v>
      </c>
      <c r="GD238" s="1" t="s">
        <v>6941</v>
      </c>
      <c r="GE238" s="1"/>
      <c r="GF238" s="1"/>
      <c r="GG238" s="1"/>
      <c r="GH238" s="1"/>
      <c r="GI238" s="1" t="s">
        <v>6942</v>
      </c>
      <c r="GJ238" s="5" t="s">
        <v>6943</v>
      </c>
      <c r="GK238" s="5" t="str">
        <f>HYPERLINK("https://drive.google.com/file/d/12KlSZbC4Vaz6-RBDKaLC24js7IEXGwXb/view?usp=drivesdk","VANEGAS GONZALEZ YOSELIN YAMILET Formato de reinscripción y pago 2022-2")</f>
        <v>VANEGAS GONZALEZ YOSELIN YAMILET Formato de reinscripción y pago 2022-2</v>
      </c>
      <c r="GL238" s="1" t="s">
        <v>6944</v>
      </c>
    </row>
    <row r="239" spans="1:194" ht="38.25" x14ac:dyDescent="0.2">
      <c r="A239" s="2">
        <v>45139.540556006948</v>
      </c>
      <c r="B239" s="1" t="s">
        <v>23</v>
      </c>
      <c r="C239" s="1" t="s">
        <v>2126</v>
      </c>
      <c r="D239" s="1" t="s">
        <v>245</v>
      </c>
      <c r="E239" s="1" t="s">
        <v>1160</v>
      </c>
      <c r="F239" s="1" t="s">
        <v>223</v>
      </c>
      <c r="G239" s="5" t="s">
        <v>6945</v>
      </c>
      <c r="H239" s="41">
        <v>38987</v>
      </c>
      <c r="I239" s="1">
        <v>16</v>
      </c>
      <c r="J239" s="1">
        <v>5611414744</v>
      </c>
      <c r="K239" s="1" t="s">
        <v>885</v>
      </c>
      <c r="L239" s="1" t="s">
        <v>1161</v>
      </c>
      <c r="M239" s="1">
        <v>22309060570677</v>
      </c>
      <c r="N239" s="1" t="s">
        <v>562</v>
      </c>
      <c r="O239" s="1" t="s">
        <v>247</v>
      </c>
      <c r="P239" s="1" t="s">
        <v>278</v>
      </c>
      <c r="Q239" s="1" t="s">
        <v>248</v>
      </c>
      <c r="R239" s="1" t="s">
        <v>236</v>
      </c>
      <c r="S239" s="1" t="s">
        <v>228</v>
      </c>
      <c r="T239" s="1" t="s">
        <v>229</v>
      </c>
      <c r="U239" s="1" t="s">
        <v>519</v>
      </c>
      <c r="V239" s="1" t="s">
        <v>228</v>
      </c>
      <c r="W239" s="1" t="s">
        <v>6946</v>
      </c>
      <c r="X239" s="1" t="s">
        <v>519</v>
      </c>
      <c r="Y239" s="1" t="s">
        <v>2697</v>
      </c>
      <c r="Z239" s="1" t="s">
        <v>240</v>
      </c>
      <c r="AA239" s="1">
        <v>15640</v>
      </c>
      <c r="AB239" s="1" t="s">
        <v>472</v>
      </c>
      <c r="AC239" s="1" t="s">
        <v>6947</v>
      </c>
      <c r="AD239" s="1" t="s">
        <v>6948</v>
      </c>
      <c r="AE239" s="1" t="s">
        <v>6949</v>
      </c>
      <c r="AF239" s="1" t="s">
        <v>580</v>
      </c>
      <c r="AG239" s="1">
        <v>36</v>
      </c>
      <c r="AH239" s="5" t="s">
        <v>6950</v>
      </c>
      <c r="AI239" s="1">
        <v>5586181523</v>
      </c>
      <c r="AJ239" s="1">
        <v>5522350203</v>
      </c>
      <c r="AK239" s="1" t="s">
        <v>1163</v>
      </c>
      <c r="AL239" s="1" t="s">
        <v>251</v>
      </c>
      <c r="AM239" s="1" t="s">
        <v>6951</v>
      </c>
      <c r="AN239" s="1" t="s">
        <v>2111</v>
      </c>
      <c r="AO239" s="1" t="s">
        <v>279</v>
      </c>
      <c r="AP239" s="1">
        <v>56</v>
      </c>
      <c r="AQ239" s="1" t="s">
        <v>2062</v>
      </c>
      <c r="AR239" s="42">
        <v>0</v>
      </c>
      <c r="AS239" s="42">
        <v>0</v>
      </c>
      <c r="AT239" s="1">
        <v>5514985436</v>
      </c>
      <c r="AU239" s="1">
        <v>5522350203</v>
      </c>
      <c r="AV239" s="1" t="s">
        <v>1162</v>
      </c>
      <c r="AW239" s="5" t="s">
        <v>6952</v>
      </c>
      <c r="AX239" s="1" t="s">
        <v>245</v>
      </c>
      <c r="AY239" s="1" t="s">
        <v>1951</v>
      </c>
      <c r="AZ239" s="1" t="s">
        <v>988</v>
      </c>
      <c r="BA239" s="1" t="s">
        <v>453</v>
      </c>
      <c r="BB239" s="1">
        <v>34</v>
      </c>
      <c r="BC239" s="1" t="s">
        <v>739</v>
      </c>
      <c r="BD239" s="43">
        <v>0.33333333333575865</v>
      </c>
      <c r="BE239" s="43">
        <v>0.16666666666424135</v>
      </c>
      <c r="BF239" s="1">
        <v>5560860830</v>
      </c>
      <c r="BG239" s="1">
        <v>5522350203</v>
      </c>
      <c r="BH239" s="1" t="s">
        <v>6953</v>
      </c>
      <c r="BI239" s="5" t="s">
        <v>6954</v>
      </c>
      <c r="BJ239" s="1" t="s">
        <v>228</v>
      </c>
      <c r="BK239" s="1" t="s">
        <v>359</v>
      </c>
      <c r="BL239" s="1">
        <v>1.6</v>
      </c>
      <c r="BM239" s="1">
        <v>51</v>
      </c>
      <c r="BN239" s="1" t="s">
        <v>236</v>
      </c>
      <c r="BO239" s="1" t="s">
        <v>228</v>
      </c>
      <c r="BP239" s="1" t="s">
        <v>297</v>
      </c>
      <c r="BQ239" s="1" t="s">
        <v>228</v>
      </c>
      <c r="BR239" s="1" t="s">
        <v>237</v>
      </c>
      <c r="BS239" s="1" t="s">
        <v>236</v>
      </c>
      <c r="BT239" s="1" t="s">
        <v>271</v>
      </c>
      <c r="BU239" s="1" t="s">
        <v>228</v>
      </c>
      <c r="BW239" s="1" t="s">
        <v>307</v>
      </c>
      <c r="BX239" s="1">
        <v>60</v>
      </c>
      <c r="BY239" s="1">
        <v>16</v>
      </c>
      <c r="BZ239" s="1" t="s">
        <v>1968</v>
      </c>
      <c r="CA239" s="1" t="s">
        <v>479</v>
      </c>
      <c r="CB239" s="1" t="s">
        <v>240</v>
      </c>
      <c r="CC239" s="1" t="s">
        <v>6955</v>
      </c>
      <c r="CD239" s="1">
        <v>700</v>
      </c>
      <c r="CE239" s="1">
        <v>2000</v>
      </c>
      <c r="CF239" s="1" t="s">
        <v>236</v>
      </c>
      <c r="CG239" s="1" t="s">
        <v>242</v>
      </c>
      <c r="CH239" s="1" t="s">
        <v>243</v>
      </c>
      <c r="CI239" s="1" t="s">
        <v>243</v>
      </c>
      <c r="CJ239" s="1" t="s">
        <v>2848</v>
      </c>
      <c r="CL239" s="5" t="s">
        <v>6956</v>
      </c>
      <c r="CM239" s="1">
        <v>13210669621</v>
      </c>
      <c r="CN239" s="1" t="s">
        <v>228</v>
      </c>
      <c r="CQ239" s="42">
        <v>0.29166666666424135</v>
      </c>
      <c r="CR239" s="42">
        <v>0.125</v>
      </c>
      <c r="CT239" s="45" t="str">
        <f t="array" ref="CT239">IFERROR(INDEX(#REF!,MATCH('Respuestas de formulario 1.1'!$B239,#REF!,0),MATCH('Respuestas de formulario 1.1'!CT$1,#REF!,0)),"")</f>
        <v/>
      </c>
      <c r="CU239" s="56" t="str">
        <f t="array" ref="CU239">IFERROR(INDEX(#REF!,MATCH('Respuestas de formulario 1.1'!$B239,#REF!,0),MATCH('Respuestas de formulario 1.1'!CU$1,#REF!,0)),"")</f>
        <v/>
      </c>
      <c r="CV239" s="56" t="str">
        <f t="array" ref="CV239">IFERROR(INDEX(#REF!,MATCH('Respuestas de formulario 1.1'!$B239,#REF!,0),MATCH('Respuestas de formulario 1.1'!CV$1,#REF!,0)),"")</f>
        <v/>
      </c>
      <c r="CW239" s="56" t="str">
        <f t="array" ref="CW239">IFERROR(INDEX(#REF!,MATCH('Respuestas de formulario 1.1'!$B239,#REF!,0),MATCH('Respuestas de formulario 1.1'!CW$1,#REF!,0)),"")</f>
        <v/>
      </c>
      <c r="CX239" s="56" t="str">
        <f t="array" ref="CX239">IFERROR(INDEX(#REF!,MATCH('Respuestas de formulario 1.1'!$B239,#REF!,0),MATCH('Respuestas de formulario 1.1'!CX$1,#REF!,0)),"")</f>
        <v/>
      </c>
      <c r="CY239" s="56" t="str">
        <f t="array" ref="CY239">IFERROR(INDEX(#REF!,MATCH('Respuestas de formulario 1.1'!$B239,#REF!,0),MATCH('Respuestas de formulario 1.1'!CY$1,#REF!,0)),"")</f>
        <v/>
      </c>
      <c r="CZ239" s="57" t="str">
        <f t="array" ref="CZ239">IFERROR(INDEX(#REF!,MATCH('Respuestas de formulario 1.1'!$B239,#REF!,0),MATCH('Respuestas de formulario 1.1'!CZ$1,#REF!,0)),"")</f>
        <v/>
      </c>
      <c r="DA239" s="45" t="e">
        <f t="array" ref="DA239">INDEX(#REF!,MATCH('Respuestas de formulario 1.1'!$B239,#REF!,0),MATCH('Respuestas de formulario 1.1'!DA$1,#REF!,0))</f>
        <v>#REF!</v>
      </c>
      <c r="DB239" s="45" t="e">
        <f t="array" ref="DB239">INDEX(#REF!,MATCH('Respuestas de formulario 1.1'!$B239,#REF!,0),MATCH('Respuestas de formulario 1.1'!DB$1,#REF!,0))</f>
        <v>#REF!</v>
      </c>
      <c r="DC239" s="45" t="e">
        <f t="array" ref="DC239">INDEX(#REF!,MATCH('Respuestas de formulario 1.1'!$B239,#REF!,0),MATCH('Respuestas de formulario 1.1'!DC$1,#REF!,0))</f>
        <v>#REF!</v>
      </c>
      <c r="DD239" s="45" t="e">
        <f t="array" ref="DD239">INDEX(#REF!,MATCH('Respuestas de formulario 1.1'!$B239,#REF!,0),MATCH('Respuestas de formulario 1.1'!DD$1,#REF!,0))</f>
        <v>#REF!</v>
      </c>
      <c r="DE239" s="45" t="e">
        <f t="array" ref="DE239">INDEX(#REF!,MATCH('Respuestas de formulario 1.1'!$B239,#REF!,0),MATCH('Respuestas de formulario 1.1'!DE$1,#REF!,0))</f>
        <v>#REF!</v>
      </c>
      <c r="DF239" s="45" t="e">
        <f t="array" ref="DF239">INDEX(#REF!,MATCH('Respuestas de formulario 1.1'!$B239,#REF!,0),MATCH('Respuestas de formulario 1.1'!DF$1,#REF!,0))</f>
        <v>#REF!</v>
      </c>
      <c r="DG239" s="45" t="e">
        <f t="array" ref="DG239">INDEX(#REF!,MATCH('Respuestas de formulario 1.1'!$B239,#REF!,0),MATCH('Respuestas de formulario 1.1'!DG$1,#REF!,0))</f>
        <v>#REF!</v>
      </c>
      <c r="DH239" s="45" t="e">
        <f t="array" ref="DH239">INDEX(#REF!,MATCH('Respuestas de formulario 1.1'!$B239,#REF!,0),MATCH('Respuestas de formulario 1.1'!DH$1,#REF!,0))</f>
        <v>#REF!</v>
      </c>
      <c r="DI239" s="48" t="e">
        <f>VLOOKUP(CONCATENATE($DF239," TUTO ",$DC239),#REF!,3,0)</f>
        <v>#REF!</v>
      </c>
      <c r="DJ239" s="48" t="e">
        <f t="array" ref="DJ239">IF('Respuestas de formulario 1.1'!A239="","",INDEX(#REF!,MATCH('Respuestas de formulario 1.1'!B239,#REF!,0),MATCH('Respuestas de formulario 1.1'!$DH$1,#REF!,0)))</f>
        <v>#REF!</v>
      </c>
      <c r="DK239" s="52" t="str">
        <f>CONCATENATE("http://doc.google.com/uc?id=",MID('Respuestas de formulario 1.1'!G239,34,33))</f>
        <v>http://doc.google.com/uc?id=1DWrKzuHpuwI2Cu_V4QxZgJO1fYTt1Vf3</v>
      </c>
      <c r="DL239" s="49" t="str">
        <f>CONCATENATE("http://doc.google.com/uc?id=",MID('Respuestas de formulario 1.1'!AH239,34,33))</f>
        <v>http://doc.google.com/uc?id=1RjzCL8zC7R7dOJKxIIG5esQX1OXH7CoF</v>
      </c>
      <c r="DM239" s="50" t="str">
        <f>CONCATENATE("http://doc.google.com/uc?id=",MID('Respuestas de formulario 1.1'!AW239,34,33))</f>
        <v>http://doc.google.com/uc?id=12AvY8AZSRoUkITM_xnZnkTgDFjjME6Xb</v>
      </c>
      <c r="DN239" s="53" t="str">
        <f>CONCATENATE("http://doc.google.com/uc?id=",MID('Respuestas de formulario 1.1'!$BI239,34,33))</f>
        <v>http://doc.google.com/uc?id=1fDolvF-EFj99WyAxW1ZKp07flmNA6i4_</v>
      </c>
      <c r="DO239" s="45" t="str">
        <f>IFERROR(VLOOKUP(CONCATENATE('Respuestas de formulario 1.1'!$B239,MID('Respuestas de formulario 1.1'!DO$1,2,1)),#REF!,12,0),"")</f>
        <v/>
      </c>
      <c r="DP239" s="45" t="str">
        <f>IFERROR(VLOOKUP(CONCATENATE('Respuestas de formulario 1.1'!$B239,MID('Respuestas de formulario 1.1'!DP$1,2,1)),#REF!,12,0),"")</f>
        <v/>
      </c>
      <c r="DQ239" s="45" t="str">
        <f>IFERROR(VLOOKUP(CONCATENATE('Respuestas de formulario 1.1'!$B239,MID('Respuestas de formulario 1.1'!DQ$1,2,1)),#REF!,12,0),"")</f>
        <v/>
      </c>
      <c r="DR239" s="45" t="str">
        <f>IFERROR(VLOOKUP(CONCATENATE('Respuestas de formulario 1.1'!$B239,MID('Respuestas de formulario 1.1'!DR$1,2,1)),#REF!,12,0),"")</f>
        <v/>
      </c>
      <c r="DS239" s="45" t="str">
        <f>IFERROR(VLOOKUP(CONCATENATE('Respuestas de formulario 1.1'!$B239,MID('Respuestas de formulario 1.1'!DS$1,2,1)),#REF!,12,0),"")</f>
        <v/>
      </c>
      <c r="DT239" s="45" t="str">
        <f>IFERROR(VLOOKUP(CONCATENATE('Respuestas de formulario 1.1'!$B239,MID('Respuestas de formulario 1.1'!DT$1,2,1)),#REF!,12,0),"")</f>
        <v/>
      </c>
      <c r="DU239" s="45" t="str">
        <f>IFERROR(VLOOKUP(CONCATENATE('Respuestas de formulario 1.1'!$B239,MID('Respuestas de formulario 1.1'!DU$1,2,1)),#REF!,12,0),"")</f>
        <v/>
      </c>
      <c r="DV239" s="45" t="str">
        <f>IFERROR(VLOOKUP(CONCATENATE('Respuestas de formulario 1.1'!$B239,MID('Respuestas de formulario 1.1'!DV$1,2,1)),#REF!,12,0),"")</f>
        <v/>
      </c>
      <c r="DW239" s="45" t="str">
        <f>IFERROR(VLOOKUP(CONCATENATE('Respuestas de formulario 1.1'!$B239,MID('Respuestas de formulario 1.1'!DW$1,2,1)),#REF!,12,0),"")</f>
        <v/>
      </c>
      <c r="DX239" s="45" t="str">
        <f>IFERROR(VLOOKUP(CONCATENATE('Respuestas de formulario 1.1'!$B239,MID('Respuestas de formulario 1.1'!DX$1,2,1)),#REF!,12,0),"")</f>
        <v/>
      </c>
      <c r="DY239" s="45" t="str">
        <f>IFERROR(VLOOKUP(CONCATENATE('Respuestas de formulario 1.1'!$B239,MID('Respuestas de formulario 1.1'!DY$1,2,1)),#REF!,12,0),"")</f>
        <v/>
      </c>
      <c r="DZ239" s="45" t="str">
        <f>IFERROR(VLOOKUP(CONCATENATE('Respuestas de formulario 1.1'!$B239,MID('Respuestas de formulario 1.1'!DZ$1,2,1)),#REF!,12,0),"")</f>
        <v/>
      </c>
      <c r="EA239" s="45" t="str">
        <f>IFERROR(VLOOKUP(CONCATENATE('Respuestas de formulario 1.1'!$B239,MID('Respuestas de formulario 1.1'!EA$1,2,1)),#REF!,12,0),"")</f>
        <v/>
      </c>
      <c r="EB239" s="45" t="str">
        <f>IFERROR(VLOOKUP(CONCATENATE('Respuestas de formulario 1.1'!$B239,MID('Respuestas de formulario 1.1'!EB$1,2,1)),#REF!,12,0),"")</f>
        <v/>
      </c>
      <c r="EC239" s="45" t="str">
        <f>IFERROR(VLOOKUP(CONCATENATE('Respuestas de formulario 1.1'!$B239,MID('Respuestas de formulario 1.1'!EC$1,2,1)),#REF!,12,0),"")</f>
        <v/>
      </c>
      <c r="ED239" s="45" t="str">
        <f>IFERROR(VLOOKUP(CONCATENATE('Respuestas de formulario 1.1'!$B239,MID('Respuestas de formulario 1.1'!ED$1,2,1)),#REF!,12,0),"")</f>
        <v/>
      </c>
      <c r="EE239" s="45" t="str">
        <f>IFERROR(VLOOKUP(CONCATENATE('Respuestas de formulario 1.1'!$B239,MID('Respuestas de formulario 1.1'!EE$1,2,1)),#REF!,12,0),"")</f>
        <v/>
      </c>
      <c r="EF239" s="45" t="str">
        <f>IFERROR(VLOOKUP(CONCATENATE('Respuestas de formulario 1.1'!$B239,MID('Respuestas de formulario 1.1'!EF$1,2,1)),#REF!,12,0),"")</f>
        <v/>
      </c>
      <c r="EG239" s="45" t="str">
        <f>IFERROR(VLOOKUP(CONCATENATE('Respuestas de formulario 1.1'!$B239,MID('Respuestas de formulario 1.1'!EG$1,2,1)),#REF!,12,0),"")</f>
        <v/>
      </c>
      <c r="EH239" s="45" t="str">
        <f>IFERROR(VLOOKUP(CONCATENATE('Respuestas de formulario 1.1'!$B239,MID('Respuestas de formulario 1.1'!EH$1,2,1)),#REF!,12,0),"")</f>
        <v/>
      </c>
      <c r="EI239" s="45" t="str">
        <f>IFERROR(VLOOKUP(CONCATENATE('Respuestas de formulario 1.1'!$B239,MID('Respuestas de formulario 1.1'!EI$1,2,1)),#REF!,12,0),"")</f>
        <v/>
      </c>
      <c r="EJ239" s="45" t="str">
        <f t="array" ref="EJ239">IF(DO239="","", INDEX(#REF!,MATCH(CONCATENATE('Respuestas de formulario 1.1'!$B239,DO239),#REF!,0),MATCH('Respuestas de formulario 1.1'!EJ$1,#REF!,0)))</f>
        <v/>
      </c>
      <c r="EK239" s="56" t="str">
        <f t="array" ref="EK239">IF(DP239="","", INDEX(#REF!,MATCH(CONCATENATE('Respuestas de formulario 1.1'!$B239,DP239),#REF!,0),MATCH('Respuestas de formulario 1.1'!EK$1,#REF!,0)))</f>
        <v/>
      </c>
      <c r="EL239" s="56" t="str">
        <f t="array" ref="EL239">IF(DQ239="","", INDEX(#REF!,MATCH(CONCATENATE('Respuestas de formulario 1.1'!$B239,DQ239),#REF!,0),MATCH('Respuestas de formulario 1.1'!EL$1,#REF!,0)))</f>
        <v/>
      </c>
      <c r="EM239" s="56" t="str">
        <f t="array" ref="EM239">IF(DR239="","", INDEX(#REF!,MATCH(CONCATENATE('Respuestas de formulario 1.1'!$B239,DR239),#REF!,0),MATCH('Respuestas de formulario 1.1'!EM$1,#REF!,0)))</f>
        <v/>
      </c>
      <c r="EN239" s="56" t="str">
        <f t="array" ref="EN239">IF(DS239="","", INDEX(#REF!,MATCH(CONCATENATE('Respuestas de formulario 1.1'!$B239,DS239),#REF!,0),MATCH('Respuestas de formulario 1.1'!EN$1,#REF!,0)))</f>
        <v/>
      </c>
      <c r="EO239" s="56" t="str">
        <f t="array" ref="EO239">IF(DT239="","", INDEX(#REF!,MATCH(CONCATENATE('Respuestas de formulario 1.1'!$B239,DT239),#REF!,0),MATCH('Respuestas de formulario 1.1'!EO$1,#REF!,0)))</f>
        <v/>
      </c>
      <c r="EP239" s="45" t="str">
        <f t="array" ref="EP239">IF(DU239="","", INDEX(#REF!,MATCH(CONCATENATE('Respuestas de formulario 1.1'!$B239,DU239),#REF!,0),MATCH('Respuestas de formulario 1.1'!EP$1,#REF!,0)))</f>
        <v/>
      </c>
      <c r="EQ239" s="45" t="str">
        <f t="array" ref="EQ239">IF(DP239="","", INDEX(#REF!,MATCH(CONCATENATE('Respuestas de formulario 1.1'!$B239,DP239),#REF!,0),MATCH('Respuestas de formulario 1.1'!EQ$1,#REF!,0)))</f>
        <v/>
      </c>
      <c r="ER239" s="56" t="str">
        <f t="array" ref="ER239">IF(DQ239="","", INDEX(#REF!,MATCH(CONCATENATE('Respuestas de formulario 1.1'!$B239,DQ239),#REF!,0),MATCH('Respuestas de formulario 1.1'!ER$1,#REF!,0)))</f>
        <v/>
      </c>
      <c r="ES239" s="56" t="str">
        <f t="array" ref="ES239">IF(DR239="","", INDEX(#REF!,MATCH(CONCATENATE('Respuestas de formulario 1.1'!$B239,DR239),#REF!,0),MATCH('Respuestas de formulario 1.1'!ES$1,#REF!,0)))</f>
        <v/>
      </c>
      <c r="ET239" s="56" t="str">
        <f t="array" ref="ET239">IF(DS239="","", INDEX(#REF!,MATCH(CONCATENATE('Respuestas de formulario 1.1'!$B239,DS239),#REF!,0),MATCH('Respuestas de formulario 1.1'!ET$1,#REF!,0)))</f>
        <v/>
      </c>
      <c r="EU239" s="56" t="str">
        <f t="array" ref="EU239">IF(DT239="","", INDEX(#REF!,MATCH(CONCATENATE('Respuestas de formulario 1.1'!$B239,DT239),#REF!,0),MATCH('Respuestas de formulario 1.1'!EU$1,#REF!,0)))</f>
        <v/>
      </c>
      <c r="EV239" s="56" t="str">
        <f t="array" ref="EV239">IF(DU239="","", INDEX(#REF!,MATCH(CONCATENATE('Respuestas de formulario 1.1'!$B239,DU239),#REF!,0),MATCH('Respuestas de formulario 1.1'!EV$1,#REF!,0)))</f>
        <v/>
      </c>
      <c r="EW239" s="45" t="str">
        <f t="array" ref="EW239">IF(DV239="","", INDEX(#REF!,MATCH(CONCATENATE('Respuestas de formulario 1.1'!$B239,DV239),#REF!,0),MATCH('Respuestas de formulario 1.1'!EW$1,#REF!,0)))</f>
        <v/>
      </c>
      <c r="EX239" s="45" t="str">
        <f t="array" ref="EX239">IF($DQ239="","", INDEX(#REF!,MATCH(CONCATENATE('Respuestas de formulario 1.1'!$B239,$DQ239),#REF!,0),MATCH('Respuestas de formulario 1.1'!EX$1,#REF!,0)))</f>
        <v/>
      </c>
      <c r="EY239" s="56" t="str">
        <f t="array" ref="EY239">IF($DQ239="","", INDEX(#REF!,MATCH(CONCATENATE('Respuestas de formulario 1.1'!$B239,$DQ239),#REF!,0),MATCH('Respuestas de formulario 1.1'!EY$1,#REF!,0)))</f>
        <v/>
      </c>
      <c r="EZ239" s="56" t="str">
        <f t="array" ref="EZ239">IF($DQ239="","", INDEX(#REF!,MATCH(CONCATENATE('Respuestas de formulario 1.1'!$B239,$DQ239),#REF!,0),MATCH('Respuestas de formulario 1.1'!EZ$1,#REF!,0)))</f>
        <v/>
      </c>
      <c r="FA239" s="56" t="str">
        <f t="array" ref="FA239">IF($DQ239="","", INDEX(#REF!,MATCH(CONCATENATE('Respuestas de formulario 1.1'!$B239,$DQ239),#REF!,0),MATCH('Respuestas de formulario 1.1'!FA$1,#REF!,0)))</f>
        <v/>
      </c>
      <c r="FB239" s="56" t="str">
        <f t="array" ref="FB239">IF($DQ239="","", INDEX(#REF!,MATCH(CONCATENATE('Respuestas de formulario 1.1'!$B239,$DQ239),#REF!,0),MATCH('Respuestas de formulario 1.1'!FB$1,#REF!,0)))</f>
        <v/>
      </c>
      <c r="FC239" s="56" t="str">
        <f t="array" ref="FC239">IF($DQ239="","", INDEX(#REF!,MATCH(CONCATENATE('Respuestas de formulario 1.1'!$B239,$DQ239),#REF!,0),MATCH('Respuestas de formulario 1.1'!FC$1,#REF!,0)))</f>
        <v/>
      </c>
      <c r="FD239" s="45" t="str">
        <f t="array" ref="FD239">IF($DQ239="","", INDEX(#REF!,MATCH(CONCATENATE('Respuestas de formulario 1.1'!$B239,$DQ239),#REF!,0),MATCH('Respuestas de formulario 1.1'!FD$1,#REF!,0)))</f>
        <v/>
      </c>
      <c r="FE239" s="45" t="str">
        <f t="array" ref="FE239">IF($DR239="","", INDEX(#REF!,MATCH(CONCATENATE(#REF!,$DR239),#REF!,0),MATCH(#REF!,#REF!,0)))</f>
        <v/>
      </c>
      <c r="FF239" s="56" t="str">
        <f t="array" ref="FF239">IF($DR239="","", INDEX(#REF!,MATCH(CONCATENATE(#REF!,$DR239),#REF!,0),MATCH(#REF!,#REF!,0)))</f>
        <v/>
      </c>
      <c r="FG239" s="56" t="str">
        <f t="array" ref="FG239">IF($DR239="","", INDEX(#REF!,MATCH(CONCATENATE(#REF!,$DR239),#REF!,0),MATCH(#REF!,#REF!,0)))</f>
        <v/>
      </c>
      <c r="FH239" s="56" t="str">
        <f t="array" ref="FH239">IF($DR239="","", INDEX(#REF!,MATCH(CONCATENATE(#REF!,$DR239),#REF!,0),MATCH(#REF!,#REF!,0)))</f>
        <v/>
      </c>
      <c r="FI239" s="56" t="str">
        <f t="array" ref="FI239">IF($DR239="","", INDEX(#REF!,MATCH(CONCATENATE(#REF!,$DR239),#REF!,0),MATCH(#REF!,#REF!,0)))</f>
        <v/>
      </c>
      <c r="FJ239" s="56" t="str">
        <f t="array" ref="FJ239">IF($DR239="","", INDEX(#REF!,MATCH(CONCATENATE(#REF!,$DR239),#REF!,0),MATCH(#REF!,#REF!,0)))</f>
        <v/>
      </c>
      <c r="FK239" s="45" t="str">
        <f t="array" ref="FK239">IF($DR239="","", INDEX(#REF!,MATCH(CONCATENATE(#REF!,$DR239),#REF!,0),MATCH(#REF!,#REF!,0)))</f>
        <v/>
      </c>
      <c r="FL239" s="45" t="str">
        <f t="array" ref="FL239">IF($DT239="","", INDEX(#REF!,MATCH(CONCATENATE('Respuestas de formulario 1.1'!$B239,$DS239),#REF!,0),MATCH('Respuestas de formulario 1.1'!FL$1,#REF!,0)))</f>
        <v/>
      </c>
      <c r="FM239" s="56" t="str">
        <f t="array" ref="FM239">IF($DT239="","", INDEX(#REF!,MATCH(CONCATENATE('Respuestas de formulario 1.1'!$B239,$DS239),#REF!,0),MATCH('Respuestas de formulario 1.1'!FM$1,#REF!,0)))</f>
        <v/>
      </c>
      <c r="FN239" s="56" t="str">
        <f t="array" ref="FN239">IF($DT239="","", INDEX(#REF!,MATCH(CONCATENATE('Respuestas de formulario 1.1'!$B239,$DS239),#REF!,0),MATCH('Respuestas de formulario 1.1'!FN$1,#REF!,0)))</f>
        <v/>
      </c>
      <c r="FO239" s="56" t="str">
        <f t="array" ref="FO239">IF($DT239="","", INDEX(#REF!,MATCH(CONCATENATE('Respuestas de formulario 1.1'!$B239,$DS239),#REF!,0),MATCH('Respuestas de formulario 1.1'!FO$1,#REF!,0)))</f>
        <v/>
      </c>
      <c r="FP239" s="56" t="str">
        <f t="array" ref="FP239">IF($DT239="","", INDEX(#REF!,MATCH(CONCATENATE('Respuestas de formulario 1.1'!$B239,$DS239),#REF!,0),MATCH('Respuestas de formulario 1.1'!FP$1,#REF!,0)))</f>
        <v/>
      </c>
      <c r="FQ239" s="56" t="str">
        <f t="array" ref="FQ239">IF($DT239="","", INDEX(#REF!,MATCH(CONCATENATE('Respuestas de formulario 1.1'!$B239,$DS239),#REF!,0),MATCH('Respuestas de formulario 1.1'!FQ$1,#REF!,0)))</f>
        <v/>
      </c>
      <c r="FR239" s="45" t="str">
        <f t="array" ref="FR239">IF($DT239="","", INDEX(#REF!,MATCH(CONCATENATE('Respuestas de formulario 1.1'!$B239,$DS239),#REF!,0),MATCH('Respuestas de formulario 1.1'!FR$1,#REF!,0)))</f>
        <v/>
      </c>
      <c r="FS239" s="45" t="str">
        <f t="array" ref="FS239">IF($DU239="","", INDEX(#REF!,MATCH(CONCATENATE('Respuestas de formulario 1.1'!$B239,$DT239),#REF!,0),MATCH('Respuestas de formulario 1.1'!FS$1,#REF!,0)))</f>
        <v/>
      </c>
      <c r="FT239" s="56" t="str">
        <f t="array" ref="FT239">IF($DU239="","", INDEX(#REF!,MATCH(CONCATENATE('Respuestas de formulario 1.1'!$B239,$DT239),#REF!,0),MATCH('Respuestas de formulario 1.1'!FT$1,#REF!,0)))</f>
        <v/>
      </c>
      <c r="FU239" s="56" t="str">
        <f t="array" ref="FU239">IF($DU239="","", INDEX(#REF!,MATCH(CONCATENATE('Respuestas de formulario 1.1'!$B239,$DT239),#REF!,0),MATCH('Respuestas de formulario 1.1'!FU$1,#REF!,0)))</f>
        <v/>
      </c>
      <c r="FV239" s="56" t="str">
        <f t="array" ref="FV239">IF($DU239="","", INDEX(#REF!,MATCH(CONCATENATE('Respuestas de formulario 1.1'!$B239,$DT239),#REF!,0),MATCH('Respuestas de formulario 1.1'!FV$1,#REF!,0)))</f>
        <v/>
      </c>
      <c r="FW239" s="56" t="str">
        <f t="array" ref="FW239">IF($DU239="","", INDEX(#REF!,MATCH(CONCATENATE('Respuestas de formulario 1.1'!$B239,$DT239),#REF!,0),MATCH('Respuestas de formulario 1.1'!FW$1,#REF!,0)))</f>
        <v/>
      </c>
      <c r="FX239" s="56" t="str">
        <f t="array" ref="FX239">IF($DU239="","", INDEX(#REF!,MATCH(CONCATENATE('Respuestas de formulario 1.1'!$B239,$DT239),#REF!,0),MATCH('Respuestas de formulario 1.1'!FX$1,#REF!,0)))</f>
        <v/>
      </c>
      <c r="FY239" s="45" t="str">
        <f t="array" ref="FY239">IF($DU239="","", INDEX(#REF!,MATCH(CONCATENATE('Respuestas de formulario 1.1'!$B239,$DT239),#REF!,0),MATCH('Respuestas de formulario 1.1'!FY$1,#REF!,0)))</f>
        <v/>
      </c>
      <c r="FZ239" s="3" t="s">
        <v>2860</v>
      </c>
      <c r="GA239" s="1" t="s">
        <v>6957</v>
      </c>
      <c r="GB239" s="5" t="s">
        <v>6958</v>
      </c>
      <c r="GC239" s="4" t="str">
        <f>HYPERLINK("https://drive.google.com/file/d/1KbnvcK-ZQqrJ02eJuXwZEe0oLJPL2Cmn/view?usp=drivesdk","OSORIO  LOPEZ FERNANDA ODDET Formato de reinscripción y pago 2022-2")</f>
        <v>OSORIO  LOPEZ FERNANDA ODDET Formato de reinscripción y pago 2022-2</v>
      </c>
      <c r="GD239" s="1" t="s">
        <v>6959</v>
      </c>
      <c r="GE239" s="1"/>
      <c r="GF239" s="1"/>
      <c r="GG239" s="1"/>
      <c r="GH239" s="1"/>
      <c r="GI239" s="1" t="s">
        <v>6960</v>
      </c>
      <c r="GJ239" s="5" t="s">
        <v>6961</v>
      </c>
      <c r="GK239" s="5" t="str">
        <f>HYPERLINK("https://drive.google.com/file/d/1r7dXuYguDUf_0c30-2ogzqbz7XagLqmB/view?usp=drivesdk","OSORIO  LOPEZ FERNANDA ODDET Formato de reinscripción y pago 2022-2")</f>
        <v>OSORIO  LOPEZ FERNANDA ODDET Formato de reinscripción y pago 2022-2</v>
      </c>
      <c r="GL239" s="1" t="s">
        <v>6962</v>
      </c>
    </row>
    <row r="240" spans="1:194" ht="38.25" x14ac:dyDescent="0.2">
      <c r="A240" s="2">
        <v>45139.540746226849</v>
      </c>
      <c r="B240" s="1" t="s">
        <v>1602</v>
      </c>
      <c r="C240" s="1" t="s">
        <v>576</v>
      </c>
      <c r="D240" s="1" t="s">
        <v>1603</v>
      </c>
      <c r="E240" s="1" t="s">
        <v>1604</v>
      </c>
      <c r="F240" s="1" t="s">
        <v>223</v>
      </c>
      <c r="G240" s="5" t="s">
        <v>6963</v>
      </c>
      <c r="H240" s="41">
        <v>39364</v>
      </c>
      <c r="I240" s="1">
        <v>15</v>
      </c>
      <c r="J240" s="1">
        <v>5538558198</v>
      </c>
      <c r="K240" s="1">
        <v>5582861046</v>
      </c>
      <c r="L240" s="1" t="s">
        <v>1605</v>
      </c>
      <c r="M240" s="1">
        <v>22309060570057</v>
      </c>
      <c r="N240" s="1" t="s">
        <v>562</v>
      </c>
      <c r="O240" s="1" t="s">
        <v>247</v>
      </c>
      <c r="P240" s="1" t="s">
        <v>278</v>
      </c>
      <c r="Q240" s="1" t="s">
        <v>315</v>
      </c>
      <c r="R240" s="1" t="s">
        <v>236</v>
      </c>
      <c r="S240" s="1" t="s">
        <v>228</v>
      </c>
      <c r="T240" s="1" t="s">
        <v>229</v>
      </c>
      <c r="U240" s="1" t="s">
        <v>393</v>
      </c>
      <c r="V240" s="1" t="s">
        <v>228</v>
      </c>
      <c r="W240" s="1" t="s">
        <v>6964</v>
      </c>
      <c r="X240" s="1" t="s">
        <v>393</v>
      </c>
      <c r="Y240" s="1" t="s">
        <v>6965</v>
      </c>
      <c r="Z240" s="1" t="s">
        <v>240</v>
      </c>
      <c r="AA240" s="44" t="s">
        <v>1606</v>
      </c>
      <c r="AB240" s="1">
        <v>3</v>
      </c>
      <c r="AC240" s="1">
        <v>3</v>
      </c>
      <c r="AD240" s="1" t="s">
        <v>6966</v>
      </c>
      <c r="AE240" s="1" t="s">
        <v>1607</v>
      </c>
      <c r="AF240" s="1" t="s">
        <v>6967</v>
      </c>
      <c r="AG240" s="1">
        <v>62</v>
      </c>
      <c r="AH240" s="5" t="s">
        <v>6968</v>
      </c>
      <c r="AI240" s="1">
        <v>5582861046</v>
      </c>
      <c r="AJ240" s="1">
        <v>5582861046</v>
      </c>
      <c r="AK240" s="1" t="s">
        <v>1608</v>
      </c>
      <c r="AL240" s="1" t="s">
        <v>2022</v>
      </c>
      <c r="AM240" s="1" t="s">
        <v>1795</v>
      </c>
      <c r="AN240" s="1" t="s">
        <v>1212</v>
      </c>
      <c r="AO240" s="1" t="s">
        <v>1347</v>
      </c>
      <c r="AP240" s="1">
        <v>58</v>
      </c>
      <c r="AQ240" s="1" t="s">
        <v>233</v>
      </c>
      <c r="AR240" s="42">
        <v>0.33333333333575865</v>
      </c>
      <c r="AS240" s="42">
        <v>0.33333333333575865</v>
      </c>
      <c r="AT240" s="1">
        <v>5582861046</v>
      </c>
      <c r="AU240" s="1">
        <v>5582861046</v>
      </c>
      <c r="AV240" s="1" t="s">
        <v>1608</v>
      </c>
      <c r="AW240" s="5" t="s">
        <v>6969</v>
      </c>
      <c r="AX240" s="1" t="s">
        <v>576</v>
      </c>
      <c r="AY240" s="1" t="s">
        <v>2022</v>
      </c>
      <c r="AZ240" s="1" t="s">
        <v>1610</v>
      </c>
      <c r="BA240" s="1" t="s">
        <v>420</v>
      </c>
      <c r="BB240" s="1">
        <v>35</v>
      </c>
      <c r="BC240" s="1" t="s">
        <v>1976</v>
      </c>
      <c r="BD240" s="43">
        <v>0.5</v>
      </c>
      <c r="BE240" s="43">
        <v>0.33333333333575865</v>
      </c>
      <c r="BF240" s="1">
        <v>5538558198</v>
      </c>
      <c r="BG240" s="1">
        <v>5538558198</v>
      </c>
      <c r="BH240" s="1" t="s">
        <v>1611</v>
      </c>
      <c r="BI240" s="5" t="s">
        <v>6970</v>
      </c>
      <c r="BJ240" s="1" t="s">
        <v>236</v>
      </c>
      <c r="BL240" s="1">
        <v>1.5</v>
      </c>
      <c r="BM240" s="1">
        <v>45</v>
      </c>
      <c r="BN240" s="1" t="s">
        <v>228</v>
      </c>
      <c r="BO240" s="1" t="s">
        <v>228</v>
      </c>
      <c r="BP240" s="1" t="s">
        <v>450</v>
      </c>
      <c r="BQ240" s="1" t="s">
        <v>228</v>
      </c>
      <c r="BR240" s="1" t="s">
        <v>237</v>
      </c>
      <c r="BS240" s="1" t="s">
        <v>236</v>
      </c>
      <c r="BT240" s="1" t="s">
        <v>457</v>
      </c>
      <c r="BU240" s="1" t="s">
        <v>228</v>
      </c>
      <c r="BW240" s="1" t="s">
        <v>349</v>
      </c>
      <c r="BX240" s="1">
        <v>45</v>
      </c>
      <c r="BY240" s="1">
        <v>55</v>
      </c>
      <c r="BZ240" s="1" t="s">
        <v>253</v>
      </c>
      <c r="CA240" s="1" t="s">
        <v>733</v>
      </c>
      <c r="CB240" s="1" t="s">
        <v>240</v>
      </c>
      <c r="CC240" s="1" t="s">
        <v>631</v>
      </c>
      <c r="CD240" s="1">
        <v>1500</v>
      </c>
      <c r="CE240" s="1">
        <v>1500</v>
      </c>
      <c r="CF240" s="1" t="s">
        <v>236</v>
      </c>
      <c r="CG240" s="1" t="s">
        <v>242</v>
      </c>
      <c r="CH240" s="1" t="s">
        <v>243</v>
      </c>
      <c r="CI240" s="1" t="s">
        <v>243</v>
      </c>
      <c r="CJ240" s="1" t="s">
        <v>2848</v>
      </c>
      <c r="CL240" s="5" t="s">
        <v>6971</v>
      </c>
      <c r="CM240" s="44" t="s">
        <v>1613</v>
      </c>
      <c r="CN240" s="1" t="s">
        <v>228</v>
      </c>
      <c r="CQ240" s="42">
        <v>0.5</v>
      </c>
      <c r="CR240" s="42">
        <v>0.33333333333575865</v>
      </c>
      <c r="CT240" s="45" t="str">
        <f t="array" ref="CT240">IFERROR(INDEX(#REF!,MATCH('Respuestas de formulario 1.1'!$B240,#REF!,0),MATCH('Respuestas de formulario 1.1'!CT$1,#REF!,0)),"")</f>
        <v/>
      </c>
      <c r="CU240" s="56" t="str">
        <f t="array" ref="CU240">IFERROR(INDEX(#REF!,MATCH('Respuestas de formulario 1.1'!$B240,#REF!,0),MATCH('Respuestas de formulario 1.1'!CU$1,#REF!,0)),"")</f>
        <v/>
      </c>
      <c r="CV240" s="56" t="str">
        <f t="array" ref="CV240">IFERROR(INDEX(#REF!,MATCH('Respuestas de formulario 1.1'!$B240,#REF!,0),MATCH('Respuestas de formulario 1.1'!CV$1,#REF!,0)),"")</f>
        <v/>
      </c>
      <c r="CW240" s="56" t="str">
        <f t="array" ref="CW240">IFERROR(INDEX(#REF!,MATCH('Respuestas de formulario 1.1'!$B240,#REF!,0),MATCH('Respuestas de formulario 1.1'!CW$1,#REF!,0)),"")</f>
        <v/>
      </c>
      <c r="CX240" s="56" t="str">
        <f t="array" ref="CX240">IFERROR(INDEX(#REF!,MATCH('Respuestas de formulario 1.1'!$B240,#REF!,0),MATCH('Respuestas de formulario 1.1'!CX$1,#REF!,0)),"")</f>
        <v/>
      </c>
      <c r="CY240" s="56" t="str">
        <f t="array" ref="CY240">IFERROR(INDEX(#REF!,MATCH('Respuestas de formulario 1.1'!$B240,#REF!,0),MATCH('Respuestas de formulario 1.1'!CY$1,#REF!,0)),"")</f>
        <v/>
      </c>
      <c r="CZ240" s="57" t="str">
        <f t="array" ref="CZ240">IFERROR(INDEX(#REF!,MATCH('Respuestas de formulario 1.1'!$B240,#REF!,0),MATCH('Respuestas de formulario 1.1'!CZ$1,#REF!,0)),"")</f>
        <v/>
      </c>
      <c r="DA240" s="45" t="e">
        <f t="array" ref="DA240">INDEX(#REF!,MATCH('Respuestas de formulario 1.1'!$B240,#REF!,0),MATCH('Respuestas de formulario 1.1'!DA$1,#REF!,0))</f>
        <v>#REF!</v>
      </c>
      <c r="DB240" s="45" t="e">
        <f t="array" ref="DB240">INDEX(#REF!,MATCH('Respuestas de formulario 1.1'!$B240,#REF!,0),MATCH('Respuestas de formulario 1.1'!DB$1,#REF!,0))</f>
        <v>#REF!</v>
      </c>
      <c r="DC240" s="45" t="e">
        <f t="array" ref="DC240">INDEX(#REF!,MATCH('Respuestas de formulario 1.1'!$B240,#REF!,0),MATCH('Respuestas de formulario 1.1'!DC$1,#REF!,0))</f>
        <v>#REF!</v>
      </c>
      <c r="DD240" s="45" t="e">
        <f t="array" ref="DD240">INDEX(#REF!,MATCH('Respuestas de formulario 1.1'!$B240,#REF!,0),MATCH('Respuestas de formulario 1.1'!DD$1,#REF!,0))</f>
        <v>#REF!</v>
      </c>
      <c r="DE240" s="45" t="e">
        <f t="array" ref="DE240">INDEX(#REF!,MATCH('Respuestas de formulario 1.1'!$B240,#REF!,0),MATCH('Respuestas de formulario 1.1'!DE$1,#REF!,0))</f>
        <v>#REF!</v>
      </c>
      <c r="DF240" s="45" t="e">
        <f t="array" ref="DF240">INDEX(#REF!,MATCH('Respuestas de formulario 1.1'!$B240,#REF!,0),MATCH('Respuestas de formulario 1.1'!DF$1,#REF!,0))</f>
        <v>#REF!</v>
      </c>
      <c r="DG240" s="45" t="e">
        <f t="array" ref="DG240">INDEX(#REF!,MATCH('Respuestas de formulario 1.1'!$B240,#REF!,0),MATCH('Respuestas de formulario 1.1'!DG$1,#REF!,0))</f>
        <v>#REF!</v>
      </c>
      <c r="DH240" s="45" t="e">
        <f t="array" ref="DH240">INDEX(#REF!,MATCH('Respuestas de formulario 1.1'!$B240,#REF!,0),MATCH('Respuestas de formulario 1.1'!DH$1,#REF!,0))</f>
        <v>#REF!</v>
      </c>
      <c r="DI240" s="48" t="e">
        <f>VLOOKUP(CONCATENATE($DF240," TUTO ",$DC240),#REF!,3,0)</f>
        <v>#REF!</v>
      </c>
      <c r="DJ240" s="48" t="e">
        <f t="array" ref="DJ240">IF('Respuestas de formulario 1.1'!A240="","",INDEX(#REF!,MATCH('Respuestas de formulario 1.1'!B240,#REF!,0),MATCH('Respuestas de formulario 1.1'!$DH$1,#REF!,0)))</f>
        <v>#REF!</v>
      </c>
      <c r="DK240" s="52" t="str">
        <f>CONCATENATE("http://doc.google.com/uc?id=",MID('Respuestas de formulario 1.1'!G240,34,33))</f>
        <v>http://doc.google.com/uc?id=1v3QSj8L5DZWPHpwQBUusK7id0shoeYWi</v>
      </c>
      <c r="DL240" s="49" t="str">
        <f>CONCATENATE("http://doc.google.com/uc?id=",MID('Respuestas de formulario 1.1'!AH240,34,33))</f>
        <v>http://doc.google.com/uc?id=1sH36eaI9NwREyUPZsJzEotEBlEDUEspz</v>
      </c>
      <c r="DM240" s="50" t="str">
        <f>CONCATENATE("http://doc.google.com/uc?id=",MID('Respuestas de formulario 1.1'!AW240,34,33))</f>
        <v>http://doc.google.com/uc?id=1Z_4RCsPdOgM5pkTeUE7Dh41wmlZV1gHM</v>
      </c>
      <c r="DN240" s="53" t="str">
        <f>CONCATENATE("http://doc.google.com/uc?id=",MID('Respuestas de formulario 1.1'!$BI240,34,33))</f>
        <v>http://doc.google.com/uc?id=1QWoehAK90BQ8JKMMzLOJkEilf8_RYosd</v>
      </c>
      <c r="DO240" s="45" t="str">
        <f>IFERROR(VLOOKUP(CONCATENATE('Respuestas de formulario 1.1'!$B240,MID('Respuestas de formulario 1.1'!DO$1,2,1)),#REF!,12,0),"")</f>
        <v/>
      </c>
      <c r="DP240" s="45" t="str">
        <f>IFERROR(VLOOKUP(CONCATENATE('Respuestas de formulario 1.1'!$B240,MID('Respuestas de formulario 1.1'!DP$1,2,1)),#REF!,12,0),"")</f>
        <v/>
      </c>
      <c r="DQ240" s="45" t="str">
        <f>IFERROR(VLOOKUP(CONCATENATE('Respuestas de formulario 1.1'!$B240,MID('Respuestas de formulario 1.1'!DQ$1,2,1)),#REF!,12,0),"")</f>
        <v/>
      </c>
      <c r="DR240" s="45" t="str">
        <f>IFERROR(VLOOKUP(CONCATENATE('Respuestas de formulario 1.1'!$B240,MID('Respuestas de formulario 1.1'!DR$1,2,1)),#REF!,12,0),"")</f>
        <v/>
      </c>
      <c r="DS240" s="45" t="str">
        <f>IFERROR(VLOOKUP(CONCATENATE('Respuestas de formulario 1.1'!$B240,MID('Respuestas de formulario 1.1'!DS$1,2,1)),#REF!,12,0),"")</f>
        <v/>
      </c>
      <c r="DT240" s="45" t="str">
        <f>IFERROR(VLOOKUP(CONCATENATE('Respuestas de formulario 1.1'!$B240,MID('Respuestas de formulario 1.1'!DT$1,2,1)),#REF!,12,0),"")</f>
        <v/>
      </c>
      <c r="DU240" s="45" t="str">
        <f>IFERROR(VLOOKUP(CONCATENATE('Respuestas de formulario 1.1'!$B240,MID('Respuestas de formulario 1.1'!DU$1,2,1)),#REF!,12,0),"")</f>
        <v/>
      </c>
      <c r="DV240" s="45" t="str">
        <f>IFERROR(VLOOKUP(CONCATENATE('Respuestas de formulario 1.1'!$B240,MID('Respuestas de formulario 1.1'!DV$1,2,1)),#REF!,12,0),"")</f>
        <v/>
      </c>
      <c r="DW240" s="45" t="str">
        <f>IFERROR(VLOOKUP(CONCATENATE('Respuestas de formulario 1.1'!$B240,MID('Respuestas de formulario 1.1'!DW$1,2,1)),#REF!,12,0),"")</f>
        <v/>
      </c>
      <c r="DX240" s="45" t="str">
        <f>IFERROR(VLOOKUP(CONCATENATE('Respuestas de formulario 1.1'!$B240,MID('Respuestas de formulario 1.1'!DX$1,2,1)),#REF!,12,0),"")</f>
        <v/>
      </c>
      <c r="DY240" s="45" t="str">
        <f>IFERROR(VLOOKUP(CONCATENATE('Respuestas de formulario 1.1'!$B240,MID('Respuestas de formulario 1.1'!DY$1,2,1)),#REF!,12,0),"")</f>
        <v/>
      </c>
      <c r="DZ240" s="45" t="str">
        <f>IFERROR(VLOOKUP(CONCATENATE('Respuestas de formulario 1.1'!$B240,MID('Respuestas de formulario 1.1'!DZ$1,2,1)),#REF!,12,0),"")</f>
        <v/>
      </c>
      <c r="EA240" s="45" t="str">
        <f>IFERROR(VLOOKUP(CONCATENATE('Respuestas de formulario 1.1'!$B240,MID('Respuestas de formulario 1.1'!EA$1,2,1)),#REF!,12,0),"")</f>
        <v/>
      </c>
      <c r="EB240" s="45" t="str">
        <f>IFERROR(VLOOKUP(CONCATENATE('Respuestas de formulario 1.1'!$B240,MID('Respuestas de formulario 1.1'!EB$1,2,1)),#REF!,12,0),"")</f>
        <v/>
      </c>
      <c r="EC240" s="45" t="str">
        <f>IFERROR(VLOOKUP(CONCATENATE('Respuestas de formulario 1.1'!$B240,MID('Respuestas de formulario 1.1'!EC$1,2,1)),#REF!,12,0),"")</f>
        <v/>
      </c>
      <c r="ED240" s="45" t="str">
        <f>IFERROR(VLOOKUP(CONCATENATE('Respuestas de formulario 1.1'!$B240,MID('Respuestas de formulario 1.1'!ED$1,2,1)),#REF!,12,0),"")</f>
        <v/>
      </c>
      <c r="EE240" s="45" t="str">
        <f>IFERROR(VLOOKUP(CONCATENATE('Respuestas de formulario 1.1'!$B240,MID('Respuestas de formulario 1.1'!EE$1,2,1)),#REF!,12,0),"")</f>
        <v/>
      </c>
      <c r="EF240" s="45" t="str">
        <f>IFERROR(VLOOKUP(CONCATENATE('Respuestas de formulario 1.1'!$B240,MID('Respuestas de formulario 1.1'!EF$1,2,1)),#REF!,12,0),"")</f>
        <v/>
      </c>
      <c r="EG240" s="45" t="str">
        <f>IFERROR(VLOOKUP(CONCATENATE('Respuestas de formulario 1.1'!$B240,MID('Respuestas de formulario 1.1'!EG$1,2,1)),#REF!,12,0),"")</f>
        <v/>
      </c>
      <c r="EH240" s="45" t="str">
        <f>IFERROR(VLOOKUP(CONCATENATE('Respuestas de formulario 1.1'!$B240,MID('Respuestas de formulario 1.1'!EH$1,2,1)),#REF!,12,0),"")</f>
        <v/>
      </c>
      <c r="EI240" s="45" t="str">
        <f>IFERROR(VLOOKUP(CONCATENATE('Respuestas de formulario 1.1'!$B240,MID('Respuestas de formulario 1.1'!EI$1,2,1)),#REF!,12,0),"")</f>
        <v/>
      </c>
      <c r="EJ240" s="45" t="str">
        <f t="array" ref="EJ240">IF(DO240="","", INDEX(#REF!,MATCH(CONCATENATE('Respuestas de formulario 1.1'!$B240,DO240),#REF!,0),MATCH('Respuestas de formulario 1.1'!EJ$1,#REF!,0)))</f>
        <v/>
      </c>
      <c r="EK240" s="56" t="str">
        <f t="array" ref="EK240">IF(DP240="","", INDEX(#REF!,MATCH(CONCATENATE('Respuestas de formulario 1.1'!$B240,DP240),#REF!,0),MATCH('Respuestas de formulario 1.1'!EK$1,#REF!,0)))</f>
        <v/>
      </c>
      <c r="EL240" s="56" t="str">
        <f t="array" ref="EL240">IF(DQ240="","", INDEX(#REF!,MATCH(CONCATENATE('Respuestas de formulario 1.1'!$B240,DQ240),#REF!,0),MATCH('Respuestas de formulario 1.1'!EL$1,#REF!,0)))</f>
        <v/>
      </c>
      <c r="EM240" s="56" t="str">
        <f t="array" ref="EM240">IF(DR240="","", INDEX(#REF!,MATCH(CONCATENATE('Respuestas de formulario 1.1'!$B240,DR240),#REF!,0),MATCH('Respuestas de formulario 1.1'!EM$1,#REF!,0)))</f>
        <v/>
      </c>
      <c r="EN240" s="56" t="str">
        <f t="array" ref="EN240">IF(DS240="","", INDEX(#REF!,MATCH(CONCATENATE('Respuestas de formulario 1.1'!$B240,DS240),#REF!,0),MATCH('Respuestas de formulario 1.1'!EN$1,#REF!,0)))</f>
        <v/>
      </c>
      <c r="EO240" s="56" t="str">
        <f t="array" ref="EO240">IF(DT240="","", INDEX(#REF!,MATCH(CONCATENATE('Respuestas de formulario 1.1'!$B240,DT240),#REF!,0),MATCH('Respuestas de formulario 1.1'!EO$1,#REF!,0)))</f>
        <v/>
      </c>
      <c r="EP240" s="45" t="str">
        <f t="array" ref="EP240">IF(DU240="","", INDEX(#REF!,MATCH(CONCATENATE('Respuestas de formulario 1.1'!$B240,DU240),#REF!,0),MATCH('Respuestas de formulario 1.1'!EP$1,#REF!,0)))</f>
        <v/>
      </c>
      <c r="EQ240" s="45" t="str">
        <f t="array" ref="EQ240">IF(DP240="","", INDEX(#REF!,MATCH(CONCATENATE('Respuestas de formulario 1.1'!$B240,DP240),#REF!,0),MATCH('Respuestas de formulario 1.1'!EQ$1,#REF!,0)))</f>
        <v/>
      </c>
      <c r="ER240" s="56" t="str">
        <f t="array" ref="ER240">IF(DQ240="","", INDEX(#REF!,MATCH(CONCATENATE('Respuestas de formulario 1.1'!$B240,DQ240),#REF!,0),MATCH('Respuestas de formulario 1.1'!ER$1,#REF!,0)))</f>
        <v/>
      </c>
      <c r="ES240" s="56" t="str">
        <f t="array" ref="ES240">IF(DR240="","", INDEX(#REF!,MATCH(CONCATENATE('Respuestas de formulario 1.1'!$B240,DR240),#REF!,0),MATCH('Respuestas de formulario 1.1'!ES$1,#REF!,0)))</f>
        <v/>
      </c>
      <c r="ET240" s="56" t="str">
        <f t="array" ref="ET240">IF(DS240="","", INDEX(#REF!,MATCH(CONCATENATE('Respuestas de formulario 1.1'!$B240,DS240),#REF!,0),MATCH('Respuestas de formulario 1.1'!ET$1,#REF!,0)))</f>
        <v/>
      </c>
      <c r="EU240" s="56" t="str">
        <f t="array" ref="EU240">IF(DT240="","", INDEX(#REF!,MATCH(CONCATENATE('Respuestas de formulario 1.1'!$B240,DT240),#REF!,0),MATCH('Respuestas de formulario 1.1'!EU$1,#REF!,0)))</f>
        <v/>
      </c>
      <c r="EV240" s="56" t="str">
        <f t="array" ref="EV240">IF(DU240="","", INDEX(#REF!,MATCH(CONCATENATE('Respuestas de formulario 1.1'!$B240,DU240),#REF!,0),MATCH('Respuestas de formulario 1.1'!EV$1,#REF!,0)))</f>
        <v/>
      </c>
      <c r="EW240" s="45" t="str">
        <f t="array" ref="EW240">IF(DV240="","", INDEX(#REF!,MATCH(CONCATENATE('Respuestas de formulario 1.1'!$B240,DV240),#REF!,0),MATCH('Respuestas de formulario 1.1'!EW$1,#REF!,0)))</f>
        <v/>
      </c>
      <c r="EX240" s="45" t="str">
        <f t="array" ref="EX240">IF($DQ240="","", INDEX(#REF!,MATCH(CONCATENATE('Respuestas de formulario 1.1'!$B240,$DQ240),#REF!,0),MATCH('Respuestas de formulario 1.1'!EX$1,#REF!,0)))</f>
        <v/>
      </c>
      <c r="EY240" s="56" t="str">
        <f t="array" ref="EY240">IF($DQ240="","", INDEX(#REF!,MATCH(CONCATENATE('Respuestas de formulario 1.1'!$B240,$DQ240),#REF!,0),MATCH('Respuestas de formulario 1.1'!EY$1,#REF!,0)))</f>
        <v/>
      </c>
      <c r="EZ240" s="56" t="str">
        <f t="array" ref="EZ240">IF($DQ240="","", INDEX(#REF!,MATCH(CONCATENATE('Respuestas de formulario 1.1'!$B240,$DQ240),#REF!,0),MATCH('Respuestas de formulario 1.1'!EZ$1,#REF!,0)))</f>
        <v/>
      </c>
      <c r="FA240" s="56" t="str">
        <f t="array" ref="FA240">IF($DQ240="","", INDEX(#REF!,MATCH(CONCATENATE('Respuestas de formulario 1.1'!$B240,$DQ240),#REF!,0),MATCH('Respuestas de formulario 1.1'!FA$1,#REF!,0)))</f>
        <v/>
      </c>
      <c r="FB240" s="56" t="str">
        <f t="array" ref="FB240">IF($DQ240="","", INDEX(#REF!,MATCH(CONCATENATE('Respuestas de formulario 1.1'!$B240,$DQ240),#REF!,0),MATCH('Respuestas de formulario 1.1'!FB$1,#REF!,0)))</f>
        <v/>
      </c>
      <c r="FC240" s="56" t="str">
        <f t="array" ref="FC240">IF($DQ240="","", INDEX(#REF!,MATCH(CONCATENATE('Respuestas de formulario 1.1'!$B240,$DQ240),#REF!,0),MATCH('Respuestas de formulario 1.1'!FC$1,#REF!,0)))</f>
        <v/>
      </c>
      <c r="FD240" s="45" t="str">
        <f t="array" ref="FD240">IF($DQ240="","", INDEX(#REF!,MATCH(CONCATENATE('Respuestas de formulario 1.1'!$B240,$DQ240),#REF!,0),MATCH('Respuestas de formulario 1.1'!FD$1,#REF!,0)))</f>
        <v/>
      </c>
      <c r="FE240" s="45" t="str">
        <f t="array" ref="FE240">IF($DR240="","", INDEX(#REF!,MATCH(CONCATENATE(#REF!,$DR240),#REF!,0),MATCH(#REF!,#REF!,0)))</f>
        <v/>
      </c>
      <c r="FF240" s="56" t="str">
        <f t="array" ref="FF240">IF($DR240="","", INDEX(#REF!,MATCH(CONCATENATE(#REF!,$DR240),#REF!,0),MATCH(#REF!,#REF!,0)))</f>
        <v/>
      </c>
      <c r="FG240" s="56" t="str">
        <f t="array" ref="FG240">IF($DR240="","", INDEX(#REF!,MATCH(CONCATENATE(#REF!,$DR240),#REF!,0),MATCH(#REF!,#REF!,0)))</f>
        <v/>
      </c>
      <c r="FH240" s="56" t="str">
        <f t="array" ref="FH240">IF($DR240="","", INDEX(#REF!,MATCH(CONCATENATE(#REF!,$DR240),#REF!,0),MATCH(#REF!,#REF!,0)))</f>
        <v/>
      </c>
      <c r="FI240" s="56" t="str">
        <f t="array" ref="FI240">IF($DR240="","", INDEX(#REF!,MATCH(CONCATENATE(#REF!,$DR240),#REF!,0),MATCH(#REF!,#REF!,0)))</f>
        <v/>
      </c>
      <c r="FJ240" s="56" t="str">
        <f t="array" ref="FJ240">IF($DR240="","", INDEX(#REF!,MATCH(CONCATENATE(#REF!,$DR240),#REF!,0),MATCH(#REF!,#REF!,0)))</f>
        <v/>
      </c>
      <c r="FK240" s="45" t="str">
        <f t="array" ref="FK240">IF($DR240="","", INDEX(#REF!,MATCH(CONCATENATE(#REF!,$DR240),#REF!,0),MATCH(#REF!,#REF!,0)))</f>
        <v/>
      </c>
      <c r="FL240" s="45" t="str">
        <f t="array" ref="FL240">IF($DT240="","", INDEX(#REF!,MATCH(CONCATENATE('Respuestas de formulario 1.1'!$B240,$DS240),#REF!,0),MATCH('Respuestas de formulario 1.1'!FL$1,#REF!,0)))</f>
        <v/>
      </c>
      <c r="FM240" s="56" t="str">
        <f t="array" ref="FM240">IF($DT240="","", INDEX(#REF!,MATCH(CONCATENATE('Respuestas de formulario 1.1'!$B240,$DS240),#REF!,0),MATCH('Respuestas de formulario 1.1'!FM$1,#REF!,0)))</f>
        <v/>
      </c>
      <c r="FN240" s="56" t="str">
        <f t="array" ref="FN240">IF($DT240="","", INDEX(#REF!,MATCH(CONCATENATE('Respuestas de formulario 1.1'!$B240,$DS240),#REF!,0),MATCH('Respuestas de formulario 1.1'!FN$1,#REF!,0)))</f>
        <v/>
      </c>
      <c r="FO240" s="56" t="str">
        <f t="array" ref="FO240">IF($DT240="","", INDEX(#REF!,MATCH(CONCATENATE('Respuestas de formulario 1.1'!$B240,$DS240),#REF!,0),MATCH('Respuestas de formulario 1.1'!FO$1,#REF!,0)))</f>
        <v/>
      </c>
      <c r="FP240" s="56" t="str">
        <f t="array" ref="FP240">IF($DT240="","", INDEX(#REF!,MATCH(CONCATENATE('Respuestas de formulario 1.1'!$B240,$DS240),#REF!,0),MATCH('Respuestas de formulario 1.1'!FP$1,#REF!,0)))</f>
        <v/>
      </c>
      <c r="FQ240" s="56" t="str">
        <f t="array" ref="FQ240">IF($DT240="","", INDEX(#REF!,MATCH(CONCATENATE('Respuestas de formulario 1.1'!$B240,$DS240),#REF!,0),MATCH('Respuestas de formulario 1.1'!FQ$1,#REF!,0)))</f>
        <v/>
      </c>
      <c r="FR240" s="45" t="str">
        <f t="array" ref="FR240">IF($DT240="","", INDEX(#REF!,MATCH(CONCATENATE('Respuestas de formulario 1.1'!$B240,$DS240),#REF!,0),MATCH('Respuestas de formulario 1.1'!FR$1,#REF!,0)))</f>
        <v/>
      </c>
      <c r="FS240" s="45" t="str">
        <f t="array" ref="FS240">IF($DU240="","", INDEX(#REF!,MATCH(CONCATENATE('Respuestas de formulario 1.1'!$B240,$DT240),#REF!,0),MATCH('Respuestas de formulario 1.1'!FS$1,#REF!,0)))</f>
        <v/>
      </c>
      <c r="FT240" s="56" t="str">
        <f t="array" ref="FT240">IF($DU240="","", INDEX(#REF!,MATCH(CONCATENATE('Respuestas de formulario 1.1'!$B240,$DT240),#REF!,0),MATCH('Respuestas de formulario 1.1'!FT$1,#REF!,0)))</f>
        <v/>
      </c>
      <c r="FU240" s="56" t="str">
        <f t="array" ref="FU240">IF($DU240="","", INDEX(#REF!,MATCH(CONCATENATE('Respuestas de formulario 1.1'!$B240,$DT240),#REF!,0),MATCH('Respuestas de formulario 1.1'!FU$1,#REF!,0)))</f>
        <v/>
      </c>
      <c r="FV240" s="56" t="str">
        <f t="array" ref="FV240">IF($DU240="","", INDEX(#REF!,MATCH(CONCATENATE('Respuestas de formulario 1.1'!$B240,$DT240),#REF!,0),MATCH('Respuestas de formulario 1.1'!FV$1,#REF!,0)))</f>
        <v/>
      </c>
      <c r="FW240" s="56" t="str">
        <f t="array" ref="FW240">IF($DU240="","", INDEX(#REF!,MATCH(CONCATENATE('Respuestas de formulario 1.1'!$B240,$DT240),#REF!,0),MATCH('Respuestas de formulario 1.1'!FW$1,#REF!,0)))</f>
        <v/>
      </c>
      <c r="FX240" s="56" t="str">
        <f t="array" ref="FX240">IF($DU240="","", INDEX(#REF!,MATCH(CONCATENATE('Respuestas de formulario 1.1'!$B240,$DT240),#REF!,0),MATCH('Respuestas de formulario 1.1'!FX$1,#REF!,0)))</f>
        <v/>
      </c>
      <c r="FY240" s="45" t="str">
        <f t="array" ref="FY240">IF($DU240="","", INDEX(#REF!,MATCH(CONCATENATE('Respuestas de formulario 1.1'!$B240,$DT240),#REF!,0),MATCH('Respuestas de formulario 1.1'!FY$1,#REF!,0)))</f>
        <v/>
      </c>
      <c r="FZ240" s="3" t="s">
        <v>2860</v>
      </c>
      <c r="GA240" s="1" t="s">
        <v>6972</v>
      </c>
      <c r="GB240" s="5" t="s">
        <v>6973</v>
      </c>
      <c r="GC240" s="4" t="str">
        <f>HYPERLINK("https://drive.google.com/file/d/1q_Uj25KGK0pYyFj9r2Kk1I6723RoUdIs/view?usp=drivesdk","ALCALA PACHECO  DANIELA MICHELLE  Formato de reinscripción y pago 2022-2")</f>
        <v>ALCALA PACHECO  DANIELA MICHELLE  Formato de reinscripción y pago 2022-2</v>
      </c>
      <c r="GD240" s="1" t="s">
        <v>6974</v>
      </c>
      <c r="GE240" s="1"/>
      <c r="GF240" s="1"/>
      <c r="GG240" s="1"/>
      <c r="GH240" s="1"/>
      <c r="GI240" s="1" t="s">
        <v>6975</v>
      </c>
      <c r="GJ240" s="5" t="s">
        <v>6976</v>
      </c>
      <c r="GK240" s="5" t="str">
        <f>HYPERLINK("https://drive.google.com/file/d/1P6O_H1iyR34DW8dFBiWk989IfEKPe2jn/view?usp=drivesdk","ALCALA PACHECO  DANIELA MICHELLE  Formato de reinscripción y pago 2022-2")</f>
        <v>ALCALA PACHECO  DANIELA MICHELLE  Formato de reinscripción y pago 2022-2</v>
      </c>
      <c r="GL240" s="1" t="s">
        <v>6977</v>
      </c>
    </row>
    <row r="241" spans="1:194" ht="38.25" x14ac:dyDescent="0.2">
      <c r="A241" s="2">
        <v>45139.699632777774</v>
      </c>
      <c r="B241" s="1" t="s">
        <v>66</v>
      </c>
      <c r="C241" s="1" t="s">
        <v>1554</v>
      </c>
      <c r="D241" s="1" t="s">
        <v>960</v>
      </c>
      <c r="E241" s="1" t="s">
        <v>1660</v>
      </c>
      <c r="F241" s="1" t="s">
        <v>223</v>
      </c>
      <c r="G241" s="5" t="s">
        <v>6978</v>
      </c>
      <c r="H241" s="41">
        <v>39058</v>
      </c>
      <c r="I241" s="1">
        <v>16</v>
      </c>
      <c r="J241" s="1">
        <v>5577404647</v>
      </c>
      <c r="K241" s="1">
        <v>5522386580</v>
      </c>
      <c r="L241" s="1" t="s">
        <v>6979</v>
      </c>
      <c r="M241" s="1">
        <v>22309060570760</v>
      </c>
      <c r="N241" s="1" t="s">
        <v>562</v>
      </c>
      <c r="O241" s="1" t="s">
        <v>247</v>
      </c>
      <c r="P241" s="1" t="s">
        <v>278</v>
      </c>
      <c r="Q241" s="1" t="s">
        <v>227</v>
      </c>
      <c r="R241" s="1" t="s">
        <v>236</v>
      </c>
      <c r="S241" s="1" t="s">
        <v>228</v>
      </c>
      <c r="T241" s="1" t="s">
        <v>229</v>
      </c>
      <c r="U241" s="1" t="s">
        <v>264</v>
      </c>
      <c r="V241" s="1" t="s">
        <v>228</v>
      </c>
      <c r="W241" s="1" t="s">
        <v>6980</v>
      </c>
      <c r="X241" s="1" t="s">
        <v>264</v>
      </c>
      <c r="Y241" s="1" t="s">
        <v>1240</v>
      </c>
      <c r="Z241" s="1" t="s">
        <v>231</v>
      </c>
      <c r="AA241" s="1">
        <v>57940</v>
      </c>
      <c r="AB241" s="1">
        <v>201</v>
      </c>
      <c r="AC241" s="1" t="s">
        <v>297</v>
      </c>
      <c r="AD241" s="1" t="s">
        <v>6981</v>
      </c>
      <c r="AE241" s="1" t="s">
        <v>6982</v>
      </c>
      <c r="AF241" s="1" t="s">
        <v>461</v>
      </c>
      <c r="AG241" s="1">
        <v>48</v>
      </c>
      <c r="AH241" s="5" t="s">
        <v>6983</v>
      </c>
      <c r="AI241" s="1">
        <v>5569105549</v>
      </c>
      <c r="AJ241" s="1">
        <v>5522386580</v>
      </c>
      <c r="AK241" s="1" t="s">
        <v>1663</v>
      </c>
      <c r="AL241" s="1" t="s">
        <v>1554</v>
      </c>
      <c r="AM241" s="1" t="s">
        <v>286</v>
      </c>
      <c r="AN241" s="1" t="s">
        <v>2112</v>
      </c>
      <c r="AO241" s="1" t="s">
        <v>420</v>
      </c>
      <c r="AP241" s="1">
        <v>50</v>
      </c>
      <c r="AQ241" s="1" t="s">
        <v>517</v>
      </c>
      <c r="AR241" s="42">
        <v>0.20833333333575865</v>
      </c>
      <c r="AS241" s="42">
        <v>0.45833333333575865</v>
      </c>
      <c r="AT241" s="1">
        <v>5560931493</v>
      </c>
      <c r="AU241" s="1">
        <v>5522386580</v>
      </c>
      <c r="AV241" s="1" t="s">
        <v>1664</v>
      </c>
      <c r="AW241" s="5" t="s">
        <v>6984</v>
      </c>
      <c r="AX241" s="1" t="s">
        <v>252</v>
      </c>
      <c r="AY241" s="1" t="s">
        <v>939</v>
      </c>
      <c r="AZ241" s="1" t="s">
        <v>6985</v>
      </c>
      <c r="BA241" s="1" t="s">
        <v>1295</v>
      </c>
      <c r="BB241" s="1">
        <v>19</v>
      </c>
      <c r="BC241" s="1" t="s">
        <v>328</v>
      </c>
      <c r="BD241" s="43">
        <v>0</v>
      </c>
      <c r="BE241" s="43">
        <v>0</v>
      </c>
      <c r="BF241" s="1">
        <v>5567343080</v>
      </c>
      <c r="BG241" s="1">
        <v>5522386580</v>
      </c>
      <c r="BH241" s="1" t="s">
        <v>1662</v>
      </c>
      <c r="BI241" s="5" t="s">
        <v>6986</v>
      </c>
      <c r="BJ241" s="1" t="s">
        <v>236</v>
      </c>
      <c r="BL241" s="1">
        <v>1.7</v>
      </c>
      <c r="BM241" s="1">
        <v>85</v>
      </c>
      <c r="BN241" s="1" t="s">
        <v>228</v>
      </c>
      <c r="BO241" s="1" t="s">
        <v>228</v>
      </c>
      <c r="BQ241" s="1" t="s">
        <v>228</v>
      </c>
      <c r="BR241" s="1" t="s">
        <v>237</v>
      </c>
      <c r="BS241" s="1" t="s">
        <v>228</v>
      </c>
      <c r="BT241" s="1" t="s">
        <v>237</v>
      </c>
      <c r="BU241" s="1" t="s">
        <v>228</v>
      </c>
      <c r="BW241" s="1" t="s">
        <v>238</v>
      </c>
      <c r="BX241" s="1">
        <v>60</v>
      </c>
      <c r="BY241" s="1">
        <v>250</v>
      </c>
      <c r="BZ241" s="1" t="s">
        <v>253</v>
      </c>
      <c r="CA241" s="1" t="s">
        <v>343</v>
      </c>
      <c r="CB241" s="1" t="s">
        <v>240</v>
      </c>
      <c r="CC241" s="1" t="s">
        <v>322</v>
      </c>
      <c r="CD241" s="1">
        <v>800</v>
      </c>
      <c r="CE241" s="1">
        <v>2000</v>
      </c>
      <c r="CF241" s="1" t="s">
        <v>236</v>
      </c>
      <c r="CG241" s="1" t="s">
        <v>242</v>
      </c>
      <c r="CH241" s="1" t="s">
        <v>243</v>
      </c>
      <c r="CI241" s="1" t="s">
        <v>243</v>
      </c>
      <c r="CJ241" s="1" t="s">
        <v>2848</v>
      </c>
      <c r="CL241" s="5" t="s">
        <v>6987</v>
      </c>
      <c r="CM241" s="1">
        <v>20210633861</v>
      </c>
      <c r="CN241" s="1" t="s">
        <v>228</v>
      </c>
      <c r="CQ241" s="42">
        <v>0.25</v>
      </c>
      <c r="CR241" s="42">
        <v>0.25</v>
      </c>
      <c r="CT241" s="45" t="str">
        <f t="array" ref="CT241">IFERROR(INDEX(#REF!,MATCH('Respuestas de formulario 1.1'!$B241,#REF!,0),MATCH('Respuestas de formulario 1.1'!CT$1,#REF!,0)),"")</f>
        <v/>
      </c>
      <c r="CU241" s="56" t="str">
        <f t="array" ref="CU241">IFERROR(INDEX(#REF!,MATCH('Respuestas de formulario 1.1'!$B241,#REF!,0),MATCH('Respuestas de formulario 1.1'!CU$1,#REF!,0)),"")</f>
        <v/>
      </c>
      <c r="CV241" s="56" t="str">
        <f t="array" ref="CV241">IFERROR(INDEX(#REF!,MATCH('Respuestas de formulario 1.1'!$B241,#REF!,0),MATCH('Respuestas de formulario 1.1'!CV$1,#REF!,0)),"")</f>
        <v/>
      </c>
      <c r="CW241" s="56" t="str">
        <f t="array" ref="CW241">IFERROR(INDEX(#REF!,MATCH('Respuestas de formulario 1.1'!$B241,#REF!,0),MATCH('Respuestas de formulario 1.1'!CW$1,#REF!,0)),"")</f>
        <v/>
      </c>
      <c r="CX241" s="56" t="str">
        <f t="array" ref="CX241">IFERROR(INDEX(#REF!,MATCH('Respuestas de formulario 1.1'!$B241,#REF!,0),MATCH('Respuestas de formulario 1.1'!CX$1,#REF!,0)),"")</f>
        <v/>
      </c>
      <c r="CY241" s="56" t="str">
        <f t="array" ref="CY241">IFERROR(INDEX(#REF!,MATCH('Respuestas de formulario 1.1'!$B241,#REF!,0),MATCH('Respuestas de formulario 1.1'!CY$1,#REF!,0)),"")</f>
        <v/>
      </c>
      <c r="CZ241" s="57" t="str">
        <f t="array" ref="CZ241">IFERROR(INDEX(#REF!,MATCH('Respuestas de formulario 1.1'!$B241,#REF!,0),MATCH('Respuestas de formulario 1.1'!CZ$1,#REF!,0)),"")</f>
        <v/>
      </c>
      <c r="DA241" s="45" t="e">
        <f t="array" ref="DA241">INDEX(#REF!,MATCH('Respuestas de formulario 1.1'!$B241,#REF!,0),MATCH('Respuestas de formulario 1.1'!DA$1,#REF!,0))</f>
        <v>#REF!</v>
      </c>
      <c r="DB241" s="45" t="e">
        <f t="array" ref="DB241">INDEX(#REF!,MATCH('Respuestas de formulario 1.1'!$B241,#REF!,0),MATCH('Respuestas de formulario 1.1'!DB$1,#REF!,0))</f>
        <v>#REF!</v>
      </c>
      <c r="DC241" s="45" t="e">
        <f t="array" ref="DC241">INDEX(#REF!,MATCH('Respuestas de formulario 1.1'!$B241,#REF!,0),MATCH('Respuestas de formulario 1.1'!DC$1,#REF!,0))</f>
        <v>#REF!</v>
      </c>
      <c r="DD241" s="45" t="e">
        <f t="array" ref="DD241">INDEX(#REF!,MATCH('Respuestas de formulario 1.1'!$B241,#REF!,0),MATCH('Respuestas de formulario 1.1'!DD$1,#REF!,0))</f>
        <v>#REF!</v>
      </c>
      <c r="DE241" s="45" t="e">
        <f t="array" ref="DE241">INDEX(#REF!,MATCH('Respuestas de formulario 1.1'!$B241,#REF!,0),MATCH('Respuestas de formulario 1.1'!DE$1,#REF!,0))</f>
        <v>#REF!</v>
      </c>
      <c r="DF241" s="45" t="e">
        <f t="array" ref="DF241">INDEX(#REF!,MATCH('Respuestas de formulario 1.1'!$B241,#REF!,0),MATCH('Respuestas de formulario 1.1'!DF$1,#REF!,0))</f>
        <v>#REF!</v>
      </c>
      <c r="DG241" s="45" t="e">
        <f t="array" ref="DG241">INDEX(#REF!,MATCH('Respuestas de formulario 1.1'!$B241,#REF!,0),MATCH('Respuestas de formulario 1.1'!DG$1,#REF!,0))</f>
        <v>#REF!</v>
      </c>
      <c r="DH241" s="45" t="e">
        <f t="array" ref="DH241">INDEX(#REF!,MATCH('Respuestas de formulario 1.1'!$B241,#REF!,0),MATCH('Respuestas de formulario 1.1'!DH$1,#REF!,0))</f>
        <v>#REF!</v>
      </c>
      <c r="DI241" s="48" t="e">
        <f>VLOOKUP(CONCATENATE($DF241," TUTO ",$DC241),#REF!,3,0)</f>
        <v>#REF!</v>
      </c>
      <c r="DJ241" s="48" t="e">
        <f t="array" ref="DJ241">IF('Respuestas de formulario 1.1'!A241="","",INDEX(#REF!,MATCH('Respuestas de formulario 1.1'!B241,#REF!,0),MATCH('Respuestas de formulario 1.1'!$DH$1,#REF!,0)))</f>
        <v>#REF!</v>
      </c>
      <c r="DK241" s="52" t="str">
        <f>CONCATENATE("http://doc.google.com/uc?id=",MID('Respuestas de formulario 1.1'!G241,34,33))</f>
        <v>http://doc.google.com/uc?id=1nsfr8aXTgOlBQ0pWSsCnHnyMK9M1elRn</v>
      </c>
      <c r="DL241" s="49" t="str">
        <f>CONCATENATE("http://doc.google.com/uc?id=",MID('Respuestas de formulario 1.1'!AH241,34,33))</f>
        <v>http://doc.google.com/uc?id=1-BeaSAQ1z4j_Ep-IEW4FDj7cKdTrQZbn</v>
      </c>
      <c r="DM241" s="50" t="str">
        <f>CONCATENATE("http://doc.google.com/uc?id=",MID('Respuestas de formulario 1.1'!AW241,34,33))</f>
        <v>http://doc.google.com/uc?id=1JPGrfnzGea61Lry1sIG4TnqvKk7JS_3u</v>
      </c>
      <c r="DN241" s="53" t="str">
        <f>CONCATENATE("http://doc.google.com/uc?id=",MID('Respuestas de formulario 1.1'!$BI241,34,33))</f>
        <v>http://doc.google.com/uc?id=1FC9Uawd-M-TFRKxfMmT6A9zMLHet8x5j</v>
      </c>
      <c r="DO241" s="45" t="str">
        <f>IFERROR(VLOOKUP(CONCATENATE('Respuestas de formulario 1.1'!$B241,MID('Respuestas de formulario 1.1'!DO$1,2,1)),#REF!,12,0),"")</f>
        <v/>
      </c>
      <c r="DP241" s="45" t="str">
        <f>IFERROR(VLOOKUP(CONCATENATE('Respuestas de formulario 1.1'!$B241,MID('Respuestas de formulario 1.1'!DP$1,2,1)),#REF!,12,0),"")</f>
        <v/>
      </c>
      <c r="DQ241" s="45" t="str">
        <f>IFERROR(VLOOKUP(CONCATENATE('Respuestas de formulario 1.1'!$B241,MID('Respuestas de formulario 1.1'!DQ$1,2,1)),#REF!,12,0),"")</f>
        <v/>
      </c>
      <c r="DR241" s="45" t="str">
        <f>IFERROR(VLOOKUP(CONCATENATE('Respuestas de formulario 1.1'!$B241,MID('Respuestas de formulario 1.1'!DR$1,2,1)),#REF!,12,0),"")</f>
        <v/>
      </c>
      <c r="DS241" s="45" t="str">
        <f>IFERROR(VLOOKUP(CONCATENATE('Respuestas de formulario 1.1'!$B241,MID('Respuestas de formulario 1.1'!DS$1,2,1)),#REF!,12,0),"")</f>
        <v/>
      </c>
      <c r="DT241" s="45" t="str">
        <f>IFERROR(VLOOKUP(CONCATENATE('Respuestas de formulario 1.1'!$B241,MID('Respuestas de formulario 1.1'!DT$1,2,1)),#REF!,12,0),"")</f>
        <v/>
      </c>
      <c r="DU241" s="45" t="str">
        <f>IFERROR(VLOOKUP(CONCATENATE('Respuestas de formulario 1.1'!$B241,MID('Respuestas de formulario 1.1'!DU$1,2,1)),#REF!,12,0),"")</f>
        <v/>
      </c>
      <c r="DV241" s="45" t="str">
        <f>IFERROR(VLOOKUP(CONCATENATE('Respuestas de formulario 1.1'!$B241,MID('Respuestas de formulario 1.1'!DV$1,2,1)),#REF!,12,0),"")</f>
        <v/>
      </c>
      <c r="DW241" s="45" t="str">
        <f>IFERROR(VLOOKUP(CONCATENATE('Respuestas de formulario 1.1'!$B241,MID('Respuestas de formulario 1.1'!DW$1,2,1)),#REF!,12,0),"")</f>
        <v/>
      </c>
      <c r="DX241" s="45" t="str">
        <f>IFERROR(VLOOKUP(CONCATENATE('Respuestas de formulario 1.1'!$B241,MID('Respuestas de formulario 1.1'!DX$1,2,1)),#REF!,12,0),"")</f>
        <v/>
      </c>
      <c r="DY241" s="45" t="str">
        <f>IFERROR(VLOOKUP(CONCATENATE('Respuestas de formulario 1.1'!$B241,MID('Respuestas de formulario 1.1'!DY$1,2,1)),#REF!,12,0),"")</f>
        <v/>
      </c>
      <c r="DZ241" s="45" t="str">
        <f>IFERROR(VLOOKUP(CONCATENATE('Respuestas de formulario 1.1'!$B241,MID('Respuestas de formulario 1.1'!DZ$1,2,1)),#REF!,12,0),"")</f>
        <v/>
      </c>
      <c r="EA241" s="45" t="str">
        <f>IFERROR(VLOOKUP(CONCATENATE('Respuestas de formulario 1.1'!$B241,MID('Respuestas de formulario 1.1'!EA$1,2,1)),#REF!,12,0),"")</f>
        <v/>
      </c>
      <c r="EB241" s="45" t="str">
        <f>IFERROR(VLOOKUP(CONCATENATE('Respuestas de formulario 1.1'!$B241,MID('Respuestas de formulario 1.1'!EB$1,2,1)),#REF!,12,0),"")</f>
        <v/>
      </c>
      <c r="EC241" s="45" t="str">
        <f>IFERROR(VLOOKUP(CONCATENATE('Respuestas de formulario 1.1'!$B241,MID('Respuestas de formulario 1.1'!EC$1,2,1)),#REF!,12,0),"")</f>
        <v/>
      </c>
      <c r="ED241" s="45" t="str">
        <f>IFERROR(VLOOKUP(CONCATENATE('Respuestas de formulario 1.1'!$B241,MID('Respuestas de formulario 1.1'!ED$1,2,1)),#REF!,12,0),"")</f>
        <v/>
      </c>
      <c r="EE241" s="45" t="str">
        <f>IFERROR(VLOOKUP(CONCATENATE('Respuestas de formulario 1.1'!$B241,MID('Respuestas de formulario 1.1'!EE$1,2,1)),#REF!,12,0),"")</f>
        <v/>
      </c>
      <c r="EF241" s="45" t="str">
        <f>IFERROR(VLOOKUP(CONCATENATE('Respuestas de formulario 1.1'!$B241,MID('Respuestas de formulario 1.1'!EF$1,2,1)),#REF!,12,0),"")</f>
        <v/>
      </c>
      <c r="EG241" s="45" t="str">
        <f>IFERROR(VLOOKUP(CONCATENATE('Respuestas de formulario 1.1'!$B241,MID('Respuestas de formulario 1.1'!EG$1,2,1)),#REF!,12,0),"")</f>
        <v/>
      </c>
      <c r="EH241" s="45" t="str">
        <f>IFERROR(VLOOKUP(CONCATENATE('Respuestas de formulario 1.1'!$B241,MID('Respuestas de formulario 1.1'!EH$1,2,1)),#REF!,12,0),"")</f>
        <v/>
      </c>
      <c r="EI241" s="45" t="str">
        <f>IFERROR(VLOOKUP(CONCATENATE('Respuestas de formulario 1.1'!$B241,MID('Respuestas de formulario 1.1'!EI$1,2,1)),#REF!,12,0),"")</f>
        <v/>
      </c>
      <c r="EJ241" s="45" t="str">
        <f t="array" ref="EJ241">IF(DO241="","", INDEX(#REF!,MATCH(CONCATENATE('Respuestas de formulario 1.1'!$B241,DO241),#REF!,0),MATCH('Respuestas de formulario 1.1'!EJ$1,#REF!,0)))</f>
        <v/>
      </c>
      <c r="EK241" s="56" t="str">
        <f t="array" ref="EK241">IF(DP241="","", INDEX(#REF!,MATCH(CONCATENATE('Respuestas de formulario 1.1'!$B241,DP241),#REF!,0),MATCH('Respuestas de formulario 1.1'!EK$1,#REF!,0)))</f>
        <v/>
      </c>
      <c r="EL241" s="56" t="str">
        <f t="array" ref="EL241">IF(DQ241="","", INDEX(#REF!,MATCH(CONCATENATE('Respuestas de formulario 1.1'!$B241,DQ241),#REF!,0),MATCH('Respuestas de formulario 1.1'!EL$1,#REF!,0)))</f>
        <v/>
      </c>
      <c r="EM241" s="56" t="str">
        <f t="array" ref="EM241">IF(DR241="","", INDEX(#REF!,MATCH(CONCATENATE('Respuestas de formulario 1.1'!$B241,DR241),#REF!,0),MATCH('Respuestas de formulario 1.1'!EM$1,#REF!,0)))</f>
        <v/>
      </c>
      <c r="EN241" s="56" t="str">
        <f t="array" ref="EN241">IF(DS241="","", INDEX(#REF!,MATCH(CONCATENATE('Respuestas de formulario 1.1'!$B241,DS241),#REF!,0),MATCH('Respuestas de formulario 1.1'!EN$1,#REF!,0)))</f>
        <v/>
      </c>
      <c r="EO241" s="56" t="str">
        <f t="array" ref="EO241">IF(DT241="","", INDEX(#REF!,MATCH(CONCATENATE('Respuestas de formulario 1.1'!$B241,DT241),#REF!,0),MATCH('Respuestas de formulario 1.1'!EO$1,#REF!,0)))</f>
        <v/>
      </c>
      <c r="EP241" s="45" t="str">
        <f t="array" ref="EP241">IF(DU241="","", INDEX(#REF!,MATCH(CONCATENATE('Respuestas de formulario 1.1'!$B241,DU241),#REF!,0),MATCH('Respuestas de formulario 1.1'!EP$1,#REF!,0)))</f>
        <v/>
      </c>
      <c r="EQ241" s="45" t="str">
        <f t="array" ref="EQ241">IF(DP241="","", INDEX(#REF!,MATCH(CONCATENATE('Respuestas de formulario 1.1'!$B241,DP241),#REF!,0),MATCH('Respuestas de formulario 1.1'!EQ$1,#REF!,0)))</f>
        <v/>
      </c>
      <c r="ER241" s="56" t="str">
        <f t="array" ref="ER241">IF(DQ241="","", INDEX(#REF!,MATCH(CONCATENATE('Respuestas de formulario 1.1'!$B241,DQ241),#REF!,0),MATCH('Respuestas de formulario 1.1'!ER$1,#REF!,0)))</f>
        <v/>
      </c>
      <c r="ES241" s="56" t="str">
        <f t="array" ref="ES241">IF(DR241="","", INDEX(#REF!,MATCH(CONCATENATE('Respuestas de formulario 1.1'!$B241,DR241),#REF!,0),MATCH('Respuestas de formulario 1.1'!ES$1,#REF!,0)))</f>
        <v/>
      </c>
      <c r="ET241" s="56" t="str">
        <f t="array" ref="ET241">IF(DS241="","", INDEX(#REF!,MATCH(CONCATENATE('Respuestas de formulario 1.1'!$B241,DS241),#REF!,0),MATCH('Respuestas de formulario 1.1'!ET$1,#REF!,0)))</f>
        <v/>
      </c>
      <c r="EU241" s="56" t="str">
        <f t="array" ref="EU241">IF(DT241="","", INDEX(#REF!,MATCH(CONCATENATE('Respuestas de formulario 1.1'!$B241,DT241),#REF!,0),MATCH('Respuestas de formulario 1.1'!EU$1,#REF!,0)))</f>
        <v/>
      </c>
      <c r="EV241" s="56" t="str">
        <f t="array" ref="EV241">IF(DU241="","", INDEX(#REF!,MATCH(CONCATENATE('Respuestas de formulario 1.1'!$B241,DU241),#REF!,0),MATCH('Respuestas de formulario 1.1'!EV$1,#REF!,0)))</f>
        <v/>
      </c>
      <c r="EW241" s="45" t="str">
        <f t="array" ref="EW241">IF(DV241="","", INDEX(#REF!,MATCH(CONCATENATE('Respuestas de formulario 1.1'!$B241,DV241),#REF!,0),MATCH('Respuestas de formulario 1.1'!EW$1,#REF!,0)))</f>
        <v/>
      </c>
      <c r="EX241" s="45" t="str">
        <f t="array" ref="EX241">IF($DQ241="","", INDEX(#REF!,MATCH(CONCATENATE('Respuestas de formulario 1.1'!$B241,$DQ241),#REF!,0),MATCH('Respuestas de formulario 1.1'!EX$1,#REF!,0)))</f>
        <v/>
      </c>
      <c r="EY241" s="56" t="str">
        <f t="array" ref="EY241">IF($DQ241="","", INDEX(#REF!,MATCH(CONCATENATE('Respuestas de formulario 1.1'!$B241,$DQ241),#REF!,0),MATCH('Respuestas de formulario 1.1'!EY$1,#REF!,0)))</f>
        <v/>
      </c>
      <c r="EZ241" s="56" t="str">
        <f t="array" ref="EZ241">IF($DQ241="","", INDEX(#REF!,MATCH(CONCATENATE('Respuestas de formulario 1.1'!$B241,$DQ241),#REF!,0),MATCH('Respuestas de formulario 1.1'!EZ$1,#REF!,0)))</f>
        <v/>
      </c>
      <c r="FA241" s="56" t="str">
        <f t="array" ref="FA241">IF($DQ241="","", INDEX(#REF!,MATCH(CONCATENATE('Respuestas de formulario 1.1'!$B241,$DQ241),#REF!,0),MATCH('Respuestas de formulario 1.1'!FA$1,#REF!,0)))</f>
        <v/>
      </c>
      <c r="FB241" s="56" t="str">
        <f t="array" ref="FB241">IF($DQ241="","", INDEX(#REF!,MATCH(CONCATENATE('Respuestas de formulario 1.1'!$B241,$DQ241),#REF!,0),MATCH('Respuestas de formulario 1.1'!FB$1,#REF!,0)))</f>
        <v/>
      </c>
      <c r="FC241" s="56" t="str">
        <f t="array" ref="FC241">IF($DQ241="","", INDEX(#REF!,MATCH(CONCATENATE('Respuestas de formulario 1.1'!$B241,$DQ241),#REF!,0),MATCH('Respuestas de formulario 1.1'!FC$1,#REF!,0)))</f>
        <v/>
      </c>
      <c r="FD241" s="45" t="str">
        <f t="array" ref="FD241">IF($DQ241="","", INDEX(#REF!,MATCH(CONCATENATE('Respuestas de formulario 1.1'!$B241,$DQ241),#REF!,0),MATCH('Respuestas de formulario 1.1'!FD$1,#REF!,0)))</f>
        <v/>
      </c>
      <c r="FE241" s="45" t="str">
        <f t="array" ref="FE241">IF($DR241="","", INDEX(#REF!,MATCH(CONCATENATE(#REF!,$DR241),#REF!,0),MATCH(#REF!,#REF!,0)))</f>
        <v/>
      </c>
      <c r="FF241" s="56" t="str">
        <f t="array" ref="FF241">IF($DR241="","", INDEX(#REF!,MATCH(CONCATENATE(#REF!,$DR241),#REF!,0),MATCH(#REF!,#REF!,0)))</f>
        <v/>
      </c>
      <c r="FG241" s="56" t="str">
        <f t="array" ref="FG241">IF($DR241="","", INDEX(#REF!,MATCH(CONCATENATE(#REF!,$DR241),#REF!,0),MATCH(#REF!,#REF!,0)))</f>
        <v/>
      </c>
      <c r="FH241" s="56" t="str">
        <f t="array" ref="FH241">IF($DR241="","", INDEX(#REF!,MATCH(CONCATENATE(#REF!,$DR241),#REF!,0),MATCH(#REF!,#REF!,0)))</f>
        <v/>
      </c>
      <c r="FI241" s="56" t="str">
        <f t="array" ref="FI241">IF($DR241="","", INDEX(#REF!,MATCH(CONCATENATE(#REF!,$DR241),#REF!,0),MATCH(#REF!,#REF!,0)))</f>
        <v/>
      </c>
      <c r="FJ241" s="56" t="str">
        <f t="array" ref="FJ241">IF($DR241="","", INDEX(#REF!,MATCH(CONCATENATE(#REF!,$DR241),#REF!,0),MATCH(#REF!,#REF!,0)))</f>
        <v/>
      </c>
      <c r="FK241" s="45" t="str">
        <f t="array" ref="FK241">IF($DR241="","", INDEX(#REF!,MATCH(CONCATENATE(#REF!,$DR241),#REF!,0),MATCH(#REF!,#REF!,0)))</f>
        <v/>
      </c>
      <c r="FL241" s="45" t="str">
        <f t="array" ref="FL241">IF($DT241="","", INDEX(#REF!,MATCH(CONCATENATE('Respuestas de formulario 1.1'!$B241,$DS241),#REF!,0),MATCH('Respuestas de formulario 1.1'!FL$1,#REF!,0)))</f>
        <v/>
      </c>
      <c r="FM241" s="56" t="str">
        <f t="array" ref="FM241">IF($DT241="","", INDEX(#REF!,MATCH(CONCATENATE('Respuestas de formulario 1.1'!$B241,$DS241),#REF!,0),MATCH('Respuestas de formulario 1.1'!FM$1,#REF!,0)))</f>
        <v/>
      </c>
      <c r="FN241" s="56" t="str">
        <f t="array" ref="FN241">IF($DT241="","", INDEX(#REF!,MATCH(CONCATENATE('Respuestas de formulario 1.1'!$B241,$DS241),#REF!,0),MATCH('Respuestas de formulario 1.1'!FN$1,#REF!,0)))</f>
        <v/>
      </c>
      <c r="FO241" s="56" t="str">
        <f t="array" ref="FO241">IF($DT241="","", INDEX(#REF!,MATCH(CONCATENATE('Respuestas de formulario 1.1'!$B241,$DS241),#REF!,0),MATCH('Respuestas de formulario 1.1'!FO$1,#REF!,0)))</f>
        <v/>
      </c>
      <c r="FP241" s="56" t="str">
        <f t="array" ref="FP241">IF($DT241="","", INDEX(#REF!,MATCH(CONCATENATE('Respuestas de formulario 1.1'!$B241,$DS241),#REF!,0),MATCH('Respuestas de formulario 1.1'!FP$1,#REF!,0)))</f>
        <v/>
      </c>
      <c r="FQ241" s="56" t="str">
        <f t="array" ref="FQ241">IF($DT241="","", INDEX(#REF!,MATCH(CONCATENATE('Respuestas de formulario 1.1'!$B241,$DS241),#REF!,0),MATCH('Respuestas de formulario 1.1'!FQ$1,#REF!,0)))</f>
        <v/>
      </c>
      <c r="FR241" s="45" t="str">
        <f t="array" ref="FR241">IF($DT241="","", INDEX(#REF!,MATCH(CONCATENATE('Respuestas de formulario 1.1'!$B241,$DS241),#REF!,0),MATCH('Respuestas de formulario 1.1'!FR$1,#REF!,0)))</f>
        <v/>
      </c>
      <c r="FS241" s="45" t="str">
        <f t="array" ref="FS241">IF($DU241="","", INDEX(#REF!,MATCH(CONCATENATE('Respuestas de formulario 1.1'!$B241,$DT241),#REF!,0),MATCH('Respuestas de formulario 1.1'!FS$1,#REF!,0)))</f>
        <v/>
      </c>
      <c r="FT241" s="56" t="str">
        <f t="array" ref="FT241">IF($DU241="","", INDEX(#REF!,MATCH(CONCATENATE('Respuestas de formulario 1.1'!$B241,$DT241),#REF!,0),MATCH('Respuestas de formulario 1.1'!FT$1,#REF!,0)))</f>
        <v/>
      </c>
      <c r="FU241" s="56" t="str">
        <f t="array" ref="FU241">IF($DU241="","", INDEX(#REF!,MATCH(CONCATENATE('Respuestas de formulario 1.1'!$B241,$DT241),#REF!,0),MATCH('Respuestas de formulario 1.1'!FU$1,#REF!,0)))</f>
        <v/>
      </c>
      <c r="FV241" s="56" t="str">
        <f t="array" ref="FV241">IF($DU241="","", INDEX(#REF!,MATCH(CONCATENATE('Respuestas de formulario 1.1'!$B241,$DT241),#REF!,0),MATCH('Respuestas de formulario 1.1'!FV$1,#REF!,0)))</f>
        <v/>
      </c>
      <c r="FW241" s="56" t="str">
        <f t="array" ref="FW241">IF($DU241="","", INDEX(#REF!,MATCH(CONCATENATE('Respuestas de formulario 1.1'!$B241,$DT241),#REF!,0),MATCH('Respuestas de formulario 1.1'!FW$1,#REF!,0)))</f>
        <v/>
      </c>
      <c r="FX241" s="56" t="str">
        <f t="array" ref="FX241">IF($DU241="","", INDEX(#REF!,MATCH(CONCATENATE('Respuestas de formulario 1.1'!$B241,$DT241),#REF!,0),MATCH('Respuestas de formulario 1.1'!FX$1,#REF!,0)))</f>
        <v/>
      </c>
      <c r="FY241" s="45" t="str">
        <f t="array" ref="FY241">IF($DU241="","", INDEX(#REF!,MATCH(CONCATENATE('Respuestas de formulario 1.1'!$B241,$DT241),#REF!,0),MATCH('Respuestas de formulario 1.1'!FY$1,#REF!,0)))</f>
        <v/>
      </c>
      <c r="FZ241" s="3" t="s">
        <v>2860</v>
      </c>
      <c r="GA241" s="1" t="s">
        <v>6988</v>
      </c>
      <c r="GB241" s="5" t="s">
        <v>6989</v>
      </c>
      <c r="GC241" s="4" t="str">
        <f>HYPERLINK("https://drive.google.com/file/d/1qMcEw8JVtzc7oX3wYpErbMbXJuVTZVF4/view?usp=drivesdk","ZARATE  MAGAÑA MICHEL YOSELIN  Formato de reinscripción y pago 2022-2")</f>
        <v>ZARATE  MAGAÑA MICHEL YOSELIN  Formato de reinscripción y pago 2022-2</v>
      </c>
      <c r="GD241" s="1" t="s">
        <v>6990</v>
      </c>
      <c r="GE241" s="1"/>
      <c r="GF241" s="1"/>
      <c r="GG241" s="1"/>
      <c r="GH241" s="1"/>
      <c r="GI241" s="1" t="s">
        <v>6991</v>
      </c>
      <c r="GJ241" s="5" t="s">
        <v>6992</v>
      </c>
      <c r="GK241" s="5" t="str">
        <f>HYPERLINK("https://drive.google.com/file/d/1h2Qif1m0X3d1eVMwgC8Jcb47Fh7fl7bJ/view?usp=drivesdk","ZARATE  MAGAÑA MICHEL YOSELIN  Formato de reinscripción y pago 2022-2")</f>
        <v>ZARATE  MAGAÑA MICHEL YOSELIN  Formato de reinscripción y pago 2022-2</v>
      </c>
      <c r="GL241" s="1" t="s">
        <v>6993</v>
      </c>
    </row>
    <row r="242" spans="1:194" ht="38.25" x14ac:dyDescent="0.2">
      <c r="A242" s="2">
        <v>45139.542240995375</v>
      </c>
      <c r="B242" s="1" t="s">
        <v>2068</v>
      </c>
      <c r="C242" s="1" t="s">
        <v>1326</v>
      </c>
      <c r="D242" s="1" t="s">
        <v>6994</v>
      </c>
      <c r="E242" s="1" t="s">
        <v>2069</v>
      </c>
      <c r="F242" s="1" t="s">
        <v>223</v>
      </c>
      <c r="G242" s="5" t="s">
        <v>6995</v>
      </c>
      <c r="H242" s="41">
        <v>39225</v>
      </c>
      <c r="I242" s="1">
        <v>16</v>
      </c>
      <c r="J242" s="1">
        <v>5568986102</v>
      </c>
      <c r="K242" s="1">
        <v>5524783736</v>
      </c>
      <c r="L242" s="1" t="s">
        <v>2070</v>
      </c>
      <c r="M242" s="1">
        <v>22309060570519</v>
      </c>
      <c r="N242" s="1" t="s">
        <v>562</v>
      </c>
      <c r="O242" s="1" t="s">
        <v>247</v>
      </c>
      <c r="P242" s="1" t="s">
        <v>278</v>
      </c>
      <c r="Q242" s="1" t="s">
        <v>227</v>
      </c>
      <c r="R242" s="1" t="s">
        <v>236</v>
      </c>
      <c r="S242" s="1" t="s">
        <v>228</v>
      </c>
      <c r="T242" s="1" t="s">
        <v>229</v>
      </c>
      <c r="U242" s="1" t="s">
        <v>289</v>
      </c>
      <c r="V242" s="1" t="s">
        <v>228</v>
      </c>
      <c r="W242" s="1" t="s">
        <v>6996</v>
      </c>
      <c r="X242" s="1" t="s">
        <v>289</v>
      </c>
      <c r="Y242" s="1" t="s">
        <v>1694</v>
      </c>
      <c r="Z242" s="1" t="s">
        <v>231</v>
      </c>
      <c r="AA242" s="1">
        <v>56576</v>
      </c>
      <c r="AB242" s="1" t="s">
        <v>6997</v>
      </c>
      <c r="AC242" s="1" t="s">
        <v>6998</v>
      </c>
      <c r="AD242" s="1" t="s">
        <v>6999</v>
      </c>
      <c r="AE242" s="1" t="s">
        <v>7000</v>
      </c>
      <c r="AF242" s="1" t="s">
        <v>265</v>
      </c>
      <c r="AG242" s="1">
        <v>35</v>
      </c>
      <c r="AH242" s="5" t="s">
        <v>7001</v>
      </c>
      <c r="AI242" s="1">
        <v>5542823213</v>
      </c>
      <c r="AJ242" s="1">
        <v>5524783736</v>
      </c>
      <c r="AK242" s="1" t="s">
        <v>2071</v>
      </c>
      <c r="AL242" s="1" t="s">
        <v>1326</v>
      </c>
      <c r="AM242" s="1" t="s">
        <v>1133</v>
      </c>
      <c r="AN242" s="1" t="s">
        <v>2072</v>
      </c>
      <c r="AO242" s="1" t="s">
        <v>435</v>
      </c>
      <c r="AP242" s="1">
        <v>35</v>
      </c>
      <c r="AQ242" s="1" t="s">
        <v>306</v>
      </c>
      <c r="AR242" s="42">
        <v>0.29166666666424135</v>
      </c>
      <c r="AS242" s="42">
        <v>0.125</v>
      </c>
      <c r="AT242" s="1">
        <v>5535468252</v>
      </c>
      <c r="AU242" s="1">
        <v>5524783736</v>
      </c>
      <c r="AV242" s="1" t="s">
        <v>2073</v>
      </c>
      <c r="AW242" s="5" t="s">
        <v>7002</v>
      </c>
      <c r="AX242" s="1" t="s">
        <v>1064</v>
      </c>
      <c r="AY242" s="1" t="s">
        <v>244</v>
      </c>
      <c r="AZ242" s="1" t="s">
        <v>2375</v>
      </c>
      <c r="BA242" s="1" t="s">
        <v>359</v>
      </c>
      <c r="BB242" s="1">
        <v>57</v>
      </c>
      <c r="BC242" s="1" t="s">
        <v>362</v>
      </c>
      <c r="BD242" s="43">
        <v>0.375</v>
      </c>
      <c r="BE242" s="43">
        <v>0.16666666666424135</v>
      </c>
      <c r="BF242" s="1">
        <v>5637101197</v>
      </c>
      <c r="BG242" s="1">
        <v>5524783736</v>
      </c>
      <c r="BH242" s="1" t="s">
        <v>7003</v>
      </c>
      <c r="BI242" s="5" t="s">
        <v>7004</v>
      </c>
      <c r="BJ242" s="1" t="s">
        <v>236</v>
      </c>
      <c r="BK242" s="1" t="s">
        <v>7005</v>
      </c>
      <c r="BL242" s="1">
        <v>1.47</v>
      </c>
      <c r="BM242" s="1">
        <v>47</v>
      </c>
      <c r="BN242" s="1" t="s">
        <v>236</v>
      </c>
      <c r="BO242" s="1" t="s">
        <v>228</v>
      </c>
      <c r="BP242" s="1" t="s">
        <v>297</v>
      </c>
      <c r="BQ242" s="1" t="s">
        <v>228</v>
      </c>
      <c r="BR242" s="1" t="s">
        <v>237</v>
      </c>
      <c r="BS242" s="1" t="s">
        <v>228</v>
      </c>
      <c r="BT242" s="1" t="s">
        <v>237</v>
      </c>
      <c r="BU242" s="1" t="s">
        <v>228</v>
      </c>
      <c r="BW242" s="1" t="s">
        <v>272</v>
      </c>
      <c r="BX242" s="1">
        <v>160</v>
      </c>
      <c r="BY242" s="1">
        <v>250</v>
      </c>
      <c r="BZ242" s="1" t="s">
        <v>298</v>
      </c>
      <c r="CA242" s="1" t="s">
        <v>343</v>
      </c>
      <c r="CB242" s="1" t="s">
        <v>240</v>
      </c>
      <c r="CC242" s="1" t="s">
        <v>300</v>
      </c>
      <c r="CD242" s="1">
        <v>300</v>
      </c>
      <c r="CE242" s="1">
        <v>2500</v>
      </c>
      <c r="CF242" s="1" t="s">
        <v>236</v>
      </c>
      <c r="CG242" s="1" t="s">
        <v>242</v>
      </c>
      <c r="CH242" s="1" t="s">
        <v>243</v>
      </c>
      <c r="CI242" s="1" t="s">
        <v>243</v>
      </c>
      <c r="CJ242" s="1" t="s">
        <v>2848</v>
      </c>
      <c r="CL242" s="5" t="s">
        <v>7006</v>
      </c>
      <c r="CM242" s="44" t="s">
        <v>2074</v>
      </c>
      <c r="CN242" s="1" t="s">
        <v>228</v>
      </c>
      <c r="CQ242" s="42">
        <v>0.25</v>
      </c>
      <c r="CR242" s="42">
        <v>0.5</v>
      </c>
      <c r="CT242" s="45" t="str">
        <f t="array" ref="CT242">IFERROR(INDEX(#REF!,MATCH('Respuestas de formulario 1.1'!$B242,#REF!,0),MATCH('Respuestas de formulario 1.1'!CT$1,#REF!,0)),"")</f>
        <v/>
      </c>
      <c r="CU242" s="56" t="str">
        <f t="array" ref="CU242">IFERROR(INDEX(#REF!,MATCH('Respuestas de formulario 1.1'!$B242,#REF!,0),MATCH('Respuestas de formulario 1.1'!CU$1,#REF!,0)),"")</f>
        <v/>
      </c>
      <c r="CV242" s="56" t="str">
        <f t="array" ref="CV242">IFERROR(INDEX(#REF!,MATCH('Respuestas de formulario 1.1'!$B242,#REF!,0),MATCH('Respuestas de formulario 1.1'!CV$1,#REF!,0)),"")</f>
        <v/>
      </c>
      <c r="CW242" s="56" t="str">
        <f t="array" ref="CW242">IFERROR(INDEX(#REF!,MATCH('Respuestas de formulario 1.1'!$B242,#REF!,0),MATCH('Respuestas de formulario 1.1'!CW$1,#REF!,0)),"")</f>
        <v/>
      </c>
      <c r="CX242" s="56" t="str">
        <f t="array" ref="CX242">IFERROR(INDEX(#REF!,MATCH('Respuestas de formulario 1.1'!$B242,#REF!,0),MATCH('Respuestas de formulario 1.1'!CX$1,#REF!,0)),"")</f>
        <v/>
      </c>
      <c r="CY242" s="56" t="str">
        <f t="array" ref="CY242">IFERROR(INDEX(#REF!,MATCH('Respuestas de formulario 1.1'!$B242,#REF!,0),MATCH('Respuestas de formulario 1.1'!CY$1,#REF!,0)),"")</f>
        <v/>
      </c>
      <c r="CZ242" s="57" t="str">
        <f t="array" ref="CZ242">IFERROR(INDEX(#REF!,MATCH('Respuestas de formulario 1.1'!$B242,#REF!,0),MATCH('Respuestas de formulario 1.1'!CZ$1,#REF!,0)),"")</f>
        <v/>
      </c>
      <c r="DA242" s="45" t="e">
        <f t="array" ref="DA242">INDEX(#REF!,MATCH('Respuestas de formulario 1.1'!$B242,#REF!,0),MATCH('Respuestas de formulario 1.1'!DA$1,#REF!,0))</f>
        <v>#REF!</v>
      </c>
      <c r="DB242" s="45" t="e">
        <f t="array" ref="DB242">INDEX(#REF!,MATCH('Respuestas de formulario 1.1'!$B242,#REF!,0),MATCH('Respuestas de formulario 1.1'!DB$1,#REF!,0))</f>
        <v>#REF!</v>
      </c>
      <c r="DC242" s="45" t="e">
        <f t="array" ref="DC242">INDEX(#REF!,MATCH('Respuestas de formulario 1.1'!$B242,#REF!,0),MATCH('Respuestas de formulario 1.1'!DC$1,#REF!,0))</f>
        <v>#REF!</v>
      </c>
      <c r="DD242" s="45" t="e">
        <f t="array" ref="DD242">INDEX(#REF!,MATCH('Respuestas de formulario 1.1'!$B242,#REF!,0),MATCH('Respuestas de formulario 1.1'!DD$1,#REF!,0))</f>
        <v>#REF!</v>
      </c>
      <c r="DE242" s="45" t="e">
        <f t="array" ref="DE242">INDEX(#REF!,MATCH('Respuestas de formulario 1.1'!$B242,#REF!,0),MATCH('Respuestas de formulario 1.1'!DE$1,#REF!,0))</f>
        <v>#REF!</v>
      </c>
      <c r="DF242" s="45" t="e">
        <f t="array" ref="DF242">INDEX(#REF!,MATCH('Respuestas de formulario 1.1'!$B242,#REF!,0),MATCH('Respuestas de formulario 1.1'!DF$1,#REF!,0))</f>
        <v>#REF!</v>
      </c>
      <c r="DG242" s="45" t="e">
        <f t="array" ref="DG242">INDEX(#REF!,MATCH('Respuestas de formulario 1.1'!$B242,#REF!,0),MATCH('Respuestas de formulario 1.1'!DG$1,#REF!,0))</f>
        <v>#REF!</v>
      </c>
      <c r="DH242" s="45" t="e">
        <f t="array" ref="DH242">INDEX(#REF!,MATCH('Respuestas de formulario 1.1'!$B242,#REF!,0),MATCH('Respuestas de formulario 1.1'!DH$1,#REF!,0))</f>
        <v>#REF!</v>
      </c>
      <c r="DI242" s="48" t="e">
        <f>VLOOKUP(CONCATENATE($DF242," TUTO ",$DC242),#REF!,3,0)</f>
        <v>#REF!</v>
      </c>
      <c r="DJ242" s="48" t="e">
        <f t="array" ref="DJ242">IF('Respuestas de formulario 1.1'!A242="","",INDEX(#REF!,MATCH('Respuestas de formulario 1.1'!B242,#REF!,0),MATCH('Respuestas de formulario 1.1'!$DH$1,#REF!,0)))</f>
        <v>#REF!</v>
      </c>
      <c r="DK242" s="52" t="str">
        <f>CONCATENATE("http://doc.google.com/uc?id=",MID('Respuestas de formulario 1.1'!G242,34,33))</f>
        <v>http://doc.google.com/uc?id=1ELrC5sQtP_5Xiy2yPGO7u4WkxcrhaSYI</v>
      </c>
      <c r="DL242" s="49" t="str">
        <f>CONCATENATE("http://doc.google.com/uc?id=",MID('Respuestas de formulario 1.1'!AH242,34,33))</f>
        <v>http://doc.google.com/uc?id=10rFkKwaMfdISYEP7417LS1IP10Obbsw6</v>
      </c>
      <c r="DM242" s="50" t="str">
        <f>CONCATENATE("http://doc.google.com/uc?id=",MID('Respuestas de formulario 1.1'!AW242,34,33))</f>
        <v>http://doc.google.com/uc?id=1PxDjVMY6KFXCPgsHUcmwQsIw-0KRPe-Q</v>
      </c>
      <c r="DN242" s="53" t="str">
        <f>CONCATENATE("http://doc.google.com/uc?id=",MID('Respuestas de formulario 1.1'!$BI242,34,33))</f>
        <v>http://doc.google.com/uc?id=1D2lIEabxmFgmf6ILpVwEnfCLf0qkYmI8</v>
      </c>
      <c r="DO242" s="45" t="str">
        <f>IFERROR(VLOOKUP(CONCATENATE('Respuestas de formulario 1.1'!$B242,MID('Respuestas de formulario 1.1'!DO$1,2,1)),#REF!,12,0),"")</f>
        <v/>
      </c>
      <c r="DP242" s="45" t="str">
        <f>IFERROR(VLOOKUP(CONCATENATE('Respuestas de formulario 1.1'!$B242,MID('Respuestas de formulario 1.1'!DP$1,2,1)),#REF!,12,0),"")</f>
        <v/>
      </c>
      <c r="DQ242" s="45" t="str">
        <f>IFERROR(VLOOKUP(CONCATENATE('Respuestas de formulario 1.1'!$B242,MID('Respuestas de formulario 1.1'!DQ$1,2,1)),#REF!,12,0),"")</f>
        <v/>
      </c>
      <c r="DR242" s="45" t="str">
        <f>IFERROR(VLOOKUP(CONCATENATE('Respuestas de formulario 1.1'!$B242,MID('Respuestas de formulario 1.1'!DR$1,2,1)),#REF!,12,0),"")</f>
        <v/>
      </c>
      <c r="DS242" s="45" t="str">
        <f>IFERROR(VLOOKUP(CONCATENATE('Respuestas de formulario 1.1'!$B242,MID('Respuestas de formulario 1.1'!DS$1,2,1)),#REF!,12,0),"")</f>
        <v/>
      </c>
      <c r="DT242" s="45" t="str">
        <f>IFERROR(VLOOKUP(CONCATENATE('Respuestas de formulario 1.1'!$B242,MID('Respuestas de formulario 1.1'!DT$1,2,1)),#REF!,12,0),"")</f>
        <v/>
      </c>
      <c r="DU242" s="45" t="str">
        <f>IFERROR(VLOOKUP(CONCATENATE('Respuestas de formulario 1.1'!$B242,MID('Respuestas de formulario 1.1'!DU$1,2,1)),#REF!,12,0),"")</f>
        <v/>
      </c>
      <c r="DV242" s="45" t="str">
        <f>IFERROR(VLOOKUP(CONCATENATE('Respuestas de formulario 1.1'!$B242,MID('Respuestas de formulario 1.1'!DV$1,2,1)),#REF!,12,0),"")</f>
        <v/>
      </c>
      <c r="DW242" s="45" t="str">
        <f>IFERROR(VLOOKUP(CONCATENATE('Respuestas de formulario 1.1'!$B242,MID('Respuestas de formulario 1.1'!DW$1,2,1)),#REF!,12,0),"")</f>
        <v/>
      </c>
      <c r="DX242" s="45" t="str">
        <f>IFERROR(VLOOKUP(CONCATENATE('Respuestas de formulario 1.1'!$B242,MID('Respuestas de formulario 1.1'!DX$1,2,1)),#REF!,12,0),"")</f>
        <v/>
      </c>
      <c r="DY242" s="45" t="str">
        <f>IFERROR(VLOOKUP(CONCATENATE('Respuestas de formulario 1.1'!$B242,MID('Respuestas de formulario 1.1'!DY$1,2,1)),#REF!,12,0),"")</f>
        <v/>
      </c>
      <c r="DZ242" s="45" t="str">
        <f>IFERROR(VLOOKUP(CONCATENATE('Respuestas de formulario 1.1'!$B242,MID('Respuestas de formulario 1.1'!DZ$1,2,1)),#REF!,12,0),"")</f>
        <v/>
      </c>
      <c r="EA242" s="45" t="str">
        <f>IFERROR(VLOOKUP(CONCATENATE('Respuestas de formulario 1.1'!$B242,MID('Respuestas de formulario 1.1'!EA$1,2,1)),#REF!,12,0),"")</f>
        <v/>
      </c>
      <c r="EB242" s="45" t="str">
        <f>IFERROR(VLOOKUP(CONCATENATE('Respuestas de formulario 1.1'!$B242,MID('Respuestas de formulario 1.1'!EB$1,2,1)),#REF!,12,0),"")</f>
        <v/>
      </c>
      <c r="EC242" s="45" t="str">
        <f>IFERROR(VLOOKUP(CONCATENATE('Respuestas de formulario 1.1'!$B242,MID('Respuestas de formulario 1.1'!EC$1,2,1)),#REF!,12,0),"")</f>
        <v/>
      </c>
      <c r="ED242" s="45" t="str">
        <f>IFERROR(VLOOKUP(CONCATENATE('Respuestas de formulario 1.1'!$B242,MID('Respuestas de formulario 1.1'!ED$1,2,1)),#REF!,12,0),"")</f>
        <v/>
      </c>
      <c r="EE242" s="45" t="str">
        <f>IFERROR(VLOOKUP(CONCATENATE('Respuestas de formulario 1.1'!$B242,MID('Respuestas de formulario 1.1'!EE$1,2,1)),#REF!,12,0),"")</f>
        <v/>
      </c>
      <c r="EF242" s="45" t="str">
        <f>IFERROR(VLOOKUP(CONCATENATE('Respuestas de formulario 1.1'!$B242,MID('Respuestas de formulario 1.1'!EF$1,2,1)),#REF!,12,0),"")</f>
        <v/>
      </c>
      <c r="EG242" s="45" t="str">
        <f>IFERROR(VLOOKUP(CONCATENATE('Respuestas de formulario 1.1'!$B242,MID('Respuestas de formulario 1.1'!EG$1,2,1)),#REF!,12,0),"")</f>
        <v/>
      </c>
      <c r="EH242" s="45" t="str">
        <f>IFERROR(VLOOKUP(CONCATENATE('Respuestas de formulario 1.1'!$B242,MID('Respuestas de formulario 1.1'!EH$1,2,1)),#REF!,12,0),"")</f>
        <v/>
      </c>
      <c r="EI242" s="45" t="str">
        <f>IFERROR(VLOOKUP(CONCATENATE('Respuestas de formulario 1.1'!$B242,MID('Respuestas de formulario 1.1'!EI$1,2,1)),#REF!,12,0),"")</f>
        <v/>
      </c>
      <c r="EJ242" s="45" t="str">
        <f t="array" ref="EJ242">IF(DO242="","", INDEX(#REF!,MATCH(CONCATENATE('Respuestas de formulario 1.1'!$B242,DO242),#REF!,0),MATCH('Respuestas de formulario 1.1'!EJ$1,#REF!,0)))</f>
        <v/>
      </c>
      <c r="EK242" s="56" t="str">
        <f t="array" ref="EK242">IF(DP242="","", INDEX(#REF!,MATCH(CONCATENATE('Respuestas de formulario 1.1'!$B242,DP242),#REF!,0),MATCH('Respuestas de formulario 1.1'!EK$1,#REF!,0)))</f>
        <v/>
      </c>
      <c r="EL242" s="56" t="str">
        <f t="array" ref="EL242">IF(DQ242="","", INDEX(#REF!,MATCH(CONCATENATE('Respuestas de formulario 1.1'!$B242,DQ242),#REF!,0),MATCH('Respuestas de formulario 1.1'!EL$1,#REF!,0)))</f>
        <v/>
      </c>
      <c r="EM242" s="56" t="str">
        <f t="array" ref="EM242">IF(DR242="","", INDEX(#REF!,MATCH(CONCATENATE('Respuestas de formulario 1.1'!$B242,DR242),#REF!,0),MATCH('Respuestas de formulario 1.1'!EM$1,#REF!,0)))</f>
        <v/>
      </c>
      <c r="EN242" s="56" t="str">
        <f t="array" ref="EN242">IF(DS242="","", INDEX(#REF!,MATCH(CONCATENATE('Respuestas de formulario 1.1'!$B242,DS242),#REF!,0),MATCH('Respuestas de formulario 1.1'!EN$1,#REF!,0)))</f>
        <v/>
      </c>
      <c r="EO242" s="56" t="str">
        <f t="array" ref="EO242">IF(DT242="","", INDEX(#REF!,MATCH(CONCATENATE('Respuestas de formulario 1.1'!$B242,DT242),#REF!,0),MATCH('Respuestas de formulario 1.1'!EO$1,#REF!,0)))</f>
        <v/>
      </c>
      <c r="EP242" s="45" t="str">
        <f t="array" ref="EP242">IF(DU242="","", INDEX(#REF!,MATCH(CONCATENATE('Respuestas de formulario 1.1'!$B242,DU242),#REF!,0),MATCH('Respuestas de formulario 1.1'!EP$1,#REF!,0)))</f>
        <v/>
      </c>
      <c r="EQ242" s="45" t="str">
        <f t="array" ref="EQ242">IF(DP242="","", INDEX(#REF!,MATCH(CONCATENATE('Respuestas de formulario 1.1'!$B242,DP242),#REF!,0),MATCH('Respuestas de formulario 1.1'!EQ$1,#REF!,0)))</f>
        <v/>
      </c>
      <c r="ER242" s="56" t="str">
        <f t="array" ref="ER242">IF(DQ242="","", INDEX(#REF!,MATCH(CONCATENATE('Respuestas de formulario 1.1'!$B242,DQ242),#REF!,0),MATCH('Respuestas de formulario 1.1'!ER$1,#REF!,0)))</f>
        <v/>
      </c>
      <c r="ES242" s="56" t="str">
        <f t="array" ref="ES242">IF(DR242="","", INDEX(#REF!,MATCH(CONCATENATE('Respuestas de formulario 1.1'!$B242,DR242),#REF!,0),MATCH('Respuestas de formulario 1.1'!ES$1,#REF!,0)))</f>
        <v/>
      </c>
      <c r="ET242" s="56" t="str">
        <f t="array" ref="ET242">IF(DS242="","", INDEX(#REF!,MATCH(CONCATENATE('Respuestas de formulario 1.1'!$B242,DS242),#REF!,0),MATCH('Respuestas de formulario 1.1'!ET$1,#REF!,0)))</f>
        <v/>
      </c>
      <c r="EU242" s="56" t="str">
        <f t="array" ref="EU242">IF(DT242="","", INDEX(#REF!,MATCH(CONCATENATE('Respuestas de formulario 1.1'!$B242,DT242),#REF!,0),MATCH('Respuestas de formulario 1.1'!EU$1,#REF!,0)))</f>
        <v/>
      </c>
      <c r="EV242" s="56" t="str">
        <f t="array" ref="EV242">IF(DU242="","", INDEX(#REF!,MATCH(CONCATENATE('Respuestas de formulario 1.1'!$B242,DU242),#REF!,0),MATCH('Respuestas de formulario 1.1'!EV$1,#REF!,0)))</f>
        <v/>
      </c>
      <c r="EW242" s="45" t="str">
        <f t="array" ref="EW242">IF(DV242="","", INDEX(#REF!,MATCH(CONCATENATE('Respuestas de formulario 1.1'!$B242,DV242),#REF!,0),MATCH('Respuestas de formulario 1.1'!EW$1,#REF!,0)))</f>
        <v/>
      </c>
      <c r="EX242" s="45" t="str">
        <f t="array" ref="EX242">IF($DQ242="","", INDEX(#REF!,MATCH(CONCATENATE('Respuestas de formulario 1.1'!$B242,$DQ242),#REF!,0),MATCH('Respuestas de formulario 1.1'!EX$1,#REF!,0)))</f>
        <v/>
      </c>
      <c r="EY242" s="56" t="str">
        <f t="array" ref="EY242">IF($DQ242="","", INDEX(#REF!,MATCH(CONCATENATE('Respuestas de formulario 1.1'!$B242,$DQ242),#REF!,0),MATCH('Respuestas de formulario 1.1'!EY$1,#REF!,0)))</f>
        <v/>
      </c>
      <c r="EZ242" s="56" t="str">
        <f t="array" ref="EZ242">IF($DQ242="","", INDEX(#REF!,MATCH(CONCATENATE('Respuestas de formulario 1.1'!$B242,$DQ242),#REF!,0),MATCH('Respuestas de formulario 1.1'!EZ$1,#REF!,0)))</f>
        <v/>
      </c>
      <c r="FA242" s="56" t="str">
        <f t="array" ref="FA242">IF($DQ242="","", INDEX(#REF!,MATCH(CONCATENATE('Respuestas de formulario 1.1'!$B242,$DQ242),#REF!,0),MATCH('Respuestas de formulario 1.1'!FA$1,#REF!,0)))</f>
        <v/>
      </c>
      <c r="FB242" s="56" t="str">
        <f t="array" ref="FB242">IF($DQ242="","", INDEX(#REF!,MATCH(CONCATENATE('Respuestas de formulario 1.1'!$B242,$DQ242),#REF!,0),MATCH('Respuestas de formulario 1.1'!FB$1,#REF!,0)))</f>
        <v/>
      </c>
      <c r="FC242" s="56" t="str">
        <f t="array" ref="FC242">IF($DQ242="","", INDEX(#REF!,MATCH(CONCATENATE('Respuestas de formulario 1.1'!$B242,$DQ242),#REF!,0),MATCH('Respuestas de formulario 1.1'!FC$1,#REF!,0)))</f>
        <v/>
      </c>
      <c r="FD242" s="45" t="str">
        <f t="array" ref="FD242">IF($DQ242="","", INDEX(#REF!,MATCH(CONCATENATE('Respuestas de formulario 1.1'!$B242,$DQ242),#REF!,0),MATCH('Respuestas de formulario 1.1'!FD$1,#REF!,0)))</f>
        <v/>
      </c>
      <c r="FE242" s="45" t="str">
        <f t="array" ref="FE242">IF($DR242="","", INDEX(#REF!,MATCH(CONCATENATE(#REF!,$DR242),#REF!,0),MATCH(#REF!,#REF!,0)))</f>
        <v/>
      </c>
      <c r="FF242" s="56" t="str">
        <f t="array" ref="FF242">IF($DR242="","", INDEX(#REF!,MATCH(CONCATENATE(#REF!,$DR242),#REF!,0),MATCH(#REF!,#REF!,0)))</f>
        <v/>
      </c>
      <c r="FG242" s="56" t="str">
        <f t="array" ref="FG242">IF($DR242="","", INDEX(#REF!,MATCH(CONCATENATE(#REF!,$DR242),#REF!,0),MATCH(#REF!,#REF!,0)))</f>
        <v/>
      </c>
      <c r="FH242" s="56" t="str">
        <f t="array" ref="FH242">IF($DR242="","", INDEX(#REF!,MATCH(CONCATENATE(#REF!,$DR242),#REF!,0),MATCH(#REF!,#REF!,0)))</f>
        <v/>
      </c>
      <c r="FI242" s="56" t="str">
        <f t="array" ref="FI242">IF($DR242="","", INDEX(#REF!,MATCH(CONCATENATE(#REF!,$DR242),#REF!,0),MATCH(#REF!,#REF!,0)))</f>
        <v/>
      </c>
      <c r="FJ242" s="56" t="str">
        <f t="array" ref="FJ242">IF($DR242="","", INDEX(#REF!,MATCH(CONCATENATE(#REF!,$DR242),#REF!,0),MATCH(#REF!,#REF!,0)))</f>
        <v/>
      </c>
      <c r="FK242" s="45" t="str">
        <f t="array" ref="FK242">IF($DR242="","", INDEX(#REF!,MATCH(CONCATENATE(#REF!,$DR242),#REF!,0),MATCH(#REF!,#REF!,0)))</f>
        <v/>
      </c>
      <c r="FL242" s="45" t="str">
        <f t="array" ref="FL242">IF($DT242="","", INDEX(#REF!,MATCH(CONCATENATE('Respuestas de formulario 1.1'!$B242,$DS242),#REF!,0),MATCH('Respuestas de formulario 1.1'!FL$1,#REF!,0)))</f>
        <v/>
      </c>
      <c r="FM242" s="56" t="str">
        <f t="array" ref="FM242">IF($DT242="","", INDEX(#REF!,MATCH(CONCATENATE('Respuestas de formulario 1.1'!$B242,$DS242),#REF!,0),MATCH('Respuestas de formulario 1.1'!FM$1,#REF!,0)))</f>
        <v/>
      </c>
      <c r="FN242" s="56" t="str">
        <f t="array" ref="FN242">IF($DT242="","", INDEX(#REF!,MATCH(CONCATENATE('Respuestas de formulario 1.1'!$B242,$DS242),#REF!,0),MATCH('Respuestas de formulario 1.1'!FN$1,#REF!,0)))</f>
        <v/>
      </c>
      <c r="FO242" s="56" t="str">
        <f t="array" ref="FO242">IF($DT242="","", INDEX(#REF!,MATCH(CONCATENATE('Respuestas de formulario 1.1'!$B242,$DS242),#REF!,0),MATCH('Respuestas de formulario 1.1'!FO$1,#REF!,0)))</f>
        <v/>
      </c>
      <c r="FP242" s="56" t="str">
        <f t="array" ref="FP242">IF($DT242="","", INDEX(#REF!,MATCH(CONCATENATE('Respuestas de formulario 1.1'!$B242,$DS242),#REF!,0),MATCH('Respuestas de formulario 1.1'!FP$1,#REF!,0)))</f>
        <v/>
      </c>
      <c r="FQ242" s="56" t="str">
        <f t="array" ref="FQ242">IF($DT242="","", INDEX(#REF!,MATCH(CONCATENATE('Respuestas de formulario 1.1'!$B242,$DS242),#REF!,0),MATCH('Respuestas de formulario 1.1'!FQ$1,#REF!,0)))</f>
        <v/>
      </c>
      <c r="FR242" s="45" t="str">
        <f t="array" ref="FR242">IF($DT242="","", INDEX(#REF!,MATCH(CONCATENATE('Respuestas de formulario 1.1'!$B242,$DS242),#REF!,0),MATCH('Respuestas de formulario 1.1'!FR$1,#REF!,0)))</f>
        <v/>
      </c>
      <c r="FS242" s="45" t="str">
        <f t="array" ref="FS242">IF($DU242="","", INDEX(#REF!,MATCH(CONCATENATE('Respuestas de formulario 1.1'!$B242,$DT242),#REF!,0),MATCH('Respuestas de formulario 1.1'!FS$1,#REF!,0)))</f>
        <v/>
      </c>
      <c r="FT242" s="56" t="str">
        <f t="array" ref="FT242">IF($DU242="","", INDEX(#REF!,MATCH(CONCATENATE('Respuestas de formulario 1.1'!$B242,$DT242),#REF!,0),MATCH('Respuestas de formulario 1.1'!FT$1,#REF!,0)))</f>
        <v/>
      </c>
      <c r="FU242" s="56" t="str">
        <f t="array" ref="FU242">IF($DU242="","", INDEX(#REF!,MATCH(CONCATENATE('Respuestas de formulario 1.1'!$B242,$DT242),#REF!,0),MATCH('Respuestas de formulario 1.1'!FU$1,#REF!,0)))</f>
        <v/>
      </c>
      <c r="FV242" s="56" t="str">
        <f t="array" ref="FV242">IF($DU242="","", INDEX(#REF!,MATCH(CONCATENATE('Respuestas de formulario 1.1'!$B242,$DT242),#REF!,0),MATCH('Respuestas de formulario 1.1'!FV$1,#REF!,0)))</f>
        <v/>
      </c>
      <c r="FW242" s="56" t="str">
        <f t="array" ref="FW242">IF($DU242="","", INDEX(#REF!,MATCH(CONCATENATE('Respuestas de formulario 1.1'!$B242,$DT242),#REF!,0),MATCH('Respuestas de formulario 1.1'!FW$1,#REF!,0)))</f>
        <v/>
      </c>
      <c r="FX242" s="56" t="str">
        <f t="array" ref="FX242">IF($DU242="","", INDEX(#REF!,MATCH(CONCATENATE('Respuestas de formulario 1.1'!$B242,$DT242),#REF!,0),MATCH('Respuestas de formulario 1.1'!FX$1,#REF!,0)))</f>
        <v/>
      </c>
      <c r="FY242" s="45" t="str">
        <f t="array" ref="FY242">IF($DU242="","", INDEX(#REF!,MATCH(CONCATENATE('Respuestas de formulario 1.1'!$B242,$DT242),#REF!,0),MATCH('Respuestas de formulario 1.1'!FY$1,#REF!,0)))</f>
        <v/>
      </c>
      <c r="FZ242" s="3" t="s">
        <v>2860</v>
      </c>
      <c r="GA242" s="1" t="s">
        <v>7007</v>
      </c>
      <c r="GB242" s="5" t="s">
        <v>7008</v>
      </c>
      <c r="GC242" s="4" t="str">
        <f>HYPERLINK("https://drive.google.com/file/d/1lDzXUumbkVcSWm5JEdECJhyFnNTf9mdH/view?usp=drivesdk","GUZMAN  YAHUTENTZI MELANIE AILYN  Formato de reinscripción y pago 2022-2")</f>
        <v>GUZMAN  YAHUTENTZI MELANIE AILYN  Formato de reinscripción y pago 2022-2</v>
      </c>
      <c r="GD242" s="1" t="s">
        <v>7009</v>
      </c>
      <c r="GE242" s="1"/>
      <c r="GF242" s="1"/>
      <c r="GG242" s="1"/>
      <c r="GH242" s="1"/>
      <c r="GI242" s="1" t="s">
        <v>7010</v>
      </c>
      <c r="GJ242" s="5" t="s">
        <v>7011</v>
      </c>
      <c r="GK242" s="5" t="str">
        <f>HYPERLINK("https://drive.google.com/file/d/1bw8FxFeaDncqUjIb1WubRZQRn34gJB2b/view?usp=drivesdk","GUZMAN  YAHUTENTZI MELANIE AILYN  Formato de reinscripción y pago 2022-2")</f>
        <v>GUZMAN  YAHUTENTZI MELANIE AILYN  Formato de reinscripción y pago 2022-2</v>
      </c>
      <c r="GL242" s="1" t="s">
        <v>7012</v>
      </c>
    </row>
    <row r="243" spans="1:194" ht="38.25" x14ac:dyDescent="0.2">
      <c r="A243" s="2">
        <v>45139.542260439819</v>
      </c>
      <c r="B243" s="1" t="s">
        <v>2049</v>
      </c>
      <c r="C243" s="1" t="s">
        <v>433</v>
      </c>
      <c r="D243" s="1" t="s">
        <v>2050</v>
      </c>
      <c r="E243" s="1" t="s">
        <v>2051</v>
      </c>
      <c r="F243" s="1" t="s">
        <v>262</v>
      </c>
      <c r="G243" s="5" t="s">
        <v>7013</v>
      </c>
      <c r="H243" s="41">
        <v>38931</v>
      </c>
      <c r="I243" s="1">
        <v>17</v>
      </c>
      <c r="J243" s="1">
        <v>5620671893</v>
      </c>
      <c r="K243" s="1">
        <v>5620671893</v>
      </c>
      <c r="L243" s="1" t="s">
        <v>2052</v>
      </c>
      <c r="M243" s="1">
        <v>22309060570854</v>
      </c>
      <c r="N243" s="1" t="s">
        <v>562</v>
      </c>
      <c r="O243" s="1" t="s">
        <v>225</v>
      </c>
      <c r="P243" s="1" t="s">
        <v>314</v>
      </c>
      <c r="Q243" s="1" t="s">
        <v>248</v>
      </c>
      <c r="R243" s="1" t="s">
        <v>236</v>
      </c>
      <c r="S243" s="1" t="s">
        <v>228</v>
      </c>
      <c r="T243" s="1" t="s">
        <v>686</v>
      </c>
      <c r="U243" s="1" t="s">
        <v>249</v>
      </c>
      <c r="V243" s="1" t="s">
        <v>228</v>
      </c>
      <c r="W243" s="1" t="s">
        <v>7014</v>
      </c>
      <c r="X243" s="1" t="s">
        <v>249</v>
      </c>
      <c r="Y243" s="1" t="s">
        <v>274</v>
      </c>
      <c r="Z243" s="1" t="s">
        <v>240</v>
      </c>
      <c r="AA243" s="44" t="s">
        <v>548</v>
      </c>
      <c r="AB243" s="1" t="s">
        <v>2054</v>
      </c>
      <c r="AC243" s="1" t="s">
        <v>2053</v>
      </c>
      <c r="AD243" s="1" t="s">
        <v>7015</v>
      </c>
      <c r="AE243" s="1" t="s">
        <v>7016</v>
      </c>
      <c r="AF243" s="1" t="s">
        <v>758</v>
      </c>
      <c r="AG243" s="1">
        <v>20</v>
      </c>
      <c r="AH243" s="5" t="s">
        <v>7017</v>
      </c>
      <c r="AI243" s="1">
        <v>5614064205</v>
      </c>
      <c r="AJ243" s="1">
        <v>5614064205</v>
      </c>
      <c r="AK243" s="1" t="s">
        <v>7018</v>
      </c>
      <c r="AL243" s="1" t="s">
        <v>433</v>
      </c>
      <c r="AM243" s="1" t="s">
        <v>2113</v>
      </c>
      <c r="AN243" s="1" t="s">
        <v>1124</v>
      </c>
      <c r="AO243" s="1" t="s">
        <v>650</v>
      </c>
      <c r="AP243" s="1">
        <v>48</v>
      </c>
      <c r="AQ243" s="1" t="s">
        <v>449</v>
      </c>
      <c r="AR243" s="42">
        <v>0.29166666666424135</v>
      </c>
      <c r="AS243" s="42">
        <v>0.29166666666424135</v>
      </c>
      <c r="AT243" s="1">
        <v>5634002578</v>
      </c>
      <c r="AU243" s="1">
        <v>5634002578</v>
      </c>
      <c r="AV243" s="1" t="s">
        <v>2055</v>
      </c>
      <c r="AW243" s="5" t="s">
        <v>7019</v>
      </c>
      <c r="AX243" s="1" t="s">
        <v>2050</v>
      </c>
      <c r="AY243" s="1" t="s">
        <v>369</v>
      </c>
      <c r="AZ243" s="1" t="s">
        <v>2056</v>
      </c>
      <c r="BA243" s="1" t="s">
        <v>445</v>
      </c>
      <c r="BB243" s="1">
        <v>47</v>
      </c>
      <c r="BC243" s="1" t="s">
        <v>233</v>
      </c>
      <c r="BD243" s="43">
        <v>0</v>
      </c>
      <c r="BE243" s="43">
        <v>0</v>
      </c>
      <c r="BF243" s="1">
        <v>5620671893</v>
      </c>
      <c r="BG243" s="1">
        <v>5620671893</v>
      </c>
      <c r="BH243" s="1" t="s">
        <v>2055</v>
      </c>
      <c r="BI243" s="5" t="s">
        <v>7020</v>
      </c>
      <c r="BJ243" s="1" t="s">
        <v>236</v>
      </c>
      <c r="BK243" s="1" t="s">
        <v>2737</v>
      </c>
      <c r="BL243" s="1">
        <v>1.76</v>
      </c>
      <c r="BM243" s="1">
        <v>56</v>
      </c>
      <c r="BN243" s="1" t="s">
        <v>228</v>
      </c>
      <c r="BO243" s="1" t="s">
        <v>228</v>
      </c>
      <c r="BP243" s="1" t="s">
        <v>297</v>
      </c>
      <c r="BQ243" s="1" t="s">
        <v>228</v>
      </c>
      <c r="BR243" s="1" t="s">
        <v>237</v>
      </c>
      <c r="BS243" s="1" t="s">
        <v>228</v>
      </c>
      <c r="BT243" s="1" t="s">
        <v>237</v>
      </c>
      <c r="BU243" s="1" t="s">
        <v>228</v>
      </c>
      <c r="BW243" s="1" t="s">
        <v>272</v>
      </c>
      <c r="BX243" s="1">
        <v>180</v>
      </c>
      <c r="BY243" s="1">
        <v>200</v>
      </c>
      <c r="BZ243" s="1" t="s">
        <v>7021</v>
      </c>
      <c r="CA243" s="1" t="s">
        <v>384</v>
      </c>
      <c r="CB243" s="1" t="s">
        <v>240</v>
      </c>
      <c r="CC243" s="1" t="s">
        <v>274</v>
      </c>
      <c r="CD243" s="1">
        <v>1000</v>
      </c>
      <c r="CE243" s="1">
        <v>2500</v>
      </c>
      <c r="CF243" s="1" t="s">
        <v>236</v>
      </c>
      <c r="CG243" s="1" t="s">
        <v>242</v>
      </c>
      <c r="CH243" s="1" t="s">
        <v>243</v>
      </c>
      <c r="CI243" s="1" t="s">
        <v>243</v>
      </c>
      <c r="CJ243" s="1" t="s">
        <v>2848</v>
      </c>
      <c r="CL243" s="5" t="s">
        <v>7022</v>
      </c>
      <c r="CM243" s="1">
        <v>9093743756</v>
      </c>
      <c r="CN243" s="1" t="s">
        <v>228</v>
      </c>
      <c r="CQ243" s="42">
        <v>0.29166666666424135</v>
      </c>
      <c r="CR243" s="42">
        <v>0.75</v>
      </c>
      <c r="CT243" s="45" t="str">
        <f t="array" ref="CT243">IFERROR(INDEX(#REF!,MATCH('Respuestas de formulario 1.1'!$B243,#REF!,0),MATCH('Respuestas de formulario 1.1'!CT$1,#REF!,0)),"")</f>
        <v/>
      </c>
      <c r="CU243" s="56" t="str">
        <f t="array" ref="CU243">IFERROR(INDEX(#REF!,MATCH('Respuestas de formulario 1.1'!$B243,#REF!,0),MATCH('Respuestas de formulario 1.1'!CU$1,#REF!,0)),"")</f>
        <v/>
      </c>
      <c r="CV243" s="56" t="str">
        <f t="array" ref="CV243">IFERROR(INDEX(#REF!,MATCH('Respuestas de formulario 1.1'!$B243,#REF!,0),MATCH('Respuestas de formulario 1.1'!CV$1,#REF!,0)),"")</f>
        <v/>
      </c>
      <c r="CW243" s="56" t="str">
        <f t="array" ref="CW243">IFERROR(INDEX(#REF!,MATCH('Respuestas de formulario 1.1'!$B243,#REF!,0),MATCH('Respuestas de formulario 1.1'!CW$1,#REF!,0)),"")</f>
        <v/>
      </c>
      <c r="CX243" s="56" t="str">
        <f t="array" ref="CX243">IFERROR(INDEX(#REF!,MATCH('Respuestas de formulario 1.1'!$B243,#REF!,0),MATCH('Respuestas de formulario 1.1'!CX$1,#REF!,0)),"")</f>
        <v/>
      </c>
      <c r="CY243" s="56" t="str">
        <f t="array" ref="CY243">IFERROR(INDEX(#REF!,MATCH('Respuestas de formulario 1.1'!$B243,#REF!,0),MATCH('Respuestas de formulario 1.1'!CY$1,#REF!,0)),"")</f>
        <v/>
      </c>
      <c r="CZ243" s="57" t="str">
        <f t="array" ref="CZ243">IFERROR(INDEX(#REF!,MATCH('Respuestas de formulario 1.1'!$B243,#REF!,0),MATCH('Respuestas de formulario 1.1'!CZ$1,#REF!,0)),"")</f>
        <v/>
      </c>
      <c r="DA243" s="45" t="e">
        <f t="array" ref="DA243">INDEX(#REF!,MATCH('Respuestas de formulario 1.1'!$B243,#REF!,0),MATCH('Respuestas de formulario 1.1'!DA$1,#REF!,0))</f>
        <v>#REF!</v>
      </c>
      <c r="DB243" s="45" t="e">
        <f t="array" ref="DB243">INDEX(#REF!,MATCH('Respuestas de formulario 1.1'!$B243,#REF!,0),MATCH('Respuestas de formulario 1.1'!DB$1,#REF!,0))</f>
        <v>#REF!</v>
      </c>
      <c r="DC243" s="45" t="e">
        <f t="array" ref="DC243">INDEX(#REF!,MATCH('Respuestas de formulario 1.1'!$B243,#REF!,0),MATCH('Respuestas de formulario 1.1'!DC$1,#REF!,0))</f>
        <v>#REF!</v>
      </c>
      <c r="DD243" s="45" t="e">
        <f t="array" ref="DD243">INDEX(#REF!,MATCH('Respuestas de formulario 1.1'!$B243,#REF!,0),MATCH('Respuestas de formulario 1.1'!DD$1,#REF!,0))</f>
        <v>#REF!</v>
      </c>
      <c r="DE243" s="45" t="e">
        <f t="array" ref="DE243">INDEX(#REF!,MATCH('Respuestas de formulario 1.1'!$B243,#REF!,0),MATCH('Respuestas de formulario 1.1'!DE$1,#REF!,0))</f>
        <v>#REF!</v>
      </c>
      <c r="DF243" s="45" t="e">
        <f t="array" ref="DF243">INDEX(#REF!,MATCH('Respuestas de formulario 1.1'!$B243,#REF!,0),MATCH('Respuestas de formulario 1.1'!DF$1,#REF!,0))</f>
        <v>#REF!</v>
      </c>
      <c r="DG243" s="45" t="e">
        <f t="array" ref="DG243">INDEX(#REF!,MATCH('Respuestas de formulario 1.1'!$B243,#REF!,0),MATCH('Respuestas de formulario 1.1'!DG$1,#REF!,0))</f>
        <v>#REF!</v>
      </c>
      <c r="DH243" s="45" t="e">
        <f t="array" ref="DH243">INDEX(#REF!,MATCH('Respuestas de formulario 1.1'!$B243,#REF!,0),MATCH('Respuestas de formulario 1.1'!DH$1,#REF!,0))</f>
        <v>#REF!</v>
      </c>
      <c r="DI243" s="48" t="e">
        <f>VLOOKUP(CONCATENATE($DF243," TUTO ",$DC243),#REF!,3,0)</f>
        <v>#REF!</v>
      </c>
      <c r="DJ243" s="48" t="e">
        <f t="array" ref="DJ243">IF('Respuestas de formulario 1.1'!A243="","",INDEX(#REF!,MATCH('Respuestas de formulario 1.1'!B243,#REF!,0),MATCH('Respuestas de formulario 1.1'!$DH$1,#REF!,0)))</f>
        <v>#REF!</v>
      </c>
      <c r="DK243" s="52" t="str">
        <f>CONCATENATE("http://doc.google.com/uc?id=",MID('Respuestas de formulario 1.1'!G243,34,33))</f>
        <v>http://doc.google.com/uc?id=1DzC7LDjAFW6TXj3_74W7G5Ia40aHlDKC</v>
      </c>
      <c r="DL243" s="49" t="str">
        <f>CONCATENATE("http://doc.google.com/uc?id=",MID('Respuestas de formulario 1.1'!AH243,34,33))</f>
        <v>http://doc.google.com/uc?id=1ubtSY4mc9m5iRWoWBM3ZupZmslPqRUTE</v>
      </c>
      <c r="DM243" s="50" t="str">
        <f>CONCATENATE("http://doc.google.com/uc?id=",MID('Respuestas de formulario 1.1'!AW243,34,33))</f>
        <v>http://doc.google.com/uc?id=1aYVKO40QtoJv_fOnbnVvSwmBNngsv2r1</v>
      </c>
      <c r="DN243" s="53" t="str">
        <f>CONCATENATE("http://doc.google.com/uc?id=",MID('Respuestas de formulario 1.1'!$BI243,34,33))</f>
        <v>http://doc.google.com/uc?id=1lhVzvJabBYt824fLhSmMtQTfNqpQGYjq</v>
      </c>
      <c r="DO243" s="45" t="str">
        <f>IFERROR(VLOOKUP(CONCATENATE('Respuestas de formulario 1.1'!$B243,MID('Respuestas de formulario 1.1'!DO$1,2,1)),#REF!,12,0),"")</f>
        <v/>
      </c>
      <c r="DP243" s="45" t="str">
        <f>IFERROR(VLOOKUP(CONCATENATE('Respuestas de formulario 1.1'!$B243,MID('Respuestas de formulario 1.1'!DP$1,2,1)),#REF!,12,0),"")</f>
        <v/>
      </c>
      <c r="DQ243" s="45" t="str">
        <f>IFERROR(VLOOKUP(CONCATENATE('Respuestas de formulario 1.1'!$B243,MID('Respuestas de formulario 1.1'!DQ$1,2,1)),#REF!,12,0),"")</f>
        <v/>
      </c>
      <c r="DR243" s="45" t="str">
        <f>IFERROR(VLOOKUP(CONCATENATE('Respuestas de formulario 1.1'!$B243,MID('Respuestas de formulario 1.1'!DR$1,2,1)),#REF!,12,0),"")</f>
        <v/>
      </c>
      <c r="DS243" s="45" t="str">
        <f>IFERROR(VLOOKUP(CONCATENATE('Respuestas de formulario 1.1'!$B243,MID('Respuestas de formulario 1.1'!DS$1,2,1)),#REF!,12,0),"")</f>
        <v/>
      </c>
      <c r="DT243" s="45" t="str">
        <f>IFERROR(VLOOKUP(CONCATENATE('Respuestas de formulario 1.1'!$B243,MID('Respuestas de formulario 1.1'!DT$1,2,1)),#REF!,12,0),"")</f>
        <v/>
      </c>
      <c r="DU243" s="45" t="str">
        <f>IFERROR(VLOOKUP(CONCATENATE('Respuestas de formulario 1.1'!$B243,MID('Respuestas de formulario 1.1'!DU$1,2,1)),#REF!,12,0),"")</f>
        <v/>
      </c>
      <c r="DV243" s="45" t="str">
        <f>IFERROR(VLOOKUP(CONCATENATE('Respuestas de formulario 1.1'!$B243,MID('Respuestas de formulario 1.1'!DV$1,2,1)),#REF!,12,0),"")</f>
        <v/>
      </c>
      <c r="DW243" s="45" t="str">
        <f>IFERROR(VLOOKUP(CONCATENATE('Respuestas de formulario 1.1'!$B243,MID('Respuestas de formulario 1.1'!DW$1,2,1)),#REF!,12,0),"")</f>
        <v/>
      </c>
      <c r="DX243" s="45" t="str">
        <f>IFERROR(VLOOKUP(CONCATENATE('Respuestas de formulario 1.1'!$B243,MID('Respuestas de formulario 1.1'!DX$1,2,1)),#REF!,12,0),"")</f>
        <v/>
      </c>
      <c r="DY243" s="45" t="str">
        <f>IFERROR(VLOOKUP(CONCATENATE('Respuestas de formulario 1.1'!$B243,MID('Respuestas de formulario 1.1'!DY$1,2,1)),#REF!,12,0),"")</f>
        <v/>
      </c>
      <c r="DZ243" s="45" t="str">
        <f>IFERROR(VLOOKUP(CONCATENATE('Respuestas de formulario 1.1'!$B243,MID('Respuestas de formulario 1.1'!DZ$1,2,1)),#REF!,12,0),"")</f>
        <v/>
      </c>
      <c r="EA243" s="45" t="str">
        <f>IFERROR(VLOOKUP(CONCATENATE('Respuestas de formulario 1.1'!$B243,MID('Respuestas de formulario 1.1'!EA$1,2,1)),#REF!,12,0),"")</f>
        <v/>
      </c>
      <c r="EB243" s="45" t="str">
        <f>IFERROR(VLOOKUP(CONCATENATE('Respuestas de formulario 1.1'!$B243,MID('Respuestas de formulario 1.1'!EB$1,2,1)),#REF!,12,0),"")</f>
        <v/>
      </c>
      <c r="EC243" s="45" t="str">
        <f>IFERROR(VLOOKUP(CONCATENATE('Respuestas de formulario 1.1'!$B243,MID('Respuestas de formulario 1.1'!EC$1,2,1)),#REF!,12,0),"")</f>
        <v/>
      </c>
      <c r="ED243" s="45" t="str">
        <f>IFERROR(VLOOKUP(CONCATENATE('Respuestas de formulario 1.1'!$B243,MID('Respuestas de formulario 1.1'!ED$1,2,1)),#REF!,12,0),"")</f>
        <v/>
      </c>
      <c r="EE243" s="45" t="str">
        <f>IFERROR(VLOOKUP(CONCATENATE('Respuestas de formulario 1.1'!$B243,MID('Respuestas de formulario 1.1'!EE$1,2,1)),#REF!,12,0),"")</f>
        <v/>
      </c>
      <c r="EF243" s="45" t="str">
        <f>IFERROR(VLOOKUP(CONCATENATE('Respuestas de formulario 1.1'!$B243,MID('Respuestas de formulario 1.1'!EF$1,2,1)),#REF!,12,0),"")</f>
        <v/>
      </c>
      <c r="EG243" s="45" t="str">
        <f>IFERROR(VLOOKUP(CONCATENATE('Respuestas de formulario 1.1'!$B243,MID('Respuestas de formulario 1.1'!EG$1,2,1)),#REF!,12,0),"")</f>
        <v/>
      </c>
      <c r="EH243" s="45" t="str">
        <f>IFERROR(VLOOKUP(CONCATENATE('Respuestas de formulario 1.1'!$B243,MID('Respuestas de formulario 1.1'!EH$1,2,1)),#REF!,12,0),"")</f>
        <v/>
      </c>
      <c r="EI243" s="45" t="str">
        <f>IFERROR(VLOOKUP(CONCATENATE('Respuestas de formulario 1.1'!$B243,MID('Respuestas de formulario 1.1'!EI$1,2,1)),#REF!,12,0),"")</f>
        <v/>
      </c>
      <c r="EJ243" s="45" t="str">
        <f t="array" ref="EJ243">IF(DO243="","", INDEX(#REF!,MATCH(CONCATENATE('Respuestas de formulario 1.1'!$B243,DO243),#REF!,0),MATCH('Respuestas de formulario 1.1'!EJ$1,#REF!,0)))</f>
        <v/>
      </c>
      <c r="EK243" s="56" t="str">
        <f t="array" ref="EK243">IF(DP243="","", INDEX(#REF!,MATCH(CONCATENATE('Respuestas de formulario 1.1'!$B243,DP243),#REF!,0),MATCH('Respuestas de formulario 1.1'!EK$1,#REF!,0)))</f>
        <v/>
      </c>
      <c r="EL243" s="56" t="str">
        <f t="array" ref="EL243">IF(DQ243="","", INDEX(#REF!,MATCH(CONCATENATE('Respuestas de formulario 1.1'!$B243,DQ243),#REF!,0),MATCH('Respuestas de formulario 1.1'!EL$1,#REF!,0)))</f>
        <v/>
      </c>
      <c r="EM243" s="56" t="str">
        <f t="array" ref="EM243">IF(DR243="","", INDEX(#REF!,MATCH(CONCATENATE('Respuestas de formulario 1.1'!$B243,DR243),#REF!,0),MATCH('Respuestas de formulario 1.1'!EM$1,#REF!,0)))</f>
        <v/>
      </c>
      <c r="EN243" s="56" t="str">
        <f t="array" ref="EN243">IF(DS243="","", INDEX(#REF!,MATCH(CONCATENATE('Respuestas de formulario 1.1'!$B243,DS243),#REF!,0),MATCH('Respuestas de formulario 1.1'!EN$1,#REF!,0)))</f>
        <v/>
      </c>
      <c r="EO243" s="56" t="str">
        <f t="array" ref="EO243">IF(DT243="","", INDEX(#REF!,MATCH(CONCATENATE('Respuestas de formulario 1.1'!$B243,DT243),#REF!,0),MATCH('Respuestas de formulario 1.1'!EO$1,#REF!,0)))</f>
        <v/>
      </c>
      <c r="EP243" s="45" t="str">
        <f t="array" ref="EP243">IF(DU243="","", INDEX(#REF!,MATCH(CONCATENATE('Respuestas de formulario 1.1'!$B243,DU243),#REF!,0),MATCH('Respuestas de formulario 1.1'!EP$1,#REF!,0)))</f>
        <v/>
      </c>
      <c r="EQ243" s="45" t="str">
        <f t="array" ref="EQ243">IF(DP243="","", INDEX(#REF!,MATCH(CONCATENATE('Respuestas de formulario 1.1'!$B243,DP243),#REF!,0),MATCH('Respuestas de formulario 1.1'!EQ$1,#REF!,0)))</f>
        <v/>
      </c>
      <c r="ER243" s="56" t="str">
        <f t="array" ref="ER243">IF(DQ243="","", INDEX(#REF!,MATCH(CONCATENATE('Respuestas de formulario 1.1'!$B243,DQ243),#REF!,0),MATCH('Respuestas de formulario 1.1'!ER$1,#REF!,0)))</f>
        <v/>
      </c>
      <c r="ES243" s="56" t="str">
        <f t="array" ref="ES243">IF(DR243="","", INDEX(#REF!,MATCH(CONCATENATE('Respuestas de formulario 1.1'!$B243,DR243),#REF!,0),MATCH('Respuestas de formulario 1.1'!ES$1,#REF!,0)))</f>
        <v/>
      </c>
      <c r="ET243" s="56" t="str">
        <f t="array" ref="ET243">IF(DS243="","", INDEX(#REF!,MATCH(CONCATENATE('Respuestas de formulario 1.1'!$B243,DS243),#REF!,0),MATCH('Respuestas de formulario 1.1'!ET$1,#REF!,0)))</f>
        <v/>
      </c>
      <c r="EU243" s="56" t="str">
        <f t="array" ref="EU243">IF(DT243="","", INDEX(#REF!,MATCH(CONCATENATE('Respuestas de formulario 1.1'!$B243,DT243),#REF!,0),MATCH('Respuestas de formulario 1.1'!EU$1,#REF!,0)))</f>
        <v/>
      </c>
      <c r="EV243" s="56" t="str">
        <f t="array" ref="EV243">IF(DU243="","", INDEX(#REF!,MATCH(CONCATENATE('Respuestas de formulario 1.1'!$B243,DU243),#REF!,0),MATCH('Respuestas de formulario 1.1'!EV$1,#REF!,0)))</f>
        <v/>
      </c>
      <c r="EW243" s="45" t="str">
        <f t="array" ref="EW243">IF(DV243="","", INDEX(#REF!,MATCH(CONCATENATE('Respuestas de formulario 1.1'!$B243,DV243),#REF!,0),MATCH('Respuestas de formulario 1.1'!EW$1,#REF!,0)))</f>
        <v/>
      </c>
      <c r="EX243" s="45" t="str">
        <f t="array" ref="EX243">IF($DQ243="","", INDEX(#REF!,MATCH(CONCATENATE('Respuestas de formulario 1.1'!$B243,$DQ243),#REF!,0),MATCH('Respuestas de formulario 1.1'!EX$1,#REF!,0)))</f>
        <v/>
      </c>
      <c r="EY243" s="56" t="str">
        <f t="array" ref="EY243">IF($DQ243="","", INDEX(#REF!,MATCH(CONCATENATE('Respuestas de formulario 1.1'!$B243,$DQ243),#REF!,0),MATCH('Respuestas de formulario 1.1'!EY$1,#REF!,0)))</f>
        <v/>
      </c>
      <c r="EZ243" s="56" t="str">
        <f t="array" ref="EZ243">IF($DQ243="","", INDEX(#REF!,MATCH(CONCATENATE('Respuestas de formulario 1.1'!$B243,$DQ243),#REF!,0),MATCH('Respuestas de formulario 1.1'!EZ$1,#REF!,0)))</f>
        <v/>
      </c>
      <c r="FA243" s="56" t="str">
        <f t="array" ref="FA243">IF($DQ243="","", INDEX(#REF!,MATCH(CONCATENATE('Respuestas de formulario 1.1'!$B243,$DQ243),#REF!,0),MATCH('Respuestas de formulario 1.1'!FA$1,#REF!,0)))</f>
        <v/>
      </c>
      <c r="FB243" s="56" t="str">
        <f t="array" ref="FB243">IF($DQ243="","", INDEX(#REF!,MATCH(CONCATENATE('Respuestas de formulario 1.1'!$B243,$DQ243),#REF!,0),MATCH('Respuestas de formulario 1.1'!FB$1,#REF!,0)))</f>
        <v/>
      </c>
      <c r="FC243" s="56" t="str">
        <f t="array" ref="FC243">IF($DQ243="","", INDEX(#REF!,MATCH(CONCATENATE('Respuestas de formulario 1.1'!$B243,$DQ243),#REF!,0),MATCH('Respuestas de formulario 1.1'!FC$1,#REF!,0)))</f>
        <v/>
      </c>
      <c r="FD243" s="45" t="str">
        <f t="array" ref="FD243">IF($DQ243="","", INDEX(#REF!,MATCH(CONCATENATE('Respuestas de formulario 1.1'!$B243,$DQ243),#REF!,0),MATCH('Respuestas de formulario 1.1'!FD$1,#REF!,0)))</f>
        <v/>
      </c>
      <c r="FE243" s="45" t="str">
        <f t="array" ref="FE243">IF($DR243="","", INDEX(#REF!,MATCH(CONCATENATE(#REF!,$DR243),#REF!,0),MATCH(#REF!,#REF!,0)))</f>
        <v/>
      </c>
      <c r="FF243" s="56" t="str">
        <f t="array" ref="FF243">IF($DR243="","", INDEX(#REF!,MATCH(CONCATENATE(#REF!,$DR243),#REF!,0),MATCH(#REF!,#REF!,0)))</f>
        <v/>
      </c>
      <c r="FG243" s="56" t="str">
        <f t="array" ref="FG243">IF($DR243="","", INDEX(#REF!,MATCH(CONCATENATE(#REF!,$DR243),#REF!,0),MATCH(#REF!,#REF!,0)))</f>
        <v/>
      </c>
      <c r="FH243" s="56" t="str">
        <f t="array" ref="FH243">IF($DR243="","", INDEX(#REF!,MATCH(CONCATENATE(#REF!,$DR243),#REF!,0),MATCH(#REF!,#REF!,0)))</f>
        <v/>
      </c>
      <c r="FI243" s="56" t="str">
        <f t="array" ref="FI243">IF($DR243="","", INDEX(#REF!,MATCH(CONCATENATE(#REF!,$DR243),#REF!,0),MATCH(#REF!,#REF!,0)))</f>
        <v/>
      </c>
      <c r="FJ243" s="56" t="str">
        <f t="array" ref="FJ243">IF($DR243="","", INDEX(#REF!,MATCH(CONCATENATE(#REF!,$DR243),#REF!,0),MATCH(#REF!,#REF!,0)))</f>
        <v/>
      </c>
      <c r="FK243" s="45" t="str">
        <f t="array" ref="FK243">IF($DR243="","", INDEX(#REF!,MATCH(CONCATENATE(#REF!,$DR243),#REF!,0),MATCH(#REF!,#REF!,0)))</f>
        <v/>
      </c>
      <c r="FL243" s="45" t="str">
        <f t="array" ref="FL243">IF($DT243="","", INDEX(#REF!,MATCH(CONCATENATE('Respuestas de formulario 1.1'!$B243,$DS243),#REF!,0),MATCH('Respuestas de formulario 1.1'!FL$1,#REF!,0)))</f>
        <v/>
      </c>
      <c r="FM243" s="56" t="str">
        <f t="array" ref="FM243">IF($DT243="","", INDEX(#REF!,MATCH(CONCATENATE('Respuestas de formulario 1.1'!$B243,$DS243),#REF!,0),MATCH('Respuestas de formulario 1.1'!FM$1,#REF!,0)))</f>
        <v/>
      </c>
      <c r="FN243" s="56" t="str">
        <f t="array" ref="FN243">IF($DT243="","", INDEX(#REF!,MATCH(CONCATENATE('Respuestas de formulario 1.1'!$B243,$DS243),#REF!,0),MATCH('Respuestas de formulario 1.1'!FN$1,#REF!,0)))</f>
        <v/>
      </c>
      <c r="FO243" s="56" t="str">
        <f t="array" ref="FO243">IF($DT243="","", INDEX(#REF!,MATCH(CONCATENATE('Respuestas de formulario 1.1'!$B243,$DS243),#REF!,0),MATCH('Respuestas de formulario 1.1'!FO$1,#REF!,0)))</f>
        <v/>
      </c>
      <c r="FP243" s="56" t="str">
        <f t="array" ref="FP243">IF($DT243="","", INDEX(#REF!,MATCH(CONCATENATE('Respuestas de formulario 1.1'!$B243,$DS243),#REF!,0),MATCH('Respuestas de formulario 1.1'!FP$1,#REF!,0)))</f>
        <v/>
      </c>
      <c r="FQ243" s="56" t="str">
        <f t="array" ref="FQ243">IF($DT243="","", INDEX(#REF!,MATCH(CONCATENATE('Respuestas de formulario 1.1'!$B243,$DS243),#REF!,0),MATCH('Respuestas de formulario 1.1'!FQ$1,#REF!,0)))</f>
        <v/>
      </c>
      <c r="FR243" s="45" t="str">
        <f t="array" ref="FR243">IF($DT243="","", INDEX(#REF!,MATCH(CONCATENATE('Respuestas de formulario 1.1'!$B243,$DS243),#REF!,0),MATCH('Respuestas de formulario 1.1'!FR$1,#REF!,0)))</f>
        <v/>
      </c>
      <c r="FS243" s="45" t="str">
        <f t="array" ref="FS243">IF($DU243="","", INDEX(#REF!,MATCH(CONCATENATE('Respuestas de formulario 1.1'!$B243,$DT243),#REF!,0),MATCH('Respuestas de formulario 1.1'!FS$1,#REF!,0)))</f>
        <v/>
      </c>
      <c r="FT243" s="56" t="str">
        <f t="array" ref="FT243">IF($DU243="","", INDEX(#REF!,MATCH(CONCATENATE('Respuestas de formulario 1.1'!$B243,$DT243),#REF!,0),MATCH('Respuestas de formulario 1.1'!FT$1,#REF!,0)))</f>
        <v/>
      </c>
      <c r="FU243" s="56" t="str">
        <f t="array" ref="FU243">IF($DU243="","", INDEX(#REF!,MATCH(CONCATENATE('Respuestas de formulario 1.1'!$B243,$DT243),#REF!,0),MATCH('Respuestas de formulario 1.1'!FU$1,#REF!,0)))</f>
        <v/>
      </c>
      <c r="FV243" s="56" t="str">
        <f t="array" ref="FV243">IF($DU243="","", INDEX(#REF!,MATCH(CONCATENATE('Respuestas de formulario 1.1'!$B243,$DT243),#REF!,0),MATCH('Respuestas de formulario 1.1'!FV$1,#REF!,0)))</f>
        <v/>
      </c>
      <c r="FW243" s="56" t="str">
        <f t="array" ref="FW243">IF($DU243="","", INDEX(#REF!,MATCH(CONCATENATE('Respuestas de formulario 1.1'!$B243,$DT243),#REF!,0),MATCH('Respuestas de formulario 1.1'!FW$1,#REF!,0)))</f>
        <v/>
      </c>
      <c r="FX243" s="56" t="str">
        <f t="array" ref="FX243">IF($DU243="","", INDEX(#REF!,MATCH(CONCATENATE('Respuestas de formulario 1.1'!$B243,$DT243),#REF!,0),MATCH('Respuestas de formulario 1.1'!FX$1,#REF!,0)))</f>
        <v/>
      </c>
      <c r="FY243" s="45" t="str">
        <f t="array" ref="FY243">IF($DU243="","", INDEX(#REF!,MATCH(CONCATENATE('Respuestas de formulario 1.1'!$B243,$DT243),#REF!,0),MATCH('Respuestas de formulario 1.1'!FY$1,#REF!,0)))</f>
        <v/>
      </c>
      <c r="FZ243" s="3" t="s">
        <v>2860</v>
      </c>
      <c r="GA243" s="1" t="s">
        <v>7023</v>
      </c>
      <c r="GB243" s="5" t="s">
        <v>7024</v>
      </c>
      <c r="GC243" s="4" t="str">
        <f>HYPERLINK("https://drive.google.com/file/d/1MbutjIzzrU0zH2OfbjmOe7LWcLDecj6H/view?usp=drivesdk","MARTINEZ LORETO  EDWIN ULISES  Formato de reinscripción y pago 2022-2")</f>
        <v>MARTINEZ LORETO  EDWIN ULISES  Formato de reinscripción y pago 2022-2</v>
      </c>
      <c r="GD243" s="1" t="s">
        <v>7025</v>
      </c>
      <c r="GE243" s="1"/>
      <c r="GF243" s="1"/>
      <c r="GG243" s="1"/>
      <c r="GH243" s="1"/>
      <c r="GI243" s="1" t="s">
        <v>7026</v>
      </c>
      <c r="GJ243" s="5" t="s">
        <v>7027</v>
      </c>
      <c r="GK243" s="5" t="str">
        <f>HYPERLINK("https://drive.google.com/file/d/1bW8cF_ebACTLrgi3KZTbacKGG6LdQi-k/view?usp=drivesdk","MARTINEZ LORETO  EDWIN ULISES  Formato de reinscripción y pago 2022-2")</f>
        <v>MARTINEZ LORETO  EDWIN ULISES  Formato de reinscripción y pago 2022-2</v>
      </c>
      <c r="GL243" s="1" t="s">
        <v>7028</v>
      </c>
    </row>
    <row r="244" spans="1:194" ht="38.25" x14ac:dyDescent="0.2">
      <c r="A244" s="2">
        <v>45139.543484560185</v>
      </c>
      <c r="B244" s="1" t="s">
        <v>2214</v>
      </c>
      <c r="C244" s="1" t="s">
        <v>746</v>
      </c>
      <c r="D244" s="1" t="s">
        <v>709</v>
      </c>
      <c r="E244" s="1" t="s">
        <v>7029</v>
      </c>
      <c r="F244" s="1" t="s">
        <v>262</v>
      </c>
      <c r="G244" s="5" t="s">
        <v>7030</v>
      </c>
      <c r="H244" s="41">
        <v>38883</v>
      </c>
      <c r="I244" s="1">
        <v>17</v>
      </c>
      <c r="J244" s="1">
        <v>5574941378</v>
      </c>
      <c r="K244" s="1">
        <v>5593250787</v>
      </c>
      <c r="L244" s="1" t="s">
        <v>2215</v>
      </c>
      <c r="M244" s="1">
        <v>21309060570620</v>
      </c>
      <c r="N244" s="1" t="s">
        <v>1108</v>
      </c>
      <c r="O244" s="1" t="s">
        <v>225</v>
      </c>
      <c r="P244" s="1" t="s">
        <v>278</v>
      </c>
      <c r="Q244" s="1" t="s">
        <v>227</v>
      </c>
      <c r="R244" s="1" t="s">
        <v>236</v>
      </c>
      <c r="S244" s="1" t="s">
        <v>228</v>
      </c>
      <c r="T244" s="1" t="s">
        <v>229</v>
      </c>
      <c r="U244" s="1" t="s">
        <v>249</v>
      </c>
      <c r="V244" s="1" t="s">
        <v>228</v>
      </c>
      <c r="W244" s="1" t="s">
        <v>7031</v>
      </c>
      <c r="X244" s="1" t="s">
        <v>249</v>
      </c>
      <c r="Y244" s="1" t="s">
        <v>1669</v>
      </c>
      <c r="Z244" s="1" t="s">
        <v>240</v>
      </c>
      <c r="AA244" s="44" t="s">
        <v>1667</v>
      </c>
      <c r="AB244" s="1">
        <v>21</v>
      </c>
      <c r="AC244" s="44" t="s">
        <v>659</v>
      </c>
      <c r="AD244" s="1" t="s">
        <v>7032</v>
      </c>
      <c r="AE244" s="1" t="s">
        <v>7033</v>
      </c>
      <c r="AF244" s="1" t="s">
        <v>265</v>
      </c>
      <c r="AG244" s="1">
        <v>58</v>
      </c>
      <c r="AH244" s="5" t="s">
        <v>7034</v>
      </c>
      <c r="AI244" s="1">
        <v>5534654520</v>
      </c>
      <c r="AJ244" s="1">
        <v>5593250787</v>
      </c>
      <c r="AK244" s="1" t="s">
        <v>2216</v>
      </c>
      <c r="AL244" s="1" t="s">
        <v>746</v>
      </c>
      <c r="AM244" s="1" t="s">
        <v>244</v>
      </c>
      <c r="AN244" s="1" t="s">
        <v>1998</v>
      </c>
      <c r="AO244" s="1" t="s">
        <v>435</v>
      </c>
      <c r="AP244" s="1">
        <v>59</v>
      </c>
      <c r="AQ244" s="1" t="s">
        <v>630</v>
      </c>
      <c r="AR244" s="42">
        <v>0.375</v>
      </c>
      <c r="AS244" s="42">
        <v>0.75</v>
      </c>
      <c r="AT244" s="1">
        <v>5534316715</v>
      </c>
      <c r="AU244" s="1">
        <v>5593250787</v>
      </c>
      <c r="AV244" s="1" t="s">
        <v>7035</v>
      </c>
      <c r="AW244" s="5" t="s">
        <v>7036</v>
      </c>
      <c r="AX244" s="1" t="s">
        <v>2064</v>
      </c>
      <c r="AY244" s="1" t="s">
        <v>2217</v>
      </c>
      <c r="AZ244" s="1" t="s">
        <v>2218</v>
      </c>
      <c r="BA244" s="1" t="s">
        <v>265</v>
      </c>
      <c r="BB244" s="1">
        <v>58</v>
      </c>
      <c r="BC244" s="1" t="s">
        <v>294</v>
      </c>
      <c r="BD244" s="43">
        <v>0</v>
      </c>
      <c r="BE244" s="43">
        <v>0</v>
      </c>
      <c r="BF244" s="1">
        <v>5534654520</v>
      </c>
      <c r="BG244" s="1">
        <v>5593250787</v>
      </c>
      <c r="BH244" s="1" t="s">
        <v>2216</v>
      </c>
      <c r="BI244" s="5" t="s">
        <v>7037</v>
      </c>
      <c r="BJ244" s="1" t="s">
        <v>236</v>
      </c>
      <c r="BL244" s="1">
        <v>165</v>
      </c>
      <c r="BM244" s="1">
        <v>75.5</v>
      </c>
      <c r="BN244" s="1" t="s">
        <v>236</v>
      </c>
      <c r="BO244" s="1" t="s">
        <v>236</v>
      </c>
      <c r="BP244" s="1" t="s">
        <v>7038</v>
      </c>
      <c r="BQ244" s="1" t="s">
        <v>236</v>
      </c>
      <c r="BR244" s="1" t="s">
        <v>348</v>
      </c>
      <c r="BS244" s="1" t="s">
        <v>236</v>
      </c>
      <c r="BT244" s="1" t="s">
        <v>462</v>
      </c>
      <c r="BU244" s="1" t="s">
        <v>228</v>
      </c>
      <c r="BW244" s="1" t="s">
        <v>238</v>
      </c>
      <c r="BX244" s="1">
        <v>40</v>
      </c>
      <c r="BY244" s="1">
        <v>200</v>
      </c>
      <c r="BZ244" s="1" t="s">
        <v>7039</v>
      </c>
      <c r="CA244" s="1" t="s">
        <v>7040</v>
      </c>
      <c r="CB244" s="1" t="s">
        <v>240</v>
      </c>
      <c r="CC244" s="1" t="s">
        <v>7039</v>
      </c>
      <c r="CD244" s="1">
        <v>2500</v>
      </c>
      <c r="CE244" s="1">
        <v>2500</v>
      </c>
      <c r="CF244" s="1" t="s">
        <v>236</v>
      </c>
      <c r="CG244" s="1" t="s">
        <v>242</v>
      </c>
      <c r="CH244" s="1" t="s">
        <v>243</v>
      </c>
      <c r="CI244" s="1" t="s">
        <v>243</v>
      </c>
      <c r="CJ244" s="1" t="s">
        <v>2848</v>
      </c>
      <c r="CL244" s="5" t="s">
        <v>7041</v>
      </c>
      <c r="CM244" s="1">
        <v>11210642416</v>
      </c>
      <c r="CN244" s="1" t="s">
        <v>228</v>
      </c>
      <c r="CQ244" s="42">
        <v>0</v>
      </c>
      <c r="CR244" s="42">
        <v>0</v>
      </c>
      <c r="CT244" s="45" t="str">
        <f t="array" ref="CT244">IFERROR(INDEX(#REF!,MATCH('Respuestas de formulario 1.1'!$B244,#REF!,0),MATCH('Respuestas de formulario 1.1'!CT$1,#REF!,0)),"")</f>
        <v/>
      </c>
      <c r="CU244" s="56" t="str">
        <f t="array" ref="CU244">IFERROR(INDEX(#REF!,MATCH('Respuestas de formulario 1.1'!$B244,#REF!,0),MATCH('Respuestas de formulario 1.1'!CU$1,#REF!,0)),"")</f>
        <v/>
      </c>
      <c r="CV244" s="56" t="str">
        <f t="array" ref="CV244">IFERROR(INDEX(#REF!,MATCH('Respuestas de formulario 1.1'!$B244,#REF!,0),MATCH('Respuestas de formulario 1.1'!CV$1,#REF!,0)),"")</f>
        <v/>
      </c>
      <c r="CW244" s="56" t="str">
        <f t="array" ref="CW244">IFERROR(INDEX(#REF!,MATCH('Respuestas de formulario 1.1'!$B244,#REF!,0),MATCH('Respuestas de formulario 1.1'!CW$1,#REF!,0)),"")</f>
        <v/>
      </c>
      <c r="CX244" s="56" t="str">
        <f t="array" ref="CX244">IFERROR(INDEX(#REF!,MATCH('Respuestas de formulario 1.1'!$B244,#REF!,0),MATCH('Respuestas de formulario 1.1'!CX$1,#REF!,0)),"")</f>
        <v/>
      </c>
      <c r="CY244" s="56" t="str">
        <f t="array" ref="CY244">IFERROR(INDEX(#REF!,MATCH('Respuestas de formulario 1.1'!$B244,#REF!,0),MATCH('Respuestas de formulario 1.1'!CY$1,#REF!,0)),"")</f>
        <v/>
      </c>
      <c r="CZ244" s="57" t="str">
        <f t="array" ref="CZ244">IFERROR(INDEX(#REF!,MATCH('Respuestas de formulario 1.1'!$B244,#REF!,0),MATCH('Respuestas de formulario 1.1'!CZ$1,#REF!,0)),"")</f>
        <v/>
      </c>
      <c r="DA244" s="45" t="e">
        <f t="array" ref="DA244">INDEX(#REF!,MATCH('Respuestas de formulario 1.1'!$B244,#REF!,0),MATCH('Respuestas de formulario 1.1'!DA$1,#REF!,0))</f>
        <v>#REF!</v>
      </c>
      <c r="DB244" s="45" t="e">
        <f t="array" ref="DB244">INDEX(#REF!,MATCH('Respuestas de formulario 1.1'!$B244,#REF!,0),MATCH('Respuestas de formulario 1.1'!DB$1,#REF!,0))</f>
        <v>#REF!</v>
      </c>
      <c r="DC244" s="45" t="e">
        <f t="array" ref="DC244">INDEX(#REF!,MATCH('Respuestas de formulario 1.1'!$B244,#REF!,0),MATCH('Respuestas de formulario 1.1'!DC$1,#REF!,0))</f>
        <v>#REF!</v>
      </c>
      <c r="DD244" s="45" t="e">
        <f t="array" ref="DD244">INDEX(#REF!,MATCH('Respuestas de formulario 1.1'!$B244,#REF!,0),MATCH('Respuestas de formulario 1.1'!DD$1,#REF!,0))</f>
        <v>#REF!</v>
      </c>
      <c r="DE244" s="45" t="e">
        <f t="array" ref="DE244">INDEX(#REF!,MATCH('Respuestas de formulario 1.1'!$B244,#REF!,0),MATCH('Respuestas de formulario 1.1'!DE$1,#REF!,0))</f>
        <v>#REF!</v>
      </c>
      <c r="DF244" s="45" t="e">
        <f t="array" ref="DF244">INDEX(#REF!,MATCH('Respuestas de formulario 1.1'!$B244,#REF!,0),MATCH('Respuestas de formulario 1.1'!DF$1,#REF!,0))</f>
        <v>#REF!</v>
      </c>
      <c r="DG244" s="45" t="e">
        <f t="array" ref="DG244">INDEX(#REF!,MATCH('Respuestas de formulario 1.1'!$B244,#REF!,0),MATCH('Respuestas de formulario 1.1'!DG$1,#REF!,0))</f>
        <v>#REF!</v>
      </c>
      <c r="DH244" s="45" t="e">
        <f t="array" ref="DH244">INDEX(#REF!,MATCH('Respuestas de formulario 1.1'!$B244,#REF!,0),MATCH('Respuestas de formulario 1.1'!DH$1,#REF!,0))</f>
        <v>#REF!</v>
      </c>
      <c r="DI244" s="48" t="e">
        <f>VLOOKUP(CONCATENATE($DF244," TUTO ",$DC244),#REF!,3,0)</f>
        <v>#REF!</v>
      </c>
      <c r="DJ244" s="48" t="e">
        <f t="array" ref="DJ244">IF('Respuestas de formulario 1.1'!A244="","",INDEX(#REF!,MATCH('Respuestas de formulario 1.1'!B244,#REF!,0),MATCH('Respuestas de formulario 1.1'!$DH$1,#REF!,0)))</f>
        <v>#REF!</v>
      </c>
      <c r="DK244" s="52" t="str">
        <f>CONCATENATE("http://doc.google.com/uc?id=",MID('Respuestas de formulario 1.1'!G244,34,33))</f>
        <v>http://doc.google.com/uc?id=1pXcNUSl1htChz745TwaC0e4J6T25xRUy</v>
      </c>
      <c r="DL244" s="49" t="str">
        <f>CONCATENATE("http://doc.google.com/uc?id=",MID('Respuestas de formulario 1.1'!AH244,34,33))</f>
        <v>http://doc.google.com/uc?id=1KCeVE5jWpwoQQMuiDGsMdknSkySrT1Nt</v>
      </c>
      <c r="DM244" s="50" t="str">
        <f>CONCATENATE("http://doc.google.com/uc?id=",MID('Respuestas de formulario 1.1'!AW244,34,33))</f>
        <v>http://doc.google.com/uc?id=1H0z86za87TvvKsWfDlM60mPamdgvIKmF</v>
      </c>
      <c r="DN244" s="53" t="str">
        <f>CONCATENATE("http://doc.google.com/uc?id=",MID('Respuestas de formulario 1.1'!$BI244,34,33))</f>
        <v>http://doc.google.com/uc?id=1Kng9N-AXKikhYeY0wNcFdNnapQandzw3</v>
      </c>
      <c r="DO244" s="45" t="str">
        <f>IFERROR(VLOOKUP(CONCATENATE('Respuestas de formulario 1.1'!$B244,MID('Respuestas de formulario 1.1'!DO$1,2,1)),#REF!,12,0),"")</f>
        <v/>
      </c>
      <c r="DP244" s="45" t="str">
        <f>IFERROR(VLOOKUP(CONCATENATE('Respuestas de formulario 1.1'!$B244,MID('Respuestas de formulario 1.1'!DP$1,2,1)),#REF!,12,0),"")</f>
        <v/>
      </c>
      <c r="DQ244" s="45" t="str">
        <f>IFERROR(VLOOKUP(CONCATENATE('Respuestas de formulario 1.1'!$B244,MID('Respuestas de formulario 1.1'!DQ$1,2,1)),#REF!,12,0),"")</f>
        <v/>
      </c>
      <c r="DR244" s="45" t="str">
        <f>IFERROR(VLOOKUP(CONCATENATE('Respuestas de formulario 1.1'!$B244,MID('Respuestas de formulario 1.1'!DR$1,2,1)),#REF!,12,0),"")</f>
        <v/>
      </c>
      <c r="DS244" s="45" t="str">
        <f>IFERROR(VLOOKUP(CONCATENATE('Respuestas de formulario 1.1'!$B244,MID('Respuestas de formulario 1.1'!DS$1,2,1)),#REF!,12,0),"")</f>
        <v/>
      </c>
      <c r="DT244" s="45" t="str">
        <f>IFERROR(VLOOKUP(CONCATENATE('Respuestas de formulario 1.1'!$B244,MID('Respuestas de formulario 1.1'!DT$1,2,1)),#REF!,12,0),"")</f>
        <v/>
      </c>
      <c r="DU244" s="45" t="str">
        <f>IFERROR(VLOOKUP(CONCATENATE('Respuestas de formulario 1.1'!$B244,MID('Respuestas de formulario 1.1'!DU$1,2,1)),#REF!,12,0),"")</f>
        <v/>
      </c>
      <c r="DV244" s="45" t="str">
        <f>IFERROR(VLOOKUP(CONCATENATE('Respuestas de formulario 1.1'!$B244,MID('Respuestas de formulario 1.1'!DV$1,2,1)),#REF!,12,0),"")</f>
        <v/>
      </c>
      <c r="DW244" s="45" t="str">
        <f>IFERROR(VLOOKUP(CONCATENATE('Respuestas de formulario 1.1'!$B244,MID('Respuestas de formulario 1.1'!DW$1,2,1)),#REF!,12,0),"")</f>
        <v/>
      </c>
      <c r="DX244" s="45" t="str">
        <f>IFERROR(VLOOKUP(CONCATENATE('Respuestas de formulario 1.1'!$B244,MID('Respuestas de formulario 1.1'!DX$1,2,1)),#REF!,12,0),"")</f>
        <v/>
      </c>
      <c r="DY244" s="45" t="str">
        <f>IFERROR(VLOOKUP(CONCATENATE('Respuestas de formulario 1.1'!$B244,MID('Respuestas de formulario 1.1'!DY$1,2,1)),#REF!,12,0),"")</f>
        <v/>
      </c>
      <c r="DZ244" s="45" t="str">
        <f>IFERROR(VLOOKUP(CONCATENATE('Respuestas de formulario 1.1'!$B244,MID('Respuestas de formulario 1.1'!DZ$1,2,1)),#REF!,12,0),"")</f>
        <v/>
      </c>
      <c r="EA244" s="45" t="str">
        <f>IFERROR(VLOOKUP(CONCATENATE('Respuestas de formulario 1.1'!$B244,MID('Respuestas de formulario 1.1'!EA$1,2,1)),#REF!,12,0),"")</f>
        <v/>
      </c>
      <c r="EB244" s="45" t="str">
        <f>IFERROR(VLOOKUP(CONCATENATE('Respuestas de formulario 1.1'!$B244,MID('Respuestas de formulario 1.1'!EB$1,2,1)),#REF!,12,0),"")</f>
        <v/>
      </c>
      <c r="EC244" s="45" t="str">
        <f>IFERROR(VLOOKUP(CONCATENATE('Respuestas de formulario 1.1'!$B244,MID('Respuestas de formulario 1.1'!EC$1,2,1)),#REF!,12,0),"")</f>
        <v/>
      </c>
      <c r="ED244" s="45" t="str">
        <f>IFERROR(VLOOKUP(CONCATENATE('Respuestas de formulario 1.1'!$B244,MID('Respuestas de formulario 1.1'!ED$1,2,1)),#REF!,12,0),"")</f>
        <v/>
      </c>
      <c r="EE244" s="45" t="str">
        <f>IFERROR(VLOOKUP(CONCATENATE('Respuestas de formulario 1.1'!$B244,MID('Respuestas de formulario 1.1'!EE$1,2,1)),#REF!,12,0),"")</f>
        <v/>
      </c>
      <c r="EF244" s="45" t="str">
        <f>IFERROR(VLOOKUP(CONCATENATE('Respuestas de formulario 1.1'!$B244,MID('Respuestas de formulario 1.1'!EF$1,2,1)),#REF!,12,0),"")</f>
        <v/>
      </c>
      <c r="EG244" s="45" t="str">
        <f>IFERROR(VLOOKUP(CONCATENATE('Respuestas de formulario 1.1'!$B244,MID('Respuestas de formulario 1.1'!EG$1,2,1)),#REF!,12,0),"")</f>
        <v/>
      </c>
      <c r="EH244" s="45" t="str">
        <f>IFERROR(VLOOKUP(CONCATENATE('Respuestas de formulario 1.1'!$B244,MID('Respuestas de formulario 1.1'!EH$1,2,1)),#REF!,12,0),"")</f>
        <v/>
      </c>
      <c r="EI244" s="45" t="str">
        <f>IFERROR(VLOOKUP(CONCATENATE('Respuestas de formulario 1.1'!$B244,MID('Respuestas de formulario 1.1'!EI$1,2,1)),#REF!,12,0),"")</f>
        <v/>
      </c>
      <c r="EJ244" s="45" t="str">
        <f t="array" ref="EJ244">IF(DO244="","", INDEX(#REF!,MATCH(CONCATENATE('Respuestas de formulario 1.1'!$B244,DO244),#REF!,0),MATCH('Respuestas de formulario 1.1'!EJ$1,#REF!,0)))</f>
        <v/>
      </c>
      <c r="EK244" s="56" t="str">
        <f t="array" ref="EK244">IF(DP244="","", INDEX(#REF!,MATCH(CONCATENATE('Respuestas de formulario 1.1'!$B244,DP244),#REF!,0),MATCH('Respuestas de formulario 1.1'!EK$1,#REF!,0)))</f>
        <v/>
      </c>
      <c r="EL244" s="56" t="str">
        <f t="array" ref="EL244">IF(DQ244="","", INDEX(#REF!,MATCH(CONCATENATE('Respuestas de formulario 1.1'!$B244,DQ244),#REF!,0),MATCH('Respuestas de formulario 1.1'!EL$1,#REF!,0)))</f>
        <v/>
      </c>
      <c r="EM244" s="56" t="str">
        <f t="array" ref="EM244">IF(DR244="","", INDEX(#REF!,MATCH(CONCATENATE('Respuestas de formulario 1.1'!$B244,DR244),#REF!,0),MATCH('Respuestas de formulario 1.1'!EM$1,#REF!,0)))</f>
        <v/>
      </c>
      <c r="EN244" s="56" t="str">
        <f t="array" ref="EN244">IF(DS244="","", INDEX(#REF!,MATCH(CONCATENATE('Respuestas de formulario 1.1'!$B244,DS244),#REF!,0),MATCH('Respuestas de formulario 1.1'!EN$1,#REF!,0)))</f>
        <v/>
      </c>
      <c r="EO244" s="56" t="str">
        <f t="array" ref="EO244">IF(DT244="","", INDEX(#REF!,MATCH(CONCATENATE('Respuestas de formulario 1.1'!$B244,DT244),#REF!,0),MATCH('Respuestas de formulario 1.1'!EO$1,#REF!,0)))</f>
        <v/>
      </c>
      <c r="EP244" s="45" t="str">
        <f t="array" ref="EP244">IF(DU244="","", INDEX(#REF!,MATCH(CONCATENATE('Respuestas de formulario 1.1'!$B244,DU244),#REF!,0),MATCH('Respuestas de formulario 1.1'!EP$1,#REF!,0)))</f>
        <v/>
      </c>
      <c r="EQ244" s="45" t="str">
        <f t="array" ref="EQ244">IF(DP244="","", INDEX(#REF!,MATCH(CONCATENATE('Respuestas de formulario 1.1'!$B244,DP244),#REF!,0),MATCH('Respuestas de formulario 1.1'!EQ$1,#REF!,0)))</f>
        <v/>
      </c>
      <c r="ER244" s="56" t="str">
        <f t="array" ref="ER244">IF(DQ244="","", INDEX(#REF!,MATCH(CONCATENATE('Respuestas de formulario 1.1'!$B244,DQ244),#REF!,0),MATCH('Respuestas de formulario 1.1'!ER$1,#REF!,0)))</f>
        <v/>
      </c>
      <c r="ES244" s="56" t="str">
        <f t="array" ref="ES244">IF(DR244="","", INDEX(#REF!,MATCH(CONCATENATE('Respuestas de formulario 1.1'!$B244,DR244),#REF!,0),MATCH('Respuestas de formulario 1.1'!ES$1,#REF!,0)))</f>
        <v/>
      </c>
      <c r="ET244" s="56" t="str">
        <f t="array" ref="ET244">IF(DS244="","", INDEX(#REF!,MATCH(CONCATENATE('Respuestas de formulario 1.1'!$B244,DS244),#REF!,0),MATCH('Respuestas de formulario 1.1'!ET$1,#REF!,0)))</f>
        <v/>
      </c>
      <c r="EU244" s="56" t="str">
        <f t="array" ref="EU244">IF(DT244="","", INDEX(#REF!,MATCH(CONCATENATE('Respuestas de formulario 1.1'!$B244,DT244),#REF!,0),MATCH('Respuestas de formulario 1.1'!EU$1,#REF!,0)))</f>
        <v/>
      </c>
      <c r="EV244" s="56" t="str">
        <f t="array" ref="EV244">IF(DU244="","", INDEX(#REF!,MATCH(CONCATENATE('Respuestas de formulario 1.1'!$B244,DU244),#REF!,0),MATCH('Respuestas de formulario 1.1'!EV$1,#REF!,0)))</f>
        <v/>
      </c>
      <c r="EW244" s="45" t="str">
        <f t="array" ref="EW244">IF(DV244="","", INDEX(#REF!,MATCH(CONCATENATE('Respuestas de formulario 1.1'!$B244,DV244),#REF!,0),MATCH('Respuestas de formulario 1.1'!EW$1,#REF!,0)))</f>
        <v/>
      </c>
      <c r="EX244" s="45" t="str">
        <f t="array" ref="EX244">IF($DQ244="","", INDEX(#REF!,MATCH(CONCATENATE('Respuestas de formulario 1.1'!$B244,$DQ244),#REF!,0),MATCH('Respuestas de formulario 1.1'!EX$1,#REF!,0)))</f>
        <v/>
      </c>
      <c r="EY244" s="56" t="str">
        <f t="array" ref="EY244">IF($DQ244="","", INDEX(#REF!,MATCH(CONCATENATE('Respuestas de formulario 1.1'!$B244,$DQ244),#REF!,0),MATCH('Respuestas de formulario 1.1'!EY$1,#REF!,0)))</f>
        <v/>
      </c>
      <c r="EZ244" s="56" t="str">
        <f t="array" ref="EZ244">IF($DQ244="","", INDEX(#REF!,MATCH(CONCATENATE('Respuestas de formulario 1.1'!$B244,$DQ244),#REF!,0),MATCH('Respuestas de formulario 1.1'!EZ$1,#REF!,0)))</f>
        <v/>
      </c>
      <c r="FA244" s="56" t="str">
        <f t="array" ref="FA244">IF($DQ244="","", INDEX(#REF!,MATCH(CONCATENATE('Respuestas de formulario 1.1'!$B244,$DQ244),#REF!,0),MATCH('Respuestas de formulario 1.1'!FA$1,#REF!,0)))</f>
        <v/>
      </c>
      <c r="FB244" s="56" t="str">
        <f t="array" ref="FB244">IF($DQ244="","", INDEX(#REF!,MATCH(CONCATENATE('Respuestas de formulario 1.1'!$B244,$DQ244),#REF!,0),MATCH('Respuestas de formulario 1.1'!FB$1,#REF!,0)))</f>
        <v/>
      </c>
      <c r="FC244" s="56" t="str">
        <f t="array" ref="FC244">IF($DQ244="","", INDEX(#REF!,MATCH(CONCATENATE('Respuestas de formulario 1.1'!$B244,$DQ244),#REF!,0),MATCH('Respuestas de formulario 1.1'!FC$1,#REF!,0)))</f>
        <v/>
      </c>
      <c r="FD244" s="45" t="str">
        <f t="array" ref="FD244">IF($DQ244="","", INDEX(#REF!,MATCH(CONCATENATE('Respuestas de formulario 1.1'!$B244,$DQ244),#REF!,0),MATCH('Respuestas de formulario 1.1'!FD$1,#REF!,0)))</f>
        <v/>
      </c>
      <c r="FE244" s="45" t="str">
        <f t="array" ref="FE244">IF($DR244="","", INDEX(#REF!,MATCH(CONCATENATE(#REF!,$DR244),#REF!,0),MATCH(#REF!,#REF!,0)))</f>
        <v/>
      </c>
      <c r="FF244" s="56" t="str">
        <f t="array" ref="FF244">IF($DR244="","", INDEX(#REF!,MATCH(CONCATENATE(#REF!,$DR244),#REF!,0),MATCH(#REF!,#REF!,0)))</f>
        <v/>
      </c>
      <c r="FG244" s="56" t="str">
        <f t="array" ref="FG244">IF($DR244="","", INDEX(#REF!,MATCH(CONCATENATE(#REF!,$DR244),#REF!,0),MATCH(#REF!,#REF!,0)))</f>
        <v/>
      </c>
      <c r="FH244" s="56" t="str">
        <f t="array" ref="FH244">IF($DR244="","", INDEX(#REF!,MATCH(CONCATENATE(#REF!,$DR244),#REF!,0),MATCH(#REF!,#REF!,0)))</f>
        <v/>
      </c>
      <c r="FI244" s="56" t="str">
        <f t="array" ref="FI244">IF($DR244="","", INDEX(#REF!,MATCH(CONCATENATE(#REF!,$DR244),#REF!,0),MATCH(#REF!,#REF!,0)))</f>
        <v/>
      </c>
      <c r="FJ244" s="56" t="str">
        <f t="array" ref="FJ244">IF($DR244="","", INDEX(#REF!,MATCH(CONCATENATE(#REF!,$DR244),#REF!,0),MATCH(#REF!,#REF!,0)))</f>
        <v/>
      </c>
      <c r="FK244" s="45" t="str">
        <f t="array" ref="FK244">IF($DR244="","", INDEX(#REF!,MATCH(CONCATENATE(#REF!,$DR244),#REF!,0),MATCH(#REF!,#REF!,0)))</f>
        <v/>
      </c>
      <c r="FL244" s="45" t="str">
        <f t="array" ref="FL244">IF($DT244="","", INDEX(#REF!,MATCH(CONCATENATE('Respuestas de formulario 1.1'!$B244,$DS244),#REF!,0),MATCH('Respuestas de formulario 1.1'!FL$1,#REF!,0)))</f>
        <v/>
      </c>
      <c r="FM244" s="56" t="str">
        <f t="array" ref="FM244">IF($DT244="","", INDEX(#REF!,MATCH(CONCATENATE('Respuestas de formulario 1.1'!$B244,$DS244),#REF!,0),MATCH('Respuestas de formulario 1.1'!FM$1,#REF!,0)))</f>
        <v/>
      </c>
      <c r="FN244" s="56" t="str">
        <f t="array" ref="FN244">IF($DT244="","", INDEX(#REF!,MATCH(CONCATENATE('Respuestas de formulario 1.1'!$B244,$DS244),#REF!,0),MATCH('Respuestas de formulario 1.1'!FN$1,#REF!,0)))</f>
        <v/>
      </c>
      <c r="FO244" s="56" t="str">
        <f t="array" ref="FO244">IF($DT244="","", INDEX(#REF!,MATCH(CONCATENATE('Respuestas de formulario 1.1'!$B244,$DS244),#REF!,0),MATCH('Respuestas de formulario 1.1'!FO$1,#REF!,0)))</f>
        <v/>
      </c>
      <c r="FP244" s="56" t="str">
        <f t="array" ref="FP244">IF($DT244="","", INDEX(#REF!,MATCH(CONCATENATE('Respuestas de formulario 1.1'!$B244,$DS244),#REF!,0),MATCH('Respuestas de formulario 1.1'!FP$1,#REF!,0)))</f>
        <v/>
      </c>
      <c r="FQ244" s="56" t="str">
        <f t="array" ref="FQ244">IF($DT244="","", INDEX(#REF!,MATCH(CONCATENATE('Respuestas de formulario 1.1'!$B244,$DS244),#REF!,0),MATCH('Respuestas de formulario 1.1'!FQ$1,#REF!,0)))</f>
        <v/>
      </c>
      <c r="FR244" s="45" t="str">
        <f t="array" ref="FR244">IF($DT244="","", INDEX(#REF!,MATCH(CONCATENATE('Respuestas de formulario 1.1'!$B244,$DS244),#REF!,0),MATCH('Respuestas de formulario 1.1'!FR$1,#REF!,0)))</f>
        <v/>
      </c>
      <c r="FS244" s="45" t="str">
        <f t="array" ref="FS244">IF($DU244="","", INDEX(#REF!,MATCH(CONCATENATE('Respuestas de formulario 1.1'!$B244,$DT244),#REF!,0),MATCH('Respuestas de formulario 1.1'!FS$1,#REF!,0)))</f>
        <v/>
      </c>
      <c r="FT244" s="56" t="str">
        <f t="array" ref="FT244">IF($DU244="","", INDEX(#REF!,MATCH(CONCATENATE('Respuestas de formulario 1.1'!$B244,$DT244),#REF!,0),MATCH('Respuestas de formulario 1.1'!FT$1,#REF!,0)))</f>
        <v/>
      </c>
      <c r="FU244" s="56" t="str">
        <f t="array" ref="FU244">IF($DU244="","", INDEX(#REF!,MATCH(CONCATENATE('Respuestas de formulario 1.1'!$B244,$DT244),#REF!,0),MATCH('Respuestas de formulario 1.1'!FU$1,#REF!,0)))</f>
        <v/>
      </c>
      <c r="FV244" s="56" t="str">
        <f t="array" ref="FV244">IF($DU244="","", INDEX(#REF!,MATCH(CONCATENATE('Respuestas de formulario 1.1'!$B244,$DT244),#REF!,0),MATCH('Respuestas de formulario 1.1'!FV$1,#REF!,0)))</f>
        <v/>
      </c>
      <c r="FW244" s="56" t="str">
        <f t="array" ref="FW244">IF($DU244="","", INDEX(#REF!,MATCH(CONCATENATE('Respuestas de formulario 1.1'!$B244,$DT244),#REF!,0),MATCH('Respuestas de formulario 1.1'!FW$1,#REF!,0)))</f>
        <v/>
      </c>
      <c r="FX244" s="56" t="str">
        <f t="array" ref="FX244">IF($DU244="","", INDEX(#REF!,MATCH(CONCATENATE('Respuestas de formulario 1.1'!$B244,$DT244),#REF!,0),MATCH('Respuestas de formulario 1.1'!FX$1,#REF!,0)))</f>
        <v/>
      </c>
      <c r="FY244" s="45" t="str">
        <f t="array" ref="FY244">IF($DU244="","", INDEX(#REF!,MATCH(CONCATENATE('Respuestas de formulario 1.1'!$B244,$DT244),#REF!,0),MATCH('Respuestas de formulario 1.1'!FY$1,#REF!,0)))</f>
        <v/>
      </c>
      <c r="FZ244" s="3" t="s">
        <v>2860</v>
      </c>
      <c r="GA244" s="1" t="s">
        <v>7042</v>
      </c>
      <c r="GB244" s="5" t="s">
        <v>7043</v>
      </c>
      <c r="GC244" s="4" t="str">
        <f>HYPERLINK("https://drive.google.com/file/d/1nKrbGV2N0PfDWgX-rIyNa314a8X0m04H/view?usp=drivesdk","LEON NIEVES IRVIN ABRAHAM Formato de reinscripción y pago 2022-2")</f>
        <v>LEON NIEVES IRVIN ABRAHAM Formato de reinscripción y pago 2022-2</v>
      </c>
      <c r="GD244" s="1" t="s">
        <v>7044</v>
      </c>
      <c r="GE244" s="1"/>
      <c r="GF244" s="1"/>
      <c r="GG244" s="1"/>
      <c r="GH244" s="1"/>
      <c r="GI244" s="1" t="s">
        <v>7045</v>
      </c>
      <c r="GJ244" s="5" t="s">
        <v>7046</v>
      </c>
      <c r="GK244" s="5" t="str">
        <f>HYPERLINK("https://drive.google.com/file/d/1Zh72oR4ztcJqely5Eh4bWzYTDiVwCd4A/view?usp=drivesdk","LEON NIEVES IRVIN ABRAHAM Formato de reinscripción y pago 2022-2")</f>
        <v>LEON NIEVES IRVIN ABRAHAM Formato de reinscripción y pago 2022-2</v>
      </c>
      <c r="GL244" s="1" t="s">
        <v>7047</v>
      </c>
    </row>
    <row r="245" spans="1:194" ht="38.25" x14ac:dyDescent="0.2">
      <c r="A245" s="2">
        <v>45139.543523275468</v>
      </c>
      <c r="B245" s="1" t="s">
        <v>68</v>
      </c>
      <c r="C245" s="1" t="s">
        <v>304</v>
      </c>
      <c r="D245" s="1" t="s">
        <v>771</v>
      </c>
      <c r="E245" s="1" t="s">
        <v>1187</v>
      </c>
      <c r="F245" s="1" t="s">
        <v>262</v>
      </c>
      <c r="G245" s="5" t="s">
        <v>7048</v>
      </c>
      <c r="H245" s="41">
        <v>39202</v>
      </c>
      <c r="I245" s="1">
        <v>16</v>
      </c>
      <c r="J245" s="1">
        <v>5511987870</v>
      </c>
      <c r="K245" s="1">
        <v>5511987870</v>
      </c>
      <c r="L245" s="1" t="s">
        <v>1188</v>
      </c>
      <c r="M245" s="1">
        <v>22309060570479</v>
      </c>
      <c r="N245" s="1" t="s">
        <v>562</v>
      </c>
      <c r="O245" s="1" t="s">
        <v>247</v>
      </c>
      <c r="P245" s="1" t="s">
        <v>226</v>
      </c>
      <c r="Q245" s="1" t="s">
        <v>227</v>
      </c>
      <c r="R245" s="1" t="s">
        <v>236</v>
      </c>
      <c r="S245" s="1" t="s">
        <v>228</v>
      </c>
      <c r="T245" s="1" t="s">
        <v>229</v>
      </c>
      <c r="U245" s="1" t="s">
        <v>249</v>
      </c>
      <c r="V245" s="1" t="s">
        <v>228</v>
      </c>
      <c r="W245" s="1" t="s">
        <v>7049</v>
      </c>
      <c r="X245" s="1" t="s">
        <v>249</v>
      </c>
      <c r="Y245" s="1" t="s">
        <v>674</v>
      </c>
      <c r="Z245" s="1" t="s">
        <v>240</v>
      </c>
      <c r="AA245" s="44" t="s">
        <v>2103</v>
      </c>
      <c r="AB245" s="1" t="s">
        <v>7050</v>
      </c>
      <c r="AC245" s="1" t="s">
        <v>713</v>
      </c>
      <c r="AD245" s="1" t="s">
        <v>7051</v>
      </c>
      <c r="AE245" s="1" t="s">
        <v>7052</v>
      </c>
      <c r="AF245" s="1" t="s">
        <v>265</v>
      </c>
      <c r="AG245" s="1">
        <v>48</v>
      </c>
      <c r="AH245" s="5" t="s">
        <v>7053</v>
      </c>
      <c r="AI245" s="1">
        <v>5511987870</v>
      </c>
      <c r="AJ245" s="1">
        <v>5511987870</v>
      </c>
      <c r="AK245" s="1" t="s">
        <v>1189</v>
      </c>
      <c r="AL245" s="1" t="s">
        <v>304</v>
      </c>
      <c r="AM245" s="1" t="s">
        <v>2252</v>
      </c>
      <c r="AN245" s="1" t="s">
        <v>1120</v>
      </c>
      <c r="AO245" s="1" t="s">
        <v>435</v>
      </c>
      <c r="AP245" s="1">
        <v>78</v>
      </c>
      <c r="AQ245" s="1" t="s">
        <v>7054</v>
      </c>
      <c r="AR245" s="42">
        <v>0.33333333333575865</v>
      </c>
      <c r="AS245" s="42">
        <v>0.20833333333575865</v>
      </c>
      <c r="AT245" s="1">
        <v>5539373432</v>
      </c>
      <c r="AU245" s="1">
        <v>5539373432</v>
      </c>
      <c r="AV245" s="1" t="s">
        <v>1189</v>
      </c>
      <c r="AW245" s="5" t="s">
        <v>7055</v>
      </c>
      <c r="AX245" s="1" t="s">
        <v>771</v>
      </c>
      <c r="AY245" s="1" t="s">
        <v>714</v>
      </c>
      <c r="AZ245" s="1" t="s">
        <v>830</v>
      </c>
      <c r="BA245" s="1" t="s">
        <v>265</v>
      </c>
      <c r="BB245" s="1">
        <v>48</v>
      </c>
      <c r="BC245" s="1" t="s">
        <v>233</v>
      </c>
      <c r="BD245" s="43">
        <v>0.20833333333575865</v>
      </c>
      <c r="BE245" s="43">
        <v>0.33333333333575865</v>
      </c>
      <c r="BF245" s="1">
        <v>5511987870</v>
      </c>
      <c r="BG245" s="1">
        <v>5511987870</v>
      </c>
      <c r="BH245" s="1" t="s">
        <v>1189</v>
      </c>
      <c r="BI245" s="5" t="s">
        <v>7056</v>
      </c>
      <c r="BJ245" s="1" t="s">
        <v>236</v>
      </c>
      <c r="BK245" s="1" t="s">
        <v>713</v>
      </c>
      <c r="BL245" s="1">
        <v>1.62</v>
      </c>
      <c r="BM245" s="1">
        <v>61</v>
      </c>
      <c r="BN245" s="1" t="s">
        <v>236</v>
      </c>
      <c r="BO245" s="1" t="s">
        <v>228</v>
      </c>
      <c r="BP245" s="1" t="s">
        <v>713</v>
      </c>
      <c r="BQ245" s="1" t="s">
        <v>228</v>
      </c>
      <c r="BR245" s="1" t="s">
        <v>237</v>
      </c>
      <c r="BS245" s="1" t="s">
        <v>236</v>
      </c>
      <c r="BT245" s="1" t="s">
        <v>331</v>
      </c>
      <c r="BU245" s="1" t="s">
        <v>228</v>
      </c>
      <c r="BW245" s="1" t="s">
        <v>238</v>
      </c>
      <c r="BX245" s="1">
        <v>90</v>
      </c>
      <c r="BY245" s="1">
        <v>300</v>
      </c>
      <c r="BZ245" s="1" t="s">
        <v>2549</v>
      </c>
      <c r="CA245" s="1" t="s">
        <v>343</v>
      </c>
      <c r="CB245" s="1" t="s">
        <v>240</v>
      </c>
      <c r="CC245" s="1" t="s">
        <v>274</v>
      </c>
      <c r="CD245" s="1">
        <v>1800</v>
      </c>
      <c r="CE245" s="1">
        <v>1900</v>
      </c>
      <c r="CF245" s="1" t="s">
        <v>236</v>
      </c>
      <c r="CG245" s="1" t="s">
        <v>242</v>
      </c>
      <c r="CH245" s="1" t="s">
        <v>243</v>
      </c>
      <c r="CI245" s="1" t="s">
        <v>243</v>
      </c>
      <c r="CJ245" s="1" t="s">
        <v>2848</v>
      </c>
      <c r="CL245" s="5" t="s">
        <v>7057</v>
      </c>
      <c r="CM245" s="44" t="s">
        <v>7058</v>
      </c>
      <c r="CN245" s="1" t="s">
        <v>228</v>
      </c>
      <c r="CQ245" s="42">
        <v>0.20833333333575865</v>
      </c>
      <c r="CR245" s="42">
        <v>0.33333333333575865</v>
      </c>
      <c r="CT245" s="45" t="str">
        <f t="array" ref="CT245">IFERROR(INDEX(#REF!,MATCH('Respuestas de formulario 1.1'!$B245,#REF!,0),MATCH('Respuestas de formulario 1.1'!CT$1,#REF!,0)),"")</f>
        <v/>
      </c>
      <c r="CU245" s="56" t="str">
        <f t="array" ref="CU245">IFERROR(INDEX(#REF!,MATCH('Respuestas de formulario 1.1'!$B245,#REF!,0),MATCH('Respuestas de formulario 1.1'!CU$1,#REF!,0)),"")</f>
        <v/>
      </c>
      <c r="CV245" s="56" t="str">
        <f t="array" ref="CV245">IFERROR(INDEX(#REF!,MATCH('Respuestas de formulario 1.1'!$B245,#REF!,0),MATCH('Respuestas de formulario 1.1'!CV$1,#REF!,0)),"")</f>
        <v/>
      </c>
      <c r="CW245" s="56" t="str">
        <f t="array" ref="CW245">IFERROR(INDEX(#REF!,MATCH('Respuestas de formulario 1.1'!$B245,#REF!,0),MATCH('Respuestas de formulario 1.1'!CW$1,#REF!,0)),"")</f>
        <v/>
      </c>
      <c r="CX245" s="56" t="str">
        <f t="array" ref="CX245">IFERROR(INDEX(#REF!,MATCH('Respuestas de formulario 1.1'!$B245,#REF!,0),MATCH('Respuestas de formulario 1.1'!CX$1,#REF!,0)),"")</f>
        <v/>
      </c>
      <c r="CY245" s="56" t="str">
        <f t="array" ref="CY245">IFERROR(INDEX(#REF!,MATCH('Respuestas de formulario 1.1'!$B245,#REF!,0),MATCH('Respuestas de formulario 1.1'!CY$1,#REF!,0)),"")</f>
        <v/>
      </c>
      <c r="CZ245" s="57" t="str">
        <f t="array" ref="CZ245">IFERROR(INDEX(#REF!,MATCH('Respuestas de formulario 1.1'!$B245,#REF!,0),MATCH('Respuestas de formulario 1.1'!CZ$1,#REF!,0)),"")</f>
        <v/>
      </c>
      <c r="DA245" s="45" t="e">
        <f t="array" ref="DA245">INDEX(#REF!,MATCH('Respuestas de formulario 1.1'!$B245,#REF!,0),MATCH('Respuestas de formulario 1.1'!DA$1,#REF!,0))</f>
        <v>#REF!</v>
      </c>
      <c r="DB245" s="45" t="e">
        <f t="array" ref="DB245">INDEX(#REF!,MATCH('Respuestas de formulario 1.1'!$B245,#REF!,0),MATCH('Respuestas de formulario 1.1'!DB$1,#REF!,0))</f>
        <v>#REF!</v>
      </c>
      <c r="DC245" s="45" t="e">
        <f t="array" ref="DC245">INDEX(#REF!,MATCH('Respuestas de formulario 1.1'!$B245,#REF!,0),MATCH('Respuestas de formulario 1.1'!DC$1,#REF!,0))</f>
        <v>#REF!</v>
      </c>
      <c r="DD245" s="45" t="e">
        <f t="array" ref="DD245">INDEX(#REF!,MATCH('Respuestas de formulario 1.1'!$B245,#REF!,0),MATCH('Respuestas de formulario 1.1'!DD$1,#REF!,0))</f>
        <v>#REF!</v>
      </c>
      <c r="DE245" s="45" t="e">
        <f t="array" ref="DE245">INDEX(#REF!,MATCH('Respuestas de formulario 1.1'!$B245,#REF!,0),MATCH('Respuestas de formulario 1.1'!DE$1,#REF!,0))</f>
        <v>#REF!</v>
      </c>
      <c r="DF245" s="45" t="e">
        <f t="array" ref="DF245">INDEX(#REF!,MATCH('Respuestas de formulario 1.1'!$B245,#REF!,0),MATCH('Respuestas de formulario 1.1'!DF$1,#REF!,0))</f>
        <v>#REF!</v>
      </c>
      <c r="DG245" s="45" t="e">
        <f t="array" ref="DG245">INDEX(#REF!,MATCH('Respuestas de formulario 1.1'!$B245,#REF!,0),MATCH('Respuestas de formulario 1.1'!DG$1,#REF!,0))</f>
        <v>#REF!</v>
      </c>
      <c r="DH245" s="45" t="e">
        <f t="array" ref="DH245">INDEX(#REF!,MATCH('Respuestas de formulario 1.1'!$B245,#REF!,0),MATCH('Respuestas de formulario 1.1'!DH$1,#REF!,0))</f>
        <v>#REF!</v>
      </c>
      <c r="DI245" s="48" t="e">
        <f>VLOOKUP(CONCATENATE($DF245," TUTO ",$DC245),#REF!,3,0)</f>
        <v>#REF!</v>
      </c>
      <c r="DJ245" s="48" t="e">
        <f t="array" ref="DJ245">IF('Respuestas de formulario 1.1'!A245="","",INDEX(#REF!,MATCH('Respuestas de formulario 1.1'!B245,#REF!,0),MATCH('Respuestas de formulario 1.1'!$DH$1,#REF!,0)))</f>
        <v>#REF!</v>
      </c>
      <c r="DK245" s="52" t="str">
        <f>CONCATENATE("http://doc.google.com/uc?id=",MID('Respuestas de formulario 1.1'!G245,34,33))</f>
        <v>http://doc.google.com/uc?id=1mSlqylOaM2WXflXh9ARMpe7SuSD9RZbY</v>
      </c>
      <c r="DL245" s="49" t="str">
        <f>CONCATENATE("http://doc.google.com/uc?id=",MID('Respuestas de formulario 1.1'!AH245,34,33))</f>
        <v>http://doc.google.com/uc?id=1jiZFIIsGP2BCEZnsjcysFZ8zAeTASjMu</v>
      </c>
      <c r="DM245" s="50" t="str">
        <f>CONCATENATE("http://doc.google.com/uc?id=",MID('Respuestas de formulario 1.1'!AW245,34,33))</f>
        <v>http://doc.google.com/uc?id=1ublXlS4EyPIEZzfETgqjGxe9DuqhPa3n</v>
      </c>
      <c r="DN245" s="53" t="str">
        <f>CONCATENATE("http://doc.google.com/uc?id=",MID('Respuestas de formulario 1.1'!$BI245,34,33))</f>
        <v>http://doc.google.com/uc?id=1StnWrftK6xoWx-fShPFuEZsGB1BoFcqu</v>
      </c>
      <c r="DO245" s="45" t="str">
        <f>IFERROR(VLOOKUP(CONCATENATE('Respuestas de formulario 1.1'!$B245,MID('Respuestas de formulario 1.1'!DO$1,2,1)),#REF!,12,0),"")</f>
        <v/>
      </c>
      <c r="DP245" s="45" t="str">
        <f>IFERROR(VLOOKUP(CONCATENATE('Respuestas de formulario 1.1'!$B245,MID('Respuestas de formulario 1.1'!DP$1,2,1)),#REF!,12,0),"")</f>
        <v/>
      </c>
      <c r="DQ245" s="45" t="str">
        <f>IFERROR(VLOOKUP(CONCATENATE('Respuestas de formulario 1.1'!$B245,MID('Respuestas de formulario 1.1'!DQ$1,2,1)),#REF!,12,0),"")</f>
        <v/>
      </c>
      <c r="DR245" s="45" t="str">
        <f>IFERROR(VLOOKUP(CONCATENATE('Respuestas de formulario 1.1'!$B245,MID('Respuestas de formulario 1.1'!DR$1,2,1)),#REF!,12,0),"")</f>
        <v/>
      </c>
      <c r="DS245" s="45" t="str">
        <f>IFERROR(VLOOKUP(CONCATENATE('Respuestas de formulario 1.1'!$B245,MID('Respuestas de formulario 1.1'!DS$1,2,1)),#REF!,12,0),"")</f>
        <v/>
      </c>
      <c r="DT245" s="45" t="str">
        <f>IFERROR(VLOOKUP(CONCATENATE('Respuestas de formulario 1.1'!$B245,MID('Respuestas de formulario 1.1'!DT$1,2,1)),#REF!,12,0),"")</f>
        <v/>
      </c>
      <c r="DU245" s="45" t="str">
        <f>IFERROR(VLOOKUP(CONCATENATE('Respuestas de formulario 1.1'!$B245,MID('Respuestas de formulario 1.1'!DU$1,2,1)),#REF!,12,0),"")</f>
        <v/>
      </c>
      <c r="DV245" s="45" t="str">
        <f>IFERROR(VLOOKUP(CONCATENATE('Respuestas de formulario 1.1'!$B245,MID('Respuestas de formulario 1.1'!DV$1,2,1)),#REF!,12,0),"")</f>
        <v/>
      </c>
      <c r="DW245" s="45" t="str">
        <f>IFERROR(VLOOKUP(CONCATENATE('Respuestas de formulario 1.1'!$B245,MID('Respuestas de formulario 1.1'!DW$1,2,1)),#REF!,12,0),"")</f>
        <v/>
      </c>
      <c r="DX245" s="45" t="str">
        <f>IFERROR(VLOOKUP(CONCATENATE('Respuestas de formulario 1.1'!$B245,MID('Respuestas de formulario 1.1'!DX$1,2,1)),#REF!,12,0),"")</f>
        <v/>
      </c>
      <c r="DY245" s="45" t="str">
        <f>IFERROR(VLOOKUP(CONCATENATE('Respuestas de formulario 1.1'!$B245,MID('Respuestas de formulario 1.1'!DY$1,2,1)),#REF!,12,0),"")</f>
        <v/>
      </c>
      <c r="DZ245" s="45" t="str">
        <f>IFERROR(VLOOKUP(CONCATENATE('Respuestas de formulario 1.1'!$B245,MID('Respuestas de formulario 1.1'!DZ$1,2,1)),#REF!,12,0),"")</f>
        <v/>
      </c>
      <c r="EA245" s="45" t="str">
        <f>IFERROR(VLOOKUP(CONCATENATE('Respuestas de formulario 1.1'!$B245,MID('Respuestas de formulario 1.1'!EA$1,2,1)),#REF!,12,0),"")</f>
        <v/>
      </c>
      <c r="EB245" s="45" t="str">
        <f>IFERROR(VLOOKUP(CONCATENATE('Respuestas de formulario 1.1'!$B245,MID('Respuestas de formulario 1.1'!EB$1,2,1)),#REF!,12,0),"")</f>
        <v/>
      </c>
      <c r="EC245" s="45" t="str">
        <f>IFERROR(VLOOKUP(CONCATENATE('Respuestas de formulario 1.1'!$B245,MID('Respuestas de formulario 1.1'!EC$1,2,1)),#REF!,12,0),"")</f>
        <v/>
      </c>
      <c r="ED245" s="45" t="str">
        <f>IFERROR(VLOOKUP(CONCATENATE('Respuestas de formulario 1.1'!$B245,MID('Respuestas de formulario 1.1'!ED$1,2,1)),#REF!,12,0),"")</f>
        <v/>
      </c>
      <c r="EE245" s="45" t="str">
        <f>IFERROR(VLOOKUP(CONCATENATE('Respuestas de formulario 1.1'!$B245,MID('Respuestas de formulario 1.1'!EE$1,2,1)),#REF!,12,0),"")</f>
        <v/>
      </c>
      <c r="EF245" s="45" t="str">
        <f>IFERROR(VLOOKUP(CONCATENATE('Respuestas de formulario 1.1'!$B245,MID('Respuestas de formulario 1.1'!EF$1,2,1)),#REF!,12,0),"")</f>
        <v/>
      </c>
      <c r="EG245" s="45" t="str">
        <f>IFERROR(VLOOKUP(CONCATENATE('Respuestas de formulario 1.1'!$B245,MID('Respuestas de formulario 1.1'!EG$1,2,1)),#REF!,12,0),"")</f>
        <v/>
      </c>
      <c r="EH245" s="45" t="str">
        <f>IFERROR(VLOOKUP(CONCATENATE('Respuestas de formulario 1.1'!$B245,MID('Respuestas de formulario 1.1'!EH$1,2,1)),#REF!,12,0),"")</f>
        <v/>
      </c>
      <c r="EI245" s="45" t="str">
        <f>IFERROR(VLOOKUP(CONCATENATE('Respuestas de formulario 1.1'!$B245,MID('Respuestas de formulario 1.1'!EI$1,2,1)),#REF!,12,0),"")</f>
        <v/>
      </c>
      <c r="EJ245" s="45" t="str">
        <f t="array" ref="EJ245">IF(DO245="","", INDEX(#REF!,MATCH(CONCATENATE('Respuestas de formulario 1.1'!$B245,DO245),#REF!,0),MATCH('Respuestas de formulario 1.1'!EJ$1,#REF!,0)))</f>
        <v/>
      </c>
      <c r="EK245" s="56" t="str">
        <f t="array" ref="EK245">IF(DP245="","", INDEX(#REF!,MATCH(CONCATENATE('Respuestas de formulario 1.1'!$B245,DP245),#REF!,0),MATCH('Respuestas de formulario 1.1'!EK$1,#REF!,0)))</f>
        <v/>
      </c>
      <c r="EL245" s="56" t="str">
        <f t="array" ref="EL245">IF(DQ245="","", INDEX(#REF!,MATCH(CONCATENATE('Respuestas de formulario 1.1'!$B245,DQ245),#REF!,0),MATCH('Respuestas de formulario 1.1'!EL$1,#REF!,0)))</f>
        <v/>
      </c>
      <c r="EM245" s="56" t="str">
        <f t="array" ref="EM245">IF(DR245="","", INDEX(#REF!,MATCH(CONCATENATE('Respuestas de formulario 1.1'!$B245,DR245),#REF!,0),MATCH('Respuestas de formulario 1.1'!EM$1,#REF!,0)))</f>
        <v/>
      </c>
      <c r="EN245" s="56" t="str">
        <f t="array" ref="EN245">IF(DS245="","", INDEX(#REF!,MATCH(CONCATENATE('Respuestas de formulario 1.1'!$B245,DS245),#REF!,0),MATCH('Respuestas de formulario 1.1'!EN$1,#REF!,0)))</f>
        <v/>
      </c>
      <c r="EO245" s="56" t="str">
        <f t="array" ref="EO245">IF(DT245="","", INDEX(#REF!,MATCH(CONCATENATE('Respuestas de formulario 1.1'!$B245,DT245),#REF!,0),MATCH('Respuestas de formulario 1.1'!EO$1,#REF!,0)))</f>
        <v/>
      </c>
      <c r="EP245" s="45" t="str">
        <f t="array" ref="EP245">IF(DU245="","", INDEX(#REF!,MATCH(CONCATENATE('Respuestas de formulario 1.1'!$B245,DU245),#REF!,0),MATCH('Respuestas de formulario 1.1'!EP$1,#REF!,0)))</f>
        <v/>
      </c>
      <c r="EQ245" s="45" t="str">
        <f t="array" ref="EQ245">IF(DP245="","", INDEX(#REF!,MATCH(CONCATENATE('Respuestas de formulario 1.1'!$B245,DP245),#REF!,0),MATCH('Respuestas de formulario 1.1'!EQ$1,#REF!,0)))</f>
        <v/>
      </c>
      <c r="ER245" s="56" t="str">
        <f t="array" ref="ER245">IF(DQ245="","", INDEX(#REF!,MATCH(CONCATENATE('Respuestas de formulario 1.1'!$B245,DQ245),#REF!,0),MATCH('Respuestas de formulario 1.1'!ER$1,#REF!,0)))</f>
        <v/>
      </c>
      <c r="ES245" s="56" t="str">
        <f t="array" ref="ES245">IF(DR245="","", INDEX(#REF!,MATCH(CONCATENATE('Respuestas de formulario 1.1'!$B245,DR245),#REF!,0),MATCH('Respuestas de formulario 1.1'!ES$1,#REF!,0)))</f>
        <v/>
      </c>
      <c r="ET245" s="56" t="str">
        <f t="array" ref="ET245">IF(DS245="","", INDEX(#REF!,MATCH(CONCATENATE('Respuestas de formulario 1.1'!$B245,DS245),#REF!,0),MATCH('Respuestas de formulario 1.1'!ET$1,#REF!,0)))</f>
        <v/>
      </c>
      <c r="EU245" s="56" t="str">
        <f t="array" ref="EU245">IF(DT245="","", INDEX(#REF!,MATCH(CONCATENATE('Respuestas de formulario 1.1'!$B245,DT245),#REF!,0),MATCH('Respuestas de formulario 1.1'!EU$1,#REF!,0)))</f>
        <v/>
      </c>
      <c r="EV245" s="56" t="str">
        <f t="array" ref="EV245">IF(DU245="","", INDEX(#REF!,MATCH(CONCATENATE('Respuestas de formulario 1.1'!$B245,DU245),#REF!,0),MATCH('Respuestas de formulario 1.1'!EV$1,#REF!,0)))</f>
        <v/>
      </c>
      <c r="EW245" s="45" t="str">
        <f t="array" ref="EW245">IF(DV245="","", INDEX(#REF!,MATCH(CONCATENATE('Respuestas de formulario 1.1'!$B245,DV245),#REF!,0),MATCH('Respuestas de formulario 1.1'!EW$1,#REF!,0)))</f>
        <v/>
      </c>
      <c r="EX245" s="45" t="str">
        <f t="array" ref="EX245">IF($DQ245="","", INDEX(#REF!,MATCH(CONCATENATE('Respuestas de formulario 1.1'!$B245,$DQ245),#REF!,0),MATCH('Respuestas de formulario 1.1'!EX$1,#REF!,0)))</f>
        <v/>
      </c>
      <c r="EY245" s="56" t="str">
        <f t="array" ref="EY245">IF($DQ245="","", INDEX(#REF!,MATCH(CONCATENATE('Respuestas de formulario 1.1'!$B245,$DQ245),#REF!,0),MATCH('Respuestas de formulario 1.1'!EY$1,#REF!,0)))</f>
        <v/>
      </c>
      <c r="EZ245" s="56" t="str">
        <f t="array" ref="EZ245">IF($DQ245="","", INDEX(#REF!,MATCH(CONCATENATE('Respuestas de formulario 1.1'!$B245,$DQ245),#REF!,0),MATCH('Respuestas de formulario 1.1'!EZ$1,#REF!,0)))</f>
        <v/>
      </c>
      <c r="FA245" s="56" t="str">
        <f t="array" ref="FA245">IF($DQ245="","", INDEX(#REF!,MATCH(CONCATENATE('Respuestas de formulario 1.1'!$B245,$DQ245),#REF!,0),MATCH('Respuestas de formulario 1.1'!FA$1,#REF!,0)))</f>
        <v/>
      </c>
      <c r="FB245" s="56" t="str">
        <f t="array" ref="FB245">IF($DQ245="","", INDEX(#REF!,MATCH(CONCATENATE('Respuestas de formulario 1.1'!$B245,$DQ245),#REF!,0),MATCH('Respuestas de formulario 1.1'!FB$1,#REF!,0)))</f>
        <v/>
      </c>
      <c r="FC245" s="56" t="str">
        <f t="array" ref="FC245">IF($DQ245="","", INDEX(#REF!,MATCH(CONCATENATE('Respuestas de formulario 1.1'!$B245,$DQ245),#REF!,0),MATCH('Respuestas de formulario 1.1'!FC$1,#REF!,0)))</f>
        <v/>
      </c>
      <c r="FD245" s="45" t="str">
        <f t="array" ref="FD245">IF($DQ245="","", INDEX(#REF!,MATCH(CONCATENATE('Respuestas de formulario 1.1'!$B245,$DQ245),#REF!,0),MATCH('Respuestas de formulario 1.1'!FD$1,#REF!,0)))</f>
        <v/>
      </c>
      <c r="FE245" s="45" t="str">
        <f t="array" ref="FE245">IF($DR245="","", INDEX(#REF!,MATCH(CONCATENATE(#REF!,$DR245),#REF!,0),MATCH(#REF!,#REF!,0)))</f>
        <v/>
      </c>
      <c r="FF245" s="56" t="str">
        <f t="array" ref="FF245">IF($DR245="","", INDEX(#REF!,MATCH(CONCATENATE(#REF!,$DR245),#REF!,0),MATCH(#REF!,#REF!,0)))</f>
        <v/>
      </c>
      <c r="FG245" s="56" t="str">
        <f t="array" ref="FG245">IF($DR245="","", INDEX(#REF!,MATCH(CONCATENATE(#REF!,$DR245),#REF!,0),MATCH(#REF!,#REF!,0)))</f>
        <v/>
      </c>
      <c r="FH245" s="56" t="str">
        <f t="array" ref="FH245">IF($DR245="","", INDEX(#REF!,MATCH(CONCATENATE(#REF!,$DR245),#REF!,0),MATCH(#REF!,#REF!,0)))</f>
        <v/>
      </c>
      <c r="FI245" s="56" t="str">
        <f t="array" ref="FI245">IF($DR245="","", INDEX(#REF!,MATCH(CONCATENATE(#REF!,$DR245),#REF!,0),MATCH(#REF!,#REF!,0)))</f>
        <v/>
      </c>
      <c r="FJ245" s="56" t="str">
        <f t="array" ref="FJ245">IF($DR245="","", INDEX(#REF!,MATCH(CONCATENATE(#REF!,$DR245),#REF!,0),MATCH(#REF!,#REF!,0)))</f>
        <v/>
      </c>
      <c r="FK245" s="45" t="str">
        <f t="array" ref="FK245">IF($DR245="","", INDEX(#REF!,MATCH(CONCATENATE(#REF!,$DR245),#REF!,0),MATCH(#REF!,#REF!,0)))</f>
        <v/>
      </c>
      <c r="FL245" s="45" t="str">
        <f t="array" ref="FL245">IF($DT245="","", INDEX(#REF!,MATCH(CONCATENATE('Respuestas de formulario 1.1'!$B245,$DS245),#REF!,0),MATCH('Respuestas de formulario 1.1'!FL$1,#REF!,0)))</f>
        <v/>
      </c>
      <c r="FM245" s="56" t="str">
        <f t="array" ref="FM245">IF($DT245="","", INDEX(#REF!,MATCH(CONCATENATE('Respuestas de formulario 1.1'!$B245,$DS245),#REF!,0),MATCH('Respuestas de formulario 1.1'!FM$1,#REF!,0)))</f>
        <v/>
      </c>
      <c r="FN245" s="56" t="str">
        <f t="array" ref="FN245">IF($DT245="","", INDEX(#REF!,MATCH(CONCATENATE('Respuestas de formulario 1.1'!$B245,$DS245),#REF!,0),MATCH('Respuestas de formulario 1.1'!FN$1,#REF!,0)))</f>
        <v/>
      </c>
      <c r="FO245" s="56" t="str">
        <f t="array" ref="FO245">IF($DT245="","", INDEX(#REF!,MATCH(CONCATENATE('Respuestas de formulario 1.1'!$B245,$DS245),#REF!,0),MATCH('Respuestas de formulario 1.1'!FO$1,#REF!,0)))</f>
        <v/>
      </c>
      <c r="FP245" s="56" t="str">
        <f t="array" ref="FP245">IF($DT245="","", INDEX(#REF!,MATCH(CONCATENATE('Respuestas de formulario 1.1'!$B245,$DS245),#REF!,0),MATCH('Respuestas de formulario 1.1'!FP$1,#REF!,0)))</f>
        <v/>
      </c>
      <c r="FQ245" s="56" t="str">
        <f t="array" ref="FQ245">IF($DT245="","", INDEX(#REF!,MATCH(CONCATENATE('Respuestas de formulario 1.1'!$B245,$DS245),#REF!,0),MATCH('Respuestas de formulario 1.1'!FQ$1,#REF!,0)))</f>
        <v/>
      </c>
      <c r="FR245" s="45" t="str">
        <f t="array" ref="FR245">IF($DT245="","", INDEX(#REF!,MATCH(CONCATENATE('Respuestas de formulario 1.1'!$B245,$DS245),#REF!,0),MATCH('Respuestas de formulario 1.1'!FR$1,#REF!,0)))</f>
        <v/>
      </c>
      <c r="FS245" s="45" t="str">
        <f t="array" ref="FS245">IF($DU245="","", INDEX(#REF!,MATCH(CONCATENATE('Respuestas de formulario 1.1'!$B245,$DT245),#REF!,0),MATCH('Respuestas de formulario 1.1'!FS$1,#REF!,0)))</f>
        <v/>
      </c>
      <c r="FT245" s="56" t="str">
        <f t="array" ref="FT245">IF($DU245="","", INDEX(#REF!,MATCH(CONCATENATE('Respuestas de formulario 1.1'!$B245,$DT245),#REF!,0),MATCH('Respuestas de formulario 1.1'!FT$1,#REF!,0)))</f>
        <v/>
      </c>
      <c r="FU245" s="56" t="str">
        <f t="array" ref="FU245">IF($DU245="","", INDEX(#REF!,MATCH(CONCATENATE('Respuestas de formulario 1.1'!$B245,$DT245),#REF!,0),MATCH('Respuestas de formulario 1.1'!FU$1,#REF!,0)))</f>
        <v/>
      </c>
      <c r="FV245" s="56" t="str">
        <f t="array" ref="FV245">IF($DU245="","", INDEX(#REF!,MATCH(CONCATENATE('Respuestas de formulario 1.1'!$B245,$DT245),#REF!,0),MATCH('Respuestas de formulario 1.1'!FV$1,#REF!,0)))</f>
        <v/>
      </c>
      <c r="FW245" s="56" t="str">
        <f t="array" ref="FW245">IF($DU245="","", INDEX(#REF!,MATCH(CONCATENATE('Respuestas de formulario 1.1'!$B245,$DT245),#REF!,0),MATCH('Respuestas de formulario 1.1'!FW$1,#REF!,0)))</f>
        <v/>
      </c>
      <c r="FX245" s="56" t="str">
        <f t="array" ref="FX245">IF($DU245="","", INDEX(#REF!,MATCH(CONCATENATE('Respuestas de formulario 1.1'!$B245,$DT245),#REF!,0),MATCH('Respuestas de formulario 1.1'!FX$1,#REF!,0)))</f>
        <v/>
      </c>
      <c r="FY245" s="45" t="str">
        <f t="array" ref="FY245">IF($DU245="","", INDEX(#REF!,MATCH(CONCATENATE('Respuestas de formulario 1.1'!$B245,$DT245),#REF!,0),MATCH('Respuestas de formulario 1.1'!FY$1,#REF!,0)))</f>
        <v/>
      </c>
      <c r="FZ245" s="3" t="s">
        <v>2860</v>
      </c>
      <c r="GA245" s="1" t="s">
        <v>7059</v>
      </c>
      <c r="GB245" s="5" t="s">
        <v>7060</v>
      </c>
      <c r="GC245" s="4" t="str">
        <f>HYPERLINK("https://drive.google.com/file/d/1HltQdoo-GYuxM4Uk5C_geBaYsiD_SQUD/view?usp=drivesdk","GARCIA ROMERO GABRIEL ALDEBARAN Formato de reinscripción y pago 2022-2")</f>
        <v>GARCIA ROMERO GABRIEL ALDEBARAN Formato de reinscripción y pago 2022-2</v>
      </c>
      <c r="GD245" s="1" t="s">
        <v>7061</v>
      </c>
      <c r="GE245" s="1"/>
      <c r="GF245" s="1"/>
      <c r="GG245" s="1"/>
      <c r="GH245" s="1"/>
      <c r="GI245" s="1" t="s">
        <v>7062</v>
      </c>
      <c r="GJ245" s="5" t="s">
        <v>7063</v>
      </c>
      <c r="GK245" s="5" t="str">
        <f>HYPERLINK("https://drive.google.com/file/d/1jmMirRXertP-5igUMf8WDXRoJiFoRmVN/view?usp=drivesdk","GARCIA ROMERO GABRIEL ALDEBARAN Formato de reinscripción y pago 2022-2")</f>
        <v>GARCIA ROMERO GABRIEL ALDEBARAN Formato de reinscripción y pago 2022-2</v>
      </c>
      <c r="GL245" s="1" t="s">
        <v>7064</v>
      </c>
    </row>
    <row r="246" spans="1:194" ht="38.25" x14ac:dyDescent="0.2">
      <c r="A246" s="2">
        <v>45139.54421821759</v>
      </c>
      <c r="B246" s="1" t="s">
        <v>1072</v>
      </c>
      <c r="C246" s="1" t="s">
        <v>1073</v>
      </c>
      <c r="D246" s="1" t="s">
        <v>1074</v>
      </c>
      <c r="E246" s="1" t="s">
        <v>1075</v>
      </c>
      <c r="F246" s="1" t="s">
        <v>223</v>
      </c>
      <c r="G246" s="5" t="s">
        <v>7065</v>
      </c>
      <c r="H246" s="41">
        <v>38901</v>
      </c>
      <c r="I246" s="1">
        <v>17</v>
      </c>
      <c r="J246" s="1">
        <v>5584917724</v>
      </c>
      <c r="K246" s="1">
        <v>5590481187</v>
      </c>
      <c r="L246" s="1" t="s">
        <v>1076</v>
      </c>
      <c r="M246" s="1">
        <v>21309060570294</v>
      </c>
      <c r="N246" s="1" t="s">
        <v>1108</v>
      </c>
      <c r="O246" s="1" t="s">
        <v>247</v>
      </c>
      <c r="P246" s="1" t="s">
        <v>278</v>
      </c>
      <c r="Q246" s="1" t="s">
        <v>263</v>
      </c>
      <c r="R246" s="1" t="s">
        <v>236</v>
      </c>
      <c r="S246" s="1" t="s">
        <v>228</v>
      </c>
      <c r="T246" s="1" t="s">
        <v>229</v>
      </c>
      <c r="U246" s="1" t="s">
        <v>249</v>
      </c>
      <c r="V246" s="1" t="s">
        <v>228</v>
      </c>
      <c r="W246" s="1" t="s">
        <v>1077</v>
      </c>
      <c r="X246" s="1" t="s">
        <v>249</v>
      </c>
      <c r="Y246" s="1" t="s">
        <v>2473</v>
      </c>
      <c r="Z246" s="1" t="s">
        <v>240</v>
      </c>
      <c r="AA246" s="44" t="s">
        <v>1007</v>
      </c>
      <c r="AB246" s="1">
        <v>18</v>
      </c>
      <c r="AC246" s="1">
        <v>15</v>
      </c>
      <c r="AD246" s="1" t="s">
        <v>7066</v>
      </c>
      <c r="AE246" s="1" t="s">
        <v>7067</v>
      </c>
      <c r="AF246" s="1" t="s">
        <v>758</v>
      </c>
      <c r="AG246" s="1">
        <v>21</v>
      </c>
      <c r="AH246" s="5" t="s">
        <v>7068</v>
      </c>
      <c r="AI246" s="1">
        <v>5523669793</v>
      </c>
      <c r="AJ246" s="1">
        <v>5590481187</v>
      </c>
      <c r="AK246" s="1" t="s">
        <v>1078</v>
      </c>
      <c r="AL246" s="1" t="s">
        <v>1073</v>
      </c>
      <c r="AM246" s="1" t="s">
        <v>1073</v>
      </c>
      <c r="AN246" s="1" t="s">
        <v>1079</v>
      </c>
      <c r="AO246" s="1" t="s">
        <v>650</v>
      </c>
      <c r="AP246" s="1">
        <v>45</v>
      </c>
      <c r="AQ246" s="1" t="s">
        <v>663</v>
      </c>
      <c r="AR246" s="42">
        <v>0.33333333333575865</v>
      </c>
      <c r="AS246" s="42">
        <v>0.16666666666424135</v>
      </c>
      <c r="AT246" s="1">
        <v>5532978675</v>
      </c>
      <c r="AU246" s="1">
        <v>5590481187</v>
      </c>
      <c r="AV246" s="1" t="s">
        <v>1080</v>
      </c>
      <c r="AW246" s="5" t="s">
        <v>7069</v>
      </c>
      <c r="AX246" s="1" t="s">
        <v>1073</v>
      </c>
      <c r="AY246" s="1" t="s">
        <v>1073</v>
      </c>
      <c r="AZ246" s="1" t="s">
        <v>1079</v>
      </c>
      <c r="BA246" s="1" t="s">
        <v>650</v>
      </c>
      <c r="BB246" s="1">
        <v>45</v>
      </c>
      <c r="BC246" s="1" t="s">
        <v>663</v>
      </c>
      <c r="BD246" s="43">
        <v>0.33333333333575865</v>
      </c>
      <c r="BE246" s="43">
        <v>0.16666666666424135</v>
      </c>
      <c r="BF246" s="1">
        <v>5532978675</v>
      </c>
      <c r="BG246" s="1">
        <v>5590481187</v>
      </c>
      <c r="BH246" s="1" t="s">
        <v>1080</v>
      </c>
      <c r="BI246" s="5" t="s">
        <v>7070</v>
      </c>
      <c r="BJ246" s="1" t="s">
        <v>236</v>
      </c>
      <c r="BK246" s="1" t="s">
        <v>297</v>
      </c>
      <c r="BL246" s="1">
        <v>1.65</v>
      </c>
      <c r="BM246" s="1">
        <v>58</v>
      </c>
      <c r="BN246" s="1" t="s">
        <v>236</v>
      </c>
      <c r="BO246" s="1" t="s">
        <v>228</v>
      </c>
      <c r="BP246" s="1" t="s">
        <v>297</v>
      </c>
      <c r="BQ246" s="1" t="s">
        <v>228</v>
      </c>
      <c r="BR246" s="1" t="s">
        <v>237</v>
      </c>
      <c r="BS246" s="1" t="s">
        <v>228</v>
      </c>
      <c r="BT246" s="1" t="s">
        <v>237</v>
      </c>
      <c r="BU246" s="1" t="s">
        <v>228</v>
      </c>
      <c r="BW246" s="1" t="s">
        <v>238</v>
      </c>
      <c r="BX246" s="1">
        <v>35</v>
      </c>
      <c r="BY246" s="1">
        <v>60</v>
      </c>
      <c r="BZ246" s="1" t="s">
        <v>7071</v>
      </c>
      <c r="CA246" s="1" t="s">
        <v>557</v>
      </c>
      <c r="CB246" s="1" t="s">
        <v>240</v>
      </c>
      <c r="CC246" s="1" t="s">
        <v>1081</v>
      </c>
      <c r="CD246" s="1">
        <v>500</v>
      </c>
      <c r="CE246" s="1">
        <v>1550</v>
      </c>
      <c r="CF246" s="1" t="s">
        <v>236</v>
      </c>
      <c r="CG246" s="1" t="s">
        <v>242</v>
      </c>
      <c r="CH246" s="1" t="s">
        <v>243</v>
      </c>
      <c r="CI246" s="1" t="s">
        <v>243</v>
      </c>
      <c r="CJ246" s="1" t="s">
        <v>2848</v>
      </c>
      <c r="CL246" s="5" t="s">
        <v>7072</v>
      </c>
      <c r="CM246" s="1">
        <v>13210633890</v>
      </c>
      <c r="CN246" s="1" t="s">
        <v>228</v>
      </c>
      <c r="CQ246" s="42">
        <v>0.5</v>
      </c>
      <c r="CR246" s="42">
        <v>0.25</v>
      </c>
      <c r="CT246" s="45" t="str">
        <f t="array" ref="CT246">IFERROR(INDEX(#REF!,MATCH('Respuestas de formulario 1.1'!$B246,#REF!,0),MATCH('Respuestas de formulario 1.1'!CT$1,#REF!,0)),"")</f>
        <v/>
      </c>
      <c r="CU246" s="56" t="str">
        <f t="array" ref="CU246">IFERROR(INDEX(#REF!,MATCH('Respuestas de formulario 1.1'!$B246,#REF!,0),MATCH('Respuestas de formulario 1.1'!CU$1,#REF!,0)),"")</f>
        <v/>
      </c>
      <c r="CV246" s="56" t="str">
        <f t="array" ref="CV246">IFERROR(INDEX(#REF!,MATCH('Respuestas de formulario 1.1'!$B246,#REF!,0),MATCH('Respuestas de formulario 1.1'!CV$1,#REF!,0)),"")</f>
        <v/>
      </c>
      <c r="CW246" s="56" t="str">
        <f t="array" ref="CW246">IFERROR(INDEX(#REF!,MATCH('Respuestas de formulario 1.1'!$B246,#REF!,0),MATCH('Respuestas de formulario 1.1'!CW$1,#REF!,0)),"")</f>
        <v/>
      </c>
      <c r="CX246" s="56" t="str">
        <f t="array" ref="CX246">IFERROR(INDEX(#REF!,MATCH('Respuestas de formulario 1.1'!$B246,#REF!,0),MATCH('Respuestas de formulario 1.1'!CX$1,#REF!,0)),"")</f>
        <v/>
      </c>
      <c r="CY246" s="56" t="str">
        <f t="array" ref="CY246">IFERROR(INDEX(#REF!,MATCH('Respuestas de formulario 1.1'!$B246,#REF!,0),MATCH('Respuestas de formulario 1.1'!CY$1,#REF!,0)),"")</f>
        <v/>
      </c>
      <c r="CZ246" s="57" t="str">
        <f t="array" ref="CZ246">IFERROR(INDEX(#REF!,MATCH('Respuestas de formulario 1.1'!$B246,#REF!,0),MATCH('Respuestas de formulario 1.1'!CZ$1,#REF!,0)),"")</f>
        <v/>
      </c>
      <c r="DA246" s="45" t="e">
        <f t="array" ref="DA246">INDEX(#REF!,MATCH('Respuestas de formulario 1.1'!$B246,#REF!,0),MATCH('Respuestas de formulario 1.1'!DA$1,#REF!,0))</f>
        <v>#REF!</v>
      </c>
      <c r="DB246" s="45" t="e">
        <f t="array" ref="DB246">INDEX(#REF!,MATCH('Respuestas de formulario 1.1'!$B246,#REF!,0),MATCH('Respuestas de formulario 1.1'!DB$1,#REF!,0))</f>
        <v>#REF!</v>
      </c>
      <c r="DC246" s="45" t="e">
        <f t="array" ref="DC246">INDEX(#REF!,MATCH('Respuestas de formulario 1.1'!$B246,#REF!,0),MATCH('Respuestas de formulario 1.1'!DC$1,#REF!,0))</f>
        <v>#REF!</v>
      </c>
      <c r="DD246" s="45" t="e">
        <f t="array" ref="DD246">INDEX(#REF!,MATCH('Respuestas de formulario 1.1'!$B246,#REF!,0),MATCH('Respuestas de formulario 1.1'!DD$1,#REF!,0))</f>
        <v>#REF!</v>
      </c>
      <c r="DE246" s="45" t="e">
        <f t="array" ref="DE246">INDEX(#REF!,MATCH('Respuestas de formulario 1.1'!$B246,#REF!,0),MATCH('Respuestas de formulario 1.1'!DE$1,#REF!,0))</f>
        <v>#REF!</v>
      </c>
      <c r="DF246" s="45" t="e">
        <f t="array" ref="DF246">INDEX(#REF!,MATCH('Respuestas de formulario 1.1'!$B246,#REF!,0),MATCH('Respuestas de formulario 1.1'!DF$1,#REF!,0))</f>
        <v>#REF!</v>
      </c>
      <c r="DG246" s="45" t="e">
        <f t="array" ref="DG246">INDEX(#REF!,MATCH('Respuestas de formulario 1.1'!$B246,#REF!,0),MATCH('Respuestas de formulario 1.1'!DG$1,#REF!,0))</f>
        <v>#REF!</v>
      </c>
      <c r="DH246" s="45" t="e">
        <f t="array" ref="DH246">INDEX(#REF!,MATCH('Respuestas de formulario 1.1'!$B246,#REF!,0),MATCH('Respuestas de formulario 1.1'!DH$1,#REF!,0))</f>
        <v>#REF!</v>
      </c>
      <c r="DI246" s="48" t="e">
        <f>VLOOKUP(CONCATENATE($DF246," TUTO ",$DC246),#REF!,3,0)</f>
        <v>#REF!</v>
      </c>
      <c r="DJ246" s="48" t="e">
        <f t="array" ref="DJ246">IF('Respuestas de formulario 1.1'!A246="","",INDEX(#REF!,MATCH('Respuestas de formulario 1.1'!B246,#REF!,0),MATCH('Respuestas de formulario 1.1'!$DH$1,#REF!,0)))</f>
        <v>#REF!</v>
      </c>
      <c r="DK246" s="52" t="str">
        <f>CONCATENATE("http://doc.google.com/uc?id=",MID('Respuestas de formulario 1.1'!G246,34,33))</f>
        <v>http://doc.google.com/uc?id=1ssJB-q0yj9WGgE8Gk88Dc_LzEOOjinVl</v>
      </c>
      <c r="DL246" s="49" t="str">
        <f>CONCATENATE("http://doc.google.com/uc?id=",MID('Respuestas de formulario 1.1'!AH246,34,33))</f>
        <v>http://doc.google.com/uc?id=1h0Sk3HJeAFWj1LiiBlbksb_JpoCRauOL</v>
      </c>
      <c r="DM246" s="50" t="str">
        <f>CONCATENATE("http://doc.google.com/uc?id=",MID('Respuestas de formulario 1.1'!AW246,34,33))</f>
        <v>http://doc.google.com/uc?id=142jugKH-OlaIyBJzcsSXlALYZ8eBy968</v>
      </c>
      <c r="DN246" s="53" t="str">
        <f>CONCATENATE("http://doc.google.com/uc?id=",MID('Respuestas de formulario 1.1'!$BI246,34,33))</f>
        <v>http://doc.google.com/uc?id=1nprtk4KG_VCkRLh0jII2-ENVnybcfHvf</v>
      </c>
      <c r="DO246" s="45" t="str">
        <f>IFERROR(VLOOKUP(CONCATENATE('Respuestas de formulario 1.1'!$B246,MID('Respuestas de formulario 1.1'!DO$1,2,1)),#REF!,12,0),"")</f>
        <v/>
      </c>
      <c r="DP246" s="45" t="str">
        <f>IFERROR(VLOOKUP(CONCATENATE('Respuestas de formulario 1.1'!$B246,MID('Respuestas de formulario 1.1'!DP$1,2,1)),#REF!,12,0),"")</f>
        <v/>
      </c>
      <c r="DQ246" s="45" t="str">
        <f>IFERROR(VLOOKUP(CONCATENATE('Respuestas de formulario 1.1'!$B246,MID('Respuestas de formulario 1.1'!DQ$1,2,1)),#REF!,12,0),"")</f>
        <v/>
      </c>
      <c r="DR246" s="45" t="str">
        <f>IFERROR(VLOOKUP(CONCATENATE('Respuestas de formulario 1.1'!$B246,MID('Respuestas de formulario 1.1'!DR$1,2,1)),#REF!,12,0),"")</f>
        <v/>
      </c>
      <c r="DS246" s="45" t="str">
        <f>IFERROR(VLOOKUP(CONCATENATE('Respuestas de formulario 1.1'!$B246,MID('Respuestas de formulario 1.1'!DS$1,2,1)),#REF!,12,0),"")</f>
        <v/>
      </c>
      <c r="DT246" s="45" t="str">
        <f>IFERROR(VLOOKUP(CONCATENATE('Respuestas de formulario 1.1'!$B246,MID('Respuestas de formulario 1.1'!DT$1,2,1)),#REF!,12,0),"")</f>
        <v/>
      </c>
      <c r="DU246" s="45" t="str">
        <f>IFERROR(VLOOKUP(CONCATENATE('Respuestas de formulario 1.1'!$B246,MID('Respuestas de formulario 1.1'!DU$1,2,1)),#REF!,12,0),"")</f>
        <v/>
      </c>
      <c r="DV246" s="45" t="str">
        <f>IFERROR(VLOOKUP(CONCATENATE('Respuestas de formulario 1.1'!$B246,MID('Respuestas de formulario 1.1'!DV$1,2,1)),#REF!,12,0),"")</f>
        <v/>
      </c>
      <c r="DW246" s="45" t="str">
        <f>IFERROR(VLOOKUP(CONCATENATE('Respuestas de formulario 1.1'!$B246,MID('Respuestas de formulario 1.1'!DW$1,2,1)),#REF!,12,0),"")</f>
        <v/>
      </c>
      <c r="DX246" s="45" t="str">
        <f>IFERROR(VLOOKUP(CONCATENATE('Respuestas de formulario 1.1'!$B246,MID('Respuestas de formulario 1.1'!DX$1,2,1)),#REF!,12,0),"")</f>
        <v/>
      </c>
      <c r="DY246" s="45" t="str">
        <f>IFERROR(VLOOKUP(CONCATENATE('Respuestas de formulario 1.1'!$B246,MID('Respuestas de formulario 1.1'!DY$1,2,1)),#REF!,12,0),"")</f>
        <v/>
      </c>
      <c r="DZ246" s="45" t="str">
        <f>IFERROR(VLOOKUP(CONCATENATE('Respuestas de formulario 1.1'!$B246,MID('Respuestas de formulario 1.1'!DZ$1,2,1)),#REF!,12,0),"")</f>
        <v/>
      </c>
      <c r="EA246" s="45" t="str">
        <f>IFERROR(VLOOKUP(CONCATENATE('Respuestas de formulario 1.1'!$B246,MID('Respuestas de formulario 1.1'!EA$1,2,1)),#REF!,12,0),"")</f>
        <v/>
      </c>
      <c r="EB246" s="45" t="str">
        <f>IFERROR(VLOOKUP(CONCATENATE('Respuestas de formulario 1.1'!$B246,MID('Respuestas de formulario 1.1'!EB$1,2,1)),#REF!,12,0),"")</f>
        <v/>
      </c>
      <c r="EC246" s="45" t="str">
        <f>IFERROR(VLOOKUP(CONCATENATE('Respuestas de formulario 1.1'!$B246,MID('Respuestas de formulario 1.1'!EC$1,2,1)),#REF!,12,0),"")</f>
        <v/>
      </c>
      <c r="ED246" s="45" t="str">
        <f>IFERROR(VLOOKUP(CONCATENATE('Respuestas de formulario 1.1'!$B246,MID('Respuestas de formulario 1.1'!ED$1,2,1)),#REF!,12,0),"")</f>
        <v/>
      </c>
      <c r="EE246" s="45" t="str">
        <f>IFERROR(VLOOKUP(CONCATENATE('Respuestas de formulario 1.1'!$B246,MID('Respuestas de formulario 1.1'!EE$1,2,1)),#REF!,12,0),"")</f>
        <v/>
      </c>
      <c r="EF246" s="45" t="str">
        <f>IFERROR(VLOOKUP(CONCATENATE('Respuestas de formulario 1.1'!$B246,MID('Respuestas de formulario 1.1'!EF$1,2,1)),#REF!,12,0),"")</f>
        <v/>
      </c>
      <c r="EG246" s="45" t="str">
        <f>IFERROR(VLOOKUP(CONCATENATE('Respuestas de formulario 1.1'!$B246,MID('Respuestas de formulario 1.1'!EG$1,2,1)),#REF!,12,0),"")</f>
        <v/>
      </c>
      <c r="EH246" s="45" t="str">
        <f>IFERROR(VLOOKUP(CONCATENATE('Respuestas de formulario 1.1'!$B246,MID('Respuestas de formulario 1.1'!EH$1,2,1)),#REF!,12,0),"")</f>
        <v/>
      </c>
      <c r="EI246" s="45" t="str">
        <f>IFERROR(VLOOKUP(CONCATENATE('Respuestas de formulario 1.1'!$B246,MID('Respuestas de formulario 1.1'!EI$1,2,1)),#REF!,12,0),"")</f>
        <v/>
      </c>
      <c r="EJ246" s="45" t="str">
        <f t="array" ref="EJ246">IF(DO246="","", INDEX(#REF!,MATCH(CONCATENATE('Respuestas de formulario 1.1'!$B246,DO246),#REF!,0),MATCH('Respuestas de formulario 1.1'!EJ$1,#REF!,0)))</f>
        <v/>
      </c>
      <c r="EK246" s="56" t="str">
        <f t="array" ref="EK246">IF(DP246="","", INDEX(#REF!,MATCH(CONCATENATE('Respuestas de formulario 1.1'!$B246,DP246),#REF!,0),MATCH('Respuestas de formulario 1.1'!EK$1,#REF!,0)))</f>
        <v/>
      </c>
      <c r="EL246" s="56" t="str">
        <f t="array" ref="EL246">IF(DQ246="","", INDEX(#REF!,MATCH(CONCATENATE('Respuestas de formulario 1.1'!$B246,DQ246),#REF!,0),MATCH('Respuestas de formulario 1.1'!EL$1,#REF!,0)))</f>
        <v/>
      </c>
      <c r="EM246" s="56" t="str">
        <f t="array" ref="EM246">IF(DR246="","", INDEX(#REF!,MATCH(CONCATENATE('Respuestas de formulario 1.1'!$B246,DR246),#REF!,0),MATCH('Respuestas de formulario 1.1'!EM$1,#REF!,0)))</f>
        <v/>
      </c>
      <c r="EN246" s="56" t="str">
        <f t="array" ref="EN246">IF(DS246="","", INDEX(#REF!,MATCH(CONCATENATE('Respuestas de formulario 1.1'!$B246,DS246),#REF!,0),MATCH('Respuestas de formulario 1.1'!EN$1,#REF!,0)))</f>
        <v/>
      </c>
      <c r="EO246" s="56" t="str">
        <f t="array" ref="EO246">IF(DT246="","", INDEX(#REF!,MATCH(CONCATENATE('Respuestas de formulario 1.1'!$B246,DT246),#REF!,0),MATCH('Respuestas de formulario 1.1'!EO$1,#REF!,0)))</f>
        <v/>
      </c>
      <c r="EP246" s="45" t="str">
        <f t="array" ref="EP246">IF(DU246="","", INDEX(#REF!,MATCH(CONCATENATE('Respuestas de formulario 1.1'!$B246,DU246),#REF!,0),MATCH('Respuestas de formulario 1.1'!EP$1,#REF!,0)))</f>
        <v/>
      </c>
      <c r="EQ246" s="45" t="str">
        <f t="array" ref="EQ246">IF(DP246="","", INDEX(#REF!,MATCH(CONCATENATE('Respuestas de formulario 1.1'!$B246,DP246),#REF!,0),MATCH('Respuestas de formulario 1.1'!EQ$1,#REF!,0)))</f>
        <v/>
      </c>
      <c r="ER246" s="56" t="str">
        <f t="array" ref="ER246">IF(DQ246="","", INDEX(#REF!,MATCH(CONCATENATE('Respuestas de formulario 1.1'!$B246,DQ246),#REF!,0),MATCH('Respuestas de formulario 1.1'!ER$1,#REF!,0)))</f>
        <v/>
      </c>
      <c r="ES246" s="56" t="str">
        <f t="array" ref="ES246">IF(DR246="","", INDEX(#REF!,MATCH(CONCATENATE('Respuestas de formulario 1.1'!$B246,DR246),#REF!,0),MATCH('Respuestas de formulario 1.1'!ES$1,#REF!,0)))</f>
        <v/>
      </c>
      <c r="ET246" s="56" t="str">
        <f t="array" ref="ET246">IF(DS246="","", INDEX(#REF!,MATCH(CONCATENATE('Respuestas de formulario 1.1'!$B246,DS246),#REF!,0),MATCH('Respuestas de formulario 1.1'!ET$1,#REF!,0)))</f>
        <v/>
      </c>
      <c r="EU246" s="56" t="str">
        <f t="array" ref="EU246">IF(DT246="","", INDEX(#REF!,MATCH(CONCATENATE('Respuestas de formulario 1.1'!$B246,DT246),#REF!,0),MATCH('Respuestas de formulario 1.1'!EU$1,#REF!,0)))</f>
        <v/>
      </c>
      <c r="EV246" s="56" t="str">
        <f t="array" ref="EV246">IF(DU246="","", INDEX(#REF!,MATCH(CONCATENATE('Respuestas de formulario 1.1'!$B246,DU246),#REF!,0),MATCH('Respuestas de formulario 1.1'!EV$1,#REF!,0)))</f>
        <v/>
      </c>
      <c r="EW246" s="45" t="str">
        <f t="array" ref="EW246">IF(DV246="","", INDEX(#REF!,MATCH(CONCATENATE('Respuestas de formulario 1.1'!$B246,DV246),#REF!,0),MATCH('Respuestas de formulario 1.1'!EW$1,#REF!,0)))</f>
        <v/>
      </c>
      <c r="EX246" s="45" t="str">
        <f t="array" ref="EX246">IF($DQ246="","", INDEX(#REF!,MATCH(CONCATENATE('Respuestas de formulario 1.1'!$B246,$DQ246),#REF!,0),MATCH('Respuestas de formulario 1.1'!EX$1,#REF!,0)))</f>
        <v/>
      </c>
      <c r="EY246" s="56" t="str">
        <f t="array" ref="EY246">IF($DQ246="","", INDEX(#REF!,MATCH(CONCATENATE('Respuestas de formulario 1.1'!$B246,$DQ246),#REF!,0),MATCH('Respuestas de formulario 1.1'!EY$1,#REF!,0)))</f>
        <v/>
      </c>
      <c r="EZ246" s="56" t="str">
        <f t="array" ref="EZ246">IF($DQ246="","", INDEX(#REF!,MATCH(CONCATENATE('Respuestas de formulario 1.1'!$B246,$DQ246),#REF!,0),MATCH('Respuestas de formulario 1.1'!EZ$1,#REF!,0)))</f>
        <v/>
      </c>
      <c r="FA246" s="56" t="str">
        <f t="array" ref="FA246">IF($DQ246="","", INDEX(#REF!,MATCH(CONCATENATE('Respuestas de formulario 1.1'!$B246,$DQ246),#REF!,0),MATCH('Respuestas de formulario 1.1'!FA$1,#REF!,0)))</f>
        <v/>
      </c>
      <c r="FB246" s="56" t="str">
        <f t="array" ref="FB246">IF($DQ246="","", INDEX(#REF!,MATCH(CONCATENATE('Respuestas de formulario 1.1'!$B246,$DQ246),#REF!,0),MATCH('Respuestas de formulario 1.1'!FB$1,#REF!,0)))</f>
        <v/>
      </c>
      <c r="FC246" s="56" t="str">
        <f t="array" ref="FC246">IF($DQ246="","", INDEX(#REF!,MATCH(CONCATENATE('Respuestas de formulario 1.1'!$B246,$DQ246),#REF!,0),MATCH('Respuestas de formulario 1.1'!FC$1,#REF!,0)))</f>
        <v/>
      </c>
      <c r="FD246" s="45" t="str">
        <f t="array" ref="FD246">IF($DQ246="","", INDEX(#REF!,MATCH(CONCATENATE('Respuestas de formulario 1.1'!$B246,$DQ246),#REF!,0),MATCH('Respuestas de formulario 1.1'!FD$1,#REF!,0)))</f>
        <v/>
      </c>
      <c r="FE246" s="45" t="str">
        <f t="array" ref="FE246">IF($DR246="","", INDEX(#REF!,MATCH(CONCATENATE(#REF!,$DR246),#REF!,0),MATCH(#REF!,#REF!,0)))</f>
        <v/>
      </c>
      <c r="FF246" s="56" t="str">
        <f t="array" ref="FF246">IF($DR246="","", INDEX(#REF!,MATCH(CONCATENATE(#REF!,$DR246),#REF!,0),MATCH(#REF!,#REF!,0)))</f>
        <v/>
      </c>
      <c r="FG246" s="56" t="str">
        <f t="array" ref="FG246">IF($DR246="","", INDEX(#REF!,MATCH(CONCATENATE(#REF!,$DR246),#REF!,0),MATCH(#REF!,#REF!,0)))</f>
        <v/>
      </c>
      <c r="FH246" s="56" t="str">
        <f t="array" ref="FH246">IF($DR246="","", INDEX(#REF!,MATCH(CONCATENATE(#REF!,$DR246),#REF!,0),MATCH(#REF!,#REF!,0)))</f>
        <v/>
      </c>
      <c r="FI246" s="56" t="str">
        <f t="array" ref="FI246">IF($DR246="","", INDEX(#REF!,MATCH(CONCATENATE(#REF!,$DR246),#REF!,0),MATCH(#REF!,#REF!,0)))</f>
        <v/>
      </c>
      <c r="FJ246" s="56" t="str">
        <f t="array" ref="FJ246">IF($DR246="","", INDEX(#REF!,MATCH(CONCATENATE(#REF!,$DR246),#REF!,0),MATCH(#REF!,#REF!,0)))</f>
        <v/>
      </c>
      <c r="FK246" s="45" t="str">
        <f t="array" ref="FK246">IF($DR246="","", INDEX(#REF!,MATCH(CONCATENATE(#REF!,$DR246),#REF!,0),MATCH(#REF!,#REF!,0)))</f>
        <v/>
      </c>
      <c r="FL246" s="45" t="str">
        <f t="array" ref="FL246">IF($DT246="","", INDEX(#REF!,MATCH(CONCATENATE('Respuestas de formulario 1.1'!$B246,$DS246),#REF!,0),MATCH('Respuestas de formulario 1.1'!FL$1,#REF!,0)))</f>
        <v/>
      </c>
      <c r="FM246" s="56" t="str">
        <f t="array" ref="FM246">IF($DT246="","", INDEX(#REF!,MATCH(CONCATENATE('Respuestas de formulario 1.1'!$B246,$DS246),#REF!,0),MATCH('Respuestas de formulario 1.1'!FM$1,#REF!,0)))</f>
        <v/>
      </c>
      <c r="FN246" s="56" t="str">
        <f t="array" ref="FN246">IF($DT246="","", INDEX(#REF!,MATCH(CONCATENATE('Respuestas de formulario 1.1'!$B246,$DS246),#REF!,0),MATCH('Respuestas de formulario 1.1'!FN$1,#REF!,0)))</f>
        <v/>
      </c>
      <c r="FO246" s="56" t="str">
        <f t="array" ref="FO246">IF($DT246="","", INDEX(#REF!,MATCH(CONCATENATE('Respuestas de formulario 1.1'!$B246,$DS246),#REF!,0),MATCH('Respuestas de formulario 1.1'!FO$1,#REF!,0)))</f>
        <v/>
      </c>
      <c r="FP246" s="56" t="str">
        <f t="array" ref="FP246">IF($DT246="","", INDEX(#REF!,MATCH(CONCATENATE('Respuestas de formulario 1.1'!$B246,$DS246),#REF!,0),MATCH('Respuestas de formulario 1.1'!FP$1,#REF!,0)))</f>
        <v/>
      </c>
      <c r="FQ246" s="56" t="str">
        <f t="array" ref="FQ246">IF($DT246="","", INDEX(#REF!,MATCH(CONCATENATE('Respuestas de formulario 1.1'!$B246,$DS246),#REF!,0),MATCH('Respuestas de formulario 1.1'!FQ$1,#REF!,0)))</f>
        <v/>
      </c>
      <c r="FR246" s="45" t="str">
        <f t="array" ref="FR246">IF($DT246="","", INDEX(#REF!,MATCH(CONCATENATE('Respuestas de formulario 1.1'!$B246,$DS246),#REF!,0),MATCH('Respuestas de formulario 1.1'!FR$1,#REF!,0)))</f>
        <v/>
      </c>
      <c r="FS246" s="45" t="str">
        <f t="array" ref="FS246">IF($DU246="","", INDEX(#REF!,MATCH(CONCATENATE('Respuestas de formulario 1.1'!$B246,$DT246),#REF!,0),MATCH('Respuestas de formulario 1.1'!FS$1,#REF!,0)))</f>
        <v/>
      </c>
      <c r="FT246" s="56" t="str">
        <f t="array" ref="FT246">IF($DU246="","", INDEX(#REF!,MATCH(CONCATENATE('Respuestas de formulario 1.1'!$B246,$DT246),#REF!,0),MATCH('Respuestas de formulario 1.1'!FT$1,#REF!,0)))</f>
        <v/>
      </c>
      <c r="FU246" s="56" t="str">
        <f t="array" ref="FU246">IF($DU246="","", INDEX(#REF!,MATCH(CONCATENATE('Respuestas de formulario 1.1'!$B246,$DT246),#REF!,0),MATCH('Respuestas de formulario 1.1'!FU$1,#REF!,0)))</f>
        <v/>
      </c>
      <c r="FV246" s="56" t="str">
        <f t="array" ref="FV246">IF($DU246="","", INDEX(#REF!,MATCH(CONCATENATE('Respuestas de formulario 1.1'!$B246,$DT246),#REF!,0),MATCH('Respuestas de formulario 1.1'!FV$1,#REF!,0)))</f>
        <v/>
      </c>
      <c r="FW246" s="56" t="str">
        <f t="array" ref="FW246">IF($DU246="","", INDEX(#REF!,MATCH(CONCATENATE('Respuestas de formulario 1.1'!$B246,$DT246),#REF!,0),MATCH('Respuestas de formulario 1.1'!FW$1,#REF!,0)))</f>
        <v/>
      </c>
      <c r="FX246" s="56" t="str">
        <f t="array" ref="FX246">IF($DU246="","", INDEX(#REF!,MATCH(CONCATENATE('Respuestas de formulario 1.1'!$B246,$DT246),#REF!,0),MATCH('Respuestas de formulario 1.1'!FX$1,#REF!,0)))</f>
        <v/>
      </c>
      <c r="FY246" s="45" t="str">
        <f t="array" ref="FY246">IF($DU246="","", INDEX(#REF!,MATCH(CONCATENATE('Respuestas de formulario 1.1'!$B246,$DT246),#REF!,0),MATCH('Respuestas de formulario 1.1'!FY$1,#REF!,0)))</f>
        <v/>
      </c>
      <c r="FZ246" s="3" t="s">
        <v>2860</v>
      </c>
      <c r="GA246" s="1" t="s">
        <v>7073</v>
      </c>
      <c r="GB246" s="5" t="s">
        <v>7074</v>
      </c>
      <c r="GC246" s="4" t="str">
        <f>HYPERLINK("https://drive.google.com/file/d/1jb5ODMpYBl5uwyKVZsVjUB-nXYOkQGgl/view?usp=drivesdk","NERIA  CRUZ  MELANY YAMILET  Formato de reinscripción y pago 2022-2")</f>
        <v>NERIA  CRUZ  MELANY YAMILET  Formato de reinscripción y pago 2022-2</v>
      </c>
      <c r="GD246" s="1" t="s">
        <v>7075</v>
      </c>
      <c r="GE246" s="1"/>
      <c r="GF246" s="1"/>
      <c r="GG246" s="1"/>
      <c r="GH246" s="1"/>
      <c r="GI246" s="1" t="s">
        <v>7076</v>
      </c>
      <c r="GJ246" s="5" t="s">
        <v>7077</v>
      </c>
      <c r="GK246" s="5" t="str">
        <f>HYPERLINK("https://drive.google.com/file/d/1Rz6VkkT-_OsZwWiiL18ZMH6tfuD04ZMT/view?usp=drivesdk","NERIA  CRUZ  MELANY YAMILET  Formato de reinscripción y pago 2022-2")</f>
        <v>NERIA  CRUZ  MELANY YAMILET  Formato de reinscripción y pago 2022-2</v>
      </c>
      <c r="GL246" s="1" t="s">
        <v>7078</v>
      </c>
    </row>
    <row r="247" spans="1:194" ht="38.25" x14ac:dyDescent="0.2">
      <c r="A247" s="2">
        <v>45139.544777662042</v>
      </c>
      <c r="B247" s="1" t="s">
        <v>7079</v>
      </c>
      <c r="C247" s="1" t="s">
        <v>252</v>
      </c>
      <c r="D247" s="1" t="s">
        <v>382</v>
      </c>
      <c r="E247" s="1" t="s">
        <v>7080</v>
      </c>
      <c r="F247" s="1" t="s">
        <v>262</v>
      </c>
      <c r="G247" s="5" t="s">
        <v>7081</v>
      </c>
      <c r="H247" s="41">
        <v>38432</v>
      </c>
      <c r="I247" s="1">
        <v>18</v>
      </c>
      <c r="J247" s="1">
        <v>5630956707</v>
      </c>
      <c r="K247" s="1">
        <v>235</v>
      </c>
      <c r="L247" s="1" t="s">
        <v>7082</v>
      </c>
      <c r="M247" s="1">
        <v>20309060570406</v>
      </c>
      <c r="N247" s="1" t="s">
        <v>1108</v>
      </c>
      <c r="O247" s="1" t="s">
        <v>247</v>
      </c>
      <c r="P247" s="1" t="s">
        <v>278</v>
      </c>
      <c r="Q247" s="1" t="s">
        <v>227</v>
      </c>
      <c r="R247" s="1" t="s">
        <v>228</v>
      </c>
      <c r="S247" s="1" t="s">
        <v>228</v>
      </c>
      <c r="T247" s="1" t="s">
        <v>229</v>
      </c>
      <c r="U247" s="1" t="s">
        <v>249</v>
      </c>
      <c r="V247" s="1" t="s">
        <v>228</v>
      </c>
      <c r="W247" s="1" t="s">
        <v>7083</v>
      </c>
      <c r="X247" s="1" t="s">
        <v>264</v>
      </c>
      <c r="Y247" s="1" t="s">
        <v>2343</v>
      </c>
      <c r="Z247" s="1" t="s">
        <v>231</v>
      </c>
      <c r="AA247" s="1">
        <v>57520</v>
      </c>
      <c r="AB247" s="1">
        <v>235</v>
      </c>
      <c r="AC247" s="1">
        <v>1</v>
      </c>
      <c r="AD247" s="1" t="s">
        <v>7084</v>
      </c>
      <c r="AE247" s="1" t="s">
        <v>7085</v>
      </c>
      <c r="AF247" s="1" t="s">
        <v>445</v>
      </c>
      <c r="AG247" s="1">
        <v>25</v>
      </c>
      <c r="AH247" s="5" t="s">
        <v>7086</v>
      </c>
      <c r="AI247" s="1">
        <v>5582493593</v>
      </c>
      <c r="AJ247" s="1">
        <v>5589138207</v>
      </c>
      <c r="AK247" s="1" t="s">
        <v>7087</v>
      </c>
      <c r="AL247" s="1" t="s">
        <v>234</v>
      </c>
      <c r="AM247" s="1" t="s">
        <v>482</v>
      </c>
      <c r="AN247" s="1" t="s">
        <v>1395</v>
      </c>
      <c r="AO247" s="1" t="s">
        <v>758</v>
      </c>
      <c r="AP247" s="1">
        <v>22</v>
      </c>
      <c r="AQ247" s="1" t="s">
        <v>739</v>
      </c>
      <c r="AR247" s="42">
        <v>0.375</v>
      </c>
      <c r="AS247" s="42">
        <v>0.75</v>
      </c>
      <c r="AT247" s="1">
        <v>5611912180</v>
      </c>
      <c r="AU247" s="1">
        <v>5611912180</v>
      </c>
      <c r="AV247" s="1" t="s">
        <v>7087</v>
      </c>
      <c r="AW247" s="5" t="s">
        <v>7088</v>
      </c>
      <c r="AX247" s="1" t="s">
        <v>1548</v>
      </c>
      <c r="AY247" s="1" t="s">
        <v>7089</v>
      </c>
      <c r="AZ247" s="1" t="s">
        <v>7090</v>
      </c>
      <c r="BA247" s="1" t="s">
        <v>7091</v>
      </c>
      <c r="BB247" s="1">
        <v>38</v>
      </c>
      <c r="BC247" s="1" t="s">
        <v>306</v>
      </c>
      <c r="BD247" s="43">
        <v>0.375</v>
      </c>
      <c r="BE247" s="43">
        <v>0.75</v>
      </c>
      <c r="BF247" s="1">
        <v>5580133270</v>
      </c>
      <c r="BG247" s="1">
        <v>5517170783</v>
      </c>
      <c r="BH247" s="1" t="s">
        <v>7087</v>
      </c>
      <c r="BI247" s="5" t="s">
        <v>7092</v>
      </c>
      <c r="BJ247" s="1" t="s">
        <v>236</v>
      </c>
      <c r="BL247" s="1">
        <v>180</v>
      </c>
      <c r="BM247" s="1">
        <v>74</v>
      </c>
      <c r="BN247" s="1" t="s">
        <v>236</v>
      </c>
      <c r="BO247" s="1" t="s">
        <v>228</v>
      </c>
      <c r="BQ247" s="1" t="s">
        <v>228</v>
      </c>
      <c r="BR247" s="1" t="s">
        <v>237</v>
      </c>
      <c r="BS247" s="1" t="s">
        <v>236</v>
      </c>
      <c r="BT247" s="1" t="s">
        <v>237</v>
      </c>
      <c r="BU247" s="1" t="s">
        <v>228</v>
      </c>
      <c r="BW247" s="1" t="s">
        <v>238</v>
      </c>
      <c r="BX247" s="1">
        <v>180</v>
      </c>
      <c r="BY247" s="1">
        <v>220</v>
      </c>
      <c r="BZ247" s="1" t="s">
        <v>2466</v>
      </c>
      <c r="CA247" s="1" t="s">
        <v>365</v>
      </c>
      <c r="CB247" s="1" t="s">
        <v>240</v>
      </c>
      <c r="CC247" s="1" t="s">
        <v>274</v>
      </c>
      <c r="CD247" s="1">
        <v>1500</v>
      </c>
      <c r="CE247" s="1">
        <v>2500</v>
      </c>
      <c r="CF247" s="1" t="s">
        <v>236</v>
      </c>
      <c r="CG247" s="1" t="s">
        <v>242</v>
      </c>
      <c r="CH247" s="1" t="s">
        <v>243</v>
      </c>
      <c r="CI247" s="1" t="s">
        <v>243</v>
      </c>
      <c r="CJ247" s="1" t="s">
        <v>2848</v>
      </c>
      <c r="CL247" s="5" t="s">
        <v>7093</v>
      </c>
      <c r="CM247" s="1">
        <v>82200515573</v>
      </c>
      <c r="CN247" s="1" t="s">
        <v>228</v>
      </c>
      <c r="CQ247" s="42">
        <v>0.375</v>
      </c>
      <c r="CR247" s="42">
        <v>0.91666666666424135</v>
      </c>
      <c r="CT247" s="45" t="str">
        <f t="array" ref="CT247">IFERROR(INDEX(#REF!,MATCH('Respuestas de formulario 1.1'!$B247,#REF!,0),MATCH('Respuestas de formulario 1.1'!CT$1,#REF!,0)),"")</f>
        <v/>
      </c>
      <c r="CU247" s="56" t="str">
        <f t="array" ref="CU247">IFERROR(INDEX(#REF!,MATCH('Respuestas de formulario 1.1'!$B247,#REF!,0),MATCH('Respuestas de formulario 1.1'!CU$1,#REF!,0)),"")</f>
        <v/>
      </c>
      <c r="CV247" s="56" t="str">
        <f t="array" ref="CV247">IFERROR(INDEX(#REF!,MATCH('Respuestas de formulario 1.1'!$B247,#REF!,0),MATCH('Respuestas de formulario 1.1'!CV$1,#REF!,0)),"")</f>
        <v/>
      </c>
      <c r="CW247" s="56" t="str">
        <f t="array" ref="CW247">IFERROR(INDEX(#REF!,MATCH('Respuestas de formulario 1.1'!$B247,#REF!,0),MATCH('Respuestas de formulario 1.1'!CW$1,#REF!,0)),"")</f>
        <v/>
      </c>
      <c r="CX247" s="56" t="str">
        <f t="array" ref="CX247">IFERROR(INDEX(#REF!,MATCH('Respuestas de formulario 1.1'!$B247,#REF!,0),MATCH('Respuestas de formulario 1.1'!CX$1,#REF!,0)),"")</f>
        <v/>
      </c>
      <c r="CY247" s="56" t="str">
        <f t="array" ref="CY247">IFERROR(INDEX(#REF!,MATCH('Respuestas de formulario 1.1'!$B247,#REF!,0),MATCH('Respuestas de formulario 1.1'!CY$1,#REF!,0)),"")</f>
        <v/>
      </c>
      <c r="CZ247" s="57" t="str">
        <f t="array" ref="CZ247">IFERROR(INDEX(#REF!,MATCH('Respuestas de formulario 1.1'!$B247,#REF!,0),MATCH('Respuestas de formulario 1.1'!CZ$1,#REF!,0)),"")</f>
        <v/>
      </c>
      <c r="DA247" s="45" t="e">
        <f t="array" ref="DA247">INDEX(#REF!,MATCH('Respuestas de formulario 1.1'!$B247,#REF!,0),MATCH('Respuestas de formulario 1.1'!DA$1,#REF!,0))</f>
        <v>#REF!</v>
      </c>
      <c r="DB247" s="45" t="e">
        <f t="array" ref="DB247">INDEX(#REF!,MATCH('Respuestas de formulario 1.1'!$B247,#REF!,0),MATCH('Respuestas de formulario 1.1'!DB$1,#REF!,0))</f>
        <v>#REF!</v>
      </c>
      <c r="DC247" s="45" t="e">
        <f t="array" ref="DC247">INDEX(#REF!,MATCH('Respuestas de formulario 1.1'!$B247,#REF!,0),MATCH('Respuestas de formulario 1.1'!DC$1,#REF!,0))</f>
        <v>#REF!</v>
      </c>
      <c r="DD247" s="45" t="e">
        <f t="array" ref="DD247">INDEX(#REF!,MATCH('Respuestas de formulario 1.1'!$B247,#REF!,0),MATCH('Respuestas de formulario 1.1'!DD$1,#REF!,0))</f>
        <v>#REF!</v>
      </c>
      <c r="DE247" s="45" t="e">
        <f t="array" ref="DE247">INDEX(#REF!,MATCH('Respuestas de formulario 1.1'!$B247,#REF!,0),MATCH('Respuestas de formulario 1.1'!DE$1,#REF!,0))</f>
        <v>#REF!</v>
      </c>
      <c r="DF247" s="45" t="e">
        <f t="array" ref="DF247">INDEX(#REF!,MATCH('Respuestas de formulario 1.1'!$B247,#REF!,0),MATCH('Respuestas de formulario 1.1'!DF$1,#REF!,0))</f>
        <v>#REF!</v>
      </c>
      <c r="DG247" s="45" t="e">
        <f t="array" ref="DG247">INDEX(#REF!,MATCH('Respuestas de formulario 1.1'!$B247,#REF!,0),MATCH('Respuestas de formulario 1.1'!DG$1,#REF!,0))</f>
        <v>#REF!</v>
      </c>
      <c r="DH247" s="45" t="e">
        <f t="array" ref="DH247">INDEX(#REF!,MATCH('Respuestas de formulario 1.1'!$B247,#REF!,0),MATCH('Respuestas de formulario 1.1'!DH$1,#REF!,0))</f>
        <v>#REF!</v>
      </c>
      <c r="DI247" s="48" t="e">
        <f>VLOOKUP(CONCATENATE($DF247," TUTO ",$DC247),#REF!,3,0)</f>
        <v>#REF!</v>
      </c>
      <c r="DJ247" s="48" t="e">
        <f t="array" ref="DJ247">IF('Respuestas de formulario 1.1'!A247="","",INDEX(#REF!,MATCH('Respuestas de formulario 1.1'!B247,#REF!,0),MATCH('Respuestas de formulario 1.1'!$DH$1,#REF!,0)))</f>
        <v>#REF!</v>
      </c>
      <c r="DK247" s="52" t="str">
        <f>CONCATENATE("http://doc.google.com/uc?id=",MID('Respuestas de formulario 1.1'!G247,34,33))</f>
        <v>http://doc.google.com/uc?id=1WfNSsTqfkeMfd_98XyztjnF04mfptgTV</v>
      </c>
      <c r="DL247" s="49" t="str">
        <f>CONCATENATE("http://doc.google.com/uc?id=",MID('Respuestas de formulario 1.1'!AH247,34,33))</f>
        <v>http://doc.google.com/uc?id=1mNRyodQc6Tsvsal6sXLfs9IrrehRYd4C</v>
      </c>
      <c r="DM247" s="50" t="str">
        <f>CONCATENATE("http://doc.google.com/uc?id=",MID('Respuestas de formulario 1.1'!AW247,34,33))</f>
        <v>http://doc.google.com/uc?id=1xk35aXlcc9Wscz7FYCnhx6SEAPXmjHQy</v>
      </c>
      <c r="DN247" s="53" t="str">
        <f>CONCATENATE("http://doc.google.com/uc?id=",MID('Respuestas de formulario 1.1'!$BI247,34,33))</f>
        <v>http://doc.google.com/uc?id=1tMrYEOZHb7qFhjhOKTPjTxwfvBzMQv5G</v>
      </c>
      <c r="DO247" s="45" t="str">
        <f>IFERROR(VLOOKUP(CONCATENATE('Respuestas de formulario 1.1'!$B247,MID('Respuestas de formulario 1.1'!DO$1,2,1)),#REF!,12,0),"")</f>
        <v/>
      </c>
      <c r="DP247" s="45" t="str">
        <f>IFERROR(VLOOKUP(CONCATENATE('Respuestas de formulario 1.1'!$B247,MID('Respuestas de formulario 1.1'!DP$1,2,1)),#REF!,12,0),"")</f>
        <v/>
      </c>
      <c r="DQ247" s="45" t="str">
        <f>IFERROR(VLOOKUP(CONCATENATE('Respuestas de formulario 1.1'!$B247,MID('Respuestas de formulario 1.1'!DQ$1,2,1)),#REF!,12,0),"")</f>
        <v/>
      </c>
      <c r="DR247" s="45" t="str">
        <f>IFERROR(VLOOKUP(CONCATENATE('Respuestas de formulario 1.1'!$B247,MID('Respuestas de formulario 1.1'!DR$1,2,1)),#REF!,12,0),"")</f>
        <v/>
      </c>
      <c r="DS247" s="45" t="str">
        <f>IFERROR(VLOOKUP(CONCATENATE('Respuestas de formulario 1.1'!$B247,MID('Respuestas de formulario 1.1'!DS$1,2,1)),#REF!,12,0),"")</f>
        <v/>
      </c>
      <c r="DT247" s="45" t="str">
        <f>IFERROR(VLOOKUP(CONCATENATE('Respuestas de formulario 1.1'!$B247,MID('Respuestas de formulario 1.1'!DT$1,2,1)),#REF!,12,0),"")</f>
        <v/>
      </c>
      <c r="DU247" s="45" t="str">
        <f>IFERROR(VLOOKUP(CONCATENATE('Respuestas de formulario 1.1'!$B247,MID('Respuestas de formulario 1.1'!DU$1,2,1)),#REF!,12,0),"")</f>
        <v/>
      </c>
      <c r="DV247" s="45" t="str">
        <f>IFERROR(VLOOKUP(CONCATENATE('Respuestas de formulario 1.1'!$B247,MID('Respuestas de formulario 1.1'!DV$1,2,1)),#REF!,12,0),"")</f>
        <v/>
      </c>
      <c r="DW247" s="45" t="str">
        <f>IFERROR(VLOOKUP(CONCATENATE('Respuestas de formulario 1.1'!$B247,MID('Respuestas de formulario 1.1'!DW$1,2,1)),#REF!,12,0),"")</f>
        <v/>
      </c>
      <c r="DX247" s="45" t="str">
        <f>IFERROR(VLOOKUP(CONCATENATE('Respuestas de formulario 1.1'!$B247,MID('Respuestas de formulario 1.1'!DX$1,2,1)),#REF!,12,0),"")</f>
        <v/>
      </c>
      <c r="DY247" s="45" t="str">
        <f>IFERROR(VLOOKUP(CONCATENATE('Respuestas de formulario 1.1'!$B247,MID('Respuestas de formulario 1.1'!DY$1,2,1)),#REF!,12,0),"")</f>
        <v/>
      </c>
      <c r="DZ247" s="45" t="str">
        <f>IFERROR(VLOOKUP(CONCATENATE('Respuestas de formulario 1.1'!$B247,MID('Respuestas de formulario 1.1'!DZ$1,2,1)),#REF!,12,0),"")</f>
        <v/>
      </c>
      <c r="EA247" s="45" t="str">
        <f>IFERROR(VLOOKUP(CONCATENATE('Respuestas de formulario 1.1'!$B247,MID('Respuestas de formulario 1.1'!EA$1,2,1)),#REF!,12,0),"")</f>
        <v/>
      </c>
      <c r="EB247" s="45" t="str">
        <f>IFERROR(VLOOKUP(CONCATENATE('Respuestas de formulario 1.1'!$B247,MID('Respuestas de formulario 1.1'!EB$1,2,1)),#REF!,12,0),"")</f>
        <v/>
      </c>
      <c r="EC247" s="45" t="str">
        <f>IFERROR(VLOOKUP(CONCATENATE('Respuestas de formulario 1.1'!$B247,MID('Respuestas de formulario 1.1'!EC$1,2,1)),#REF!,12,0),"")</f>
        <v/>
      </c>
      <c r="ED247" s="45" t="str">
        <f>IFERROR(VLOOKUP(CONCATENATE('Respuestas de formulario 1.1'!$B247,MID('Respuestas de formulario 1.1'!ED$1,2,1)),#REF!,12,0),"")</f>
        <v/>
      </c>
      <c r="EE247" s="45" t="str">
        <f>IFERROR(VLOOKUP(CONCATENATE('Respuestas de formulario 1.1'!$B247,MID('Respuestas de formulario 1.1'!EE$1,2,1)),#REF!,12,0),"")</f>
        <v/>
      </c>
      <c r="EF247" s="45" t="str">
        <f>IFERROR(VLOOKUP(CONCATENATE('Respuestas de formulario 1.1'!$B247,MID('Respuestas de formulario 1.1'!EF$1,2,1)),#REF!,12,0),"")</f>
        <v/>
      </c>
      <c r="EG247" s="45" t="str">
        <f>IFERROR(VLOOKUP(CONCATENATE('Respuestas de formulario 1.1'!$B247,MID('Respuestas de formulario 1.1'!EG$1,2,1)),#REF!,12,0),"")</f>
        <v/>
      </c>
      <c r="EH247" s="45" t="str">
        <f>IFERROR(VLOOKUP(CONCATENATE('Respuestas de formulario 1.1'!$B247,MID('Respuestas de formulario 1.1'!EH$1,2,1)),#REF!,12,0),"")</f>
        <v/>
      </c>
      <c r="EI247" s="45" t="str">
        <f>IFERROR(VLOOKUP(CONCATENATE('Respuestas de formulario 1.1'!$B247,MID('Respuestas de formulario 1.1'!EI$1,2,1)),#REF!,12,0),"")</f>
        <v/>
      </c>
      <c r="EJ247" s="45" t="str">
        <f t="array" ref="EJ247">IF(DO247="","", INDEX(#REF!,MATCH(CONCATENATE('Respuestas de formulario 1.1'!$B247,DO247),#REF!,0),MATCH('Respuestas de formulario 1.1'!EJ$1,#REF!,0)))</f>
        <v/>
      </c>
      <c r="EK247" s="56" t="str">
        <f t="array" ref="EK247">IF(DP247="","", INDEX(#REF!,MATCH(CONCATENATE('Respuestas de formulario 1.1'!$B247,DP247),#REF!,0),MATCH('Respuestas de formulario 1.1'!EK$1,#REF!,0)))</f>
        <v/>
      </c>
      <c r="EL247" s="56" t="str">
        <f t="array" ref="EL247">IF(DQ247="","", INDEX(#REF!,MATCH(CONCATENATE('Respuestas de formulario 1.1'!$B247,DQ247),#REF!,0),MATCH('Respuestas de formulario 1.1'!EL$1,#REF!,0)))</f>
        <v/>
      </c>
      <c r="EM247" s="56" t="str">
        <f t="array" ref="EM247">IF(DR247="","", INDEX(#REF!,MATCH(CONCATENATE('Respuestas de formulario 1.1'!$B247,DR247),#REF!,0),MATCH('Respuestas de formulario 1.1'!EM$1,#REF!,0)))</f>
        <v/>
      </c>
      <c r="EN247" s="56" t="str">
        <f t="array" ref="EN247">IF(DS247="","", INDEX(#REF!,MATCH(CONCATENATE('Respuestas de formulario 1.1'!$B247,DS247),#REF!,0),MATCH('Respuestas de formulario 1.1'!EN$1,#REF!,0)))</f>
        <v/>
      </c>
      <c r="EO247" s="56" t="str">
        <f t="array" ref="EO247">IF(DT247="","", INDEX(#REF!,MATCH(CONCATENATE('Respuestas de formulario 1.1'!$B247,DT247),#REF!,0),MATCH('Respuestas de formulario 1.1'!EO$1,#REF!,0)))</f>
        <v/>
      </c>
      <c r="EP247" s="45" t="str">
        <f t="array" ref="EP247">IF(DU247="","", INDEX(#REF!,MATCH(CONCATENATE('Respuestas de formulario 1.1'!$B247,DU247),#REF!,0),MATCH('Respuestas de formulario 1.1'!EP$1,#REF!,0)))</f>
        <v/>
      </c>
      <c r="EQ247" s="45" t="str">
        <f t="array" ref="EQ247">IF(DP247="","", INDEX(#REF!,MATCH(CONCATENATE('Respuestas de formulario 1.1'!$B247,DP247),#REF!,0),MATCH('Respuestas de formulario 1.1'!EQ$1,#REF!,0)))</f>
        <v/>
      </c>
      <c r="ER247" s="56" t="str">
        <f t="array" ref="ER247">IF(DQ247="","", INDEX(#REF!,MATCH(CONCATENATE('Respuestas de formulario 1.1'!$B247,DQ247),#REF!,0),MATCH('Respuestas de formulario 1.1'!ER$1,#REF!,0)))</f>
        <v/>
      </c>
      <c r="ES247" s="56" t="str">
        <f t="array" ref="ES247">IF(DR247="","", INDEX(#REF!,MATCH(CONCATENATE('Respuestas de formulario 1.1'!$B247,DR247),#REF!,0),MATCH('Respuestas de formulario 1.1'!ES$1,#REF!,0)))</f>
        <v/>
      </c>
      <c r="ET247" s="56" t="str">
        <f t="array" ref="ET247">IF(DS247="","", INDEX(#REF!,MATCH(CONCATENATE('Respuestas de formulario 1.1'!$B247,DS247),#REF!,0),MATCH('Respuestas de formulario 1.1'!ET$1,#REF!,0)))</f>
        <v/>
      </c>
      <c r="EU247" s="56" t="str">
        <f t="array" ref="EU247">IF(DT247="","", INDEX(#REF!,MATCH(CONCATENATE('Respuestas de formulario 1.1'!$B247,DT247),#REF!,0),MATCH('Respuestas de formulario 1.1'!EU$1,#REF!,0)))</f>
        <v/>
      </c>
      <c r="EV247" s="56" t="str">
        <f t="array" ref="EV247">IF(DU247="","", INDEX(#REF!,MATCH(CONCATENATE('Respuestas de formulario 1.1'!$B247,DU247),#REF!,0),MATCH('Respuestas de formulario 1.1'!EV$1,#REF!,0)))</f>
        <v/>
      </c>
      <c r="EW247" s="45" t="str">
        <f t="array" ref="EW247">IF(DV247="","", INDEX(#REF!,MATCH(CONCATENATE('Respuestas de formulario 1.1'!$B247,DV247),#REF!,0),MATCH('Respuestas de formulario 1.1'!EW$1,#REF!,0)))</f>
        <v/>
      </c>
      <c r="EX247" s="45" t="str">
        <f t="array" ref="EX247">IF($DQ247="","", INDEX(#REF!,MATCH(CONCATENATE('Respuestas de formulario 1.1'!$B247,$DQ247),#REF!,0),MATCH('Respuestas de formulario 1.1'!EX$1,#REF!,0)))</f>
        <v/>
      </c>
      <c r="EY247" s="56" t="str">
        <f t="array" ref="EY247">IF($DQ247="","", INDEX(#REF!,MATCH(CONCATENATE('Respuestas de formulario 1.1'!$B247,$DQ247),#REF!,0),MATCH('Respuestas de formulario 1.1'!EY$1,#REF!,0)))</f>
        <v/>
      </c>
      <c r="EZ247" s="56" t="str">
        <f t="array" ref="EZ247">IF($DQ247="","", INDEX(#REF!,MATCH(CONCATENATE('Respuestas de formulario 1.1'!$B247,$DQ247),#REF!,0),MATCH('Respuestas de formulario 1.1'!EZ$1,#REF!,0)))</f>
        <v/>
      </c>
      <c r="FA247" s="56" t="str">
        <f t="array" ref="FA247">IF($DQ247="","", INDEX(#REF!,MATCH(CONCATENATE('Respuestas de formulario 1.1'!$B247,$DQ247),#REF!,0),MATCH('Respuestas de formulario 1.1'!FA$1,#REF!,0)))</f>
        <v/>
      </c>
      <c r="FB247" s="56" t="str">
        <f t="array" ref="FB247">IF($DQ247="","", INDEX(#REF!,MATCH(CONCATENATE('Respuestas de formulario 1.1'!$B247,$DQ247),#REF!,0),MATCH('Respuestas de formulario 1.1'!FB$1,#REF!,0)))</f>
        <v/>
      </c>
      <c r="FC247" s="56" t="str">
        <f t="array" ref="FC247">IF($DQ247="","", INDEX(#REF!,MATCH(CONCATENATE('Respuestas de formulario 1.1'!$B247,$DQ247),#REF!,0),MATCH('Respuestas de formulario 1.1'!FC$1,#REF!,0)))</f>
        <v/>
      </c>
      <c r="FD247" s="45" t="str">
        <f t="array" ref="FD247">IF($DQ247="","", INDEX(#REF!,MATCH(CONCATENATE('Respuestas de formulario 1.1'!$B247,$DQ247),#REF!,0),MATCH('Respuestas de formulario 1.1'!FD$1,#REF!,0)))</f>
        <v/>
      </c>
      <c r="FE247" s="45" t="str">
        <f t="array" ref="FE247">IF($DR247="","", INDEX(#REF!,MATCH(CONCATENATE(#REF!,$DR247),#REF!,0),MATCH(#REF!,#REF!,0)))</f>
        <v/>
      </c>
      <c r="FF247" s="56" t="str">
        <f t="array" ref="FF247">IF($DR247="","", INDEX(#REF!,MATCH(CONCATENATE(#REF!,$DR247),#REF!,0),MATCH(#REF!,#REF!,0)))</f>
        <v/>
      </c>
      <c r="FG247" s="56" t="str">
        <f t="array" ref="FG247">IF($DR247="","", INDEX(#REF!,MATCH(CONCATENATE(#REF!,$DR247),#REF!,0),MATCH(#REF!,#REF!,0)))</f>
        <v/>
      </c>
      <c r="FH247" s="56" t="str">
        <f t="array" ref="FH247">IF($DR247="","", INDEX(#REF!,MATCH(CONCATENATE(#REF!,$DR247),#REF!,0),MATCH(#REF!,#REF!,0)))</f>
        <v/>
      </c>
      <c r="FI247" s="56" t="str">
        <f t="array" ref="FI247">IF($DR247="","", INDEX(#REF!,MATCH(CONCATENATE(#REF!,$DR247),#REF!,0),MATCH(#REF!,#REF!,0)))</f>
        <v/>
      </c>
      <c r="FJ247" s="56" t="str">
        <f t="array" ref="FJ247">IF($DR247="","", INDEX(#REF!,MATCH(CONCATENATE(#REF!,$DR247),#REF!,0),MATCH(#REF!,#REF!,0)))</f>
        <v/>
      </c>
      <c r="FK247" s="45" t="str">
        <f t="array" ref="FK247">IF($DR247="","", INDEX(#REF!,MATCH(CONCATENATE(#REF!,$DR247),#REF!,0),MATCH(#REF!,#REF!,0)))</f>
        <v/>
      </c>
      <c r="FL247" s="45" t="str">
        <f t="array" ref="FL247">IF($DT247="","", INDEX(#REF!,MATCH(CONCATENATE('Respuestas de formulario 1.1'!$B247,$DS247),#REF!,0),MATCH('Respuestas de formulario 1.1'!FL$1,#REF!,0)))</f>
        <v/>
      </c>
      <c r="FM247" s="56" t="str">
        <f t="array" ref="FM247">IF($DT247="","", INDEX(#REF!,MATCH(CONCATENATE('Respuestas de formulario 1.1'!$B247,$DS247),#REF!,0),MATCH('Respuestas de formulario 1.1'!FM$1,#REF!,0)))</f>
        <v/>
      </c>
      <c r="FN247" s="56" t="str">
        <f t="array" ref="FN247">IF($DT247="","", INDEX(#REF!,MATCH(CONCATENATE('Respuestas de formulario 1.1'!$B247,$DS247),#REF!,0),MATCH('Respuestas de formulario 1.1'!FN$1,#REF!,0)))</f>
        <v/>
      </c>
      <c r="FO247" s="56" t="str">
        <f t="array" ref="FO247">IF($DT247="","", INDEX(#REF!,MATCH(CONCATENATE('Respuestas de formulario 1.1'!$B247,$DS247),#REF!,0),MATCH('Respuestas de formulario 1.1'!FO$1,#REF!,0)))</f>
        <v/>
      </c>
      <c r="FP247" s="56" t="str">
        <f t="array" ref="FP247">IF($DT247="","", INDEX(#REF!,MATCH(CONCATENATE('Respuestas de formulario 1.1'!$B247,$DS247),#REF!,0),MATCH('Respuestas de formulario 1.1'!FP$1,#REF!,0)))</f>
        <v/>
      </c>
      <c r="FQ247" s="56" t="str">
        <f t="array" ref="FQ247">IF($DT247="","", INDEX(#REF!,MATCH(CONCATENATE('Respuestas de formulario 1.1'!$B247,$DS247),#REF!,0),MATCH('Respuestas de formulario 1.1'!FQ$1,#REF!,0)))</f>
        <v/>
      </c>
      <c r="FR247" s="45" t="str">
        <f t="array" ref="FR247">IF($DT247="","", INDEX(#REF!,MATCH(CONCATENATE('Respuestas de formulario 1.1'!$B247,$DS247),#REF!,0),MATCH('Respuestas de formulario 1.1'!FR$1,#REF!,0)))</f>
        <v/>
      </c>
      <c r="FS247" s="45" t="str">
        <f t="array" ref="FS247">IF($DU247="","", INDEX(#REF!,MATCH(CONCATENATE('Respuestas de formulario 1.1'!$B247,$DT247),#REF!,0),MATCH('Respuestas de formulario 1.1'!FS$1,#REF!,0)))</f>
        <v/>
      </c>
      <c r="FT247" s="56" t="str">
        <f t="array" ref="FT247">IF($DU247="","", INDEX(#REF!,MATCH(CONCATENATE('Respuestas de formulario 1.1'!$B247,$DT247),#REF!,0),MATCH('Respuestas de formulario 1.1'!FT$1,#REF!,0)))</f>
        <v/>
      </c>
      <c r="FU247" s="56" t="str">
        <f t="array" ref="FU247">IF($DU247="","", INDEX(#REF!,MATCH(CONCATENATE('Respuestas de formulario 1.1'!$B247,$DT247),#REF!,0),MATCH('Respuestas de formulario 1.1'!FU$1,#REF!,0)))</f>
        <v/>
      </c>
      <c r="FV247" s="56" t="str">
        <f t="array" ref="FV247">IF($DU247="","", INDEX(#REF!,MATCH(CONCATENATE('Respuestas de formulario 1.1'!$B247,$DT247),#REF!,0),MATCH('Respuestas de formulario 1.1'!FV$1,#REF!,0)))</f>
        <v/>
      </c>
      <c r="FW247" s="56" t="str">
        <f t="array" ref="FW247">IF($DU247="","", INDEX(#REF!,MATCH(CONCATENATE('Respuestas de formulario 1.1'!$B247,$DT247),#REF!,0),MATCH('Respuestas de formulario 1.1'!FW$1,#REF!,0)))</f>
        <v/>
      </c>
      <c r="FX247" s="56" t="str">
        <f t="array" ref="FX247">IF($DU247="","", INDEX(#REF!,MATCH(CONCATENATE('Respuestas de formulario 1.1'!$B247,$DT247),#REF!,0),MATCH('Respuestas de formulario 1.1'!FX$1,#REF!,0)))</f>
        <v/>
      </c>
      <c r="FY247" s="45" t="str">
        <f t="array" ref="FY247">IF($DU247="","", INDEX(#REF!,MATCH(CONCATENATE('Respuestas de formulario 1.1'!$B247,$DT247),#REF!,0),MATCH('Respuestas de formulario 1.1'!FY$1,#REF!,0)))</f>
        <v/>
      </c>
      <c r="FZ247" s="3" t="s">
        <v>2860</v>
      </c>
    </row>
    <row r="248" spans="1:194" ht="38.25" x14ac:dyDescent="0.2">
      <c r="A248" s="2">
        <v>45139.546158379628</v>
      </c>
      <c r="B248" s="1" t="s">
        <v>30</v>
      </c>
      <c r="C248" s="1" t="s">
        <v>452</v>
      </c>
      <c r="D248" s="1" t="s">
        <v>340</v>
      </c>
      <c r="E248" s="1" t="s">
        <v>1637</v>
      </c>
      <c r="F248" s="1" t="s">
        <v>223</v>
      </c>
      <c r="G248" s="5" t="s">
        <v>7094</v>
      </c>
      <c r="H248" s="41">
        <v>38888</v>
      </c>
      <c r="I248" s="1">
        <v>17</v>
      </c>
      <c r="J248" s="1">
        <v>5545344886</v>
      </c>
      <c r="K248" s="1">
        <v>5580828793</v>
      </c>
      <c r="L248" s="1" t="s">
        <v>1681</v>
      </c>
      <c r="M248" s="1">
        <v>21309060570148</v>
      </c>
      <c r="N248" s="1" t="s">
        <v>1108</v>
      </c>
      <c r="O248" s="1" t="s">
        <v>247</v>
      </c>
      <c r="P248" s="1" t="s">
        <v>226</v>
      </c>
      <c r="Q248" s="1" t="s">
        <v>248</v>
      </c>
      <c r="R248" s="1" t="s">
        <v>236</v>
      </c>
      <c r="S248" s="1" t="s">
        <v>228</v>
      </c>
      <c r="T248" s="1" t="s">
        <v>229</v>
      </c>
      <c r="U248" s="1" t="s">
        <v>230</v>
      </c>
      <c r="V248" s="1" t="s">
        <v>228</v>
      </c>
      <c r="W248" s="1" t="s">
        <v>7095</v>
      </c>
      <c r="X248" s="1" t="s">
        <v>230</v>
      </c>
      <c r="Y248" s="1" t="s">
        <v>1684</v>
      </c>
      <c r="Z248" s="1" t="s">
        <v>231</v>
      </c>
      <c r="AA248" s="1">
        <v>56643</v>
      </c>
      <c r="AB248" s="1">
        <v>30</v>
      </c>
      <c r="AC248" s="1" t="s">
        <v>226</v>
      </c>
      <c r="AD248" s="1" t="s">
        <v>7096</v>
      </c>
      <c r="AE248" s="1" t="s">
        <v>1682</v>
      </c>
      <c r="AF248" s="1" t="s">
        <v>586</v>
      </c>
      <c r="AG248" s="1">
        <v>21</v>
      </c>
      <c r="AH248" s="5" t="s">
        <v>7097</v>
      </c>
      <c r="AI248" s="1">
        <v>5564408138</v>
      </c>
      <c r="AJ248" s="1">
        <v>5580828793</v>
      </c>
      <c r="AK248" s="1" t="s">
        <v>7098</v>
      </c>
      <c r="AL248" s="1" t="s">
        <v>452</v>
      </c>
      <c r="AM248" s="1" t="s">
        <v>433</v>
      </c>
      <c r="AN248" s="1" t="s">
        <v>1252</v>
      </c>
      <c r="AO248" s="1" t="s">
        <v>650</v>
      </c>
      <c r="AP248" s="1">
        <v>44</v>
      </c>
      <c r="AQ248" s="1" t="s">
        <v>517</v>
      </c>
      <c r="AR248" s="42">
        <v>0.375</v>
      </c>
      <c r="AS248" s="42">
        <v>0.20833333333575865</v>
      </c>
      <c r="AT248" s="1">
        <v>5627014072</v>
      </c>
      <c r="AU248" s="1">
        <v>5627014072</v>
      </c>
      <c r="AV248" s="1"/>
      <c r="AW248" s="5" t="s">
        <v>7099</v>
      </c>
      <c r="AX248" s="1" t="s">
        <v>340</v>
      </c>
      <c r="AY248" s="1" t="s">
        <v>1683</v>
      </c>
      <c r="AZ248" s="1" t="s">
        <v>7100</v>
      </c>
      <c r="BA248" s="1" t="s">
        <v>265</v>
      </c>
      <c r="BB248" s="1">
        <v>40</v>
      </c>
      <c r="BC248" s="1" t="s">
        <v>517</v>
      </c>
      <c r="BD248" s="43">
        <v>0.375</v>
      </c>
      <c r="BE248" s="43">
        <v>0.20833333333575865</v>
      </c>
      <c r="BF248" s="1">
        <v>5568671865</v>
      </c>
      <c r="BG248" s="1">
        <v>5580828793</v>
      </c>
      <c r="BH248" s="1"/>
      <c r="BI248" s="5" t="s">
        <v>7101</v>
      </c>
      <c r="BJ248" s="1" t="s">
        <v>236</v>
      </c>
      <c r="BL248" s="1">
        <v>1.53</v>
      </c>
      <c r="BM248" s="1">
        <v>46</v>
      </c>
      <c r="BN248" s="1" t="s">
        <v>228</v>
      </c>
      <c r="BO248" s="1" t="s">
        <v>228</v>
      </c>
      <c r="BQ248" s="1" t="s">
        <v>228</v>
      </c>
      <c r="BR248" s="1" t="s">
        <v>237</v>
      </c>
      <c r="BS248" s="1" t="s">
        <v>228</v>
      </c>
      <c r="BT248" s="1" t="s">
        <v>237</v>
      </c>
      <c r="BU248" s="1" t="s">
        <v>236</v>
      </c>
      <c r="BW248" s="1" t="s">
        <v>238</v>
      </c>
      <c r="BX248" s="1">
        <v>200</v>
      </c>
      <c r="BY248" s="1">
        <v>235</v>
      </c>
      <c r="BZ248" s="1" t="s">
        <v>253</v>
      </c>
      <c r="CA248" s="1" t="s">
        <v>384</v>
      </c>
      <c r="CB248" s="1" t="s">
        <v>240</v>
      </c>
      <c r="CC248" s="1" t="s">
        <v>322</v>
      </c>
      <c r="CD248" s="1">
        <v>3000</v>
      </c>
      <c r="CE248" s="1">
        <v>2500</v>
      </c>
      <c r="CF248" s="1" t="s">
        <v>236</v>
      </c>
      <c r="CG248" s="1" t="s">
        <v>323</v>
      </c>
      <c r="CH248" s="1" t="s">
        <v>243</v>
      </c>
      <c r="CI248" s="1" t="s">
        <v>243</v>
      </c>
      <c r="CJ248" s="1" t="s">
        <v>2848</v>
      </c>
      <c r="CL248" s="5" t="s">
        <v>7102</v>
      </c>
      <c r="CM248" s="1">
        <v>6895780773</v>
      </c>
      <c r="CN248" s="1" t="s">
        <v>228</v>
      </c>
      <c r="CQ248" s="42">
        <v>0.20833333333575865</v>
      </c>
      <c r="CR248" s="42">
        <v>0.4375</v>
      </c>
      <c r="CT248" s="45" t="str">
        <f t="array" ref="CT248">IFERROR(INDEX(#REF!,MATCH('Respuestas de formulario 1.1'!$B248,#REF!,0),MATCH('Respuestas de formulario 1.1'!CT$1,#REF!,0)),"")</f>
        <v/>
      </c>
      <c r="CU248" s="56" t="str">
        <f t="array" ref="CU248">IFERROR(INDEX(#REF!,MATCH('Respuestas de formulario 1.1'!$B248,#REF!,0),MATCH('Respuestas de formulario 1.1'!CU$1,#REF!,0)),"")</f>
        <v/>
      </c>
      <c r="CV248" s="56" t="str">
        <f t="array" ref="CV248">IFERROR(INDEX(#REF!,MATCH('Respuestas de formulario 1.1'!$B248,#REF!,0),MATCH('Respuestas de formulario 1.1'!CV$1,#REF!,0)),"")</f>
        <v/>
      </c>
      <c r="CW248" s="56" t="str">
        <f t="array" ref="CW248">IFERROR(INDEX(#REF!,MATCH('Respuestas de formulario 1.1'!$B248,#REF!,0),MATCH('Respuestas de formulario 1.1'!CW$1,#REF!,0)),"")</f>
        <v/>
      </c>
      <c r="CX248" s="56" t="str">
        <f t="array" ref="CX248">IFERROR(INDEX(#REF!,MATCH('Respuestas de formulario 1.1'!$B248,#REF!,0),MATCH('Respuestas de formulario 1.1'!CX$1,#REF!,0)),"")</f>
        <v/>
      </c>
      <c r="CY248" s="56" t="str">
        <f t="array" ref="CY248">IFERROR(INDEX(#REF!,MATCH('Respuestas de formulario 1.1'!$B248,#REF!,0),MATCH('Respuestas de formulario 1.1'!CY$1,#REF!,0)),"")</f>
        <v/>
      </c>
      <c r="CZ248" s="57" t="str">
        <f t="array" ref="CZ248">IFERROR(INDEX(#REF!,MATCH('Respuestas de formulario 1.1'!$B248,#REF!,0),MATCH('Respuestas de formulario 1.1'!CZ$1,#REF!,0)),"")</f>
        <v/>
      </c>
      <c r="DA248" s="45" t="e">
        <f t="array" ref="DA248">INDEX(#REF!,MATCH('Respuestas de formulario 1.1'!$B248,#REF!,0),MATCH('Respuestas de formulario 1.1'!DA$1,#REF!,0))</f>
        <v>#REF!</v>
      </c>
      <c r="DB248" s="45" t="e">
        <f t="array" ref="DB248">INDEX(#REF!,MATCH('Respuestas de formulario 1.1'!$B248,#REF!,0),MATCH('Respuestas de formulario 1.1'!DB$1,#REF!,0))</f>
        <v>#REF!</v>
      </c>
      <c r="DC248" s="45" t="e">
        <f t="array" ref="DC248">INDEX(#REF!,MATCH('Respuestas de formulario 1.1'!$B248,#REF!,0),MATCH('Respuestas de formulario 1.1'!DC$1,#REF!,0))</f>
        <v>#REF!</v>
      </c>
      <c r="DD248" s="45" t="e">
        <f t="array" ref="DD248">INDEX(#REF!,MATCH('Respuestas de formulario 1.1'!$B248,#REF!,0),MATCH('Respuestas de formulario 1.1'!DD$1,#REF!,0))</f>
        <v>#REF!</v>
      </c>
      <c r="DE248" s="45" t="e">
        <f t="array" ref="DE248">INDEX(#REF!,MATCH('Respuestas de formulario 1.1'!$B248,#REF!,0),MATCH('Respuestas de formulario 1.1'!DE$1,#REF!,0))</f>
        <v>#REF!</v>
      </c>
      <c r="DF248" s="45" t="e">
        <f t="array" ref="DF248">INDEX(#REF!,MATCH('Respuestas de formulario 1.1'!$B248,#REF!,0),MATCH('Respuestas de formulario 1.1'!DF$1,#REF!,0))</f>
        <v>#REF!</v>
      </c>
      <c r="DG248" s="45" t="e">
        <f t="array" ref="DG248">INDEX(#REF!,MATCH('Respuestas de formulario 1.1'!$B248,#REF!,0),MATCH('Respuestas de formulario 1.1'!DG$1,#REF!,0))</f>
        <v>#REF!</v>
      </c>
      <c r="DH248" s="45" t="e">
        <f t="array" ref="DH248">INDEX(#REF!,MATCH('Respuestas de formulario 1.1'!$B248,#REF!,0),MATCH('Respuestas de formulario 1.1'!DH$1,#REF!,0))</f>
        <v>#REF!</v>
      </c>
      <c r="DI248" s="48" t="e">
        <f>VLOOKUP(CONCATENATE($DF248," TUTO ",$DC248),#REF!,3,0)</f>
        <v>#REF!</v>
      </c>
      <c r="DJ248" s="48" t="e">
        <f t="array" ref="DJ248">IF('Respuestas de formulario 1.1'!A248="","",INDEX(#REF!,MATCH('Respuestas de formulario 1.1'!B248,#REF!,0),MATCH('Respuestas de formulario 1.1'!$DH$1,#REF!,0)))</f>
        <v>#REF!</v>
      </c>
      <c r="DK248" s="52" t="str">
        <f>CONCATENATE("http://doc.google.com/uc?id=",MID('Respuestas de formulario 1.1'!G248,34,33))</f>
        <v>http://doc.google.com/uc?id=1isWYO3A35FvUezCBcoSkwX6rikn2qEvf</v>
      </c>
      <c r="DL248" s="49" t="str">
        <f>CONCATENATE("http://doc.google.com/uc?id=",MID('Respuestas de formulario 1.1'!AH248,34,33))</f>
        <v>http://doc.google.com/uc?id=16MQb2uvdhpQJS5bCV9eXpsifGjvkksUP</v>
      </c>
      <c r="DM248" s="50" t="str">
        <f>CONCATENATE("http://doc.google.com/uc?id=",MID('Respuestas de formulario 1.1'!AW248,34,33))</f>
        <v>http://doc.google.com/uc?id=1Jg_ETWMV_eoASaS8OvoOcJlQ_zyAm_KX</v>
      </c>
      <c r="DN248" s="53" t="str">
        <f>CONCATENATE("http://doc.google.com/uc?id=",MID('Respuestas de formulario 1.1'!$BI248,34,33))</f>
        <v>http://doc.google.com/uc?id=1JMBzMUb6LNdN113RfUutWRqU56OHGZrI</v>
      </c>
      <c r="DO248" s="45" t="str">
        <f>IFERROR(VLOOKUP(CONCATENATE('Respuestas de formulario 1.1'!$B248,MID('Respuestas de formulario 1.1'!DO$1,2,1)),#REF!,12,0),"")</f>
        <v/>
      </c>
      <c r="DP248" s="45" t="str">
        <f>IFERROR(VLOOKUP(CONCATENATE('Respuestas de formulario 1.1'!$B248,MID('Respuestas de formulario 1.1'!DP$1,2,1)),#REF!,12,0),"")</f>
        <v/>
      </c>
      <c r="DQ248" s="45" t="str">
        <f>IFERROR(VLOOKUP(CONCATENATE('Respuestas de formulario 1.1'!$B248,MID('Respuestas de formulario 1.1'!DQ$1,2,1)),#REF!,12,0),"")</f>
        <v/>
      </c>
      <c r="DR248" s="45" t="str">
        <f>IFERROR(VLOOKUP(CONCATENATE('Respuestas de formulario 1.1'!$B248,MID('Respuestas de formulario 1.1'!DR$1,2,1)),#REF!,12,0),"")</f>
        <v/>
      </c>
      <c r="DS248" s="45" t="str">
        <f>IFERROR(VLOOKUP(CONCATENATE('Respuestas de formulario 1.1'!$B248,MID('Respuestas de formulario 1.1'!DS$1,2,1)),#REF!,12,0),"")</f>
        <v/>
      </c>
      <c r="DT248" s="45" t="str">
        <f>IFERROR(VLOOKUP(CONCATENATE('Respuestas de formulario 1.1'!$B248,MID('Respuestas de formulario 1.1'!DT$1,2,1)),#REF!,12,0),"")</f>
        <v/>
      </c>
      <c r="DU248" s="45" t="str">
        <f>IFERROR(VLOOKUP(CONCATENATE('Respuestas de formulario 1.1'!$B248,MID('Respuestas de formulario 1.1'!DU$1,2,1)),#REF!,12,0),"")</f>
        <v/>
      </c>
      <c r="DV248" s="45" t="str">
        <f>IFERROR(VLOOKUP(CONCATENATE('Respuestas de formulario 1.1'!$B248,MID('Respuestas de formulario 1.1'!DV$1,2,1)),#REF!,12,0),"")</f>
        <v/>
      </c>
      <c r="DW248" s="45" t="str">
        <f>IFERROR(VLOOKUP(CONCATENATE('Respuestas de formulario 1.1'!$B248,MID('Respuestas de formulario 1.1'!DW$1,2,1)),#REF!,12,0),"")</f>
        <v/>
      </c>
      <c r="DX248" s="45" t="str">
        <f>IFERROR(VLOOKUP(CONCATENATE('Respuestas de formulario 1.1'!$B248,MID('Respuestas de formulario 1.1'!DX$1,2,1)),#REF!,12,0),"")</f>
        <v/>
      </c>
      <c r="DY248" s="45" t="str">
        <f>IFERROR(VLOOKUP(CONCATENATE('Respuestas de formulario 1.1'!$B248,MID('Respuestas de formulario 1.1'!DY$1,2,1)),#REF!,12,0),"")</f>
        <v/>
      </c>
      <c r="DZ248" s="45" t="str">
        <f>IFERROR(VLOOKUP(CONCATENATE('Respuestas de formulario 1.1'!$B248,MID('Respuestas de formulario 1.1'!DZ$1,2,1)),#REF!,12,0),"")</f>
        <v/>
      </c>
      <c r="EA248" s="45" t="str">
        <f>IFERROR(VLOOKUP(CONCATENATE('Respuestas de formulario 1.1'!$B248,MID('Respuestas de formulario 1.1'!EA$1,2,1)),#REF!,12,0),"")</f>
        <v/>
      </c>
      <c r="EB248" s="45" t="str">
        <f>IFERROR(VLOOKUP(CONCATENATE('Respuestas de formulario 1.1'!$B248,MID('Respuestas de formulario 1.1'!EB$1,2,1)),#REF!,12,0),"")</f>
        <v/>
      </c>
      <c r="EC248" s="45" t="str">
        <f>IFERROR(VLOOKUP(CONCATENATE('Respuestas de formulario 1.1'!$B248,MID('Respuestas de formulario 1.1'!EC$1,2,1)),#REF!,12,0),"")</f>
        <v/>
      </c>
      <c r="ED248" s="45" t="str">
        <f>IFERROR(VLOOKUP(CONCATENATE('Respuestas de formulario 1.1'!$B248,MID('Respuestas de formulario 1.1'!ED$1,2,1)),#REF!,12,0),"")</f>
        <v/>
      </c>
      <c r="EE248" s="45" t="str">
        <f>IFERROR(VLOOKUP(CONCATENATE('Respuestas de formulario 1.1'!$B248,MID('Respuestas de formulario 1.1'!EE$1,2,1)),#REF!,12,0),"")</f>
        <v/>
      </c>
      <c r="EF248" s="45" t="str">
        <f>IFERROR(VLOOKUP(CONCATENATE('Respuestas de formulario 1.1'!$B248,MID('Respuestas de formulario 1.1'!EF$1,2,1)),#REF!,12,0),"")</f>
        <v/>
      </c>
      <c r="EG248" s="45" t="str">
        <f>IFERROR(VLOOKUP(CONCATENATE('Respuestas de formulario 1.1'!$B248,MID('Respuestas de formulario 1.1'!EG$1,2,1)),#REF!,12,0),"")</f>
        <v/>
      </c>
      <c r="EH248" s="45" t="str">
        <f>IFERROR(VLOOKUP(CONCATENATE('Respuestas de formulario 1.1'!$B248,MID('Respuestas de formulario 1.1'!EH$1,2,1)),#REF!,12,0),"")</f>
        <v/>
      </c>
      <c r="EI248" s="45" t="str">
        <f>IFERROR(VLOOKUP(CONCATENATE('Respuestas de formulario 1.1'!$B248,MID('Respuestas de formulario 1.1'!EI$1,2,1)),#REF!,12,0),"")</f>
        <v/>
      </c>
      <c r="EJ248" s="45" t="str">
        <f t="array" ref="EJ248">IF(DO248="","", INDEX(#REF!,MATCH(CONCATENATE('Respuestas de formulario 1.1'!$B248,DO248),#REF!,0),MATCH('Respuestas de formulario 1.1'!EJ$1,#REF!,0)))</f>
        <v/>
      </c>
      <c r="EK248" s="56" t="str">
        <f t="array" ref="EK248">IF(DP248="","", INDEX(#REF!,MATCH(CONCATENATE('Respuestas de formulario 1.1'!$B248,DP248),#REF!,0),MATCH('Respuestas de formulario 1.1'!EK$1,#REF!,0)))</f>
        <v/>
      </c>
      <c r="EL248" s="56" t="str">
        <f t="array" ref="EL248">IF(DQ248="","", INDEX(#REF!,MATCH(CONCATENATE('Respuestas de formulario 1.1'!$B248,DQ248),#REF!,0),MATCH('Respuestas de formulario 1.1'!EL$1,#REF!,0)))</f>
        <v/>
      </c>
      <c r="EM248" s="56" t="str">
        <f t="array" ref="EM248">IF(DR248="","", INDEX(#REF!,MATCH(CONCATENATE('Respuestas de formulario 1.1'!$B248,DR248),#REF!,0),MATCH('Respuestas de formulario 1.1'!EM$1,#REF!,0)))</f>
        <v/>
      </c>
      <c r="EN248" s="56" t="str">
        <f t="array" ref="EN248">IF(DS248="","", INDEX(#REF!,MATCH(CONCATENATE('Respuestas de formulario 1.1'!$B248,DS248),#REF!,0),MATCH('Respuestas de formulario 1.1'!EN$1,#REF!,0)))</f>
        <v/>
      </c>
      <c r="EO248" s="56" t="str">
        <f t="array" ref="EO248">IF(DT248="","", INDEX(#REF!,MATCH(CONCATENATE('Respuestas de formulario 1.1'!$B248,DT248),#REF!,0),MATCH('Respuestas de formulario 1.1'!EO$1,#REF!,0)))</f>
        <v/>
      </c>
      <c r="EP248" s="45" t="str">
        <f t="array" ref="EP248">IF(DU248="","", INDEX(#REF!,MATCH(CONCATENATE('Respuestas de formulario 1.1'!$B248,DU248),#REF!,0),MATCH('Respuestas de formulario 1.1'!EP$1,#REF!,0)))</f>
        <v/>
      </c>
      <c r="EQ248" s="45" t="str">
        <f t="array" ref="EQ248">IF(DP248="","", INDEX(#REF!,MATCH(CONCATENATE('Respuestas de formulario 1.1'!$B248,DP248),#REF!,0),MATCH('Respuestas de formulario 1.1'!EQ$1,#REF!,0)))</f>
        <v/>
      </c>
      <c r="ER248" s="56" t="str">
        <f t="array" ref="ER248">IF(DQ248="","", INDEX(#REF!,MATCH(CONCATENATE('Respuestas de formulario 1.1'!$B248,DQ248),#REF!,0),MATCH('Respuestas de formulario 1.1'!ER$1,#REF!,0)))</f>
        <v/>
      </c>
      <c r="ES248" s="56" t="str">
        <f t="array" ref="ES248">IF(DR248="","", INDEX(#REF!,MATCH(CONCATENATE('Respuestas de formulario 1.1'!$B248,DR248),#REF!,0),MATCH('Respuestas de formulario 1.1'!ES$1,#REF!,0)))</f>
        <v/>
      </c>
      <c r="ET248" s="56" t="str">
        <f t="array" ref="ET248">IF(DS248="","", INDEX(#REF!,MATCH(CONCATENATE('Respuestas de formulario 1.1'!$B248,DS248),#REF!,0),MATCH('Respuestas de formulario 1.1'!ET$1,#REF!,0)))</f>
        <v/>
      </c>
      <c r="EU248" s="56" t="str">
        <f t="array" ref="EU248">IF(DT248="","", INDEX(#REF!,MATCH(CONCATENATE('Respuestas de formulario 1.1'!$B248,DT248),#REF!,0),MATCH('Respuestas de formulario 1.1'!EU$1,#REF!,0)))</f>
        <v/>
      </c>
      <c r="EV248" s="56" t="str">
        <f t="array" ref="EV248">IF(DU248="","", INDEX(#REF!,MATCH(CONCATENATE('Respuestas de formulario 1.1'!$B248,DU248),#REF!,0),MATCH('Respuestas de formulario 1.1'!EV$1,#REF!,0)))</f>
        <v/>
      </c>
      <c r="EW248" s="45" t="str">
        <f t="array" ref="EW248">IF(DV248="","", INDEX(#REF!,MATCH(CONCATENATE('Respuestas de formulario 1.1'!$B248,DV248),#REF!,0),MATCH('Respuestas de formulario 1.1'!EW$1,#REF!,0)))</f>
        <v/>
      </c>
      <c r="EX248" s="45" t="str">
        <f t="array" ref="EX248">IF($DQ248="","", INDEX(#REF!,MATCH(CONCATENATE('Respuestas de formulario 1.1'!$B248,$DQ248),#REF!,0),MATCH('Respuestas de formulario 1.1'!EX$1,#REF!,0)))</f>
        <v/>
      </c>
      <c r="EY248" s="56" t="str">
        <f t="array" ref="EY248">IF($DQ248="","", INDEX(#REF!,MATCH(CONCATENATE('Respuestas de formulario 1.1'!$B248,$DQ248),#REF!,0),MATCH('Respuestas de formulario 1.1'!EY$1,#REF!,0)))</f>
        <v/>
      </c>
      <c r="EZ248" s="56" t="str">
        <f t="array" ref="EZ248">IF($DQ248="","", INDEX(#REF!,MATCH(CONCATENATE('Respuestas de formulario 1.1'!$B248,$DQ248),#REF!,0),MATCH('Respuestas de formulario 1.1'!EZ$1,#REF!,0)))</f>
        <v/>
      </c>
      <c r="FA248" s="56" t="str">
        <f t="array" ref="FA248">IF($DQ248="","", INDEX(#REF!,MATCH(CONCATENATE('Respuestas de formulario 1.1'!$B248,$DQ248),#REF!,0),MATCH('Respuestas de formulario 1.1'!FA$1,#REF!,0)))</f>
        <v/>
      </c>
      <c r="FB248" s="56" t="str">
        <f t="array" ref="FB248">IF($DQ248="","", INDEX(#REF!,MATCH(CONCATENATE('Respuestas de formulario 1.1'!$B248,$DQ248),#REF!,0),MATCH('Respuestas de formulario 1.1'!FB$1,#REF!,0)))</f>
        <v/>
      </c>
      <c r="FC248" s="56" t="str">
        <f t="array" ref="FC248">IF($DQ248="","", INDEX(#REF!,MATCH(CONCATENATE('Respuestas de formulario 1.1'!$B248,$DQ248),#REF!,0),MATCH('Respuestas de formulario 1.1'!FC$1,#REF!,0)))</f>
        <v/>
      </c>
      <c r="FD248" s="45" t="str">
        <f t="array" ref="FD248">IF($DQ248="","", INDEX(#REF!,MATCH(CONCATENATE('Respuestas de formulario 1.1'!$B248,$DQ248),#REF!,0),MATCH('Respuestas de formulario 1.1'!FD$1,#REF!,0)))</f>
        <v/>
      </c>
      <c r="FE248" s="45" t="str">
        <f t="array" ref="FE248">IF($DR248="","", INDEX(#REF!,MATCH(CONCATENATE(#REF!,$DR248),#REF!,0),MATCH(#REF!,#REF!,0)))</f>
        <v/>
      </c>
      <c r="FF248" s="56" t="str">
        <f t="array" ref="FF248">IF($DR248="","", INDEX(#REF!,MATCH(CONCATENATE(#REF!,$DR248),#REF!,0),MATCH(#REF!,#REF!,0)))</f>
        <v/>
      </c>
      <c r="FG248" s="56" t="str">
        <f t="array" ref="FG248">IF($DR248="","", INDEX(#REF!,MATCH(CONCATENATE(#REF!,$DR248),#REF!,0),MATCH(#REF!,#REF!,0)))</f>
        <v/>
      </c>
      <c r="FH248" s="56" t="str">
        <f t="array" ref="FH248">IF($DR248="","", INDEX(#REF!,MATCH(CONCATENATE(#REF!,$DR248),#REF!,0),MATCH(#REF!,#REF!,0)))</f>
        <v/>
      </c>
      <c r="FI248" s="56" t="str">
        <f t="array" ref="FI248">IF($DR248="","", INDEX(#REF!,MATCH(CONCATENATE(#REF!,$DR248),#REF!,0),MATCH(#REF!,#REF!,0)))</f>
        <v/>
      </c>
      <c r="FJ248" s="56" t="str">
        <f t="array" ref="FJ248">IF($DR248="","", INDEX(#REF!,MATCH(CONCATENATE(#REF!,$DR248),#REF!,0),MATCH(#REF!,#REF!,0)))</f>
        <v/>
      </c>
      <c r="FK248" s="45" t="str">
        <f t="array" ref="FK248">IF($DR248="","", INDEX(#REF!,MATCH(CONCATENATE(#REF!,$DR248),#REF!,0),MATCH(#REF!,#REF!,0)))</f>
        <v/>
      </c>
      <c r="FL248" s="45" t="str">
        <f t="array" ref="FL248">IF($DT248="","", INDEX(#REF!,MATCH(CONCATENATE('Respuestas de formulario 1.1'!$B248,$DS248),#REF!,0),MATCH('Respuestas de formulario 1.1'!FL$1,#REF!,0)))</f>
        <v/>
      </c>
      <c r="FM248" s="56" t="str">
        <f t="array" ref="FM248">IF($DT248="","", INDEX(#REF!,MATCH(CONCATENATE('Respuestas de formulario 1.1'!$B248,$DS248),#REF!,0),MATCH('Respuestas de formulario 1.1'!FM$1,#REF!,0)))</f>
        <v/>
      </c>
      <c r="FN248" s="56" t="str">
        <f t="array" ref="FN248">IF($DT248="","", INDEX(#REF!,MATCH(CONCATENATE('Respuestas de formulario 1.1'!$B248,$DS248),#REF!,0),MATCH('Respuestas de formulario 1.1'!FN$1,#REF!,0)))</f>
        <v/>
      </c>
      <c r="FO248" s="56" t="str">
        <f t="array" ref="FO248">IF($DT248="","", INDEX(#REF!,MATCH(CONCATENATE('Respuestas de formulario 1.1'!$B248,$DS248),#REF!,0),MATCH('Respuestas de formulario 1.1'!FO$1,#REF!,0)))</f>
        <v/>
      </c>
      <c r="FP248" s="56" t="str">
        <f t="array" ref="FP248">IF($DT248="","", INDEX(#REF!,MATCH(CONCATENATE('Respuestas de formulario 1.1'!$B248,$DS248),#REF!,0),MATCH('Respuestas de formulario 1.1'!FP$1,#REF!,0)))</f>
        <v/>
      </c>
      <c r="FQ248" s="56" t="str">
        <f t="array" ref="FQ248">IF($DT248="","", INDEX(#REF!,MATCH(CONCATENATE('Respuestas de formulario 1.1'!$B248,$DS248),#REF!,0),MATCH('Respuestas de formulario 1.1'!FQ$1,#REF!,0)))</f>
        <v/>
      </c>
      <c r="FR248" s="45" t="str">
        <f t="array" ref="FR248">IF($DT248="","", INDEX(#REF!,MATCH(CONCATENATE('Respuestas de formulario 1.1'!$B248,$DS248),#REF!,0),MATCH('Respuestas de formulario 1.1'!FR$1,#REF!,0)))</f>
        <v/>
      </c>
      <c r="FS248" s="45" t="str">
        <f t="array" ref="FS248">IF($DU248="","", INDEX(#REF!,MATCH(CONCATENATE('Respuestas de formulario 1.1'!$B248,$DT248),#REF!,0),MATCH('Respuestas de formulario 1.1'!FS$1,#REF!,0)))</f>
        <v/>
      </c>
      <c r="FT248" s="56" t="str">
        <f t="array" ref="FT248">IF($DU248="","", INDEX(#REF!,MATCH(CONCATENATE('Respuestas de formulario 1.1'!$B248,$DT248),#REF!,0),MATCH('Respuestas de formulario 1.1'!FT$1,#REF!,0)))</f>
        <v/>
      </c>
      <c r="FU248" s="56" t="str">
        <f t="array" ref="FU248">IF($DU248="","", INDEX(#REF!,MATCH(CONCATENATE('Respuestas de formulario 1.1'!$B248,$DT248),#REF!,0),MATCH('Respuestas de formulario 1.1'!FU$1,#REF!,0)))</f>
        <v/>
      </c>
      <c r="FV248" s="56" t="str">
        <f t="array" ref="FV248">IF($DU248="","", INDEX(#REF!,MATCH(CONCATENATE('Respuestas de formulario 1.1'!$B248,$DT248),#REF!,0),MATCH('Respuestas de formulario 1.1'!FV$1,#REF!,0)))</f>
        <v/>
      </c>
      <c r="FW248" s="56" t="str">
        <f t="array" ref="FW248">IF($DU248="","", INDEX(#REF!,MATCH(CONCATENATE('Respuestas de formulario 1.1'!$B248,$DT248),#REF!,0),MATCH('Respuestas de formulario 1.1'!FW$1,#REF!,0)))</f>
        <v/>
      </c>
      <c r="FX248" s="56" t="str">
        <f t="array" ref="FX248">IF($DU248="","", INDEX(#REF!,MATCH(CONCATENATE('Respuestas de formulario 1.1'!$B248,$DT248),#REF!,0),MATCH('Respuestas de formulario 1.1'!FX$1,#REF!,0)))</f>
        <v/>
      </c>
      <c r="FY248" s="45" t="str">
        <f t="array" ref="FY248">IF($DU248="","", INDEX(#REF!,MATCH(CONCATENATE('Respuestas de formulario 1.1'!$B248,$DT248),#REF!,0),MATCH('Respuestas de formulario 1.1'!FY$1,#REF!,0)))</f>
        <v/>
      </c>
      <c r="FZ248" s="3" t="s">
        <v>2860</v>
      </c>
      <c r="GA248" s="1" t="s">
        <v>7103</v>
      </c>
      <c r="GB248" s="5" t="s">
        <v>7104</v>
      </c>
      <c r="GC248" s="4" t="str">
        <f>HYPERLINK("https://drive.google.com/file/d/1_Fy0Xwl9LckzE_Mc1ZielmMUS2d8TQGT/view?usp=drivesdk","CORTES TORRES DANIELA Formato de reinscripción y pago 2022-2")</f>
        <v>CORTES TORRES DANIELA Formato de reinscripción y pago 2022-2</v>
      </c>
      <c r="GD248" s="1" t="s">
        <v>7105</v>
      </c>
      <c r="GE248" s="1"/>
      <c r="GF248" s="1"/>
      <c r="GG248" s="1"/>
      <c r="GH248" s="1"/>
      <c r="GI248" s="1" t="s">
        <v>7106</v>
      </c>
      <c r="GJ248" s="5" t="s">
        <v>7107</v>
      </c>
      <c r="GK248" s="5" t="str">
        <f>HYPERLINK("https://drive.google.com/file/d/1z2kYVOpDoup435ys7eUtVi6yiWvDspnM/view?usp=drivesdk","CORTES TORRES &lt;&lt;Nombre(S)&gt;&gt; Formato de reinscripción y pago 2022-2")</f>
        <v>CORTES TORRES &lt;&lt;Nombre(S)&gt;&gt; Formato de reinscripción y pago 2022-2</v>
      </c>
      <c r="GL248" s="1" t="s">
        <v>7108</v>
      </c>
    </row>
    <row r="249" spans="1:194" ht="38.25" x14ac:dyDescent="0.2">
      <c r="A249" s="2">
        <v>45139.546353472222</v>
      </c>
      <c r="B249" s="1" t="s">
        <v>61</v>
      </c>
      <c r="C249" s="1" t="s">
        <v>433</v>
      </c>
      <c r="D249" s="1" t="s">
        <v>617</v>
      </c>
      <c r="E249" s="1" t="s">
        <v>7109</v>
      </c>
      <c r="F249" s="1" t="s">
        <v>223</v>
      </c>
      <c r="G249" s="5" t="s">
        <v>7110</v>
      </c>
      <c r="H249" s="41">
        <v>39148</v>
      </c>
      <c r="I249" s="1">
        <v>16</v>
      </c>
      <c r="J249" s="1">
        <v>5562166058</v>
      </c>
      <c r="K249" s="1">
        <v>183</v>
      </c>
      <c r="L249" s="1" t="s">
        <v>2311</v>
      </c>
      <c r="M249" s="1">
        <v>22309060570917</v>
      </c>
      <c r="N249" s="1" t="s">
        <v>562</v>
      </c>
      <c r="O249" s="1" t="s">
        <v>225</v>
      </c>
      <c r="P249" s="1" t="s">
        <v>278</v>
      </c>
      <c r="Q249" s="1" t="s">
        <v>227</v>
      </c>
      <c r="R249" s="1" t="s">
        <v>236</v>
      </c>
      <c r="S249" s="1" t="s">
        <v>228</v>
      </c>
      <c r="T249" s="1" t="s">
        <v>229</v>
      </c>
      <c r="U249" s="1" t="s">
        <v>394</v>
      </c>
      <c r="V249" s="1" t="s">
        <v>228</v>
      </c>
      <c r="W249" s="1" t="s">
        <v>7111</v>
      </c>
      <c r="X249" s="1" t="s">
        <v>289</v>
      </c>
      <c r="Y249" s="1" t="s">
        <v>7112</v>
      </c>
      <c r="Z249" s="1" t="s">
        <v>231</v>
      </c>
      <c r="AA249" s="1">
        <v>56530</v>
      </c>
      <c r="AB249" s="1" t="s">
        <v>7113</v>
      </c>
      <c r="AC249" s="1" t="s">
        <v>7114</v>
      </c>
      <c r="AD249" s="1" t="s">
        <v>7115</v>
      </c>
      <c r="AE249" s="1" t="s">
        <v>7116</v>
      </c>
      <c r="AF249" s="1" t="s">
        <v>461</v>
      </c>
      <c r="AG249" s="1">
        <v>50</v>
      </c>
      <c r="AH249" s="5" t="s">
        <v>7117</v>
      </c>
      <c r="AI249" s="1">
        <v>7574776166</v>
      </c>
      <c r="AJ249" s="1">
        <v>5590288337</v>
      </c>
      <c r="AK249" s="1"/>
      <c r="AL249" s="1" t="s">
        <v>617</v>
      </c>
      <c r="AM249" s="1" t="s">
        <v>385</v>
      </c>
      <c r="AN249" s="1" t="s">
        <v>7118</v>
      </c>
      <c r="AO249" s="1" t="s">
        <v>336</v>
      </c>
      <c r="AP249" s="1">
        <v>57</v>
      </c>
      <c r="AQ249" s="1" t="s">
        <v>328</v>
      </c>
      <c r="AR249" s="42">
        <v>0</v>
      </c>
      <c r="AS249" s="42">
        <v>0</v>
      </c>
      <c r="AT249" s="1">
        <v>5525675685</v>
      </c>
      <c r="AU249" s="1">
        <v>5525675685</v>
      </c>
      <c r="AV249" s="1"/>
      <c r="AW249" s="5" t="s">
        <v>7119</v>
      </c>
      <c r="AX249" s="1" t="s">
        <v>7120</v>
      </c>
      <c r="AY249" s="1" t="s">
        <v>617</v>
      </c>
      <c r="AZ249" s="1" t="s">
        <v>487</v>
      </c>
      <c r="BA249" s="1" t="s">
        <v>672</v>
      </c>
      <c r="BB249" s="1">
        <v>22</v>
      </c>
      <c r="BC249" s="1" t="s">
        <v>303</v>
      </c>
      <c r="BD249" s="43">
        <v>0.33333333333575865</v>
      </c>
      <c r="BE249" s="43">
        <v>0.625</v>
      </c>
      <c r="BF249" s="1">
        <v>5530551644</v>
      </c>
      <c r="BG249" s="1">
        <v>5530551644</v>
      </c>
      <c r="BH249" s="1"/>
      <c r="BI249" s="5" t="s">
        <v>7121</v>
      </c>
      <c r="BJ249" s="1" t="s">
        <v>236</v>
      </c>
      <c r="BL249" s="1">
        <v>1.55</v>
      </c>
      <c r="BM249" s="1">
        <v>57</v>
      </c>
      <c r="BN249" s="1" t="s">
        <v>236</v>
      </c>
      <c r="BO249" s="1" t="s">
        <v>228</v>
      </c>
      <c r="BQ249" s="1" t="s">
        <v>228</v>
      </c>
      <c r="BR249" s="1" t="s">
        <v>237</v>
      </c>
      <c r="BS249" s="1" t="s">
        <v>228</v>
      </c>
      <c r="BT249" s="1" t="s">
        <v>237</v>
      </c>
      <c r="BU249" s="1" t="s">
        <v>228</v>
      </c>
      <c r="BW249" s="1" t="s">
        <v>272</v>
      </c>
      <c r="BX249" s="1">
        <v>120</v>
      </c>
      <c r="BY249" s="1">
        <v>230</v>
      </c>
      <c r="BZ249" s="1" t="s">
        <v>253</v>
      </c>
      <c r="CA249" s="1" t="s">
        <v>673</v>
      </c>
      <c r="CB249" s="1" t="s">
        <v>240</v>
      </c>
      <c r="CC249" s="1" t="s">
        <v>300</v>
      </c>
      <c r="CD249" s="1">
        <v>900</v>
      </c>
      <c r="CE249" s="1">
        <v>2000</v>
      </c>
      <c r="CF249" s="1" t="s">
        <v>228</v>
      </c>
      <c r="CG249" s="1" t="s">
        <v>270</v>
      </c>
      <c r="CH249" s="1" t="s">
        <v>243</v>
      </c>
      <c r="CI249" s="1" t="s">
        <v>243</v>
      </c>
      <c r="CJ249" s="1" t="s">
        <v>2848</v>
      </c>
      <c r="CL249" s="5" t="s">
        <v>7122</v>
      </c>
      <c r="CM249" s="1">
        <v>12220790435</v>
      </c>
      <c r="CN249" s="1" t="s">
        <v>228</v>
      </c>
      <c r="CQ249" s="42">
        <v>0.33333333333575865</v>
      </c>
      <c r="CR249" s="42">
        <v>0.66666666666424135</v>
      </c>
      <c r="CT249" s="45" t="str">
        <f t="array" ref="CT249">IFERROR(INDEX(#REF!,MATCH('Respuestas de formulario 1.1'!$B249,#REF!,0),MATCH('Respuestas de formulario 1.1'!CT$1,#REF!,0)),"")</f>
        <v/>
      </c>
      <c r="CU249" s="56" t="str">
        <f t="array" ref="CU249">IFERROR(INDEX(#REF!,MATCH('Respuestas de formulario 1.1'!$B249,#REF!,0),MATCH('Respuestas de formulario 1.1'!CU$1,#REF!,0)),"")</f>
        <v/>
      </c>
      <c r="CV249" s="56" t="str">
        <f t="array" ref="CV249">IFERROR(INDEX(#REF!,MATCH('Respuestas de formulario 1.1'!$B249,#REF!,0),MATCH('Respuestas de formulario 1.1'!CV$1,#REF!,0)),"")</f>
        <v/>
      </c>
      <c r="CW249" s="56" t="str">
        <f t="array" ref="CW249">IFERROR(INDEX(#REF!,MATCH('Respuestas de formulario 1.1'!$B249,#REF!,0),MATCH('Respuestas de formulario 1.1'!CW$1,#REF!,0)),"")</f>
        <v/>
      </c>
      <c r="CX249" s="56" t="str">
        <f t="array" ref="CX249">IFERROR(INDEX(#REF!,MATCH('Respuestas de formulario 1.1'!$B249,#REF!,0),MATCH('Respuestas de formulario 1.1'!CX$1,#REF!,0)),"")</f>
        <v/>
      </c>
      <c r="CY249" s="56" t="str">
        <f t="array" ref="CY249">IFERROR(INDEX(#REF!,MATCH('Respuestas de formulario 1.1'!$B249,#REF!,0),MATCH('Respuestas de formulario 1.1'!CY$1,#REF!,0)),"")</f>
        <v/>
      </c>
      <c r="CZ249" s="57" t="str">
        <f t="array" ref="CZ249">IFERROR(INDEX(#REF!,MATCH('Respuestas de formulario 1.1'!$B249,#REF!,0),MATCH('Respuestas de formulario 1.1'!CZ$1,#REF!,0)),"")</f>
        <v/>
      </c>
      <c r="DA249" s="45" t="e">
        <f t="array" ref="DA249">INDEX(#REF!,MATCH('Respuestas de formulario 1.1'!$B249,#REF!,0),MATCH('Respuestas de formulario 1.1'!DA$1,#REF!,0))</f>
        <v>#REF!</v>
      </c>
      <c r="DB249" s="45" t="e">
        <f t="array" ref="DB249">INDEX(#REF!,MATCH('Respuestas de formulario 1.1'!$B249,#REF!,0),MATCH('Respuestas de formulario 1.1'!DB$1,#REF!,0))</f>
        <v>#REF!</v>
      </c>
      <c r="DC249" s="45" t="e">
        <f t="array" ref="DC249">INDEX(#REF!,MATCH('Respuestas de formulario 1.1'!$B249,#REF!,0),MATCH('Respuestas de formulario 1.1'!DC$1,#REF!,0))</f>
        <v>#REF!</v>
      </c>
      <c r="DD249" s="45" t="e">
        <f t="array" ref="DD249">INDEX(#REF!,MATCH('Respuestas de formulario 1.1'!$B249,#REF!,0),MATCH('Respuestas de formulario 1.1'!DD$1,#REF!,0))</f>
        <v>#REF!</v>
      </c>
      <c r="DE249" s="45" t="e">
        <f t="array" ref="DE249">INDEX(#REF!,MATCH('Respuestas de formulario 1.1'!$B249,#REF!,0),MATCH('Respuestas de formulario 1.1'!DE$1,#REF!,0))</f>
        <v>#REF!</v>
      </c>
      <c r="DF249" s="45" t="e">
        <f t="array" ref="DF249">INDEX(#REF!,MATCH('Respuestas de formulario 1.1'!$B249,#REF!,0),MATCH('Respuestas de formulario 1.1'!DF$1,#REF!,0))</f>
        <v>#REF!</v>
      </c>
      <c r="DG249" s="45" t="e">
        <f t="array" ref="DG249">INDEX(#REF!,MATCH('Respuestas de formulario 1.1'!$B249,#REF!,0),MATCH('Respuestas de formulario 1.1'!DG$1,#REF!,0))</f>
        <v>#REF!</v>
      </c>
      <c r="DH249" s="45" t="e">
        <f t="array" ref="DH249">INDEX(#REF!,MATCH('Respuestas de formulario 1.1'!$B249,#REF!,0),MATCH('Respuestas de formulario 1.1'!DH$1,#REF!,0))</f>
        <v>#REF!</v>
      </c>
      <c r="DI249" s="48" t="e">
        <f>VLOOKUP(CONCATENATE($DF249," TUTO ",$DC249),#REF!,3,0)</f>
        <v>#REF!</v>
      </c>
      <c r="DJ249" s="48" t="e">
        <f t="array" ref="DJ249">IF('Respuestas de formulario 1.1'!A249="","",INDEX(#REF!,MATCH('Respuestas de formulario 1.1'!B249,#REF!,0),MATCH('Respuestas de formulario 1.1'!$DH$1,#REF!,0)))</f>
        <v>#REF!</v>
      </c>
      <c r="DK249" s="52" t="str">
        <f>CONCATENATE("http://doc.google.com/uc?id=",MID('Respuestas de formulario 1.1'!G249,34,33))</f>
        <v>http://doc.google.com/uc?id=1br8ApKiZVn1zRulDx2CB7MOoY2001zdQ</v>
      </c>
      <c r="DL249" s="49" t="str">
        <f>CONCATENATE("http://doc.google.com/uc?id=",MID('Respuestas de formulario 1.1'!AH249,34,33))</f>
        <v>http://doc.google.com/uc?id=1THSRQYcyWiIWlsp2p1OimwkdT7Zoou1q</v>
      </c>
      <c r="DM249" s="50" t="str">
        <f>CONCATENATE("http://doc.google.com/uc?id=",MID('Respuestas de formulario 1.1'!AW249,34,33))</f>
        <v>http://doc.google.com/uc?id=1Tl9PnuGEKli3PtrEpff6QF9GP5zU4F2U</v>
      </c>
      <c r="DN249" s="53" t="str">
        <f>CONCATENATE("http://doc.google.com/uc?id=",MID('Respuestas de formulario 1.1'!$BI249,34,33))</f>
        <v>http://doc.google.com/uc?id=1eejGTD2AE2nZCjTGvVrEfNXgl8vuid8F</v>
      </c>
      <c r="DO249" s="45" t="str">
        <f>IFERROR(VLOOKUP(CONCATENATE('Respuestas de formulario 1.1'!$B249,MID('Respuestas de formulario 1.1'!DO$1,2,1)),#REF!,12,0),"")</f>
        <v/>
      </c>
      <c r="DP249" s="45" t="str">
        <f>IFERROR(VLOOKUP(CONCATENATE('Respuestas de formulario 1.1'!$B249,MID('Respuestas de formulario 1.1'!DP$1,2,1)),#REF!,12,0),"")</f>
        <v/>
      </c>
      <c r="DQ249" s="45" t="str">
        <f>IFERROR(VLOOKUP(CONCATENATE('Respuestas de formulario 1.1'!$B249,MID('Respuestas de formulario 1.1'!DQ$1,2,1)),#REF!,12,0),"")</f>
        <v/>
      </c>
      <c r="DR249" s="45" t="str">
        <f>IFERROR(VLOOKUP(CONCATENATE('Respuestas de formulario 1.1'!$B249,MID('Respuestas de formulario 1.1'!DR$1,2,1)),#REF!,12,0),"")</f>
        <v/>
      </c>
      <c r="DS249" s="45" t="str">
        <f>IFERROR(VLOOKUP(CONCATENATE('Respuestas de formulario 1.1'!$B249,MID('Respuestas de formulario 1.1'!DS$1,2,1)),#REF!,12,0),"")</f>
        <v/>
      </c>
      <c r="DT249" s="45" t="str">
        <f>IFERROR(VLOOKUP(CONCATENATE('Respuestas de formulario 1.1'!$B249,MID('Respuestas de formulario 1.1'!DT$1,2,1)),#REF!,12,0),"")</f>
        <v/>
      </c>
      <c r="DU249" s="45" t="str">
        <f>IFERROR(VLOOKUP(CONCATENATE('Respuestas de formulario 1.1'!$B249,MID('Respuestas de formulario 1.1'!DU$1,2,1)),#REF!,12,0),"")</f>
        <v/>
      </c>
      <c r="DV249" s="45" t="str">
        <f>IFERROR(VLOOKUP(CONCATENATE('Respuestas de formulario 1.1'!$B249,MID('Respuestas de formulario 1.1'!DV$1,2,1)),#REF!,12,0),"")</f>
        <v/>
      </c>
      <c r="DW249" s="45" t="str">
        <f>IFERROR(VLOOKUP(CONCATENATE('Respuestas de formulario 1.1'!$B249,MID('Respuestas de formulario 1.1'!DW$1,2,1)),#REF!,12,0),"")</f>
        <v/>
      </c>
      <c r="DX249" s="45" t="str">
        <f>IFERROR(VLOOKUP(CONCATENATE('Respuestas de formulario 1.1'!$B249,MID('Respuestas de formulario 1.1'!DX$1,2,1)),#REF!,12,0),"")</f>
        <v/>
      </c>
      <c r="DY249" s="45" t="str">
        <f>IFERROR(VLOOKUP(CONCATENATE('Respuestas de formulario 1.1'!$B249,MID('Respuestas de formulario 1.1'!DY$1,2,1)),#REF!,12,0),"")</f>
        <v/>
      </c>
      <c r="DZ249" s="45" t="str">
        <f>IFERROR(VLOOKUP(CONCATENATE('Respuestas de formulario 1.1'!$B249,MID('Respuestas de formulario 1.1'!DZ$1,2,1)),#REF!,12,0),"")</f>
        <v/>
      </c>
      <c r="EA249" s="45" t="str">
        <f>IFERROR(VLOOKUP(CONCATENATE('Respuestas de formulario 1.1'!$B249,MID('Respuestas de formulario 1.1'!EA$1,2,1)),#REF!,12,0),"")</f>
        <v/>
      </c>
      <c r="EB249" s="45" t="str">
        <f>IFERROR(VLOOKUP(CONCATENATE('Respuestas de formulario 1.1'!$B249,MID('Respuestas de formulario 1.1'!EB$1,2,1)),#REF!,12,0),"")</f>
        <v/>
      </c>
      <c r="EC249" s="45" t="str">
        <f>IFERROR(VLOOKUP(CONCATENATE('Respuestas de formulario 1.1'!$B249,MID('Respuestas de formulario 1.1'!EC$1,2,1)),#REF!,12,0),"")</f>
        <v/>
      </c>
      <c r="ED249" s="45" t="str">
        <f>IFERROR(VLOOKUP(CONCATENATE('Respuestas de formulario 1.1'!$B249,MID('Respuestas de formulario 1.1'!ED$1,2,1)),#REF!,12,0),"")</f>
        <v/>
      </c>
      <c r="EE249" s="45" t="str">
        <f>IFERROR(VLOOKUP(CONCATENATE('Respuestas de formulario 1.1'!$B249,MID('Respuestas de formulario 1.1'!EE$1,2,1)),#REF!,12,0),"")</f>
        <v/>
      </c>
      <c r="EF249" s="45" t="str">
        <f>IFERROR(VLOOKUP(CONCATENATE('Respuestas de formulario 1.1'!$B249,MID('Respuestas de formulario 1.1'!EF$1,2,1)),#REF!,12,0),"")</f>
        <v/>
      </c>
      <c r="EG249" s="45" t="str">
        <f>IFERROR(VLOOKUP(CONCATENATE('Respuestas de formulario 1.1'!$B249,MID('Respuestas de formulario 1.1'!EG$1,2,1)),#REF!,12,0),"")</f>
        <v/>
      </c>
      <c r="EH249" s="45" t="str">
        <f>IFERROR(VLOOKUP(CONCATENATE('Respuestas de formulario 1.1'!$B249,MID('Respuestas de formulario 1.1'!EH$1,2,1)),#REF!,12,0),"")</f>
        <v/>
      </c>
      <c r="EI249" s="45" t="str">
        <f>IFERROR(VLOOKUP(CONCATENATE('Respuestas de formulario 1.1'!$B249,MID('Respuestas de formulario 1.1'!EI$1,2,1)),#REF!,12,0),"")</f>
        <v/>
      </c>
      <c r="EJ249" s="45" t="str">
        <f t="array" ref="EJ249">IF(DO249="","", INDEX(#REF!,MATCH(CONCATENATE('Respuestas de formulario 1.1'!$B249,DO249),#REF!,0),MATCH('Respuestas de formulario 1.1'!EJ$1,#REF!,0)))</f>
        <v/>
      </c>
      <c r="EK249" s="56" t="str">
        <f t="array" ref="EK249">IF(DP249="","", INDEX(#REF!,MATCH(CONCATENATE('Respuestas de formulario 1.1'!$B249,DP249),#REF!,0),MATCH('Respuestas de formulario 1.1'!EK$1,#REF!,0)))</f>
        <v/>
      </c>
      <c r="EL249" s="56" t="str">
        <f t="array" ref="EL249">IF(DQ249="","", INDEX(#REF!,MATCH(CONCATENATE('Respuestas de formulario 1.1'!$B249,DQ249),#REF!,0),MATCH('Respuestas de formulario 1.1'!EL$1,#REF!,0)))</f>
        <v/>
      </c>
      <c r="EM249" s="56" t="str">
        <f t="array" ref="EM249">IF(DR249="","", INDEX(#REF!,MATCH(CONCATENATE('Respuestas de formulario 1.1'!$B249,DR249),#REF!,0),MATCH('Respuestas de formulario 1.1'!EM$1,#REF!,0)))</f>
        <v/>
      </c>
      <c r="EN249" s="56" t="str">
        <f t="array" ref="EN249">IF(DS249="","", INDEX(#REF!,MATCH(CONCATENATE('Respuestas de formulario 1.1'!$B249,DS249),#REF!,0),MATCH('Respuestas de formulario 1.1'!EN$1,#REF!,0)))</f>
        <v/>
      </c>
      <c r="EO249" s="56" t="str">
        <f t="array" ref="EO249">IF(DT249="","", INDEX(#REF!,MATCH(CONCATENATE('Respuestas de formulario 1.1'!$B249,DT249),#REF!,0),MATCH('Respuestas de formulario 1.1'!EO$1,#REF!,0)))</f>
        <v/>
      </c>
      <c r="EP249" s="45" t="str">
        <f t="array" ref="EP249">IF(DU249="","", INDEX(#REF!,MATCH(CONCATENATE('Respuestas de formulario 1.1'!$B249,DU249),#REF!,0),MATCH('Respuestas de formulario 1.1'!EP$1,#REF!,0)))</f>
        <v/>
      </c>
      <c r="EQ249" s="45" t="str">
        <f t="array" ref="EQ249">IF(DP249="","", INDEX(#REF!,MATCH(CONCATENATE('Respuestas de formulario 1.1'!$B249,DP249),#REF!,0),MATCH('Respuestas de formulario 1.1'!EQ$1,#REF!,0)))</f>
        <v/>
      </c>
      <c r="ER249" s="56" t="str">
        <f t="array" ref="ER249">IF(DQ249="","", INDEX(#REF!,MATCH(CONCATENATE('Respuestas de formulario 1.1'!$B249,DQ249),#REF!,0),MATCH('Respuestas de formulario 1.1'!ER$1,#REF!,0)))</f>
        <v/>
      </c>
      <c r="ES249" s="56" t="str">
        <f t="array" ref="ES249">IF(DR249="","", INDEX(#REF!,MATCH(CONCATENATE('Respuestas de formulario 1.1'!$B249,DR249),#REF!,0),MATCH('Respuestas de formulario 1.1'!ES$1,#REF!,0)))</f>
        <v/>
      </c>
      <c r="ET249" s="56" t="str">
        <f t="array" ref="ET249">IF(DS249="","", INDEX(#REF!,MATCH(CONCATENATE('Respuestas de formulario 1.1'!$B249,DS249),#REF!,0),MATCH('Respuestas de formulario 1.1'!ET$1,#REF!,0)))</f>
        <v/>
      </c>
      <c r="EU249" s="56" t="str">
        <f t="array" ref="EU249">IF(DT249="","", INDEX(#REF!,MATCH(CONCATENATE('Respuestas de formulario 1.1'!$B249,DT249),#REF!,0),MATCH('Respuestas de formulario 1.1'!EU$1,#REF!,0)))</f>
        <v/>
      </c>
      <c r="EV249" s="56" t="str">
        <f t="array" ref="EV249">IF(DU249="","", INDEX(#REF!,MATCH(CONCATENATE('Respuestas de formulario 1.1'!$B249,DU249),#REF!,0),MATCH('Respuestas de formulario 1.1'!EV$1,#REF!,0)))</f>
        <v/>
      </c>
      <c r="EW249" s="45" t="str">
        <f t="array" ref="EW249">IF(DV249="","", INDEX(#REF!,MATCH(CONCATENATE('Respuestas de formulario 1.1'!$B249,DV249),#REF!,0),MATCH('Respuestas de formulario 1.1'!EW$1,#REF!,0)))</f>
        <v/>
      </c>
      <c r="EX249" s="45" t="str">
        <f t="array" ref="EX249">IF($DQ249="","", INDEX(#REF!,MATCH(CONCATENATE('Respuestas de formulario 1.1'!$B249,$DQ249),#REF!,0),MATCH('Respuestas de formulario 1.1'!EX$1,#REF!,0)))</f>
        <v/>
      </c>
      <c r="EY249" s="56" t="str">
        <f t="array" ref="EY249">IF($DQ249="","", INDEX(#REF!,MATCH(CONCATENATE('Respuestas de formulario 1.1'!$B249,$DQ249),#REF!,0),MATCH('Respuestas de formulario 1.1'!EY$1,#REF!,0)))</f>
        <v/>
      </c>
      <c r="EZ249" s="56" t="str">
        <f t="array" ref="EZ249">IF($DQ249="","", INDEX(#REF!,MATCH(CONCATENATE('Respuestas de formulario 1.1'!$B249,$DQ249),#REF!,0),MATCH('Respuestas de formulario 1.1'!EZ$1,#REF!,0)))</f>
        <v/>
      </c>
      <c r="FA249" s="56" t="str">
        <f t="array" ref="FA249">IF($DQ249="","", INDEX(#REF!,MATCH(CONCATENATE('Respuestas de formulario 1.1'!$B249,$DQ249),#REF!,0),MATCH('Respuestas de formulario 1.1'!FA$1,#REF!,0)))</f>
        <v/>
      </c>
      <c r="FB249" s="56" t="str">
        <f t="array" ref="FB249">IF($DQ249="","", INDEX(#REF!,MATCH(CONCATENATE('Respuestas de formulario 1.1'!$B249,$DQ249),#REF!,0),MATCH('Respuestas de formulario 1.1'!FB$1,#REF!,0)))</f>
        <v/>
      </c>
      <c r="FC249" s="56" t="str">
        <f t="array" ref="FC249">IF($DQ249="","", INDEX(#REF!,MATCH(CONCATENATE('Respuestas de formulario 1.1'!$B249,$DQ249),#REF!,0),MATCH('Respuestas de formulario 1.1'!FC$1,#REF!,0)))</f>
        <v/>
      </c>
      <c r="FD249" s="45" t="str">
        <f t="array" ref="FD249">IF($DQ249="","", INDEX(#REF!,MATCH(CONCATENATE('Respuestas de formulario 1.1'!$B249,$DQ249),#REF!,0),MATCH('Respuestas de formulario 1.1'!FD$1,#REF!,0)))</f>
        <v/>
      </c>
      <c r="FE249" s="45" t="str">
        <f t="array" ref="FE249">IF($DR249="","", INDEX(#REF!,MATCH(CONCATENATE(#REF!,$DR249),#REF!,0),MATCH(#REF!,#REF!,0)))</f>
        <v/>
      </c>
      <c r="FF249" s="56" t="str">
        <f t="array" ref="FF249">IF($DR249="","", INDEX(#REF!,MATCH(CONCATENATE(#REF!,$DR249),#REF!,0),MATCH(#REF!,#REF!,0)))</f>
        <v/>
      </c>
      <c r="FG249" s="56" t="str">
        <f t="array" ref="FG249">IF($DR249="","", INDEX(#REF!,MATCH(CONCATENATE(#REF!,$DR249),#REF!,0),MATCH(#REF!,#REF!,0)))</f>
        <v/>
      </c>
      <c r="FH249" s="56" t="str">
        <f t="array" ref="FH249">IF($DR249="","", INDEX(#REF!,MATCH(CONCATENATE(#REF!,$DR249),#REF!,0),MATCH(#REF!,#REF!,0)))</f>
        <v/>
      </c>
      <c r="FI249" s="56" t="str">
        <f t="array" ref="FI249">IF($DR249="","", INDEX(#REF!,MATCH(CONCATENATE(#REF!,$DR249),#REF!,0),MATCH(#REF!,#REF!,0)))</f>
        <v/>
      </c>
      <c r="FJ249" s="56" t="str">
        <f t="array" ref="FJ249">IF($DR249="","", INDEX(#REF!,MATCH(CONCATENATE(#REF!,$DR249),#REF!,0),MATCH(#REF!,#REF!,0)))</f>
        <v/>
      </c>
      <c r="FK249" s="45" t="str">
        <f t="array" ref="FK249">IF($DR249="","", INDEX(#REF!,MATCH(CONCATENATE(#REF!,$DR249),#REF!,0),MATCH(#REF!,#REF!,0)))</f>
        <v/>
      </c>
      <c r="FL249" s="45" t="str">
        <f t="array" ref="FL249">IF($DT249="","", INDEX(#REF!,MATCH(CONCATENATE('Respuestas de formulario 1.1'!$B249,$DS249),#REF!,0),MATCH('Respuestas de formulario 1.1'!FL$1,#REF!,0)))</f>
        <v/>
      </c>
      <c r="FM249" s="56" t="str">
        <f t="array" ref="FM249">IF($DT249="","", INDEX(#REF!,MATCH(CONCATENATE('Respuestas de formulario 1.1'!$B249,$DS249),#REF!,0),MATCH('Respuestas de formulario 1.1'!FM$1,#REF!,0)))</f>
        <v/>
      </c>
      <c r="FN249" s="56" t="str">
        <f t="array" ref="FN249">IF($DT249="","", INDEX(#REF!,MATCH(CONCATENATE('Respuestas de formulario 1.1'!$B249,$DS249),#REF!,0),MATCH('Respuestas de formulario 1.1'!FN$1,#REF!,0)))</f>
        <v/>
      </c>
      <c r="FO249" s="56" t="str">
        <f t="array" ref="FO249">IF($DT249="","", INDEX(#REF!,MATCH(CONCATENATE('Respuestas de formulario 1.1'!$B249,$DS249),#REF!,0),MATCH('Respuestas de formulario 1.1'!FO$1,#REF!,0)))</f>
        <v/>
      </c>
      <c r="FP249" s="56" t="str">
        <f t="array" ref="FP249">IF($DT249="","", INDEX(#REF!,MATCH(CONCATENATE('Respuestas de formulario 1.1'!$B249,$DS249),#REF!,0),MATCH('Respuestas de formulario 1.1'!FP$1,#REF!,0)))</f>
        <v/>
      </c>
      <c r="FQ249" s="56" t="str">
        <f t="array" ref="FQ249">IF($DT249="","", INDEX(#REF!,MATCH(CONCATENATE('Respuestas de formulario 1.1'!$B249,$DS249),#REF!,0),MATCH('Respuestas de formulario 1.1'!FQ$1,#REF!,0)))</f>
        <v/>
      </c>
      <c r="FR249" s="45" t="str">
        <f t="array" ref="FR249">IF($DT249="","", INDEX(#REF!,MATCH(CONCATENATE('Respuestas de formulario 1.1'!$B249,$DS249),#REF!,0),MATCH('Respuestas de formulario 1.1'!FR$1,#REF!,0)))</f>
        <v/>
      </c>
      <c r="FS249" s="45" t="str">
        <f t="array" ref="FS249">IF($DU249="","", INDEX(#REF!,MATCH(CONCATENATE('Respuestas de formulario 1.1'!$B249,$DT249),#REF!,0),MATCH('Respuestas de formulario 1.1'!FS$1,#REF!,0)))</f>
        <v/>
      </c>
      <c r="FT249" s="56" t="str">
        <f t="array" ref="FT249">IF($DU249="","", INDEX(#REF!,MATCH(CONCATENATE('Respuestas de formulario 1.1'!$B249,$DT249),#REF!,0),MATCH('Respuestas de formulario 1.1'!FT$1,#REF!,0)))</f>
        <v/>
      </c>
      <c r="FU249" s="56" t="str">
        <f t="array" ref="FU249">IF($DU249="","", INDEX(#REF!,MATCH(CONCATENATE('Respuestas de formulario 1.1'!$B249,$DT249),#REF!,0),MATCH('Respuestas de formulario 1.1'!FU$1,#REF!,0)))</f>
        <v/>
      </c>
      <c r="FV249" s="56" t="str">
        <f t="array" ref="FV249">IF($DU249="","", INDEX(#REF!,MATCH(CONCATENATE('Respuestas de formulario 1.1'!$B249,$DT249),#REF!,0),MATCH('Respuestas de formulario 1.1'!FV$1,#REF!,0)))</f>
        <v/>
      </c>
      <c r="FW249" s="56" t="str">
        <f t="array" ref="FW249">IF($DU249="","", INDEX(#REF!,MATCH(CONCATENATE('Respuestas de formulario 1.1'!$B249,$DT249),#REF!,0),MATCH('Respuestas de formulario 1.1'!FW$1,#REF!,0)))</f>
        <v/>
      </c>
      <c r="FX249" s="56" t="str">
        <f t="array" ref="FX249">IF($DU249="","", INDEX(#REF!,MATCH(CONCATENATE('Respuestas de formulario 1.1'!$B249,$DT249),#REF!,0),MATCH('Respuestas de formulario 1.1'!FX$1,#REF!,0)))</f>
        <v/>
      </c>
      <c r="FY249" s="45" t="str">
        <f t="array" ref="FY249">IF($DU249="","", INDEX(#REF!,MATCH(CONCATENATE('Respuestas de formulario 1.1'!$B249,$DT249),#REF!,0),MATCH('Respuestas de formulario 1.1'!FY$1,#REF!,0)))</f>
        <v/>
      </c>
      <c r="FZ249" s="3" t="s">
        <v>2860</v>
      </c>
      <c r="GA249" s="1" t="s">
        <v>7123</v>
      </c>
      <c r="GB249" s="5" t="s">
        <v>7124</v>
      </c>
      <c r="GC249" s="4" t="str">
        <f>HYPERLINK("https://drive.google.com/file/d/1vy-h7p5DyLD7plXzoq1VPCnEuw2HIz63/view?usp=drivesdk","MARTINEZ VAZQUEZ LUZ DELFINA  Formato de reinscripción y pago 2022-2")</f>
        <v>MARTINEZ VAZQUEZ LUZ DELFINA  Formato de reinscripción y pago 2022-2</v>
      </c>
      <c r="GD249" s="1" t="s">
        <v>7125</v>
      </c>
      <c r="GE249" s="1"/>
      <c r="GF249" s="1"/>
      <c r="GG249" s="1"/>
      <c r="GH249" s="1"/>
      <c r="GI249" s="1"/>
      <c r="GJ249" s="1"/>
      <c r="GK249" s="1"/>
      <c r="GL249" s="1" t="s">
        <v>6909</v>
      </c>
    </row>
    <row r="250" spans="1:194" ht="38.25" x14ac:dyDescent="0.2">
      <c r="A250" s="2">
        <v>45139.546970567128</v>
      </c>
      <c r="B250" s="1" t="s">
        <v>2748</v>
      </c>
      <c r="C250" s="1" t="s">
        <v>222</v>
      </c>
      <c r="D250" s="1" t="s">
        <v>1096</v>
      </c>
      <c r="E250" s="1" t="s">
        <v>2749</v>
      </c>
      <c r="F250" s="1" t="s">
        <v>223</v>
      </c>
      <c r="G250" s="5" t="s">
        <v>7126</v>
      </c>
      <c r="H250" s="41">
        <v>38422</v>
      </c>
      <c r="I250" s="1">
        <v>18</v>
      </c>
      <c r="J250" s="1">
        <v>5515737534</v>
      </c>
      <c r="K250" s="1">
        <v>5515524182</v>
      </c>
      <c r="L250" s="1" t="s">
        <v>7127</v>
      </c>
      <c r="M250" s="1">
        <v>21309060570677</v>
      </c>
      <c r="N250" s="1" t="s">
        <v>1108</v>
      </c>
      <c r="O250" s="1" t="s">
        <v>225</v>
      </c>
      <c r="P250" s="1" t="s">
        <v>278</v>
      </c>
      <c r="Q250" s="1" t="s">
        <v>227</v>
      </c>
      <c r="R250" s="1" t="s">
        <v>236</v>
      </c>
      <c r="S250" s="1" t="s">
        <v>236</v>
      </c>
      <c r="T250" s="1" t="s">
        <v>229</v>
      </c>
      <c r="U250" s="1" t="s">
        <v>249</v>
      </c>
      <c r="V250" s="1" t="s">
        <v>228</v>
      </c>
      <c r="W250" s="1" t="s">
        <v>7128</v>
      </c>
      <c r="X250" s="1" t="s">
        <v>249</v>
      </c>
      <c r="Y250" s="44" t="s">
        <v>424</v>
      </c>
      <c r="Z250" s="1" t="s">
        <v>240</v>
      </c>
      <c r="AA250" s="44" t="s">
        <v>654</v>
      </c>
      <c r="AB250" s="1">
        <v>44</v>
      </c>
      <c r="AC250" s="1">
        <v>44</v>
      </c>
      <c r="AD250" s="1" t="s">
        <v>7129</v>
      </c>
      <c r="AE250" s="1" t="s">
        <v>7130</v>
      </c>
      <c r="AF250" s="1" t="s">
        <v>265</v>
      </c>
      <c r="AG250" s="1">
        <v>49</v>
      </c>
      <c r="AH250" s="5" t="s">
        <v>7131</v>
      </c>
      <c r="AI250" s="1">
        <v>5526676114</v>
      </c>
      <c r="AJ250" s="1">
        <v>5515524182</v>
      </c>
      <c r="AK250" s="1" t="s">
        <v>7132</v>
      </c>
      <c r="AL250" s="1" t="s">
        <v>329</v>
      </c>
      <c r="AM250" s="1" t="s">
        <v>1881</v>
      </c>
      <c r="AN250" s="1" t="s">
        <v>582</v>
      </c>
      <c r="AO250" s="1" t="s">
        <v>524</v>
      </c>
      <c r="AP250" s="1">
        <v>68</v>
      </c>
      <c r="AQ250" s="1" t="s">
        <v>1107</v>
      </c>
      <c r="AR250" s="42">
        <v>0.29166666666424135</v>
      </c>
      <c r="AS250" s="42">
        <v>0.33333333333575865</v>
      </c>
      <c r="AT250" s="1">
        <v>5521941948</v>
      </c>
      <c r="AU250" s="1">
        <v>5539797310</v>
      </c>
      <c r="AV250" s="1" t="s">
        <v>2750</v>
      </c>
      <c r="AW250" s="5" t="s">
        <v>7133</v>
      </c>
      <c r="AX250" s="1" t="s">
        <v>222</v>
      </c>
      <c r="AY250" s="1" t="s">
        <v>351</v>
      </c>
      <c r="AZ250" s="1" t="s">
        <v>2641</v>
      </c>
      <c r="BA250" s="1" t="s">
        <v>650</v>
      </c>
      <c r="BB250" s="1">
        <v>48</v>
      </c>
      <c r="BC250" s="1" t="s">
        <v>1107</v>
      </c>
      <c r="BD250" s="43">
        <v>0</v>
      </c>
      <c r="BE250" s="43">
        <v>0</v>
      </c>
      <c r="BF250" s="1">
        <v>5526676114</v>
      </c>
      <c r="BG250" s="1">
        <v>5515524182</v>
      </c>
      <c r="BH250" s="1" t="s">
        <v>2751</v>
      </c>
      <c r="BI250" s="5" t="s">
        <v>7134</v>
      </c>
      <c r="BJ250" s="1" t="s">
        <v>236</v>
      </c>
      <c r="BL250" s="1">
        <v>1.58</v>
      </c>
      <c r="BM250" s="1">
        <v>60</v>
      </c>
      <c r="BN250" s="1" t="s">
        <v>236</v>
      </c>
      <c r="BO250" s="1" t="s">
        <v>228</v>
      </c>
      <c r="BQ250" s="1" t="s">
        <v>236</v>
      </c>
      <c r="BR250" s="1" t="s">
        <v>348</v>
      </c>
      <c r="BS250" s="1" t="s">
        <v>236</v>
      </c>
      <c r="BT250" s="1" t="s">
        <v>457</v>
      </c>
      <c r="BU250" s="1" t="s">
        <v>228</v>
      </c>
      <c r="BW250" s="1" t="s">
        <v>272</v>
      </c>
      <c r="BX250" s="1">
        <v>130</v>
      </c>
      <c r="BY250" s="1">
        <v>170</v>
      </c>
      <c r="BZ250" s="1" t="s">
        <v>583</v>
      </c>
      <c r="CA250" s="1" t="s">
        <v>343</v>
      </c>
      <c r="CB250" s="1" t="s">
        <v>240</v>
      </c>
      <c r="CC250" s="1" t="s">
        <v>416</v>
      </c>
      <c r="CD250" s="1">
        <v>3550</v>
      </c>
      <c r="CE250" s="1">
        <v>3100</v>
      </c>
      <c r="CF250" s="1" t="s">
        <v>236</v>
      </c>
      <c r="CG250" s="1" t="s">
        <v>242</v>
      </c>
      <c r="CH250" s="1" t="s">
        <v>243</v>
      </c>
      <c r="CI250" s="1" t="s">
        <v>243</v>
      </c>
      <c r="CJ250" s="1" t="s">
        <v>2848</v>
      </c>
      <c r="CL250" s="5" t="s">
        <v>7135</v>
      </c>
      <c r="CM250" s="1">
        <v>44210591192</v>
      </c>
      <c r="CN250" s="1" t="s">
        <v>228</v>
      </c>
      <c r="CQ250" s="42">
        <v>0.25</v>
      </c>
      <c r="CR250" s="42">
        <v>0.375</v>
      </c>
      <c r="CT250" s="45" t="str">
        <f t="array" ref="CT250">IFERROR(INDEX(#REF!,MATCH('Respuestas de formulario 1.1'!$B250,#REF!,0),MATCH('Respuestas de formulario 1.1'!CT$1,#REF!,0)),"")</f>
        <v/>
      </c>
      <c r="CU250" s="56" t="str">
        <f t="array" ref="CU250">IFERROR(INDEX(#REF!,MATCH('Respuestas de formulario 1.1'!$B250,#REF!,0),MATCH('Respuestas de formulario 1.1'!CU$1,#REF!,0)),"")</f>
        <v/>
      </c>
      <c r="CV250" s="56" t="str">
        <f t="array" ref="CV250">IFERROR(INDEX(#REF!,MATCH('Respuestas de formulario 1.1'!$B250,#REF!,0),MATCH('Respuestas de formulario 1.1'!CV$1,#REF!,0)),"")</f>
        <v/>
      </c>
      <c r="CW250" s="56" t="str">
        <f t="array" ref="CW250">IFERROR(INDEX(#REF!,MATCH('Respuestas de formulario 1.1'!$B250,#REF!,0),MATCH('Respuestas de formulario 1.1'!CW$1,#REF!,0)),"")</f>
        <v/>
      </c>
      <c r="CX250" s="56" t="str">
        <f t="array" ref="CX250">IFERROR(INDEX(#REF!,MATCH('Respuestas de formulario 1.1'!$B250,#REF!,0),MATCH('Respuestas de formulario 1.1'!CX$1,#REF!,0)),"")</f>
        <v/>
      </c>
      <c r="CY250" s="56" t="str">
        <f t="array" ref="CY250">IFERROR(INDEX(#REF!,MATCH('Respuestas de formulario 1.1'!$B250,#REF!,0),MATCH('Respuestas de formulario 1.1'!CY$1,#REF!,0)),"")</f>
        <v/>
      </c>
      <c r="CZ250" s="57" t="str">
        <f t="array" ref="CZ250">IFERROR(INDEX(#REF!,MATCH('Respuestas de formulario 1.1'!$B250,#REF!,0),MATCH('Respuestas de formulario 1.1'!CZ$1,#REF!,0)),"")</f>
        <v/>
      </c>
      <c r="DA250" s="45" t="e">
        <f t="array" ref="DA250">INDEX(#REF!,MATCH('Respuestas de formulario 1.1'!$B250,#REF!,0),MATCH('Respuestas de formulario 1.1'!DA$1,#REF!,0))</f>
        <v>#REF!</v>
      </c>
      <c r="DB250" s="45" t="e">
        <f t="array" ref="DB250">INDEX(#REF!,MATCH('Respuestas de formulario 1.1'!$B250,#REF!,0),MATCH('Respuestas de formulario 1.1'!DB$1,#REF!,0))</f>
        <v>#REF!</v>
      </c>
      <c r="DC250" s="45" t="e">
        <f t="array" ref="DC250">INDEX(#REF!,MATCH('Respuestas de formulario 1.1'!$B250,#REF!,0),MATCH('Respuestas de formulario 1.1'!DC$1,#REF!,0))</f>
        <v>#REF!</v>
      </c>
      <c r="DD250" s="45" t="e">
        <f t="array" ref="DD250">INDEX(#REF!,MATCH('Respuestas de formulario 1.1'!$B250,#REF!,0),MATCH('Respuestas de formulario 1.1'!DD$1,#REF!,0))</f>
        <v>#REF!</v>
      </c>
      <c r="DE250" s="45" t="e">
        <f t="array" ref="DE250">INDEX(#REF!,MATCH('Respuestas de formulario 1.1'!$B250,#REF!,0),MATCH('Respuestas de formulario 1.1'!DE$1,#REF!,0))</f>
        <v>#REF!</v>
      </c>
      <c r="DF250" s="45" t="e">
        <f t="array" ref="DF250">INDEX(#REF!,MATCH('Respuestas de formulario 1.1'!$B250,#REF!,0),MATCH('Respuestas de formulario 1.1'!DF$1,#REF!,0))</f>
        <v>#REF!</v>
      </c>
      <c r="DG250" s="45" t="e">
        <f t="array" ref="DG250">INDEX(#REF!,MATCH('Respuestas de formulario 1.1'!$B250,#REF!,0),MATCH('Respuestas de formulario 1.1'!DG$1,#REF!,0))</f>
        <v>#REF!</v>
      </c>
      <c r="DH250" s="45" t="e">
        <f t="array" ref="DH250">INDEX(#REF!,MATCH('Respuestas de formulario 1.1'!$B250,#REF!,0),MATCH('Respuestas de formulario 1.1'!DH$1,#REF!,0))</f>
        <v>#REF!</v>
      </c>
      <c r="DI250" s="48" t="e">
        <f>VLOOKUP(CONCATENATE($DF250," TUTO ",$DC250),#REF!,3,0)</f>
        <v>#REF!</v>
      </c>
      <c r="DJ250" s="48" t="e">
        <f t="array" ref="DJ250">IF('Respuestas de formulario 1.1'!A250="","",INDEX(#REF!,MATCH('Respuestas de formulario 1.1'!B250,#REF!,0),MATCH('Respuestas de formulario 1.1'!$DH$1,#REF!,0)))</f>
        <v>#REF!</v>
      </c>
      <c r="DK250" s="52" t="str">
        <f>CONCATENATE("http://doc.google.com/uc?id=",MID('Respuestas de formulario 1.1'!G250,34,33))</f>
        <v>http://doc.google.com/uc?id=10uYlAUMEAjZMlSLj6hLxsHz4OVE0thoD</v>
      </c>
      <c r="DL250" s="49" t="str">
        <f>CONCATENATE("http://doc.google.com/uc?id=",MID('Respuestas de formulario 1.1'!AH250,34,33))</f>
        <v>http://doc.google.com/uc?id=1XD07wZoLfZGTMK-uADDA0J8H8oLMPwin</v>
      </c>
      <c r="DM250" s="50" t="str">
        <f>CONCATENATE("http://doc.google.com/uc?id=",MID('Respuestas de formulario 1.1'!AW250,34,33))</f>
        <v>http://doc.google.com/uc?id=1tDefKjNwhnEBc4IWRn_mikF_TA-fWZm1</v>
      </c>
      <c r="DN250" s="53" t="str">
        <f>CONCATENATE("http://doc.google.com/uc?id=",MID('Respuestas de formulario 1.1'!$BI250,34,33))</f>
        <v>http://doc.google.com/uc?id=111McYVvrGEZY7fRj_uuwJK-c5qPuz2dF</v>
      </c>
      <c r="DO250" s="45" t="str">
        <f>IFERROR(VLOOKUP(CONCATENATE('Respuestas de formulario 1.1'!$B250,MID('Respuestas de formulario 1.1'!DO$1,2,1)),#REF!,12,0),"")</f>
        <v/>
      </c>
      <c r="DP250" s="45" t="str">
        <f>IFERROR(VLOOKUP(CONCATENATE('Respuestas de formulario 1.1'!$B250,MID('Respuestas de formulario 1.1'!DP$1,2,1)),#REF!,12,0),"")</f>
        <v/>
      </c>
      <c r="DQ250" s="45" t="str">
        <f>IFERROR(VLOOKUP(CONCATENATE('Respuestas de formulario 1.1'!$B250,MID('Respuestas de formulario 1.1'!DQ$1,2,1)),#REF!,12,0),"")</f>
        <v/>
      </c>
      <c r="DR250" s="45" t="str">
        <f>IFERROR(VLOOKUP(CONCATENATE('Respuestas de formulario 1.1'!$B250,MID('Respuestas de formulario 1.1'!DR$1,2,1)),#REF!,12,0),"")</f>
        <v/>
      </c>
      <c r="DS250" s="45" t="str">
        <f>IFERROR(VLOOKUP(CONCATENATE('Respuestas de formulario 1.1'!$B250,MID('Respuestas de formulario 1.1'!DS$1,2,1)),#REF!,12,0),"")</f>
        <v/>
      </c>
      <c r="DT250" s="45" t="str">
        <f>IFERROR(VLOOKUP(CONCATENATE('Respuestas de formulario 1.1'!$B250,MID('Respuestas de formulario 1.1'!DT$1,2,1)),#REF!,12,0),"")</f>
        <v/>
      </c>
      <c r="DU250" s="45" t="str">
        <f>IFERROR(VLOOKUP(CONCATENATE('Respuestas de formulario 1.1'!$B250,MID('Respuestas de formulario 1.1'!DU$1,2,1)),#REF!,12,0),"")</f>
        <v/>
      </c>
      <c r="DV250" s="45" t="str">
        <f>IFERROR(VLOOKUP(CONCATENATE('Respuestas de formulario 1.1'!$B250,MID('Respuestas de formulario 1.1'!DV$1,2,1)),#REF!,12,0),"")</f>
        <v/>
      </c>
      <c r="DW250" s="45" t="str">
        <f>IFERROR(VLOOKUP(CONCATENATE('Respuestas de formulario 1.1'!$B250,MID('Respuestas de formulario 1.1'!DW$1,2,1)),#REF!,12,0),"")</f>
        <v/>
      </c>
      <c r="DX250" s="45" t="str">
        <f>IFERROR(VLOOKUP(CONCATENATE('Respuestas de formulario 1.1'!$B250,MID('Respuestas de formulario 1.1'!DX$1,2,1)),#REF!,12,0),"")</f>
        <v/>
      </c>
      <c r="DY250" s="45" t="str">
        <f>IFERROR(VLOOKUP(CONCATENATE('Respuestas de formulario 1.1'!$B250,MID('Respuestas de formulario 1.1'!DY$1,2,1)),#REF!,12,0),"")</f>
        <v/>
      </c>
      <c r="DZ250" s="45" t="str">
        <f>IFERROR(VLOOKUP(CONCATENATE('Respuestas de formulario 1.1'!$B250,MID('Respuestas de formulario 1.1'!DZ$1,2,1)),#REF!,12,0),"")</f>
        <v/>
      </c>
      <c r="EA250" s="45" t="str">
        <f>IFERROR(VLOOKUP(CONCATENATE('Respuestas de formulario 1.1'!$B250,MID('Respuestas de formulario 1.1'!EA$1,2,1)),#REF!,12,0),"")</f>
        <v/>
      </c>
      <c r="EB250" s="45" t="str">
        <f>IFERROR(VLOOKUP(CONCATENATE('Respuestas de formulario 1.1'!$B250,MID('Respuestas de formulario 1.1'!EB$1,2,1)),#REF!,12,0),"")</f>
        <v/>
      </c>
      <c r="EC250" s="45" t="str">
        <f>IFERROR(VLOOKUP(CONCATENATE('Respuestas de formulario 1.1'!$B250,MID('Respuestas de formulario 1.1'!EC$1,2,1)),#REF!,12,0),"")</f>
        <v/>
      </c>
      <c r="ED250" s="45" t="str">
        <f>IFERROR(VLOOKUP(CONCATENATE('Respuestas de formulario 1.1'!$B250,MID('Respuestas de formulario 1.1'!ED$1,2,1)),#REF!,12,0),"")</f>
        <v/>
      </c>
      <c r="EE250" s="45" t="str">
        <f>IFERROR(VLOOKUP(CONCATENATE('Respuestas de formulario 1.1'!$B250,MID('Respuestas de formulario 1.1'!EE$1,2,1)),#REF!,12,0),"")</f>
        <v/>
      </c>
      <c r="EF250" s="45" t="str">
        <f>IFERROR(VLOOKUP(CONCATENATE('Respuestas de formulario 1.1'!$B250,MID('Respuestas de formulario 1.1'!EF$1,2,1)),#REF!,12,0),"")</f>
        <v/>
      </c>
      <c r="EG250" s="45" t="str">
        <f>IFERROR(VLOOKUP(CONCATENATE('Respuestas de formulario 1.1'!$B250,MID('Respuestas de formulario 1.1'!EG$1,2,1)),#REF!,12,0),"")</f>
        <v/>
      </c>
      <c r="EH250" s="45" t="str">
        <f>IFERROR(VLOOKUP(CONCATENATE('Respuestas de formulario 1.1'!$B250,MID('Respuestas de formulario 1.1'!EH$1,2,1)),#REF!,12,0),"")</f>
        <v/>
      </c>
      <c r="EI250" s="45" t="str">
        <f>IFERROR(VLOOKUP(CONCATENATE('Respuestas de formulario 1.1'!$B250,MID('Respuestas de formulario 1.1'!EI$1,2,1)),#REF!,12,0),"")</f>
        <v/>
      </c>
      <c r="EJ250" s="45" t="str">
        <f t="array" ref="EJ250">IF(DO250="","", INDEX(#REF!,MATCH(CONCATENATE('Respuestas de formulario 1.1'!$B250,DO250),#REF!,0),MATCH('Respuestas de formulario 1.1'!EJ$1,#REF!,0)))</f>
        <v/>
      </c>
      <c r="EK250" s="56" t="str">
        <f t="array" ref="EK250">IF(DP250="","", INDEX(#REF!,MATCH(CONCATENATE('Respuestas de formulario 1.1'!$B250,DP250),#REF!,0),MATCH('Respuestas de formulario 1.1'!EK$1,#REF!,0)))</f>
        <v/>
      </c>
      <c r="EL250" s="56" t="str">
        <f t="array" ref="EL250">IF(DQ250="","", INDEX(#REF!,MATCH(CONCATENATE('Respuestas de formulario 1.1'!$B250,DQ250),#REF!,0),MATCH('Respuestas de formulario 1.1'!EL$1,#REF!,0)))</f>
        <v/>
      </c>
      <c r="EM250" s="56" t="str">
        <f t="array" ref="EM250">IF(DR250="","", INDEX(#REF!,MATCH(CONCATENATE('Respuestas de formulario 1.1'!$B250,DR250),#REF!,0),MATCH('Respuestas de formulario 1.1'!EM$1,#REF!,0)))</f>
        <v/>
      </c>
      <c r="EN250" s="56" t="str">
        <f t="array" ref="EN250">IF(DS250="","", INDEX(#REF!,MATCH(CONCATENATE('Respuestas de formulario 1.1'!$B250,DS250),#REF!,0),MATCH('Respuestas de formulario 1.1'!EN$1,#REF!,0)))</f>
        <v/>
      </c>
      <c r="EO250" s="56" t="str">
        <f t="array" ref="EO250">IF(DT250="","", INDEX(#REF!,MATCH(CONCATENATE('Respuestas de formulario 1.1'!$B250,DT250),#REF!,0),MATCH('Respuestas de formulario 1.1'!EO$1,#REF!,0)))</f>
        <v/>
      </c>
      <c r="EP250" s="45" t="str">
        <f t="array" ref="EP250">IF(DU250="","", INDEX(#REF!,MATCH(CONCATENATE('Respuestas de formulario 1.1'!$B250,DU250),#REF!,0),MATCH('Respuestas de formulario 1.1'!EP$1,#REF!,0)))</f>
        <v/>
      </c>
      <c r="EQ250" s="45" t="str">
        <f t="array" ref="EQ250">IF(DP250="","", INDEX(#REF!,MATCH(CONCATENATE('Respuestas de formulario 1.1'!$B250,DP250),#REF!,0),MATCH('Respuestas de formulario 1.1'!EQ$1,#REF!,0)))</f>
        <v/>
      </c>
      <c r="ER250" s="56" t="str">
        <f t="array" ref="ER250">IF(DQ250="","", INDEX(#REF!,MATCH(CONCATENATE('Respuestas de formulario 1.1'!$B250,DQ250),#REF!,0),MATCH('Respuestas de formulario 1.1'!ER$1,#REF!,0)))</f>
        <v/>
      </c>
      <c r="ES250" s="56" t="str">
        <f t="array" ref="ES250">IF(DR250="","", INDEX(#REF!,MATCH(CONCATENATE('Respuestas de formulario 1.1'!$B250,DR250),#REF!,0),MATCH('Respuestas de formulario 1.1'!ES$1,#REF!,0)))</f>
        <v/>
      </c>
      <c r="ET250" s="56" t="str">
        <f t="array" ref="ET250">IF(DS250="","", INDEX(#REF!,MATCH(CONCATENATE('Respuestas de formulario 1.1'!$B250,DS250),#REF!,0),MATCH('Respuestas de formulario 1.1'!ET$1,#REF!,0)))</f>
        <v/>
      </c>
      <c r="EU250" s="56" t="str">
        <f t="array" ref="EU250">IF(DT250="","", INDEX(#REF!,MATCH(CONCATENATE('Respuestas de formulario 1.1'!$B250,DT250),#REF!,0),MATCH('Respuestas de formulario 1.1'!EU$1,#REF!,0)))</f>
        <v/>
      </c>
      <c r="EV250" s="56" t="str">
        <f t="array" ref="EV250">IF(DU250="","", INDEX(#REF!,MATCH(CONCATENATE('Respuestas de formulario 1.1'!$B250,DU250),#REF!,0),MATCH('Respuestas de formulario 1.1'!EV$1,#REF!,0)))</f>
        <v/>
      </c>
      <c r="EW250" s="45" t="str">
        <f t="array" ref="EW250">IF(DV250="","", INDEX(#REF!,MATCH(CONCATENATE('Respuestas de formulario 1.1'!$B250,DV250),#REF!,0),MATCH('Respuestas de formulario 1.1'!EW$1,#REF!,0)))</f>
        <v/>
      </c>
      <c r="EX250" s="45" t="str">
        <f t="array" ref="EX250">IF($DQ250="","", INDEX(#REF!,MATCH(CONCATENATE('Respuestas de formulario 1.1'!$B250,$DQ250),#REF!,0),MATCH('Respuestas de formulario 1.1'!EX$1,#REF!,0)))</f>
        <v/>
      </c>
      <c r="EY250" s="56" t="str">
        <f t="array" ref="EY250">IF($DQ250="","", INDEX(#REF!,MATCH(CONCATENATE('Respuestas de formulario 1.1'!$B250,$DQ250),#REF!,0),MATCH('Respuestas de formulario 1.1'!EY$1,#REF!,0)))</f>
        <v/>
      </c>
      <c r="EZ250" s="56" t="str">
        <f t="array" ref="EZ250">IF($DQ250="","", INDEX(#REF!,MATCH(CONCATENATE('Respuestas de formulario 1.1'!$B250,$DQ250),#REF!,0),MATCH('Respuestas de formulario 1.1'!EZ$1,#REF!,0)))</f>
        <v/>
      </c>
      <c r="FA250" s="56" t="str">
        <f t="array" ref="FA250">IF($DQ250="","", INDEX(#REF!,MATCH(CONCATENATE('Respuestas de formulario 1.1'!$B250,$DQ250),#REF!,0),MATCH('Respuestas de formulario 1.1'!FA$1,#REF!,0)))</f>
        <v/>
      </c>
      <c r="FB250" s="56" t="str">
        <f t="array" ref="FB250">IF($DQ250="","", INDEX(#REF!,MATCH(CONCATENATE('Respuestas de formulario 1.1'!$B250,$DQ250),#REF!,0),MATCH('Respuestas de formulario 1.1'!FB$1,#REF!,0)))</f>
        <v/>
      </c>
      <c r="FC250" s="56" t="str">
        <f t="array" ref="FC250">IF($DQ250="","", INDEX(#REF!,MATCH(CONCATENATE('Respuestas de formulario 1.1'!$B250,$DQ250),#REF!,0),MATCH('Respuestas de formulario 1.1'!FC$1,#REF!,0)))</f>
        <v/>
      </c>
      <c r="FD250" s="45" t="str">
        <f t="array" ref="FD250">IF($DQ250="","", INDEX(#REF!,MATCH(CONCATENATE('Respuestas de formulario 1.1'!$B250,$DQ250),#REF!,0),MATCH('Respuestas de formulario 1.1'!FD$1,#REF!,0)))</f>
        <v/>
      </c>
      <c r="FE250" s="45" t="str">
        <f t="array" ref="FE250">IF($DR250="","", INDEX(#REF!,MATCH(CONCATENATE(#REF!,$DR250),#REF!,0),MATCH(#REF!,#REF!,0)))</f>
        <v/>
      </c>
      <c r="FF250" s="56" t="str">
        <f t="array" ref="FF250">IF($DR250="","", INDEX(#REF!,MATCH(CONCATENATE(#REF!,$DR250),#REF!,0),MATCH(#REF!,#REF!,0)))</f>
        <v/>
      </c>
      <c r="FG250" s="56" t="str">
        <f t="array" ref="FG250">IF($DR250="","", INDEX(#REF!,MATCH(CONCATENATE(#REF!,$DR250),#REF!,0),MATCH(#REF!,#REF!,0)))</f>
        <v/>
      </c>
      <c r="FH250" s="56" t="str">
        <f t="array" ref="FH250">IF($DR250="","", INDEX(#REF!,MATCH(CONCATENATE(#REF!,$DR250),#REF!,0),MATCH(#REF!,#REF!,0)))</f>
        <v/>
      </c>
      <c r="FI250" s="56" t="str">
        <f t="array" ref="FI250">IF($DR250="","", INDEX(#REF!,MATCH(CONCATENATE(#REF!,$DR250),#REF!,0),MATCH(#REF!,#REF!,0)))</f>
        <v/>
      </c>
      <c r="FJ250" s="56" t="str">
        <f t="array" ref="FJ250">IF($DR250="","", INDEX(#REF!,MATCH(CONCATENATE(#REF!,$DR250),#REF!,0),MATCH(#REF!,#REF!,0)))</f>
        <v/>
      </c>
      <c r="FK250" s="45" t="str">
        <f t="array" ref="FK250">IF($DR250="","", INDEX(#REF!,MATCH(CONCATENATE(#REF!,$DR250),#REF!,0),MATCH(#REF!,#REF!,0)))</f>
        <v/>
      </c>
      <c r="FL250" s="45" t="str">
        <f t="array" ref="FL250">IF($DT250="","", INDEX(#REF!,MATCH(CONCATENATE('Respuestas de formulario 1.1'!$B250,$DS250),#REF!,0),MATCH('Respuestas de formulario 1.1'!FL$1,#REF!,0)))</f>
        <v/>
      </c>
      <c r="FM250" s="56" t="str">
        <f t="array" ref="FM250">IF($DT250="","", INDEX(#REF!,MATCH(CONCATENATE('Respuestas de formulario 1.1'!$B250,$DS250),#REF!,0),MATCH('Respuestas de formulario 1.1'!FM$1,#REF!,0)))</f>
        <v/>
      </c>
      <c r="FN250" s="56" t="str">
        <f t="array" ref="FN250">IF($DT250="","", INDEX(#REF!,MATCH(CONCATENATE('Respuestas de formulario 1.1'!$B250,$DS250),#REF!,0),MATCH('Respuestas de formulario 1.1'!FN$1,#REF!,0)))</f>
        <v/>
      </c>
      <c r="FO250" s="56" t="str">
        <f t="array" ref="FO250">IF($DT250="","", INDEX(#REF!,MATCH(CONCATENATE('Respuestas de formulario 1.1'!$B250,$DS250),#REF!,0),MATCH('Respuestas de formulario 1.1'!FO$1,#REF!,0)))</f>
        <v/>
      </c>
      <c r="FP250" s="56" t="str">
        <f t="array" ref="FP250">IF($DT250="","", INDEX(#REF!,MATCH(CONCATENATE('Respuestas de formulario 1.1'!$B250,$DS250),#REF!,0),MATCH('Respuestas de formulario 1.1'!FP$1,#REF!,0)))</f>
        <v/>
      </c>
      <c r="FQ250" s="56" t="str">
        <f t="array" ref="FQ250">IF($DT250="","", INDEX(#REF!,MATCH(CONCATENATE('Respuestas de formulario 1.1'!$B250,$DS250),#REF!,0),MATCH('Respuestas de formulario 1.1'!FQ$1,#REF!,0)))</f>
        <v/>
      </c>
      <c r="FR250" s="45" t="str">
        <f t="array" ref="FR250">IF($DT250="","", INDEX(#REF!,MATCH(CONCATENATE('Respuestas de formulario 1.1'!$B250,$DS250),#REF!,0),MATCH('Respuestas de formulario 1.1'!FR$1,#REF!,0)))</f>
        <v/>
      </c>
      <c r="FS250" s="45" t="str">
        <f t="array" ref="FS250">IF($DU250="","", INDEX(#REF!,MATCH(CONCATENATE('Respuestas de formulario 1.1'!$B250,$DT250),#REF!,0),MATCH('Respuestas de formulario 1.1'!FS$1,#REF!,0)))</f>
        <v/>
      </c>
      <c r="FT250" s="56" t="str">
        <f t="array" ref="FT250">IF($DU250="","", INDEX(#REF!,MATCH(CONCATENATE('Respuestas de formulario 1.1'!$B250,$DT250),#REF!,0),MATCH('Respuestas de formulario 1.1'!FT$1,#REF!,0)))</f>
        <v/>
      </c>
      <c r="FU250" s="56" t="str">
        <f t="array" ref="FU250">IF($DU250="","", INDEX(#REF!,MATCH(CONCATENATE('Respuestas de formulario 1.1'!$B250,$DT250),#REF!,0),MATCH('Respuestas de formulario 1.1'!FU$1,#REF!,0)))</f>
        <v/>
      </c>
      <c r="FV250" s="56" t="str">
        <f t="array" ref="FV250">IF($DU250="","", INDEX(#REF!,MATCH(CONCATENATE('Respuestas de formulario 1.1'!$B250,$DT250),#REF!,0),MATCH('Respuestas de formulario 1.1'!FV$1,#REF!,0)))</f>
        <v/>
      </c>
      <c r="FW250" s="56" t="str">
        <f t="array" ref="FW250">IF($DU250="","", INDEX(#REF!,MATCH(CONCATENATE('Respuestas de formulario 1.1'!$B250,$DT250),#REF!,0),MATCH('Respuestas de formulario 1.1'!FW$1,#REF!,0)))</f>
        <v/>
      </c>
      <c r="FX250" s="56" t="str">
        <f t="array" ref="FX250">IF($DU250="","", INDEX(#REF!,MATCH(CONCATENATE('Respuestas de formulario 1.1'!$B250,$DT250),#REF!,0),MATCH('Respuestas de formulario 1.1'!FX$1,#REF!,0)))</f>
        <v/>
      </c>
      <c r="FY250" s="45" t="str">
        <f t="array" ref="FY250">IF($DU250="","", INDEX(#REF!,MATCH(CONCATENATE('Respuestas de formulario 1.1'!$B250,$DT250),#REF!,0),MATCH('Respuestas de formulario 1.1'!FY$1,#REF!,0)))</f>
        <v/>
      </c>
      <c r="FZ250" s="3" t="s">
        <v>2860</v>
      </c>
      <c r="GA250" s="1" t="s">
        <v>7136</v>
      </c>
      <c r="GB250" s="5" t="s">
        <v>7137</v>
      </c>
      <c r="GC250" s="4" t="str">
        <f>HYPERLINK("https://drive.google.com/file/d/1VZjhpbqJQMrzmaqalcZRm9f40Bkjc52d/view?usp=drivesdk","MUÑOZ  HERRERA  DIANA LAURA  Formato de reinscripción y pago 2022-2")</f>
        <v>MUÑOZ  HERRERA  DIANA LAURA  Formato de reinscripción y pago 2022-2</v>
      </c>
      <c r="GD250" s="1" t="s">
        <v>7138</v>
      </c>
      <c r="GE250" s="1"/>
      <c r="GF250" s="1"/>
      <c r="GG250" s="1"/>
      <c r="GH250" s="1"/>
      <c r="GI250" s="1" t="s">
        <v>7139</v>
      </c>
      <c r="GJ250" s="5" t="s">
        <v>7140</v>
      </c>
      <c r="GK250" s="5" t="str">
        <f>HYPERLINK("https://drive.google.com/file/d/10NEIHQGStzDDzHqcyxnK5IrEgYBbQTTv/view?usp=drivesdk","MUÑOZ  HERRERA  DIANA LAURA  Formato de reinscripción y pago 2022-2")</f>
        <v>MUÑOZ  HERRERA  DIANA LAURA  Formato de reinscripción y pago 2022-2</v>
      </c>
      <c r="GL250" s="1" t="s">
        <v>7141</v>
      </c>
    </row>
    <row r="251" spans="1:194" ht="38.25" x14ac:dyDescent="0.2">
      <c r="A251" s="2">
        <v>45139.547045752319</v>
      </c>
      <c r="B251" s="1" t="s">
        <v>1899</v>
      </c>
      <c r="C251" s="1" t="s">
        <v>234</v>
      </c>
      <c r="D251" s="1" t="s">
        <v>908</v>
      </c>
      <c r="E251" s="1" t="s">
        <v>1900</v>
      </c>
      <c r="F251" s="1" t="s">
        <v>223</v>
      </c>
      <c r="G251" s="5" t="s">
        <v>7142</v>
      </c>
      <c r="H251" s="41">
        <v>39402</v>
      </c>
      <c r="I251" s="1">
        <v>15</v>
      </c>
      <c r="J251" s="1">
        <v>5621992361</v>
      </c>
      <c r="K251" s="1">
        <v>5515407581</v>
      </c>
      <c r="L251" s="1" t="s">
        <v>1901</v>
      </c>
      <c r="M251" s="1">
        <v>22309060570323</v>
      </c>
      <c r="N251" s="1" t="s">
        <v>562</v>
      </c>
      <c r="O251" s="1" t="s">
        <v>225</v>
      </c>
      <c r="P251" s="1" t="s">
        <v>226</v>
      </c>
      <c r="Q251" s="1" t="s">
        <v>227</v>
      </c>
      <c r="R251" s="1" t="s">
        <v>236</v>
      </c>
      <c r="S251" s="1" t="s">
        <v>228</v>
      </c>
      <c r="T251" s="1" t="s">
        <v>229</v>
      </c>
      <c r="U251" s="1" t="s">
        <v>728</v>
      </c>
      <c r="V251" s="1" t="s">
        <v>228</v>
      </c>
      <c r="W251" s="1" t="s">
        <v>7143</v>
      </c>
      <c r="X251" s="1" t="s">
        <v>728</v>
      </c>
      <c r="Y251" s="1" t="s">
        <v>843</v>
      </c>
      <c r="Z251" s="1" t="s">
        <v>231</v>
      </c>
      <c r="AA251" s="1">
        <v>55130</v>
      </c>
      <c r="AB251" s="1" t="s">
        <v>7144</v>
      </c>
      <c r="AC251" s="1" t="s">
        <v>1808</v>
      </c>
      <c r="AD251" s="1" t="s">
        <v>7145</v>
      </c>
      <c r="AE251" s="1" t="s">
        <v>7146</v>
      </c>
      <c r="AF251" s="1" t="s">
        <v>265</v>
      </c>
      <c r="AG251" s="1">
        <v>49</v>
      </c>
      <c r="AH251" s="5" t="s">
        <v>7147</v>
      </c>
      <c r="AI251" s="1">
        <v>5574867117</v>
      </c>
      <c r="AJ251" s="1">
        <v>5515407581</v>
      </c>
      <c r="AK251" s="1" t="s">
        <v>7148</v>
      </c>
      <c r="AL251" s="1" t="s">
        <v>234</v>
      </c>
      <c r="AM251" s="1" t="s">
        <v>908</v>
      </c>
      <c r="AN251" s="1" t="s">
        <v>2554</v>
      </c>
      <c r="AO251" s="1" t="s">
        <v>488</v>
      </c>
      <c r="AP251" s="1">
        <v>30</v>
      </c>
      <c r="AQ251" s="1" t="s">
        <v>1268</v>
      </c>
      <c r="AR251" s="42">
        <v>0.29166666666424135</v>
      </c>
      <c r="AS251" s="42">
        <v>0.25</v>
      </c>
      <c r="AT251" s="1">
        <v>5544204788</v>
      </c>
      <c r="AU251" s="1">
        <v>5515407581</v>
      </c>
      <c r="AV251" s="1" t="s">
        <v>1902</v>
      </c>
      <c r="AW251" s="5" t="s">
        <v>7149</v>
      </c>
      <c r="AX251" s="1" t="s">
        <v>234</v>
      </c>
      <c r="AY251" s="1" t="s">
        <v>1123</v>
      </c>
      <c r="AZ251" s="1" t="s">
        <v>801</v>
      </c>
      <c r="BA251" s="1" t="s">
        <v>435</v>
      </c>
      <c r="BB251" s="1">
        <v>59</v>
      </c>
      <c r="BC251" s="1" t="s">
        <v>663</v>
      </c>
      <c r="BD251" s="43">
        <v>0.33333333333575865</v>
      </c>
      <c r="BE251" s="43">
        <v>0.33333333333575865</v>
      </c>
      <c r="BF251" s="1">
        <v>5616461541</v>
      </c>
      <c r="BG251" s="1">
        <v>5515407581</v>
      </c>
      <c r="BH251" s="1" t="s">
        <v>1903</v>
      </c>
      <c r="BI251" s="5" t="s">
        <v>7150</v>
      </c>
      <c r="BJ251" s="1" t="s">
        <v>236</v>
      </c>
      <c r="BL251" s="1">
        <v>160</v>
      </c>
      <c r="BM251" s="1">
        <v>62</v>
      </c>
      <c r="BN251" s="1" t="s">
        <v>236</v>
      </c>
      <c r="BO251" s="1" t="s">
        <v>228</v>
      </c>
      <c r="BQ251" s="1" t="s">
        <v>228</v>
      </c>
      <c r="BR251" s="1" t="s">
        <v>237</v>
      </c>
      <c r="BS251" s="1" t="s">
        <v>228</v>
      </c>
      <c r="BT251" s="1" t="s">
        <v>237</v>
      </c>
      <c r="BU251" s="1" t="s">
        <v>228</v>
      </c>
      <c r="BW251" s="1" t="s">
        <v>238</v>
      </c>
      <c r="BX251" s="1">
        <v>130</v>
      </c>
      <c r="BY251" s="1">
        <v>200</v>
      </c>
      <c r="BZ251" s="1" t="s">
        <v>2458</v>
      </c>
      <c r="CA251" s="1" t="s">
        <v>1904</v>
      </c>
      <c r="CB251" s="1" t="s">
        <v>240</v>
      </c>
      <c r="CC251" s="1" t="s">
        <v>300</v>
      </c>
      <c r="CD251" s="1">
        <v>1500</v>
      </c>
      <c r="CE251" s="1">
        <v>1500</v>
      </c>
      <c r="CF251" s="1" t="s">
        <v>236</v>
      </c>
      <c r="CG251" s="1" t="s">
        <v>242</v>
      </c>
      <c r="CH251" s="1" t="s">
        <v>243</v>
      </c>
      <c r="CI251" s="1" t="s">
        <v>243</v>
      </c>
      <c r="CJ251" s="1" t="s">
        <v>2848</v>
      </c>
      <c r="CL251" s="5" t="s">
        <v>7151</v>
      </c>
      <c r="CM251" s="1">
        <v>14220776950</v>
      </c>
      <c r="CN251" s="1" t="s">
        <v>228</v>
      </c>
      <c r="CQ251" s="42">
        <v>0</v>
      </c>
      <c r="CR251" s="42">
        <v>0</v>
      </c>
      <c r="CT251" s="45" t="str">
        <f t="array" ref="CT251">IFERROR(INDEX(#REF!,MATCH('Respuestas de formulario 1.1'!$B251,#REF!,0),MATCH('Respuestas de formulario 1.1'!CT$1,#REF!,0)),"")</f>
        <v/>
      </c>
      <c r="CU251" s="56" t="str">
        <f t="array" ref="CU251">IFERROR(INDEX(#REF!,MATCH('Respuestas de formulario 1.1'!$B251,#REF!,0),MATCH('Respuestas de formulario 1.1'!CU$1,#REF!,0)),"")</f>
        <v/>
      </c>
      <c r="CV251" s="56" t="str">
        <f t="array" ref="CV251">IFERROR(INDEX(#REF!,MATCH('Respuestas de formulario 1.1'!$B251,#REF!,0),MATCH('Respuestas de formulario 1.1'!CV$1,#REF!,0)),"")</f>
        <v/>
      </c>
      <c r="CW251" s="56" t="str">
        <f t="array" ref="CW251">IFERROR(INDEX(#REF!,MATCH('Respuestas de formulario 1.1'!$B251,#REF!,0),MATCH('Respuestas de formulario 1.1'!CW$1,#REF!,0)),"")</f>
        <v/>
      </c>
      <c r="CX251" s="56" t="str">
        <f t="array" ref="CX251">IFERROR(INDEX(#REF!,MATCH('Respuestas de formulario 1.1'!$B251,#REF!,0),MATCH('Respuestas de formulario 1.1'!CX$1,#REF!,0)),"")</f>
        <v/>
      </c>
      <c r="CY251" s="56" t="str">
        <f t="array" ref="CY251">IFERROR(INDEX(#REF!,MATCH('Respuestas de formulario 1.1'!$B251,#REF!,0),MATCH('Respuestas de formulario 1.1'!CY$1,#REF!,0)),"")</f>
        <v/>
      </c>
      <c r="CZ251" s="57" t="str">
        <f t="array" ref="CZ251">IFERROR(INDEX(#REF!,MATCH('Respuestas de formulario 1.1'!$B251,#REF!,0),MATCH('Respuestas de formulario 1.1'!CZ$1,#REF!,0)),"")</f>
        <v/>
      </c>
      <c r="DA251" s="45" t="e">
        <f t="array" ref="DA251">INDEX(#REF!,MATCH('Respuestas de formulario 1.1'!$B251,#REF!,0),MATCH('Respuestas de formulario 1.1'!DA$1,#REF!,0))</f>
        <v>#REF!</v>
      </c>
      <c r="DB251" s="45" t="e">
        <f t="array" ref="DB251">INDEX(#REF!,MATCH('Respuestas de formulario 1.1'!$B251,#REF!,0),MATCH('Respuestas de formulario 1.1'!DB$1,#REF!,0))</f>
        <v>#REF!</v>
      </c>
      <c r="DC251" s="45" t="e">
        <f t="array" ref="DC251">INDEX(#REF!,MATCH('Respuestas de formulario 1.1'!$B251,#REF!,0),MATCH('Respuestas de formulario 1.1'!DC$1,#REF!,0))</f>
        <v>#REF!</v>
      </c>
      <c r="DD251" s="45" t="e">
        <f t="array" ref="DD251">INDEX(#REF!,MATCH('Respuestas de formulario 1.1'!$B251,#REF!,0),MATCH('Respuestas de formulario 1.1'!DD$1,#REF!,0))</f>
        <v>#REF!</v>
      </c>
      <c r="DE251" s="45" t="e">
        <f t="array" ref="DE251">INDEX(#REF!,MATCH('Respuestas de formulario 1.1'!$B251,#REF!,0),MATCH('Respuestas de formulario 1.1'!DE$1,#REF!,0))</f>
        <v>#REF!</v>
      </c>
      <c r="DF251" s="45" t="e">
        <f t="array" ref="DF251">INDEX(#REF!,MATCH('Respuestas de formulario 1.1'!$B251,#REF!,0),MATCH('Respuestas de formulario 1.1'!DF$1,#REF!,0))</f>
        <v>#REF!</v>
      </c>
      <c r="DG251" s="45" t="e">
        <f t="array" ref="DG251">INDEX(#REF!,MATCH('Respuestas de formulario 1.1'!$B251,#REF!,0),MATCH('Respuestas de formulario 1.1'!DG$1,#REF!,0))</f>
        <v>#REF!</v>
      </c>
      <c r="DH251" s="45" t="e">
        <f t="array" ref="DH251">INDEX(#REF!,MATCH('Respuestas de formulario 1.1'!$B251,#REF!,0),MATCH('Respuestas de formulario 1.1'!DH$1,#REF!,0))</f>
        <v>#REF!</v>
      </c>
      <c r="DI251" s="48" t="e">
        <f>VLOOKUP(CONCATENATE($DF251," TUTO ",$DC251),#REF!,3,0)</f>
        <v>#REF!</v>
      </c>
      <c r="DJ251" s="48" t="e">
        <f t="array" ref="DJ251">IF('Respuestas de formulario 1.1'!A251="","",INDEX(#REF!,MATCH('Respuestas de formulario 1.1'!B251,#REF!,0),MATCH('Respuestas de formulario 1.1'!$DH$1,#REF!,0)))</f>
        <v>#REF!</v>
      </c>
      <c r="DK251" s="52" t="str">
        <f>CONCATENATE("http://doc.google.com/uc?id=",MID('Respuestas de formulario 1.1'!G251,34,33))</f>
        <v>http://doc.google.com/uc?id=1h-0BfuFZQ8fWnZlrNL-t2KpOW1xqVTDQ</v>
      </c>
      <c r="DL251" s="49" t="str">
        <f>CONCATENATE("http://doc.google.com/uc?id=",MID('Respuestas de formulario 1.1'!AH251,34,33))</f>
        <v>http://doc.google.com/uc?id=1L8DO1j9JjgFiUYOxIufjM9Ogwfxf5CaO</v>
      </c>
      <c r="DM251" s="50" t="str">
        <f>CONCATENATE("http://doc.google.com/uc?id=",MID('Respuestas de formulario 1.1'!AW251,34,33))</f>
        <v>http://doc.google.com/uc?id=1qBLwEsr-Q2F5WsF-qaU9-Bb-9V0ZQXJM</v>
      </c>
      <c r="DN251" s="53" t="str">
        <f>CONCATENATE("http://doc.google.com/uc?id=",MID('Respuestas de formulario 1.1'!$BI251,34,33))</f>
        <v>http://doc.google.com/uc?id=15nRuHXlrS1ZOebqnXMPycAsfowndpxAq</v>
      </c>
      <c r="DO251" s="45" t="str">
        <f>IFERROR(VLOOKUP(CONCATENATE('Respuestas de formulario 1.1'!$B251,MID('Respuestas de formulario 1.1'!DO$1,2,1)),#REF!,12,0),"")</f>
        <v/>
      </c>
      <c r="DP251" s="45" t="str">
        <f>IFERROR(VLOOKUP(CONCATENATE('Respuestas de formulario 1.1'!$B251,MID('Respuestas de formulario 1.1'!DP$1,2,1)),#REF!,12,0),"")</f>
        <v/>
      </c>
      <c r="DQ251" s="45" t="str">
        <f>IFERROR(VLOOKUP(CONCATENATE('Respuestas de formulario 1.1'!$B251,MID('Respuestas de formulario 1.1'!DQ$1,2,1)),#REF!,12,0),"")</f>
        <v/>
      </c>
      <c r="DR251" s="45" t="str">
        <f>IFERROR(VLOOKUP(CONCATENATE('Respuestas de formulario 1.1'!$B251,MID('Respuestas de formulario 1.1'!DR$1,2,1)),#REF!,12,0),"")</f>
        <v/>
      </c>
      <c r="DS251" s="45" t="str">
        <f>IFERROR(VLOOKUP(CONCATENATE('Respuestas de formulario 1.1'!$B251,MID('Respuestas de formulario 1.1'!DS$1,2,1)),#REF!,12,0),"")</f>
        <v/>
      </c>
      <c r="DT251" s="45" t="str">
        <f>IFERROR(VLOOKUP(CONCATENATE('Respuestas de formulario 1.1'!$B251,MID('Respuestas de formulario 1.1'!DT$1,2,1)),#REF!,12,0),"")</f>
        <v/>
      </c>
      <c r="DU251" s="45" t="str">
        <f>IFERROR(VLOOKUP(CONCATENATE('Respuestas de formulario 1.1'!$B251,MID('Respuestas de formulario 1.1'!DU$1,2,1)),#REF!,12,0),"")</f>
        <v/>
      </c>
      <c r="DV251" s="45" t="str">
        <f>IFERROR(VLOOKUP(CONCATENATE('Respuestas de formulario 1.1'!$B251,MID('Respuestas de formulario 1.1'!DV$1,2,1)),#REF!,12,0),"")</f>
        <v/>
      </c>
      <c r="DW251" s="45" t="str">
        <f>IFERROR(VLOOKUP(CONCATENATE('Respuestas de formulario 1.1'!$B251,MID('Respuestas de formulario 1.1'!DW$1,2,1)),#REF!,12,0),"")</f>
        <v/>
      </c>
      <c r="DX251" s="45" t="str">
        <f>IFERROR(VLOOKUP(CONCATENATE('Respuestas de formulario 1.1'!$B251,MID('Respuestas de formulario 1.1'!DX$1,2,1)),#REF!,12,0),"")</f>
        <v/>
      </c>
      <c r="DY251" s="45" t="str">
        <f>IFERROR(VLOOKUP(CONCATENATE('Respuestas de formulario 1.1'!$B251,MID('Respuestas de formulario 1.1'!DY$1,2,1)),#REF!,12,0),"")</f>
        <v/>
      </c>
      <c r="DZ251" s="45" t="str">
        <f>IFERROR(VLOOKUP(CONCATENATE('Respuestas de formulario 1.1'!$B251,MID('Respuestas de formulario 1.1'!DZ$1,2,1)),#REF!,12,0),"")</f>
        <v/>
      </c>
      <c r="EA251" s="45" t="str">
        <f>IFERROR(VLOOKUP(CONCATENATE('Respuestas de formulario 1.1'!$B251,MID('Respuestas de formulario 1.1'!EA$1,2,1)),#REF!,12,0),"")</f>
        <v/>
      </c>
      <c r="EB251" s="45" t="str">
        <f>IFERROR(VLOOKUP(CONCATENATE('Respuestas de formulario 1.1'!$B251,MID('Respuestas de formulario 1.1'!EB$1,2,1)),#REF!,12,0),"")</f>
        <v/>
      </c>
      <c r="EC251" s="45" t="str">
        <f>IFERROR(VLOOKUP(CONCATENATE('Respuestas de formulario 1.1'!$B251,MID('Respuestas de formulario 1.1'!EC$1,2,1)),#REF!,12,0),"")</f>
        <v/>
      </c>
      <c r="ED251" s="45" t="str">
        <f>IFERROR(VLOOKUP(CONCATENATE('Respuestas de formulario 1.1'!$B251,MID('Respuestas de formulario 1.1'!ED$1,2,1)),#REF!,12,0),"")</f>
        <v/>
      </c>
      <c r="EE251" s="45" t="str">
        <f>IFERROR(VLOOKUP(CONCATENATE('Respuestas de formulario 1.1'!$B251,MID('Respuestas de formulario 1.1'!EE$1,2,1)),#REF!,12,0),"")</f>
        <v/>
      </c>
      <c r="EF251" s="45" t="str">
        <f>IFERROR(VLOOKUP(CONCATENATE('Respuestas de formulario 1.1'!$B251,MID('Respuestas de formulario 1.1'!EF$1,2,1)),#REF!,12,0),"")</f>
        <v/>
      </c>
      <c r="EG251" s="45" t="str">
        <f>IFERROR(VLOOKUP(CONCATENATE('Respuestas de formulario 1.1'!$B251,MID('Respuestas de formulario 1.1'!EG$1,2,1)),#REF!,12,0),"")</f>
        <v/>
      </c>
      <c r="EH251" s="45" t="str">
        <f>IFERROR(VLOOKUP(CONCATENATE('Respuestas de formulario 1.1'!$B251,MID('Respuestas de formulario 1.1'!EH$1,2,1)),#REF!,12,0),"")</f>
        <v/>
      </c>
      <c r="EI251" s="45" t="str">
        <f>IFERROR(VLOOKUP(CONCATENATE('Respuestas de formulario 1.1'!$B251,MID('Respuestas de formulario 1.1'!EI$1,2,1)),#REF!,12,0),"")</f>
        <v/>
      </c>
      <c r="EJ251" s="45" t="str">
        <f t="array" ref="EJ251">IF(DO251="","", INDEX(#REF!,MATCH(CONCATENATE('Respuestas de formulario 1.1'!$B251,DO251),#REF!,0),MATCH('Respuestas de formulario 1.1'!EJ$1,#REF!,0)))</f>
        <v/>
      </c>
      <c r="EK251" s="56" t="str">
        <f t="array" ref="EK251">IF(DP251="","", INDEX(#REF!,MATCH(CONCATENATE('Respuestas de formulario 1.1'!$B251,DP251),#REF!,0),MATCH('Respuestas de formulario 1.1'!EK$1,#REF!,0)))</f>
        <v/>
      </c>
      <c r="EL251" s="56" t="str">
        <f t="array" ref="EL251">IF(DQ251="","", INDEX(#REF!,MATCH(CONCATENATE('Respuestas de formulario 1.1'!$B251,DQ251),#REF!,0),MATCH('Respuestas de formulario 1.1'!EL$1,#REF!,0)))</f>
        <v/>
      </c>
      <c r="EM251" s="56" t="str">
        <f t="array" ref="EM251">IF(DR251="","", INDEX(#REF!,MATCH(CONCATENATE('Respuestas de formulario 1.1'!$B251,DR251),#REF!,0),MATCH('Respuestas de formulario 1.1'!EM$1,#REF!,0)))</f>
        <v/>
      </c>
      <c r="EN251" s="56" t="str">
        <f t="array" ref="EN251">IF(DS251="","", INDEX(#REF!,MATCH(CONCATENATE('Respuestas de formulario 1.1'!$B251,DS251),#REF!,0),MATCH('Respuestas de formulario 1.1'!EN$1,#REF!,0)))</f>
        <v/>
      </c>
      <c r="EO251" s="56" t="str">
        <f t="array" ref="EO251">IF(DT251="","", INDEX(#REF!,MATCH(CONCATENATE('Respuestas de formulario 1.1'!$B251,DT251),#REF!,0),MATCH('Respuestas de formulario 1.1'!EO$1,#REF!,0)))</f>
        <v/>
      </c>
      <c r="EP251" s="45" t="str">
        <f t="array" ref="EP251">IF(DU251="","", INDEX(#REF!,MATCH(CONCATENATE('Respuestas de formulario 1.1'!$B251,DU251),#REF!,0),MATCH('Respuestas de formulario 1.1'!EP$1,#REF!,0)))</f>
        <v/>
      </c>
      <c r="EQ251" s="45" t="str">
        <f t="array" ref="EQ251">IF(DP251="","", INDEX(#REF!,MATCH(CONCATENATE('Respuestas de formulario 1.1'!$B251,DP251),#REF!,0),MATCH('Respuestas de formulario 1.1'!EQ$1,#REF!,0)))</f>
        <v/>
      </c>
      <c r="ER251" s="56" t="str">
        <f t="array" ref="ER251">IF(DQ251="","", INDEX(#REF!,MATCH(CONCATENATE('Respuestas de formulario 1.1'!$B251,DQ251),#REF!,0),MATCH('Respuestas de formulario 1.1'!ER$1,#REF!,0)))</f>
        <v/>
      </c>
      <c r="ES251" s="56" t="str">
        <f t="array" ref="ES251">IF(DR251="","", INDEX(#REF!,MATCH(CONCATENATE('Respuestas de formulario 1.1'!$B251,DR251),#REF!,0),MATCH('Respuestas de formulario 1.1'!ES$1,#REF!,0)))</f>
        <v/>
      </c>
      <c r="ET251" s="56" t="str">
        <f t="array" ref="ET251">IF(DS251="","", INDEX(#REF!,MATCH(CONCATENATE('Respuestas de formulario 1.1'!$B251,DS251),#REF!,0),MATCH('Respuestas de formulario 1.1'!ET$1,#REF!,0)))</f>
        <v/>
      </c>
      <c r="EU251" s="56" t="str">
        <f t="array" ref="EU251">IF(DT251="","", INDEX(#REF!,MATCH(CONCATENATE('Respuestas de formulario 1.1'!$B251,DT251),#REF!,0),MATCH('Respuestas de formulario 1.1'!EU$1,#REF!,0)))</f>
        <v/>
      </c>
      <c r="EV251" s="56" t="str">
        <f t="array" ref="EV251">IF(DU251="","", INDEX(#REF!,MATCH(CONCATENATE('Respuestas de formulario 1.1'!$B251,DU251),#REF!,0),MATCH('Respuestas de formulario 1.1'!EV$1,#REF!,0)))</f>
        <v/>
      </c>
      <c r="EW251" s="45" t="str">
        <f t="array" ref="EW251">IF(DV251="","", INDEX(#REF!,MATCH(CONCATENATE('Respuestas de formulario 1.1'!$B251,DV251),#REF!,0),MATCH('Respuestas de formulario 1.1'!EW$1,#REF!,0)))</f>
        <v/>
      </c>
      <c r="EX251" s="45" t="str">
        <f t="array" ref="EX251">IF($DQ251="","", INDEX(#REF!,MATCH(CONCATENATE('Respuestas de formulario 1.1'!$B251,$DQ251),#REF!,0),MATCH('Respuestas de formulario 1.1'!EX$1,#REF!,0)))</f>
        <v/>
      </c>
      <c r="EY251" s="56" t="str">
        <f t="array" ref="EY251">IF($DQ251="","", INDEX(#REF!,MATCH(CONCATENATE('Respuestas de formulario 1.1'!$B251,$DQ251),#REF!,0),MATCH('Respuestas de formulario 1.1'!EY$1,#REF!,0)))</f>
        <v/>
      </c>
      <c r="EZ251" s="56" t="str">
        <f t="array" ref="EZ251">IF($DQ251="","", INDEX(#REF!,MATCH(CONCATENATE('Respuestas de formulario 1.1'!$B251,$DQ251),#REF!,0),MATCH('Respuestas de formulario 1.1'!EZ$1,#REF!,0)))</f>
        <v/>
      </c>
      <c r="FA251" s="56" t="str">
        <f t="array" ref="FA251">IF($DQ251="","", INDEX(#REF!,MATCH(CONCATENATE('Respuestas de formulario 1.1'!$B251,$DQ251),#REF!,0),MATCH('Respuestas de formulario 1.1'!FA$1,#REF!,0)))</f>
        <v/>
      </c>
      <c r="FB251" s="56" t="str">
        <f t="array" ref="FB251">IF($DQ251="","", INDEX(#REF!,MATCH(CONCATENATE('Respuestas de formulario 1.1'!$B251,$DQ251),#REF!,0),MATCH('Respuestas de formulario 1.1'!FB$1,#REF!,0)))</f>
        <v/>
      </c>
      <c r="FC251" s="56" t="str">
        <f t="array" ref="FC251">IF($DQ251="","", INDEX(#REF!,MATCH(CONCATENATE('Respuestas de formulario 1.1'!$B251,$DQ251),#REF!,0),MATCH('Respuestas de formulario 1.1'!FC$1,#REF!,0)))</f>
        <v/>
      </c>
      <c r="FD251" s="45" t="str">
        <f t="array" ref="FD251">IF($DQ251="","", INDEX(#REF!,MATCH(CONCATENATE('Respuestas de formulario 1.1'!$B251,$DQ251),#REF!,0),MATCH('Respuestas de formulario 1.1'!FD$1,#REF!,0)))</f>
        <v/>
      </c>
      <c r="FE251" s="45" t="str">
        <f t="array" ref="FE251">IF($DR251="","", INDEX(#REF!,MATCH(CONCATENATE(#REF!,$DR251),#REF!,0),MATCH(#REF!,#REF!,0)))</f>
        <v/>
      </c>
      <c r="FF251" s="56" t="str">
        <f t="array" ref="FF251">IF($DR251="","", INDEX(#REF!,MATCH(CONCATENATE(#REF!,$DR251),#REF!,0),MATCH(#REF!,#REF!,0)))</f>
        <v/>
      </c>
      <c r="FG251" s="56" t="str">
        <f t="array" ref="FG251">IF($DR251="","", INDEX(#REF!,MATCH(CONCATENATE(#REF!,$DR251),#REF!,0),MATCH(#REF!,#REF!,0)))</f>
        <v/>
      </c>
      <c r="FH251" s="56" t="str">
        <f t="array" ref="FH251">IF($DR251="","", INDEX(#REF!,MATCH(CONCATENATE(#REF!,$DR251),#REF!,0),MATCH(#REF!,#REF!,0)))</f>
        <v/>
      </c>
      <c r="FI251" s="56" t="str">
        <f t="array" ref="FI251">IF($DR251="","", INDEX(#REF!,MATCH(CONCATENATE(#REF!,$DR251),#REF!,0),MATCH(#REF!,#REF!,0)))</f>
        <v/>
      </c>
      <c r="FJ251" s="56" t="str">
        <f t="array" ref="FJ251">IF($DR251="","", INDEX(#REF!,MATCH(CONCATENATE(#REF!,$DR251),#REF!,0),MATCH(#REF!,#REF!,0)))</f>
        <v/>
      </c>
      <c r="FK251" s="45" t="str">
        <f t="array" ref="FK251">IF($DR251="","", INDEX(#REF!,MATCH(CONCATENATE(#REF!,$DR251),#REF!,0),MATCH(#REF!,#REF!,0)))</f>
        <v/>
      </c>
      <c r="FL251" s="45" t="str">
        <f t="array" ref="FL251">IF($DT251="","", INDEX(#REF!,MATCH(CONCATENATE('Respuestas de formulario 1.1'!$B251,$DS251),#REF!,0),MATCH('Respuestas de formulario 1.1'!FL$1,#REF!,0)))</f>
        <v/>
      </c>
      <c r="FM251" s="56" t="str">
        <f t="array" ref="FM251">IF($DT251="","", INDEX(#REF!,MATCH(CONCATENATE('Respuestas de formulario 1.1'!$B251,$DS251),#REF!,0),MATCH('Respuestas de formulario 1.1'!FM$1,#REF!,0)))</f>
        <v/>
      </c>
      <c r="FN251" s="56" t="str">
        <f t="array" ref="FN251">IF($DT251="","", INDEX(#REF!,MATCH(CONCATENATE('Respuestas de formulario 1.1'!$B251,$DS251),#REF!,0),MATCH('Respuestas de formulario 1.1'!FN$1,#REF!,0)))</f>
        <v/>
      </c>
      <c r="FO251" s="56" t="str">
        <f t="array" ref="FO251">IF($DT251="","", INDEX(#REF!,MATCH(CONCATENATE('Respuestas de formulario 1.1'!$B251,$DS251),#REF!,0),MATCH('Respuestas de formulario 1.1'!FO$1,#REF!,0)))</f>
        <v/>
      </c>
      <c r="FP251" s="56" t="str">
        <f t="array" ref="FP251">IF($DT251="","", INDEX(#REF!,MATCH(CONCATENATE('Respuestas de formulario 1.1'!$B251,$DS251),#REF!,0),MATCH('Respuestas de formulario 1.1'!FP$1,#REF!,0)))</f>
        <v/>
      </c>
      <c r="FQ251" s="56" t="str">
        <f t="array" ref="FQ251">IF($DT251="","", INDEX(#REF!,MATCH(CONCATENATE('Respuestas de formulario 1.1'!$B251,$DS251),#REF!,0),MATCH('Respuestas de formulario 1.1'!FQ$1,#REF!,0)))</f>
        <v/>
      </c>
      <c r="FR251" s="45" t="str">
        <f t="array" ref="FR251">IF($DT251="","", INDEX(#REF!,MATCH(CONCATENATE('Respuestas de formulario 1.1'!$B251,$DS251),#REF!,0),MATCH('Respuestas de formulario 1.1'!FR$1,#REF!,0)))</f>
        <v/>
      </c>
      <c r="FS251" s="45" t="str">
        <f t="array" ref="FS251">IF($DU251="","", INDEX(#REF!,MATCH(CONCATENATE('Respuestas de formulario 1.1'!$B251,$DT251),#REF!,0),MATCH('Respuestas de formulario 1.1'!FS$1,#REF!,0)))</f>
        <v/>
      </c>
      <c r="FT251" s="56" t="str">
        <f t="array" ref="FT251">IF($DU251="","", INDEX(#REF!,MATCH(CONCATENATE('Respuestas de formulario 1.1'!$B251,$DT251),#REF!,0),MATCH('Respuestas de formulario 1.1'!FT$1,#REF!,0)))</f>
        <v/>
      </c>
      <c r="FU251" s="56" t="str">
        <f t="array" ref="FU251">IF($DU251="","", INDEX(#REF!,MATCH(CONCATENATE('Respuestas de formulario 1.1'!$B251,$DT251),#REF!,0),MATCH('Respuestas de formulario 1.1'!FU$1,#REF!,0)))</f>
        <v/>
      </c>
      <c r="FV251" s="56" t="str">
        <f t="array" ref="FV251">IF($DU251="","", INDEX(#REF!,MATCH(CONCATENATE('Respuestas de formulario 1.1'!$B251,$DT251),#REF!,0),MATCH('Respuestas de formulario 1.1'!FV$1,#REF!,0)))</f>
        <v/>
      </c>
      <c r="FW251" s="56" t="str">
        <f t="array" ref="FW251">IF($DU251="","", INDEX(#REF!,MATCH(CONCATENATE('Respuestas de formulario 1.1'!$B251,$DT251),#REF!,0),MATCH('Respuestas de formulario 1.1'!FW$1,#REF!,0)))</f>
        <v/>
      </c>
      <c r="FX251" s="56" t="str">
        <f t="array" ref="FX251">IF($DU251="","", INDEX(#REF!,MATCH(CONCATENATE('Respuestas de formulario 1.1'!$B251,$DT251),#REF!,0),MATCH('Respuestas de formulario 1.1'!FX$1,#REF!,0)))</f>
        <v/>
      </c>
      <c r="FY251" s="45" t="str">
        <f t="array" ref="FY251">IF($DU251="","", INDEX(#REF!,MATCH(CONCATENATE('Respuestas de formulario 1.1'!$B251,$DT251),#REF!,0),MATCH('Respuestas de formulario 1.1'!FY$1,#REF!,0)))</f>
        <v/>
      </c>
      <c r="FZ251" s="3" t="s">
        <v>2860</v>
      </c>
      <c r="GA251" s="1" t="s">
        <v>7152</v>
      </c>
      <c r="GB251" s="5" t="s">
        <v>7153</v>
      </c>
      <c r="GC251" s="4" t="str">
        <f>HYPERLINK("https://drive.google.com/file/d/1gjnXfkWveR5OGhE647XWZYTFlbiaZycX/view?usp=drivesdk","PEREZ  SOLANO MONTSERRAT GUADALUPE  Formato de reinscripción y pago 2022-2")</f>
        <v>PEREZ  SOLANO MONTSERRAT GUADALUPE  Formato de reinscripción y pago 2022-2</v>
      </c>
      <c r="GD251" s="1" t="s">
        <v>7154</v>
      </c>
      <c r="GE251" s="1"/>
      <c r="GF251" s="1"/>
      <c r="GG251" s="1"/>
      <c r="GH251" s="1"/>
      <c r="GI251" s="1" t="s">
        <v>7155</v>
      </c>
      <c r="GJ251" s="5" t="s">
        <v>7156</v>
      </c>
      <c r="GK251" s="5" t="str">
        <f>HYPERLINK("https://drive.google.com/file/d/1wcsCgVQsZsWudz-EbIDVn3NMr7lfh97H/view?usp=drivesdk","PEREZ  SOLANO MONTSERRAT GUADALUPE  Formato de reinscripción y pago 2022-2")</f>
        <v>PEREZ  SOLANO MONTSERRAT GUADALUPE  Formato de reinscripción y pago 2022-2</v>
      </c>
      <c r="GL251" s="1" t="s">
        <v>7157</v>
      </c>
    </row>
    <row r="252" spans="1:194" ht="38.25" x14ac:dyDescent="0.2">
      <c r="A252" s="2">
        <v>45139.548707488429</v>
      </c>
      <c r="B252" s="1" t="s">
        <v>1264</v>
      </c>
      <c r="C252" s="1" t="s">
        <v>587</v>
      </c>
      <c r="D252" s="1" t="s">
        <v>7158</v>
      </c>
      <c r="E252" s="1" t="s">
        <v>510</v>
      </c>
      <c r="F252" s="1" t="s">
        <v>223</v>
      </c>
      <c r="G252" s="5" t="s">
        <v>7159</v>
      </c>
      <c r="H252" s="41">
        <v>39330</v>
      </c>
      <c r="I252" s="1">
        <v>15</v>
      </c>
      <c r="J252" s="1">
        <v>5620375112</v>
      </c>
      <c r="K252" s="1">
        <v>5558558592</v>
      </c>
      <c r="L252" s="1" t="s">
        <v>1266</v>
      </c>
      <c r="M252" s="1">
        <v>22309060570636</v>
      </c>
      <c r="N252" s="1" t="s">
        <v>562</v>
      </c>
      <c r="O252" s="1" t="s">
        <v>247</v>
      </c>
      <c r="P252" s="1" t="s">
        <v>226</v>
      </c>
      <c r="Q252" s="1" t="s">
        <v>227</v>
      </c>
      <c r="R252" s="1" t="s">
        <v>236</v>
      </c>
      <c r="S252" s="1" t="s">
        <v>228</v>
      </c>
      <c r="T252" s="1" t="s">
        <v>411</v>
      </c>
      <c r="U252" s="1" t="s">
        <v>394</v>
      </c>
      <c r="V252" s="1" t="s">
        <v>228</v>
      </c>
      <c r="W252" s="1" t="s">
        <v>7160</v>
      </c>
      <c r="X252" s="1" t="s">
        <v>394</v>
      </c>
      <c r="Y252" s="1" t="s">
        <v>1272</v>
      </c>
      <c r="Z252" s="1" t="s">
        <v>231</v>
      </c>
      <c r="AA252" s="1">
        <v>56340</v>
      </c>
      <c r="AB252" s="1">
        <v>21</v>
      </c>
      <c r="AC252" s="1">
        <v>163</v>
      </c>
      <c r="AD252" s="1" t="s">
        <v>7161</v>
      </c>
      <c r="AE252" s="1" t="s">
        <v>7162</v>
      </c>
      <c r="AF252" s="1" t="s">
        <v>420</v>
      </c>
      <c r="AG252" s="1">
        <v>35</v>
      </c>
      <c r="AH252" s="5" t="s">
        <v>7163</v>
      </c>
      <c r="AI252" s="1">
        <v>5541012366</v>
      </c>
      <c r="AJ252" s="1">
        <v>5541012366</v>
      </c>
      <c r="AK252" s="1" t="s">
        <v>1271</v>
      </c>
      <c r="AL252" s="1" t="s">
        <v>7158</v>
      </c>
      <c r="AM252" s="1" t="s">
        <v>7164</v>
      </c>
      <c r="AN252" s="1" t="s">
        <v>1267</v>
      </c>
      <c r="AO252" s="1" t="s">
        <v>580</v>
      </c>
      <c r="AP252" s="1">
        <v>33</v>
      </c>
      <c r="AQ252" s="1" t="s">
        <v>1268</v>
      </c>
      <c r="AR252" s="42">
        <v>0.33333333333575865</v>
      </c>
      <c r="AS252" s="42">
        <v>0.33333333333575865</v>
      </c>
      <c r="AT252" s="1">
        <v>5517270955</v>
      </c>
      <c r="AU252" s="1">
        <v>5517270955</v>
      </c>
      <c r="AV252" s="1" t="s">
        <v>1269</v>
      </c>
      <c r="AW252" s="5" t="s">
        <v>7165</v>
      </c>
      <c r="AX252" s="1" t="s">
        <v>587</v>
      </c>
      <c r="AY252" s="1" t="s">
        <v>2754</v>
      </c>
      <c r="AZ252" s="1" t="s">
        <v>1270</v>
      </c>
      <c r="BA252" s="1" t="s">
        <v>291</v>
      </c>
      <c r="BB252" s="1">
        <v>35</v>
      </c>
      <c r="BC252" s="1" t="s">
        <v>743</v>
      </c>
      <c r="BD252" s="43">
        <v>0.33333333333575865</v>
      </c>
      <c r="BE252" s="43">
        <v>0.33333333333575865</v>
      </c>
      <c r="BF252" s="1">
        <v>5541012366</v>
      </c>
      <c r="BG252" s="1">
        <v>5541012366</v>
      </c>
      <c r="BH252" s="1" t="s">
        <v>1271</v>
      </c>
      <c r="BI252" s="5" t="s">
        <v>7166</v>
      </c>
      <c r="BJ252" s="1" t="s">
        <v>236</v>
      </c>
      <c r="BL252" s="1">
        <v>153</v>
      </c>
      <c r="BM252" s="1">
        <v>47</v>
      </c>
      <c r="BN252" s="1" t="s">
        <v>236</v>
      </c>
      <c r="BO252" s="1" t="s">
        <v>228</v>
      </c>
      <c r="BQ252" s="1" t="s">
        <v>228</v>
      </c>
      <c r="BR252" s="1" t="s">
        <v>237</v>
      </c>
      <c r="BS252" s="1" t="s">
        <v>236</v>
      </c>
      <c r="BT252" s="1" t="s">
        <v>271</v>
      </c>
      <c r="BU252" s="1" t="s">
        <v>228</v>
      </c>
      <c r="BW252" s="1" t="s">
        <v>272</v>
      </c>
      <c r="BX252" s="1">
        <v>140</v>
      </c>
      <c r="BY252" s="1">
        <v>350</v>
      </c>
      <c r="BZ252" s="1" t="s">
        <v>284</v>
      </c>
      <c r="CA252" s="1" t="s">
        <v>343</v>
      </c>
      <c r="CB252" s="1" t="s">
        <v>240</v>
      </c>
      <c r="CC252" s="1" t="s">
        <v>274</v>
      </c>
      <c r="CD252" s="1">
        <v>1500</v>
      </c>
      <c r="CE252" s="1">
        <v>1500</v>
      </c>
      <c r="CF252" s="1" t="s">
        <v>236</v>
      </c>
      <c r="CG252" s="1" t="s">
        <v>242</v>
      </c>
      <c r="CH252" s="1" t="s">
        <v>243</v>
      </c>
      <c r="CI252" s="1" t="s">
        <v>243</v>
      </c>
      <c r="CJ252" s="1" t="s">
        <v>2848</v>
      </c>
      <c r="CL252" s="5" t="s">
        <v>7167</v>
      </c>
      <c r="CM252" s="1">
        <v>10210794847</v>
      </c>
      <c r="CN252" s="1" t="s">
        <v>228</v>
      </c>
      <c r="CQ252" s="42">
        <v>0.33333333333575865</v>
      </c>
      <c r="CR252" s="42">
        <v>0.33333333333575865</v>
      </c>
      <c r="CT252" s="45" t="str">
        <f t="array" ref="CT252">IFERROR(INDEX(#REF!,MATCH('Respuestas de formulario 1.1'!$B252,#REF!,0),MATCH('Respuestas de formulario 1.1'!CT$1,#REF!,0)),"")</f>
        <v/>
      </c>
      <c r="CU252" s="56" t="str">
        <f t="array" ref="CU252">IFERROR(INDEX(#REF!,MATCH('Respuestas de formulario 1.1'!$B252,#REF!,0),MATCH('Respuestas de formulario 1.1'!CU$1,#REF!,0)),"")</f>
        <v/>
      </c>
      <c r="CV252" s="56" t="str">
        <f t="array" ref="CV252">IFERROR(INDEX(#REF!,MATCH('Respuestas de formulario 1.1'!$B252,#REF!,0),MATCH('Respuestas de formulario 1.1'!CV$1,#REF!,0)),"")</f>
        <v/>
      </c>
      <c r="CW252" s="56" t="str">
        <f t="array" ref="CW252">IFERROR(INDEX(#REF!,MATCH('Respuestas de formulario 1.1'!$B252,#REF!,0),MATCH('Respuestas de formulario 1.1'!CW$1,#REF!,0)),"")</f>
        <v/>
      </c>
      <c r="CX252" s="56" t="str">
        <f t="array" ref="CX252">IFERROR(INDEX(#REF!,MATCH('Respuestas de formulario 1.1'!$B252,#REF!,0),MATCH('Respuestas de formulario 1.1'!CX$1,#REF!,0)),"")</f>
        <v/>
      </c>
      <c r="CY252" s="56" t="str">
        <f t="array" ref="CY252">IFERROR(INDEX(#REF!,MATCH('Respuestas de formulario 1.1'!$B252,#REF!,0),MATCH('Respuestas de formulario 1.1'!CY$1,#REF!,0)),"")</f>
        <v/>
      </c>
      <c r="CZ252" s="57" t="str">
        <f t="array" ref="CZ252">IFERROR(INDEX(#REF!,MATCH('Respuestas de formulario 1.1'!$B252,#REF!,0),MATCH('Respuestas de formulario 1.1'!CZ$1,#REF!,0)),"")</f>
        <v/>
      </c>
      <c r="DA252" s="45" t="e">
        <f t="array" ref="DA252">INDEX(#REF!,MATCH('Respuestas de formulario 1.1'!$B252,#REF!,0),MATCH('Respuestas de formulario 1.1'!DA$1,#REF!,0))</f>
        <v>#REF!</v>
      </c>
      <c r="DB252" s="45" t="e">
        <f t="array" ref="DB252">INDEX(#REF!,MATCH('Respuestas de formulario 1.1'!$B252,#REF!,0),MATCH('Respuestas de formulario 1.1'!DB$1,#REF!,0))</f>
        <v>#REF!</v>
      </c>
      <c r="DC252" s="45" t="e">
        <f t="array" ref="DC252">INDEX(#REF!,MATCH('Respuestas de formulario 1.1'!$B252,#REF!,0),MATCH('Respuestas de formulario 1.1'!DC$1,#REF!,0))</f>
        <v>#REF!</v>
      </c>
      <c r="DD252" s="45" t="e">
        <f t="array" ref="DD252">INDEX(#REF!,MATCH('Respuestas de formulario 1.1'!$B252,#REF!,0),MATCH('Respuestas de formulario 1.1'!DD$1,#REF!,0))</f>
        <v>#REF!</v>
      </c>
      <c r="DE252" s="45" t="e">
        <f t="array" ref="DE252">INDEX(#REF!,MATCH('Respuestas de formulario 1.1'!$B252,#REF!,0),MATCH('Respuestas de formulario 1.1'!DE$1,#REF!,0))</f>
        <v>#REF!</v>
      </c>
      <c r="DF252" s="45" t="e">
        <f t="array" ref="DF252">INDEX(#REF!,MATCH('Respuestas de formulario 1.1'!$B252,#REF!,0),MATCH('Respuestas de formulario 1.1'!DF$1,#REF!,0))</f>
        <v>#REF!</v>
      </c>
      <c r="DG252" s="45" t="e">
        <f t="array" ref="DG252">INDEX(#REF!,MATCH('Respuestas de formulario 1.1'!$B252,#REF!,0),MATCH('Respuestas de formulario 1.1'!DG$1,#REF!,0))</f>
        <v>#REF!</v>
      </c>
      <c r="DH252" s="45" t="e">
        <f t="array" ref="DH252">INDEX(#REF!,MATCH('Respuestas de formulario 1.1'!$B252,#REF!,0),MATCH('Respuestas de formulario 1.1'!DH$1,#REF!,0))</f>
        <v>#REF!</v>
      </c>
      <c r="DI252" s="48" t="e">
        <f>VLOOKUP(CONCATENATE($DF252," TUTO ",$DC252),#REF!,3,0)</f>
        <v>#REF!</v>
      </c>
      <c r="DJ252" s="48" t="e">
        <f t="array" ref="DJ252">IF('Respuestas de formulario 1.1'!A252="","",INDEX(#REF!,MATCH('Respuestas de formulario 1.1'!B252,#REF!,0),MATCH('Respuestas de formulario 1.1'!$DH$1,#REF!,0)))</f>
        <v>#REF!</v>
      </c>
      <c r="DK252" s="52" t="str">
        <f>CONCATENATE("http://doc.google.com/uc?id=",MID('Respuestas de formulario 1.1'!G252,34,33))</f>
        <v>http://doc.google.com/uc?id=1722bAVnIPrYh-vlYol-OBqdO2TKZp5D0</v>
      </c>
      <c r="DL252" s="49" t="str">
        <f>CONCATENATE("http://doc.google.com/uc?id=",MID('Respuestas de formulario 1.1'!AH252,34,33))</f>
        <v>http://doc.google.com/uc?id=1fY2waU6xoXZWkUULJ-KifMavqkXrt1vE</v>
      </c>
      <c r="DM252" s="50" t="str">
        <f>CONCATENATE("http://doc.google.com/uc?id=",MID('Respuestas de formulario 1.1'!AW252,34,33))</f>
        <v>http://doc.google.com/uc?id=19-CZ-Ew1TWV-YGLY1DdfWMwoJh3YLK0K</v>
      </c>
      <c r="DN252" s="53" t="str">
        <f>CONCATENATE("http://doc.google.com/uc?id=",MID('Respuestas de formulario 1.1'!$BI252,34,33))</f>
        <v>http://doc.google.com/uc?id=1z0qEfATwxBOpdQWoDbSlDhEjJJbRs5rK</v>
      </c>
      <c r="DO252" s="45" t="str">
        <f>IFERROR(VLOOKUP(CONCATENATE('Respuestas de formulario 1.1'!$B252,MID('Respuestas de formulario 1.1'!DO$1,2,1)),#REF!,12,0),"")</f>
        <v/>
      </c>
      <c r="DP252" s="45" t="str">
        <f>IFERROR(VLOOKUP(CONCATENATE('Respuestas de formulario 1.1'!$B252,MID('Respuestas de formulario 1.1'!DP$1,2,1)),#REF!,12,0),"")</f>
        <v/>
      </c>
      <c r="DQ252" s="45" t="str">
        <f>IFERROR(VLOOKUP(CONCATENATE('Respuestas de formulario 1.1'!$B252,MID('Respuestas de formulario 1.1'!DQ$1,2,1)),#REF!,12,0),"")</f>
        <v/>
      </c>
      <c r="DR252" s="45" t="str">
        <f>IFERROR(VLOOKUP(CONCATENATE('Respuestas de formulario 1.1'!$B252,MID('Respuestas de formulario 1.1'!DR$1,2,1)),#REF!,12,0),"")</f>
        <v/>
      </c>
      <c r="DS252" s="45" t="str">
        <f>IFERROR(VLOOKUP(CONCATENATE('Respuestas de formulario 1.1'!$B252,MID('Respuestas de formulario 1.1'!DS$1,2,1)),#REF!,12,0),"")</f>
        <v/>
      </c>
      <c r="DT252" s="45" t="str">
        <f>IFERROR(VLOOKUP(CONCATENATE('Respuestas de formulario 1.1'!$B252,MID('Respuestas de formulario 1.1'!DT$1,2,1)),#REF!,12,0),"")</f>
        <v/>
      </c>
      <c r="DU252" s="45" t="str">
        <f>IFERROR(VLOOKUP(CONCATENATE('Respuestas de formulario 1.1'!$B252,MID('Respuestas de formulario 1.1'!DU$1,2,1)),#REF!,12,0),"")</f>
        <v/>
      </c>
      <c r="DV252" s="45" t="str">
        <f>IFERROR(VLOOKUP(CONCATENATE('Respuestas de formulario 1.1'!$B252,MID('Respuestas de formulario 1.1'!DV$1,2,1)),#REF!,12,0),"")</f>
        <v/>
      </c>
      <c r="DW252" s="45" t="str">
        <f>IFERROR(VLOOKUP(CONCATENATE('Respuestas de formulario 1.1'!$B252,MID('Respuestas de formulario 1.1'!DW$1,2,1)),#REF!,12,0),"")</f>
        <v/>
      </c>
      <c r="DX252" s="45" t="str">
        <f>IFERROR(VLOOKUP(CONCATENATE('Respuestas de formulario 1.1'!$B252,MID('Respuestas de formulario 1.1'!DX$1,2,1)),#REF!,12,0),"")</f>
        <v/>
      </c>
      <c r="DY252" s="45" t="str">
        <f>IFERROR(VLOOKUP(CONCATENATE('Respuestas de formulario 1.1'!$B252,MID('Respuestas de formulario 1.1'!DY$1,2,1)),#REF!,12,0),"")</f>
        <v/>
      </c>
      <c r="DZ252" s="45" t="str">
        <f>IFERROR(VLOOKUP(CONCATENATE('Respuestas de formulario 1.1'!$B252,MID('Respuestas de formulario 1.1'!DZ$1,2,1)),#REF!,12,0),"")</f>
        <v/>
      </c>
      <c r="EA252" s="45" t="str">
        <f>IFERROR(VLOOKUP(CONCATENATE('Respuestas de formulario 1.1'!$B252,MID('Respuestas de formulario 1.1'!EA$1,2,1)),#REF!,12,0),"")</f>
        <v/>
      </c>
      <c r="EB252" s="45" t="str">
        <f>IFERROR(VLOOKUP(CONCATENATE('Respuestas de formulario 1.1'!$B252,MID('Respuestas de formulario 1.1'!EB$1,2,1)),#REF!,12,0),"")</f>
        <v/>
      </c>
      <c r="EC252" s="45" t="str">
        <f>IFERROR(VLOOKUP(CONCATENATE('Respuestas de formulario 1.1'!$B252,MID('Respuestas de formulario 1.1'!EC$1,2,1)),#REF!,12,0),"")</f>
        <v/>
      </c>
      <c r="ED252" s="45" t="str">
        <f>IFERROR(VLOOKUP(CONCATENATE('Respuestas de formulario 1.1'!$B252,MID('Respuestas de formulario 1.1'!ED$1,2,1)),#REF!,12,0),"")</f>
        <v/>
      </c>
      <c r="EE252" s="45" t="str">
        <f>IFERROR(VLOOKUP(CONCATENATE('Respuestas de formulario 1.1'!$B252,MID('Respuestas de formulario 1.1'!EE$1,2,1)),#REF!,12,0),"")</f>
        <v/>
      </c>
      <c r="EF252" s="45" t="str">
        <f>IFERROR(VLOOKUP(CONCATENATE('Respuestas de formulario 1.1'!$B252,MID('Respuestas de formulario 1.1'!EF$1,2,1)),#REF!,12,0),"")</f>
        <v/>
      </c>
      <c r="EG252" s="45" t="str">
        <f>IFERROR(VLOOKUP(CONCATENATE('Respuestas de formulario 1.1'!$B252,MID('Respuestas de formulario 1.1'!EG$1,2,1)),#REF!,12,0),"")</f>
        <v/>
      </c>
      <c r="EH252" s="45" t="str">
        <f>IFERROR(VLOOKUP(CONCATENATE('Respuestas de formulario 1.1'!$B252,MID('Respuestas de formulario 1.1'!EH$1,2,1)),#REF!,12,0),"")</f>
        <v/>
      </c>
      <c r="EI252" s="45" t="str">
        <f>IFERROR(VLOOKUP(CONCATENATE('Respuestas de formulario 1.1'!$B252,MID('Respuestas de formulario 1.1'!EI$1,2,1)),#REF!,12,0),"")</f>
        <v/>
      </c>
      <c r="EJ252" s="45" t="str">
        <f t="array" ref="EJ252">IF(DO252="","", INDEX(#REF!,MATCH(CONCATENATE('Respuestas de formulario 1.1'!$B252,DO252),#REF!,0),MATCH('Respuestas de formulario 1.1'!EJ$1,#REF!,0)))</f>
        <v/>
      </c>
      <c r="EK252" s="56" t="str">
        <f t="array" ref="EK252">IF(DP252="","", INDEX(#REF!,MATCH(CONCATENATE('Respuestas de formulario 1.1'!$B252,DP252),#REF!,0),MATCH('Respuestas de formulario 1.1'!EK$1,#REF!,0)))</f>
        <v/>
      </c>
      <c r="EL252" s="56" t="str">
        <f t="array" ref="EL252">IF(DQ252="","", INDEX(#REF!,MATCH(CONCATENATE('Respuestas de formulario 1.1'!$B252,DQ252),#REF!,0),MATCH('Respuestas de formulario 1.1'!EL$1,#REF!,0)))</f>
        <v/>
      </c>
      <c r="EM252" s="56" t="str">
        <f t="array" ref="EM252">IF(DR252="","", INDEX(#REF!,MATCH(CONCATENATE('Respuestas de formulario 1.1'!$B252,DR252),#REF!,0),MATCH('Respuestas de formulario 1.1'!EM$1,#REF!,0)))</f>
        <v/>
      </c>
      <c r="EN252" s="56" t="str">
        <f t="array" ref="EN252">IF(DS252="","", INDEX(#REF!,MATCH(CONCATENATE('Respuestas de formulario 1.1'!$B252,DS252),#REF!,0),MATCH('Respuestas de formulario 1.1'!EN$1,#REF!,0)))</f>
        <v/>
      </c>
      <c r="EO252" s="56" t="str">
        <f t="array" ref="EO252">IF(DT252="","", INDEX(#REF!,MATCH(CONCATENATE('Respuestas de formulario 1.1'!$B252,DT252),#REF!,0),MATCH('Respuestas de formulario 1.1'!EO$1,#REF!,0)))</f>
        <v/>
      </c>
      <c r="EP252" s="45" t="str">
        <f t="array" ref="EP252">IF(DU252="","", INDEX(#REF!,MATCH(CONCATENATE('Respuestas de formulario 1.1'!$B252,DU252),#REF!,0),MATCH('Respuestas de formulario 1.1'!EP$1,#REF!,0)))</f>
        <v/>
      </c>
      <c r="EQ252" s="45" t="str">
        <f t="array" ref="EQ252">IF(DP252="","", INDEX(#REF!,MATCH(CONCATENATE('Respuestas de formulario 1.1'!$B252,DP252),#REF!,0),MATCH('Respuestas de formulario 1.1'!EQ$1,#REF!,0)))</f>
        <v/>
      </c>
      <c r="ER252" s="56" t="str">
        <f t="array" ref="ER252">IF(DQ252="","", INDEX(#REF!,MATCH(CONCATENATE('Respuestas de formulario 1.1'!$B252,DQ252),#REF!,0),MATCH('Respuestas de formulario 1.1'!ER$1,#REF!,0)))</f>
        <v/>
      </c>
      <c r="ES252" s="56" t="str">
        <f t="array" ref="ES252">IF(DR252="","", INDEX(#REF!,MATCH(CONCATENATE('Respuestas de formulario 1.1'!$B252,DR252),#REF!,0),MATCH('Respuestas de formulario 1.1'!ES$1,#REF!,0)))</f>
        <v/>
      </c>
      <c r="ET252" s="56" t="str">
        <f t="array" ref="ET252">IF(DS252="","", INDEX(#REF!,MATCH(CONCATENATE('Respuestas de formulario 1.1'!$B252,DS252),#REF!,0),MATCH('Respuestas de formulario 1.1'!ET$1,#REF!,0)))</f>
        <v/>
      </c>
      <c r="EU252" s="56" t="str">
        <f t="array" ref="EU252">IF(DT252="","", INDEX(#REF!,MATCH(CONCATENATE('Respuestas de formulario 1.1'!$B252,DT252),#REF!,0),MATCH('Respuestas de formulario 1.1'!EU$1,#REF!,0)))</f>
        <v/>
      </c>
      <c r="EV252" s="56" t="str">
        <f t="array" ref="EV252">IF(DU252="","", INDEX(#REF!,MATCH(CONCATENATE('Respuestas de formulario 1.1'!$B252,DU252),#REF!,0),MATCH('Respuestas de formulario 1.1'!EV$1,#REF!,0)))</f>
        <v/>
      </c>
      <c r="EW252" s="45" t="str">
        <f t="array" ref="EW252">IF(DV252="","", INDEX(#REF!,MATCH(CONCATENATE('Respuestas de formulario 1.1'!$B252,DV252),#REF!,0),MATCH('Respuestas de formulario 1.1'!EW$1,#REF!,0)))</f>
        <v/>
      </c>
      <c r="EX252" s="45" t="str">
        <f t="array" ref="EX252">IF($DQ252="","", INDEX(#REF!,MATCH(CONCATENATE('Respuestas de formulario 1.1'!$B252,$DQ252),#REF!,0),MATCH('Respuestas de formulario 1.1'!EX$1,#REF!,0)))</f>
        <v/>
      </c>
      <c r="EY252" s="56" t="str">
        <f t="array" ref="EY252">IF($DQ252="","", INDEX(#REF!,MATCH(CONCATENATE('Respuestas de formulario 1.1'!$B252,$DQ252),#REF!,0),MATCH('Respuestas de formulario 1.1'!EY$1,#REF!,0)))</f>
        <v/>
      </c>
      <c r="EZ252" s="56" t="str">
        <f t="array" ref="EZ252">IF($DQ252="","", INDEX(#REF!,MATCH(CONCATENATE('Respuestas de formulario 1.1'!$B252,$DQ252),#REF!,0),MATCH('Respuestas de formulario 1.1'!EZ$1,#REF!,0)))</f>
        <v/>
      </c>
      <c r="FA252" s="56" t="str">
        <f t="array" ref="FA252">IF($DQ252="","", INDEX(#REF!,MATCH(CONCATENATE('Respuestas de formulario 1.1'!$B252,$DQ252),#REF!,0),MATCH('Respuestas de formulario 1.1'!FA$1,#REF!,0)))</f>
        <v/>
      </c>
      <c r="FB252" s="56" t="str">
        <f t="array" ref="FB252">IF($DQ252="","", INDEX(#REF!,MATCH(CONCATENATE('Respuestas de formulario 1.1'!$B252,$DQ252),#REF!,0),MATCH('Respuestas de formulario 1.1'!FB$1,#REF!,0)))</f>
        <v/>
      </c>
      <c r="FC252" s="56" t="str">
        <f t="array" ref="FC252">IF($DQ252="","", INDEX(#REF!,MATCH(CONCATENATE('Respuestas de formulario 1.1'!$B252,$DQ252),#REF!,0),MATCH('Respuestas de formulario 1.1'!FC$1,#REF!,0)))</f>
        <v/>
      </c>
      <c r="FD252" s="45" t="str">
        <f t="array" ref="FD252">IF($DQ252="","", INDEX(#REF!,MATCH(CONCATENATE('Respuestas de formulario 1.1'!$B252,$DQ252),#REF!,0),MATCH('Respuestas de formulario 1.1'!FD$1,#REF!,0)))</f>
        <v/>
      </c>
      <c r="FE252" s="45" t="str">
        <f t="array" ref="FE252">IF($DR252="","", INDEX(#REF!,MATCH(CONCATENATE(#REF!,$DR252),#REF!,0),MATCH(#REF!,#REF!,0)))</f>
        <v/>
      </c>
      <c r="FF252" s="56" t="str">
        <f t="array" ref="FF252">IF($DR252="","", INDEX(#REF!,MATCH(CONCATENATE(#REF!,$DR252),#REF!,0),MATCH(#REF!,#REF!,0)))</f>
        <v/>
      </c>
      <c r="FG252" s="56" t="str">
        <f t="array" ref="FG252">IF($DR252="","", INDEX(#REF!,MATCH(CONCATENATE(#REF!,$DR252),#REF!,0),MATCH(#REF!,#REF!,0)))</f>
        <v/>
      </c>
      <c r="FH252" s="56" t="str">
        <f t="array" ref="FH252">IF($DR252="","", INDEX(#REF!,MATCH(CONCATENATE(#REF!,$DR252),#REF!,0),MATCH(#REF!,#REF!,0)))</f>
        <v/>
      </c>
      <c r="FI252" s="56" t="str">
        <f t="array" ref="FI252">IF($DR252="","", INDEX(#REF!,MATCH(CONCATENATE(#REF!,$DR252),#REF!,0),MATCH(#REF!,#REF!,0)))</f>
        <v/>
      </c>
      <c r="FJ252" s="56" t="str">
        <f t="array" ref="FJ252">IF($DR252="","", INDEX(#REF!,MATCH(CONCATENATE(#REF!,$DR252),#REF!,0),MATCH(#REF!,#REF!,0)))</f>
        <v/>
      </c>
      <c r="FK252" s="45" t="str">
        <f t="array" ref="FK252">IF($DR252="","", INDEX(#REF!,MATCH(CONCATENATE(#REF!,$DR252),#REF!,0),MATCH(#REF!,#REF!,0)))</f>
        <v/>
      </c>
      <c r="FL252" s="45" t="str">
        <f t="array" ref="FL252">IF($DT252="","", INDEX(#REF!,MATCH(CONCATENATE('Respuestas de formulario 1.1'!$B252,$DS252),#REF!,0),MATCH('Respuestas de formulario 1.1'!FL$1,#REF!,0)))</f>
        <v/>
      </c>
      <c r="FM252" s="56" t="str">
        <f t="array" ref="FM252">IF($DT252="","", INDEX(#REF!,MATCH(CONCATENATE('Respuestas de formulario 1.1'!$B252,$DS252),#REF!,0),MATCH('Respuestas de formulario 1.1'!FM$1,#REF!,0)))</f>
        <v/>
      </c>
      <c r="FN252" s="56" t="str">
        <f t="array" ref="FN252">IF($DT252="","", INDEX(#REF!,MATCH(CONCATENATE('Respuestas de formulario 1.1'!$B252,$DS252),#REF!,0),MATCH('Respuestas de formulario 1.1'!FN$1,#REF!,0)))</f>
        <v/>
      </c>
      <c r="FO252" s="56" t="str">
        <f t="array" ref="FO252">IF($DT252="","", INDEX(#REF!,MATCH(CONCATENATE('Respuestas de formulario 1.1'!$B252,$DS252),#REF!,0),MATCH('Respuestas de formulario 1.1'!FO$1,#REF!,0)))</f>
        <v/>
      </c>
      <c r="FP252" s="56" t="str">
        <f t="array" ref="FP252">IF($DT252="","", INDEX(#REF!,MATCH(CONCATENATE('Respuestas de formulario 1.1'!$B252,$DS252),#REF!,0),MATCH('Respuestas de formulario 1.1'!FP$1,#REF!,0)))</f>
        <v/>
      </c>
      <c r="FQ252" s="56" t="str">
        <f t="array" ref="FQ252">IF($DT252="","", INDEX(#REF!,MATCH(CONCATENATE('Respuestas de formulario 1.1'!$B252,$DS252),#REF!,0),MATCH('Respuestas de formulario 1.1'!FQ$1,#REF!,0)))</f>
        <v/>
      </c>
      <c r="FR252" s="45" t="str">
        <f t="array" ref="FR252">IF($DT252="","", INDEX(#REF!,MATCH(CONCATENATE('Respuestas de formulario 1.1'!$B252,$DS252),#REF!,0),MATCH('Respuestas de formulario 1.1'!FR$1,#REF!,0)))</f>
        <v/>
      </c>
      <c r="FS252" s="45" t="str">
        <f t="array" ref="FS252">IF($DU252="","", INDEX(#REF!,MATCH(CONCATENATE('Respuestas de formulario 1.1'!$B252,$DT252),#REF!,0),MATCH('Respuestas de formulario 1.1'!FS$1,#REF!,0)))</f>
        <v/>
      </c>
      <c r="FT252" s="56" t="str">
        <f t="array" ref="FT252">IF($DU252="","", INDEX(#REF!,MATCH(CONCATENATE('Respuestas de formulario 1.1'!$B252,$DT252),#REF!,0),MATCH('Respuestas de formulario 1.1'!FT$1,#REF!,0)))</f>
        <v/>
      </c>
      <c r="FU252" s="56" t="str">
        <f t="array" ref="FU252">IF($DU252="","", INDEX(#REF!,MATCH(CONCATENATE('Respuestas de formulario 1.1'!$B252,$DT252),#REF!,0),MATCH('Respuestas de formulario 1.1'!FU$1,#REF!,0)))</f>
        <v/>
      </c>
      <c r="FV252" s="56" t="str">
        <f t="array" ref="FV252">IF($DU252="","", INDEX(#REF!,MATCH(CONCATENATE('Respuestas de formulario 1.1'!$B252,$DT252),#REF!,0),MATCH('Respuestas de formulario 1.1'!FV$1,#REF!,0)))</f>
        <v/>
      </c>
      <c r="FW252" s="56" t="str">
        <f t="array" ref="FW252">IF($DU252="","", INDEX(#REF!,MATCH(CONCATENATE('Respuestas de formulario 1.1'!$B252,$DT252),#REF!,0),MATCH('Respuestas de formulario 1.1'!FW$1,#REF!,0)))</f>
        <v/>
      </c>
      <c r="FX252" s="56" t="str">
        <f t="array" ref="FX252">IF($DU252="","", INDEX(#REF!,MATCH(CONCATENATE('Respuestas de formulario 1.1'!$B252,$DT252),#REF!,0),MATCH('Respuestas de formulario 1.1'!FX$1,#REF!,0)))</f>
        <v/>
      </c>
      <c r="FY252" s="45" t="str">
        <f t="array" ref="FY252">IF($DU252="","", INDEX(#REF!,MATCH(CONCATENATE('Respuestas de formulario 1.1'!$B252,$DT252),#REF!,0),MATCH('Respuestas de formulario 1.1'!FY$1,#REF!,0)))</f>
        <v/>
      </c>
      <c r="FZ252" s="3" t="s">
        <v>2860</v>
      </c>
      <c r="GA252" s="1" t="s">
        <v>7168</v>
      </c>
      <c r="GB252" s="5" t="s">
        <v>7169</v>
      </c>
      <c r="GC252" s="4" t="str">
        <f>HYPERLINK("https://drive.google.com/file/d/10k0993OvLPCDRgTpbzFKpVIjpX5cBvh_/view?usp=drivesdk","SANCHEZ  DELGADO  MELANIE  Formato de reinscripción y pago 2022-2")</f>
        <v>SANCHEZ  DELGADO  MELANIE  Formato de reinscripción y pago 2022-2</v>
      </c>
      <c r="GD252" s="1" t="s">
        <v>7170</v>
      </c>
      <c r="GE252" s="1"/>
      <c r="GF252" s="1"/>
      <c r="GG252" s="1"/>
      <c r="GH252" s="1"/>
      <c r="GI252" s="1" t="s">
        <v>7171</v>
      </c>
      <c r="GJ252" s="5" t="s">
        <v>7172</v>
      </c>
      <c r="GK252" s="5" t="str">
        <f>HYPERLINK("https://drive.google.com/file/d/1PqZILYcr0uhB21isN0PblC-Yh2kH4_Zy/view?usp=drivesdk","SANCHEZ  DELGADO  MELANIE  Formato de reinscripción y pago 2022-2")</f>
        <v>SANCHEZ  DELGADO  MELANIE  Formato de reinscripción y pago 2022-2</v>
      </c>
      <c r="GL252" s="1" t="s">
        <v>7173</v>
      </c>
    </row>
    <row r="253" spans="1:194" ht="38.25" x14ac:dyDescent="0.2">
      <c r="A253" s="2">
        <v>45139.550583749995</v>
      </c>
      <c r="B253" s="1" t="s">
        <v>1704</v>
      </c>
      <c r="C253" s="1" t="s">
        <v>286</v>
      </c>
      <c r="D253" s="1" t="s">
        <v>409</v>
      </c>
      <c r="E253" s="1" t="s">
        <v>7174</v>
      </c>
      <c r="F253" s="1" t="s">
        <v>223</v>
      </c>
      <c r="G253" s="5" t="s">
        <v>7175</v>
      </c>
      <c r="H253" s="41">
        <v>39155</v>
      </c>
      <c r="I253" s="1">
        <v>16</v>
      </c>
      <c r="J253" s="1">
        <v>5536736164</v>
      </c>
      <c r="K253" s="1">
        <v>5541985433</v>
      </c>
      <c r="L253" s="1" t="s">
        <v>1705</v>
      </c>
      <c r="M253" s="1">
        <v>22309060570629</v>
      </c>
      <c r="N253" s="1" t="s">
        <v>562</v>
      </c>
      <c r="O253" s="1" t="s">
        <v>247</v>
      </c>
      <c r="P253" s="1" t="s">
        <v>278</v>
      </c>
      <c r="Q253" s="1" t="s">
        <v>227</v>
      </c>
      <c r="R253" s="1" t="s">
        <v>236</v>
      </c>
      <c r="S253" s="1" t="s">
        <v>228</v>
      </c>
      <c r="T253" s="1" t="s">
        <v>229</v>
      </c>
      <c r="U253" s="1" t="s">
        <v>249</v>
      </c>
      <c r="V253" s="1" t="s">
        <v>228</v>
      </c>
      <c r="W253" s="1" t="s">
        <v>7176</v>
      </c>
      <c r="X253" s="1" t="s">
        <v>264</v>
      </c>
      <c r="Y253" s="1" t="s">
        <v>690</v>
      </c>
      <c r="Z253" s="1" t="s">
        <v>231</v>
      </c>
      <c r="AA253" s="1">
        <v>57840</v>
      </c>
      <c r="AB253" s="1">
        <v>274</v>
      </c>
      <c r="AC253" s="1" t="s">
        <v>383</v>
      </c>
      <c r="AD253" s="1" t="s">
        <v>7177</v>
      </c>
      <c r="AE253" s="1" t="s">
        <v>7178</v>
      </c>
      <c r="AF253" s="1" t="s">
        <v>461</v>
      </c>
      <c r="AG253" s="1">
        <v>38</v>
      </c>
      <c r="AH253" s="5" t="s">
        <v>7179</v>
      </c>
      <c r="AI253" s="1">
        <v>5522644392</v>
      </c>
      <c r="AJ253" s="1">
        <v>5541985433</v>
      </c>
      <c r="AK253" s="1" t="s">
        <v>7180</v>
      </c>
      <c r="AL253" s="1" t="s">
        <v>911</v>
      </c>
      <c r="AM253" s="1" t="s">
        <v>304</v>
      </c>
      <c r="AN253" s="1" t="s">
        <v>2548</v>
      </c>
      <c r="AO253" s="1" t="s">
        <v>359</v>
      </c>
      <c r="AP253" s="1">
        <v>60</v>
      </c>
      <c r="AQ253" s="1" t="s">
        <v>7181</v>
      </c>
      <c r="AR253" s="42">
        <v>0</v>
      </c>
      <c r="AS253" s="42">
        <v>0</v>
      </c>
      <c r="AT253" s="1">
        <v>5547275282</v>
      </c>
      <c r="AU253" s="1">
        <v>5541985433</v>
      </c>
      <c r="AV253" s="1" t="s">
        <v>7182</v>
      </c>
      <c r="AW253" s="5" t="s">
        <v>7183</v>
      </c>
      <c r="AX253" s="1" t="s">
        <v>333</v>
      </c>
      <c r="AY253" s="1" t="s">
        <v>409</v>
      </c>
      <c r="AZ253" s="1" t="s">
        <v>7184</v>
      </c>
      <c r="BA253" s="1" t="s">
        <v>758</v>
      </c>
      <c r="BB253" s="1">
        <v>21</v>
      </c>
      <c r="BC253" s="1" t="s">
        <v>7181</v>
      </c>
      <c r="BD253" s="43">
        <v>0</v>
      </c>
      <c r="BE253" s="43">
        <v>0</v>
      </c>
      <c r="BF253" s="1">
        <v>5534421881</v>
      </c>
      <c r="BG253" s="1">
        <v>5541985433</v>
      </c>
      <c r="BH253" s="1" t="s">
        <v>7185</v>
      </c>
      <c r="BI253" s="5" t="s">
        <v>7186</v>
      </c>
      <c r="BJ253" s="1" t="s">
        <v>236</v>
      </c>
      <c r="BL253" s="1">
        <v>158</v>
      </c>
      <c r="BM253" s="1">
        <v>55</v>
      </c>
      <c r="BN253" s="1" t="s">
        <v>236</v>
      </c>
      <c r="BO253" s="1" t="s">
        <v>228</v>
      </c>
      <c r="BQ253" s="1" t="s">
        <v>228</v>
      </c>
      <c r="BR253" s="1" t="s">
        <v>237</v>
      </c>
      <c r="BS253" s="1" t="s">
        <v>228</v>
      </c>
      <c r="BT253" s="1" t="s">
        <v>237</v>
      </c>
      <c r="BU253" s="1" t="s">
        <v>228</v>
      </c>
      <c r="BW253" s="1" t="s">
        <v>272</v>
      </c>
      <c r="BX253" s="1">
        <v>50</v>
      </c>
      <c r="BY253" s="1">
        <v>250</v>
      </c>
      <c r="BZ253" s="1" t="s">
        <v>450</v>
      </c>
      <c r="CA253" s="1" t="s">
        <v>237</v>
      </c>
      <c r="CB253" s="1" t="s">
        <v>240</v>
      </c>
      <c r="CC253" s="1" t="s">
        <v>1338</v>
      </c>
      <c r="CD253" s="1">
        <v>2500</v>
      </c>
      <c r="CE253" s="1">
        <v>3000</v>
      </c>
      <c r="CF253" s="1" t="s">
        <v>236</v>
      </c>
      <c r="CG253" s="1" t="s">
        <v>242</v>
      </c>
      <c r="CH253" s="1" t="s">
        <v>243</v>
      </c>
      <c r="CI253" s="1" t="s">
        <v>243</v>
      </c>
      <c r="CJ253" s="1" t="s">
        <v>2848</v>
      </c>
      <c r="CL253" s="5" t="s">
        <v>7187</v>
      </c>
      <c r="CM253" s="1">
        <v>1522078463</v>
      </c>
      <c r="CN253" s="1" t="s">
        <v>228</v>
      </c>
      <c r="CQ253" s="42">
        <v>0.375</v>
      </c>
      <c r="CR253" s="42">
        <v>0.75</v>
      </c>
      <c r="CT253" s="45" t="str">
        <f t="array" ref="CT253">IFERROR(INDEX(#REF!,MATCH('Respuestas de formulario 1.1'!$B253,#REF!,0),MATCH('Respuestas de formulario 1.1'!CT$1,#REF!,0)),"")</f>
        <v/>
      </c>
      <c r="CU253" s="56" t="str">
        <f t="array" ref="CU253">IFERROR(INDEX(#REF!,MATCH('Respuestas de formulario 1.1'!$B253,#REF!,0),MATCH('Respuestas de formulario 1.1'!CU$1,#REF!,0)),"")</f>
        <v/>
      </c>
      <c r="CV253" s="56" t="str">
        <f t="array" ref="CV253">IFERROR(INDEX(#REF!,MATCH('Respuestas de formulario 1.1'!$B253,#REF!,0),MATCH('Respuestas de formulario 1.1'!CV$1,#REF!,0)),"")</f>
        <v/>
      </c>
      <c r="CW253" s="56" t="str">
        <f t="array" ref="CW253">IFERROR(INDEX(#REF!,MATCH('Respuestas de formulario 1.1'!$B253,#REF!,0),MATCH('Respuestas de formulario 1.1'!CW$1,#REF!,0)),"")</f>
        <v/>
      </c>
      <c r="CX253" s="56" t="str">
        <f t="array" ref="CX253">IFERROR(INDEX(#REF!,MATCH('Respuestas de formulario 1.1'!$B253,#REF!,0),MATCH('Respuestas de formulario 1.1'!CX$1,#REF!,0)),"")</f>
        <v/>
      </c>
      <c r="CY253" s="56" t="str">
        <f t="array" ref="CY253">IFERROR(INDEX(#REF!,MATCH('Respuestas de formulario 1.1'!$B253,#REF!,0),MATCH('Respuestas de formulario 1.1'!CY$1,#REF!,0)),"")</f>
        <v/>
      </c>
      <c r="CZ253" s="57" t="str">
        <f t="array" ref="CZ253">IFERROR(INDEX(#REF!,MATCH('Respuestas de formulario 1.1'!$B253,#REF!,0),MATCH('Respuestas de formulario 1.1'!CZ$1,#REF!,0)),"")</f>
        <v/>
      </c>
      <c r="DA253" s="45" t="e">
        <f t="array" ref="DA253">INDEX(#REF!,MATCH('Respuestas de formulario 1.1'!$B253,#REF!,0),MATCH('Respuestas de formulario 1.1'!DA$1,#REF!,0))</f>
        <v>#REF!</v>
      </c>
      <c r="DB253" s="45" t="e">
        <f t="array" ref="DB253">INDEX(#REF!,MATCH('Respuestas de formulario 1.1'!$B253,#REF!,0),MATCH('Respuestas de formulario 1.1'!DB$1,#REF!,0))</f>
        <v>#REF!</v>
      </c>
      <c r="DC253" s="45" t="e">
        <f t="array" ref="DC253">INDEX(#REF!,MATCH('Respuestas de formulario 1.1'!$B253,#REF!,0),MATCH('Respuestas de formulario 1.1'!DC$1,#REF!,0))</f>
        <v>#REF!</v>
      </c>
      <c r="DD253" s="45" t="e">
        <f t="array" ref="DD253">INDEX(#REF!,MATCH('Respuestas de formulario 1.1'!$B253,#REF!,0),MATCH('Respuestas de formulario 1.1'!DD$1,#REF!,0))</f>
        <v>#REF!</v>
      </c>
      <c r="DE253" s="45" t="e">
        <f t="array" ref="DE253">INDEX(#REF!,MATCH('Respuestas de formulario 1.1'!$B253,#REF!,0),MATCH('Respuestas de formulario 1.1'!DE$1,#REF!,0))</f>
        <v>#REF!</v>
      </c>
      <c r="DF253" s="45" t="e">
        <f t="array" ref="DF253">INDEX(#REF!,MATCH('Respuestas de formulario 1.1'!$B253,#REF!,0),MATCH('Respuestas de formulario 1.1'!DF$1,#REF!,0))</f>
        <v>#REF!</v>
      </c>
      <c r="DG253" s="45" t="e">
        <f t="array" ref="DG253">INDEX(#REF!,MATCH('Respuestas de formulario 1.1'!$B253,#REF!,0),MATCH('Respuestas de formulario 1.1'!DG$1,#REF!,0))</f>
        <v>#REF!</v>
      </c>
      <c r="DH253" s="45" t="e">
        <f t="array" ref="DH253">INDEX(#REF!,MATCH('Respuestas de formulario 1.1'!$B253,#REF!,0),MATCH('Respuestas de formulario 1.1'!DH$1,#REF!,0))</f>
        <v>#REF!</v>
      </c>
      <c r="DI253" s="48" t="e">
        <f>VLOOKUP(CONCATENATE($DF253," TUTO ",$DC253),#REF!,3,0)</f>
        <v>#REF!</v>
      </c>
      <c r="DJ253" s="48" t="e">
        <f t="array" ref="DJ253">IF('Respuestas de formulario 1.1'!A253="","",INDEX(#REF!,MATCH('Respuestas de formulario 1.1'!B253,#REF!,0),MATCH('Respuestas de formulario 1.1'!$DH$1,#REF!,0)))</f>
        <v>#REF!</v>
      </c>
      <c r="DK253" s="52" t="str">
        <f>CONCATENATE("http://doc.google.com/uc?id=",MID('Respuestas de formulario 1.1'!G253,34,33))</f>
        <v>http://doc.google.com/uc?id=1Ck0eDFHzRAAX8kzwnzjSjZ5AGK-XXAFW</v>
      </c>
      <c r="DL253" s="49" t="str">
        <f>CONCATENATE("http://doc.google.com/uc?id=",MID('Respuestas de formulario 1.1'!AH253,34,33))</f>
        <v>http://doc.google.com/uc?id=1YQOg-prjSZV82Rmxbd1XfjCueWDzX9tu</v>
      </c>
      <c r="DM253" s="50" t="str">
        <f>CONCATENATE("http://doc.google.com/uc?id=",MID('Respuestas de formulario 1.1'!AW253,34,33))</f>
        <v>http://doc.google.com/uc?id=1T0SB9dZ60jPpjrDa6lLeKrnV-eT_9ciT</v>
      </c>
      <c r="DN253" s="53" t="str">
        <f>CONCATENATE("http://doc.google.com/uc?id=",MID('Respuestas de formulario 1.1'!$BI253,34,33))</f>
        <v>http://doc.google.com/uc?id=1m94G3co8ceimLq2uQXm0ZMyyPf0TAI3K</v>
      </c>
      <c r="DO253" s="45" t="str">
        <f>IFERROR(VLOOKUP(CONCATENATE('Respuestas de formulario 1.1'!$B253,MID('Respuestas de formulario 1.1'!DO$1,2,1)),#REF!,12,0),"")</f>
        <v/>
      </c>
      <c r="DP253" s="45" t="str">
        <f>IFERROR(VLOOKUP(CONCATENATE('Respuestas de formulario 1.1'!$B253,MID('Respuestas de formulario 1.1'!DP$1,2,1)),#REF!,12,0),"")</f>
        <v/>
      </c>
      <c r="DQ253" s="45" t="str">
        <f>IFERROR(VLOOKUP(CONCATENATE('Respuestas de formulario 1.1'!$B253,MID('Respuestas de formulario 1.1'!DQ$1,2,1)),#REF!,12,0),"")</f>
        <v/>
      </c>
      <c r="DR253" s="45" t="str">
        <f>IFERROR(VLOOKUP(CONCATENATE('Respuestas de formulario 1.1'!$B253,MID('Respuestas de formulario 1.1'!DR$1,2,1)),#REF!,12,0),"")</f>
        <v/>
      </c>
      <c r="DS253" s="45" t="str">
        <f>IFERROR(VLOOKUP(CONCATENATE('Respuestas de formulario 1.1'!$B253,MID('Respuestas de formulario 1.1'!DS$1,2,1)),#REF!,12,0),"")</f>
        <v/>
      </c>
      <c r="DT253" s="45" t="str">
        <f>IFERROR(VLOOKUP(CONCATENATE('Respuestas de formulario 1.1'!$B253,MID('Respuestas de formulario 1.1'!DT$1,2,1)),#REF!,12,0),"")</f>
        <v/>
      </c>
      <c r="DU253" s="45" t="str">
        <f>IFERROR(VLOOKUP(CONCATENATE('Respuestas de formulario 1.1'!$B253,MID('Respuestas de formulario 1.1'!DU$1,2,1)),#REF!,12,0),"")</f>
        <v/>
      </c>
      <c r="DV253" s="45" t="str">
        <f>IFERROR(VLOOKUP(CONCATENATE('Respuestas de formulario 1.1'!$B253,MID('Respuestas de formulario 1.1'!DV$1,2,1)),#REF!,12,0),"")</f>
        <v/>
      </c>
      <c r="DW253" s="45" t="str">
        <f>IFERROR(VLOOKUP(CONCATENATE('Respuestas de formulario 1.1'!$B253,MID('Respuestas de formulario 1.1'!DW$1,2,1)),#REF!,12,0),"")</f>
        <v/>
      </c>
      <c r="DX253" s="45" t="str">
        <f>IFERROR(VLOOKUP(CONCATENATE('Respuestas de formulario 1.1'!$B253,MID('Respuestas de formulario 1.1'!DX$1,2,1)),#REF!,12,0),"")</f>
        <v/>
      </c>
      <c r="DY253" s="45" t="str">
        <f>IFERROR(VLOOKUP(CONCATENATE('Respuestas de formulario 1.1'!$B253,MID('Respuestas de formulario 1.1'!DY$1,2,1)),#REF!,12,0),"")</f>
        <v/>
      </c>
      <c r="DZ253" s="45" t="str">
        <f>IFERROR(VLOOKUP(CONCATENATE('Respuestas de formulario 1.1'!$B253,MID('Respuestas de formulario 1.1'!DZ$1,2,1)),#REF!,12,0),"")</f>
        <v/>
      </c>
      <c r="EA253" s="45" t="str">
        <f>IFERROR(VLOOKUP(CONCATENATE('Respuestas de formulario 1.1'!$B253,MID('Respuestas de formulario 1.1'!EA$1,2,1)),#REF!,12,0),"")</f>
        <v/>
      </c>
      <c r="EB253" s="45" t="str">
        <f>IFERROR(VLOOKUP(CONCATENATE('Respuestas de formulario 1.1'!$B253,MID('Respuestas de formulario 1.1'!EB$1,2,1)),#REF!,12,0),"")</f>
        <v/>
      </c>
      <c r="EC253" s="45" t="str">
        <f>IFERROR(VLOOKUP(CONCATENATE('Respuestas de formulario 1.1'!$B253,MID('Respuestas de formulario 1.1'!EC$1,2,1)),#REF!,12,0),"")</f>
        <v/>
      </c>
      <c r="ED253" s="45" t="str">
        <f>IFERROR(VLOOKUP(CONCATENATE('Respuestas de formulario 1.1'!$B253,MID('Respuestas de formulario 1.1'!ED$1,2,1)),#REF!,12,0),"")</f>
        <v/>
      </c>
      <c r="EE253" s="45" t="str">
        <f>IFERROR(VLOOKUP(CONCATENATE('Respuestas de formulario 1.1'!$B253,MID('Respuestas de formulario 1.1'!EE$1,2,1)),#REF!,12,0),"")</f>
        <v/>
      </c>
      <c r="EF253" s="45" t="str">
        <f>IFERROR(VLOOKUP(CONCATENATE('Respuestas de formulario 1.1'!$B253,MID('Respuestas de formulario 1.1'!EF$1,2,1)),#REF!,12,0),"")</f>
        <v/>
      </c>
      <c r="EG253" s="45" t="str">
        <f>IFERROR(VLOOKUP(CONCATENATE('Respuestas de formulario 1.1'!$B253,MID('Respuestas de formulario 1.1'!EG$1,2,1)),#REF!,12,0),"")</f>
        <v/>
      </c>
      <c r="EH253" s="45" t="str">
        <f>IFERROR(VLOOKUP(CONCATENATE('Respuestas de formulario 1.1'!$B253,MID('Respuestas de formulario 1.1'!EH$1,2,1)),#REF!,12,0),"")</f>
        <v/>
      </c>
      <c r="EI253" s="45" t="str">
        <f>IFERROR(VLOOKUP(CONCATENATE('Respuestas de formulario 1.1'!$B253,MID('Respuestas de formulario 1.1'!EI$1,2,1)),#REF!,12,0),"")</f>
        <v/>
      </c>
      <c r="EJ253" s="45" t="str">
        <f t="array" ref="EJ253">IF(DO253="","", INDEX(#REF!,MATCH(CONCATENATE('Respuestas de formulario 1.1'!$B253,DO253),#REF!,0),MATCH('Respuestas de formulario 1.1'!EJ$1,#REF!,0)))</f>
        <v/>
      </c>
      <c r="EK253" s="56" t="str">
        <f t="array" ref="EK253">IF(DP253="","", INDEX(#REF!,MATCH(CONCATENATE('Respuestas de formulario 1.1'!$B253,DP253),#REF!,0),MATCH('Respuestas de formulario 1.1'!EK$1,#REF!,0)))</f>
        <v/>
      </c>
      <c r="EL253" s="56" t="str">
        <f t="array" ref="EL253">IF(DQ253="","", INDEX(#REF!,MATCH(CONCATENATE('Respuestas de formulario 1.1'!$B253,DQ253),#REF!,0),MATCH('Respuestas de formulario 1.1'!EL$1,#REF!,0)))</f>
        <v/>
      </c>
      <c r="EM253" s="56" t="str">
        <f t="array" ref="EM253">IF(DR253="","", INDEX(#REF!,MATCH(CONCATENATE('Respuestas de formulario 1.1'!$B253,DR253),#REF!,0),MATCH('Respuestas de formulario 1.1'!EM$1,#REF!,0)))</f>
        <v/>
      </c>
      <c r="EN253" s="56" t="str">
        <f t="array" ref="EN253">IF(DS253="","", INDEX(#REF!,MATCH(CONCATENATE('Respuestas de formulario 1.1'!$B253,DS253),#REF!,0),MATCH('Respuestas de formulario 1.1'!EN$1,#REF!,0)))</f>
        <v/>
      </c>
      <c r="EO253" s="56" t="str">
        <f t="array" ref="EO253">IF(DT253="","", INDEX(#REF!,MATCH(CONCATENATE('Respuestas de formulario 1.1'!$B253,DT253),#REF!,0),MATCH('Respuestas de formulario 1.1'!EO$1,#REF!,0)))</f>
        <v/>
      </c>
      <c r="EP253" s="45" t="str">
        <f t="array" ref="EP253">IF(DU253="","", INDEX(#REF!,MATCH(CONCATENATE('Respuestas de formulario 1.1'!$B253,DU253),#REF!,0),MATCH('Respuestas de formulario 1.1'!EP$1,#REF!,0)))</f>
        <v/>
      </c>
      <c r="EQ253" s="45" t="str">
        <f t="array" ref="EQ253">IF(DP253="","", INDEX(#REF!,MATCH(CONCATENATE('Respuestas de formulario 1.1'!$B253,DP253),#REF!,0),MATCH('Respuestas de formulario 1.1'!EQ$1,#REF!,0)))</f>
        <v/>
      </c>
      <c r="ER253" s="56" t="str">
        <f t="array" ref="ER253">IF(DQ253="","", INDEX(#REF!,MATCH(CONCATENATE('Respuestas de formulario 1.1'!$B253,DQ253),#REF!,0),MATCH('Respuestas de formulario 1.1'!ER$1,#REF!,0)))</f>
        <v/>
      </c>
      <c r="ES253" s="56" t="str">
        <f t="array" ref="ES253">IF(DR253="","", INDEX(#REF!,MATCH(CONCATENATE('Respuestas de formulario 1.1'!$B253,DR253),#REF!,0),MATCH('Respuestas de formulario 1.1'!ES$1,#REF!,0)))</f>
        <v/>
      </c>
      <c r="ET253" s="56" t="str">
        <f t="array" ref="ET253">IF(DS253="","", INDEX(#REF!,MATCH(CONCATENATE('Respuestas de formulario 1.1'!$B253,DS253),#REF!,0),MATCH('Respuestas de formulario 1.1'!ET$1,#REF!,0)))</f>
        <v/>
      </c>
      <c r="EU253" s="56" t="str">
        <f t="array" ref="EU253">IF(DT253="","", INDEX(#REF!,MATCH(CONCATENATE('Respuestas de formulario 1.1'!$B253,DT253),#REF!,0),MATCH('Respuestas de formulario 1.1'!EU$1,#REF!,0)))</f>
        <v/>
      </c>
      <c r="EV253" s="56" t="str">
        <f t="array" ref="EV253">IF(DU253="","", INDEX(#REF!,MATCH(CONCATENATE('Respuestas de formulario 1.1'!$B253,DU253),#REF!,0),MATCH('Respuestas de formulario 1.1'!EV$1,#REF!,0)))</f>
        <v/>
      </c>
      <c r="EW253" s="45" t="str">
        <f t="array" ref="EW253">IF(DV253="","", INDEX(#REF!,MATCH(CONCATENATE('Respuestas de formulario 1.1'!$B253,DV253),#REF!,0),MATCH('Respuestas de formulario 1.1'!EW$1,#REF!,0)))</f>
        <v/>
      </c>
      <c r="EX253" s="45" t="str">
        <f t="array" ref="EX253">IF($DQ253="","", INDEX(#REF!,MATCH(CONCATENATE('Respuestas de formulario 1.1'!$B253,$DQ253),#REF!,0),MATCH('Respuestas de formulario 1.1'!EX$1,#REF!,0)))</f>
        <v/>
      </c>
      <c r="EY253" s="56" t="str">
        <f t="array" ref="EY253">IF($DQ253="","", INDEX(#REF!,MATCH(CONCATENATE('Respuestas de formulario 1.1'!$B253,$DQ253),#REF!,0),MATCH('Respuestas de formulario 1.1'!EY$1,#REF!,0)))</f>
        <v/>
      </c>
      <c r="EZ253" s="56" t="str">
        <f t="array" ref="EZ253">IF($DQ253="","", INDEX(#REF!,MATCH(CONCATENATE('Respuestas de formulario 1.1'!$B253,$DQ253),#REF!,0),MATCH('Respuestas de formulario 1.1'!EZ$1,#REF!,0)))</f>
        <v/>
      </c>
      <c r="FA253" s="56" t="str">
        <f t="array" ref="FA253">IF($DQ253="","", INDEX(#REF!,MATCH(CONCATENATE('Respuestas de formulario 1.1'!$B253,$DQ253),#REF!,0),MATCH('Respuestas de formulario 1.1'!FA$1,#REF!,0)))</f>
        <v/>
      </c>
      <c r="FB253" s="56" t="str">
        <f t="array" ref="FB253">IF($DQ253="","", INDEX(#REF!,MATCH(CONCATENATE('Respuestas de formulario 1.1'!$B253,$DQ253),#REF!,0),MATCH('Respuestas de formulario 1.1'!FB$1,#REF!,0)))</f>
        <v/>
      </c>
      <c r="FC253" s="56" t="str">
        <f t="array" ref="FC253">IF($DQ253="","", INDEX(#REF!,MATCH(CONCATENATE('Respuestas de formulario 1.1'!$B253,$DQ253),#REF!,0),MATCH('Respuestas de formulario 1.1'!FC$1,#REF!,0)))</f>
        <v/>
      </c>
      <c r="FD253" s="45" t="str">
        <f t="array" ref="FD253">IF($DQ253="","", INDEX(#REF!,MATCH(CONCATENATE('Respuestas de formulario 1.1'!$B253,$DQ253),#REF!,0),MATCH('Respuestas de formulario 1.1'!FD$1,#REF!,0)))</f>
        <v/>
      </c>
      <c r="FE253" s="45" t="str">
        <f t="array" ref="FE253">IF($DR253="","", INDEX(#REF!,MATCH(CONCATENATE(#REF!,$DR253),#REF!,0),MATCH(#REF!,#REF!,0)))</f>
        <v/>
      </c>
      <c r="FF253" s="56" t="str">
        <f t="array" ref="FF253">IF($DR253="","", INDEX(#REF!,MATCH(CONCATENATE(#REF!,$DR253),#REF!,0),MATCH(#REF!,#REF!,0)))</f>
        <v/>
      </c>
      <c r="FG253" s="56" t="str">
        <f t="array" ref="FG253">IF($DR253="","", INDEX(#REF!,MATCH(CONCATENATE(#REF!,$DR253),#REF!,0),MATCH(#REF!,#REF!,0)))</f>
        <v/>
      </c>
      <c r="FH253" s="56" t="str">
        <f t="array" ref="FH253">IF($DR253="","", INDEX(#REF!,MATCH(CONCATENATE(#REF!,$DR253),#REF!,0),MATCH(#REF!,#REF!,0)))</f>
        <v/>
      </c>
      <c r="FI253" s="56" t="str">
        <f t="array" ref="FI253">IF($DR253="","", INDEX(#REF!,MATCH(CONCATENATE(#REF!,$DR253),#REF!,0),MATCH(#REF!,#REF!,0)))</f>
        <v/>
      </c>
      <c r="FJ253" s="56" t="str">
        <f t="array" ref="FJ253">IF($DR253="","", INDEX(#REF!,MATCH(CONCATENATE(#REF!,$DR253),#REF!,0),MATCH(#REF!,#REF!,0)))</f>
        <v/>
      </c>
      <c r="FK253" s="45" t="str">
        <f t="array" ref="FK253">IF($DR253="","", INDEX(#REF!,MATCH(CONCATENATE(#REF!,$DR253),#REF!,0),MATCH(#REF!,#REF!,0)))</f>
        <v/>
      </c>
      <c r="FL253" s="45" t="str">
        <f t="array" ref="FL253">IF($DT253="","", INDEX(#REF!,MATCH(CONCATENATE('Respuestas de formulario 1.1'!$B253,$DS253),#REF!,0),MATCH('Respuestas de formulario 1.1'!FL$1,#REF!,0)))</f>
        <v/>
      </c>
      <c r="FM253" s="56" t="str">
        <f t="array" ref="FM253">IF($DT253="","", INDEX(#REF!,MATCH(CONCATENATE('Respuestas de formulario 1.1'!$B253,$DS253),#REF!,0),MATCH('Respuestas de formulario 1.1'!FM$1,#REF!,0)))</f>
        <v/>
      </c>
      <c r="FN253" s="56" t="str">
        <f t="array" ref="FN253">IF($DT253="","", INDEX(#REF!,MATCH(CONCATENATE('Respuestas de formulario 1.1'!$B253,$DS253),#REF!,0),MATCH('Respuestas de formulario 1.1'!FN$1,#REF!,0)))</f>
        <v/>
      </c>
      <c r="FO253" s="56" t="str">
        <f t="array" ref="FO253">IF($DT253="","", INDEX(#REF!,MATCH(CONCATENATE('Respuestas de formulario 1.1'!$B253,$DS253),#REF!,0),MATCH('Respuestas de formulario 1.1'!FO$1,#REF!,0)))</f>
        <v/>
      </c>
      <c r="FP253" s="56" t="str">
        <f t="array" ref="FP253">IF($DT253="","", INDEX(#REF!,MATCH(CONCATENATE('Respuestas de formulario 1.1'!$B253,$DS253),#REF!,0),MATCH('Respuestas de formulario 1.1'!FP$1,#REF!,0)))</f>
        <v/>
      </c>
      <c r="FQ253" s="56" t="str">
        <f t="array" ref="FQ253">IF($DT253="","", INDEX(#REF!,MATCH(CONCATENATE('Respuestas de formulario 1.1'!$B253,$DS253),#REF!,0),MATCH('Respuestas de formulario 1.1'!FQ$1,#REF!,0)))</f>
        <v/>
      </c>
      <c r="FR253" s="45" t="str">
        <f t="array" ref="FR253">IF($DT253="","", INDEX(#REF!,MATCH(CONCATENATE('Respuestas de formulario 1.1'!$B253,$DS253),#REF!,0),MATCH('Respuestas de formulario 1.1'!FR$1,#REF!,0)))</f>
        <v/>
      </c>
      <c r="FS253" s="45" t="str">
        <f t="array" ref="FS253">IF($DU253="","", INDEX(#REF!,MATCH(CONCATENATE('Respuestas de formulario 1.1'!$B253,$DT253),#REF!,0),MATCH('Respuestas de formulario 1.1'!FS$1,#REF!,0)))</f>
        <v/>
      </c>
      <c r="FT253" s="56" t="str">
        <f t="array" ref="FT253">IF($DU253="","", INDEX(#REF!,MATCH(CONCATENATE('Respuestas de formulario 1.1'!$B253,$DT253),#REF!,0),MATCH('Respuestas de formulario 1.1'!FT$1,#REF!,0)))</f>
        <v/>
      </c>
      <c r="FU253" s="56" t="str">
        <f t="array" ref="FU253">IF($DU253="","", INDEX(#REF!,MATCH(CONCATENATE('Respuestas de formulario 1.1'!$B253,$DT253),#REF!,0),MATCH('Respuestas de formulario 1.1'!FU$1,#REF!,0)))</f>
        <v/>
      </c>
      <c r="FV253" s="56" t="str">
        <f t="array" ref="FV253">IF($DU253="","", INDEX(#REF!,MATCH(CONCATENATE('Respuestas de formulario 1.1'!$B253,$DT253),#REF!,0),MATCH('Respuestas de formulario 1.1'!FV$1,#REF!,0)))</f>
        <v/>
      </c>
      <c r="FW253" s="56" t="str">
        <f t="array" ref="FW253">IF($DU253="","", INDEX(#REF!,MATCH(CONCATENATE('Respuestas de formulario 1.1'!$B253,$DT253),#REF!,0),MATCH('Respuestas de formulario 1.1'!FW$1,#REF!,0)))</f>
        <v/>
      </c>
      <c r="FX253" s="56" t="str">
        <f t="array" ref="FX253">IF($DU253="","", INDEX(#REF!,MATCH(CONCATENATE('Respuestas de formulario 1.1'!$B253,$DT253),#REF!,0),MATCH('Respuestas de formulario 1.1'!FX$1,#REF!,0)))</f>
        <v/>
      </c>
      <c r="FY253" s="45" t="str">
        <f t="array" ref="FY253">IF($DU253="","", INDEX(#REF!,MATCH(CONCATENATE('Respuestas de formulario 1.1'!$B253,$DT253),#REF!,0),MATCH('Respuestas de formulario 1.1'!FY$1,#REF!,0)))</f>
        <v/>
      </c>
      <c r="FZ253" s="3" t="s">
        <v>2860</v>
      </c>
      <c r="GA253" s="1" t="s">
        <v>7188</v>
      </c>
      <c r="GB253" s="5" t="s">
        <v>7189</v>
      </c>
      <c r="GC253" s="4" t="str">
        <f>HYPERLINK("https://drive.google.com/file/d/1945PzWgqavoHrR3VOSd1IBoJvbEl3TXt/view?usp=drivesdk","RAMIREZ  GUTIERREZ  LAURA ALONDRA  Formato de reinscripción y pago 2022-2")</f>
        <v>RAMIREZ  GUTIERREZ  LAURA ALONDRA  Formato de reinscripción y pago 2022-2</v>
      </c>
      <c r="GD253" s="1" t="s">
        <v>7190</v>
      </c>
      <c r="GE253" s="1"/>
      <c r="GF253" s="1"/>
      <c r="GG253" s="1"/>
      <c r="GH253" s="1"/>
      <c r="GI253" s="1" t="s">
        <v>7191</v>
      </c>
      <c r="GJ253" s="5" t="s">
        <v>7192</v>
      </c>
      <c r="GK253" s="5" t="str">
        <f>HYPERLINK("https://drive.google.com/file/d/1zbP4cP1xsHiDUbAJaCBv2lZzQxv7MF39/view?usp=drivesdk","RAMIREZ  GUTIERREZ  LAURA ALONDRA  Formato de reinscripción y pago 2022-2")</f>
        <v>RAMIREZ  GUTIERREZ  LAURA ALONDRA  Formato de reinscripción y pago 2022-2</v>
      </c>
      <c r="GL253" s="1" t="s">
        <v>7193</v>
      </c>
    </row>
    <row r="254" spans="1:194" ht="38.25" x14ac:dyDescent="0.2">
      <c r="A254" s="2">
        <v>45139.552092245372</v>
      </c>
      <c r="B254" s="1" t="s">
        <v>74</v>
      </c>
      <c r="C254" s="1" t="s">
        <v>340</v>
      </c>
      <c r="D254" s="1" t="s">
        <v>244</v>
      </c>
      <c r="E254" s="1" t="s">
        <v>1357</v>
      </c>
      <c r="F254" s="1" t="s">
        <v>262</v>
      </c>
      <c r="G254" s="5" t="s">
        <v>7194</v>
      </c>
      <c r="H254" s="41">
        <v>39044</v>
      </c>
      <c r="I254" s="1">
        <v>16</v>
      </c>
      <c r="J254" s="1">
        <v>5568991776</v>
      </c>
      <c r="K254" s="1">
        <v>5554273725</v>
      </c>
      <c r="L254" s="1" t="s">
        <v>1358</v>
      </c>
      <c r="M254" s="1">
        <v>22309060570360</v>
      </c>
      <c r="N254" s="1" t="s">
        <v>562</v>
      </c>
      <c r="O254" s="1" t="s">
        <v>225</v>
      </c>
      <c r="P254" s="1" t="s">
        <v>226</v>
      </c>
      <c r="Q254" s="1" t="s">
        <v>263</v>
      </c>
      <c r="R254" s="1" t="s">
        <v>236</v>
      </c>
      <c r="S254" s="1" t="s">
        <v>228</v>
      </c>
      <c r="T254" s="1" t="s">
        <v>229</v>
      </c>
      <c r="U254" s="1" t="s">
        <v>249</v>
      </c>
      <c r="V254" s="1" t="s">
        <v>228</v>
      </c>
      <c r="W254" s="1" t="s">
        <v>7195</v>
      </c>
      <c r="X254" s="1" t="s">
        <v>249</v>
      </c>
      <c r="Y254" s="1" t="s">
        <v>7196</v>
      </c>
      <c r="Z254" s="1" t="s">
        <v>240</v>
      </c>
      <c r="AA254" s="44" t="s">
        <v>1328</v>
      </c>
      <c r="AB254" s="1" t="s">
        <v>7197</v>
      </c>
      <c r="AC254" s="1" t="s">
        <v>7198</v>
      </c>
      <c r="AD254" s="1" t="s">
        <v>7199</v>
      </c>
      <c r="AE254" s="1" t="s">
        <v>7200</v>
      </c>
      <c r="AF254" s="1" t="s">
        <v>265</v>
      </c>
      <c r="AG254" s="1">
        <v>48</v>
      </c>
      <c r="AH254" s="5" t="s">
        <v>7201</v>
      </c>
      <c r="AI254" s="1">
        <v>5515281163</v>
      </c>
      <c r="AJ254" s="1">
        <v>5554273725</v>
      </c>
      <c r="AK254" s="1" t="s">
        <v>1359</v>
      </c>
      <c r="AL254" s="1" t="s">
        <v>340</v>
      </c>
      <c r="AM254" s="1" t="s">
        <v>304</v>
      </c>
      <c r="AN254" s="1" t="s">
        <v>1360</v>
      </c>
      <c r="AO254" s="1" t="s">
        <v>435</v>
      </c>
      <c r="AP254" s="1">
        <v>51</v>
      </c>
      <c r="AQ254" s="1" t="s">
        <v>528</v>
      </c>
      <c r="AR254" s="42">
        <v>0.33333333333575865</v>
      </c>
      <c r="AS254" s="42">
        <v>0.75</v>
      </c>
      <c r="AT254" s="1">
        <v>5572736890</v>
      </c>
      <c r="AU254" s="1">
        <v>5554273725</v>
      </c>
      <c r="AV254" s="1" t="s">
        <v>1362</v>
      </c>
      <c r="AW254" s="5" t="s">
        <v>7202</v>
      </c>
      <c r="AX254" s="1" t="s">
        <v>340</v>
      </c>
      <c r="AY254" s="1" t="s">
        <v>304</v>
      </c>
      <c r="AZ254" s="1" t="s">
        <v>1633</v>
      </c>
      <c r="BA254" s="1" t="s">
        <v>453</v>
      </c>
      <c r="BB254" s="1">
        <v>40</v>
      </c>
      <c r="BC254" s="1" t="s">
        <v>546</v>
      </c>
      <c r="BD254" s="43">
        <v>0.33333333333575865</v>
      </c>
      <c r="BE254" s="43">
        <v>0.75</v>
      </c>
      <c r="BF254" s="1">
        <v>5549335866</v>
      </c>
      <c r="BG254" s="1">
        <v>5554273725</v>
      </c>
      <c r="BH254" s="1" t="s">
        <v>7203</v>
      </c>
      <c r="BI254" s="5" t="s">
        <v>7204</v>
      </c>
      <c r="BJ254" s="1" t="s">
        <v>236</v>
      </c>
      <c r="BL254" s="1">
        <v>1.68</v>
      </c>
      <c r="BM254" s="1">
        <v>80</v>
      </c>
      <c r="BN254" s="1" t="s">
        <v>236</v>
      </c>
      <c r="BO254" s="1" t="s">
        <v>228</v>
      </c>
      <c r="BQ254" s="1" t="s">
        <v>228</v>
      </c>
      <c r="BR254" s="1" t="s">
        <v>237</v>
      </c>
      <c r="BS254" s="1" t="s">
        <v>236</v>
      </c>
      <c r="BT254" s="1" t="s">
        <v>457</v>
      </c>
      <c r="BU254" s="1" t="s">
        <v>228</v>
      </c>
      <c r="BW254" s="1" t="s">
        <v>272</v>
      </c>
      <c r="BX254" s="1">
        <v>1.3</v>
      </c>
      <c r="BY254" s="1">
        <v>120</v>
      </c>
      <c r="BZ254" s="1" t="s">
        <v>1070</v>
      </c>
      <c r="CA254" s="1" t="s">
        <v>254</v>
      </c>
      <c r="CB254" s="1" t="s">
        <v>240</v>
      </c>
      <c r="CC254" s="1" t="s">
        <v>1225</v>
      </c>
      <c r="CD254" s="1">
        <v>1000</v>
      </c>
      <c r="CE254" s="1">
        <v>1000</v>
      </c>
      <c r="CF254" s="1" t="s">
        <v>236</v>
      </c>
      <c r="CG254" s="1" t="s">
        <v>323</v>
      </c>
      <c r="CH254" s="1" t="s">
        <v>243</v>
      </c>
      <c r="CI254" s="1" t="s">
        <v>243</v>
      </c>
      <c r="CJ254" s="1" t="s">
        <v>2848</v>
      </c>
      <c r="CL254" s="5" t="s">
        <v>7205</v>
      </c>
      <c r="CM254" s="1">
        <v>19220607444</v>
      </c>
      <c r="CN254" s="1" t="s">
        <v>228</v>
      </c>
      <c r="CQ254" s="42">
        <v>0.33333333333575865</v>
      </c>
      <c r="CR254" s="42">
        <v>0.20833333333575865</v>
      </c>
      <c r="CT254" s="45" t="str">
        <f t="array" ref="CT254">IFERROR(INDEX(#REF!,MATCH('Respuestas de formulario 1.1'!$B254,#REF!,0),MATCH('Respuestas de formulario 1.1'!CT$1,#REF!,0)),"")</f>
        <v/>
      </c>
      <c r="CU254" s="56" t="str">
        <f t="array" ref="CU254">IFERROR(INDEX(#REF!,MATCH('Respuestas de formulario 1.1'!$B254,#REF!,0),MATCH('Respuestas de formulario 1.1'!CU$1,#REF!,0)),"")</f>
        <v/>
      </c>
      <c r="CV254" s="56" t="str">
        <f t="array" ref="CV254">IFERROR(INDEX(#REF!,MATCH('Respuestas de formulario 1.1'!$B254,#REF!,0),MATCH('Respuestas de formulario 1.1'!CV$1,#REF!,0)),"")</f>
        <v/>
      </c>
      <c r="CW254" s="56" t="str">
        <f t="array" ref="CW254">IFERROR(INDEX(#REF!,MATCH('Respuestas de formulario 1.1'!$B254,#REF!,0),MATCH('Respuestas de formulario 1.1'!CW$1,#REF!,0)),"")</f>
        <v/>
      </c>
      <c r="CX254" s="56" t="str">
        <f t="array" ref="CX254">IFERROR(INDEX(#REF!,MATCH('Respuestas de formulario 1.1'!$B254,#REF!,0),MATCH('Respuestas de formulario 1.1'!CX$1,#REF!,0)),"")</f>
        <v/>
      </c>
      <c r="CY254" s="56" t="str">
        <f t="array" ref="CY254">IFERROR(INDEX(#REF!,MATCH('Respuestas de formulario 1.1'!$B254,#REF!,0),MATCH('Respuestas de formulario 1.1'!CY$1,#REF!,0)),"")</f>
        <v/>
      </c>
      <c r="CZ254" s="57" t="str">
        <f t="array" ref="CZ254">IFERROR(INDEX(#REF!,MATCH('Respuestas de formulario 1.1'!$B254,#REF!,0),MATCH('Respuestas de formulario 1.1'!CZ$1,#REF!,0)),"")</f>
        <v/>
      </c>
      <c r="DA254" s="45" t="e">
        <f t="array" ref="DA254">INDEX(#REF!,MATCH('Respuestas de formulario 1.1'!$B254,#REF!,0),MATCH('Respuestas de formulario 1.1'!DA$1,#REF!,0))</f>
        <v>#REF!</v>
      </c>
      <c r="DB254" s="45" t="e">
        <f t="array" ref="DB254">INDEX(#REF!,MATCH('Respuestas de formulario 1.1'!$B254,#REF!,0),MATCH('Respuestas de formulario 1.1'!DB$1,#REF!,0))</f>
        <v>#REF!</v>
      </c>
      <c r="DC254" s="45" t="e">
        <f t="array" ref="DC254">INDEX(#REF!,MATCH('Respuestas de formulario 1.1'!$B254,#REF!,0),MATCH('Respuestas de formulario 1.1'!DC$1,#REF!,0))</f>
        <v>#REF!</v>
      </c>
      <c r="DD254" s="45" t="e">
        <f t="array" ref="DD254">INDEX(#REF!,MATCH('Respuestas de formulario 1.1'!$B254,#REF!,0),MATCH('Respuestas de formulario 1.1'!DD$1,#REF!,0))</f>
        <v>#REF!</v>
      </c>
      <c r="DE254" s="45" t="e">
        <f t="array" ref="DE254">INDEX(#REF!,MATCH('Respuestas de formulario 1.1'!$B254,#REF!,0),MATCH('Respuestas de formulario 1.1'!DE$1,#REF!,0))</f>
        <v>#REF!</v>
      </c>
      <c r="DF254" s="45" t="e">
        <f t="array" ref="DF254">INDEX(#REF!,MATCH('Respuestas de formulario 1.1'!$B254,#REF!,0),MATCH('Respuestas de formulario 1.1'!DF$1,#REF!,0))</f>
        <v>#REF!</v>
      </c>
      <c r="DG254" s="45" t="e">
        <f t="array" ref="DG254">INDEX(#REF!,MATCH('Respuestas de formulario 1.1'!$B254,#REF!,0),MATCH('Respuestas de formulario 1.1'!DG$1,#REF!,0))</f>
        <v>#REF!</v>
      </c>
      <c r="DH254" s="45" t="e">
        <f t="array" ref="DH254">INDEX(#REF!,MATCH('Respuestas de formulario 1.1'!$B254,#REF!,0),MATCH('Respuestas de formulario 1.1'!DH$1,#REF!,0))</f>
        <v>#REF!</v>
      </c>
      <c r="DI254" s="48" t="e">
        <f>VLOOKUP(CONCATENATE($DF254," TUTO ",$DC254),#REF!,3,0)</f>
        <v>#REF!</v>
      </c>
      <c r="DJ254" s="48" t="e">
        <f t="array" ref="DJ254">IF('Respuestas de formulario 1.1'!A254="","",INDEX(#REF!,MATCH('Respuestas de formulario 1.1'!B254,#REF!,0),MATCH('Respuestas de formulario 1.1'!$DH$1,#REF!,0)))</f>
        <v>#REF!</v>
      </c>
      <c r="DK254" s="52" t="str">
        <f>CONCATENATE("http://doc.google.com/uc?id=",MID('Respuestas de formulario 1.1'!G254,34,33))</f>
        <v>http://doc.google.com/uc?id=1Dn7ZKHYjgRUHj-9vhTwwhgZoQCE-DLE2</v>
      </c>
      <c r="DL254" s="49" t="str">
        <f>CONCATENATE("http://doc.google.com/uc?id=",MID('Respuestas de formulario 1.1'!AH254,34,33))</f>
        <v>http://doc.google.com/uc?id=1I2hXZemaCGUxolqx-AUNmQvp-KVdy7L_</v>
      </c>
      <c r="DM254" s="50" t="str">
        <f>CONCATENATE("http://doc.google.com/uc?id=",MID('Respuestas de formulario 1.1'!AW254,34,33))</f>
        <v>http://doc.google.com/uc?id=1F4b0ugMcY8MEXIjUUUPDuxz41t1B-Xsr</v>
      </c>
      <c r="DN254" s="53" t="str">
        <f>CONCATENATE("http://doc.google.com/uc?id=",MID('Respuestas de formulario 1.1'!$BI254,34,33))</f>
        <v>http://doc.google.com/uc?id=1tk5zVivHVqjonMoVMV4mjHO1zcrLh_eM</v>
      </c>
      <c r="DO254" s="45" t="str">
        <f>IFERROR(VLOOKUP(CONCATENATE('Respuestas de formulario 1.1'!$B254,MID('Respuestas de formulario 1.1'!DO$1,2,1)),#REF!,12,0),"")</f>
        <v/>
      </c>
      <c r="DP254" s="45" t="str">
        <f>IFERROR(VLOOKUP(CONCATENATE('Respuestas de formulario 1.1'!$B254,MID('Respuestas de formulario 1.1'!DP$1,2,1)),#REF!,12,0),"")</f>
        <v/>
      </c>
      <c r="DQ254" s="45" t="str">
        <f>IFERROR(VLOOKUP(CONCATENATE('Respuestas de formulario 1.1'!$B254,MID('Respuestas de formulario 1.1'!DQ$1,2,1)),#REF!,12,0),"")</f>
        <v/>
      </c>
      <c r="DR254" s="45" t="str">
        <f>IFERROR(VLOOKUP(CONCATENATE('Respuestas de formulario 1.1'!$B254,MID('Respuestas de formulario 1.1'!DR$1,2,1)),#REF!,12,0),"")</f>
        <v/>
      </c>
      <c r="DS254" s="45" t="str">
        <f>IFERROR(VLOOKUP(CONCATENATE('Respuestas de formulario 1.1'!$B254,MID('Respuestas de formulario 1.1'!DS$1,2,1)),#REF!,12,0),"")</f>
        <v/>
      </c>
      <c r="DT254" s="45" t="str">
        <f>IFERROR(VLOOKUP(CONCATENATE('Respuestas de formulario 1.1'!$B254,MID('Respuestas de formulario 1.1'!DT$1,2,1)),#REF!,12,0),"")</f>
        <v/>
      </c>
      <c r="DU254" s="45" t="str">
        <f>IFERROR(VLOOKUP(CONCATENATE('Respuestas de formulario 1.1'!$B254,MID('Respuestas de formulario 1.1'!DU$1,2,1)),#REF!,12,0),"")</f>
        <v/>
      </c>
      <c r="DV254" s="45" t="str">
        <f>IFERROR(VLOOKUP(CONCATENATE('Respuestas de formulario 1.1'!$B254,MID('Respuestas de formulario 1.1'!DV$1,2,1)),#REF!,12,0),"")</f>
        <v/>
      </c>
      <c r="DW254" s="45" t="str">
        <f>IFERROR(VLOOKUP(CONCATENATE('Respuestas de formulario 1.1'!$B254,MID('Respuestas de formulario 1.1'!DW$1,2,1)),#REF!,12,0),"")</f>
        <v/>
      </c>
      <c r="DX254" s="45" t="str">
        <f>IFERROR(VLOOKUP(CONCATENATE('Respuestas de formulario 1.1'!$B254,MID('Respuestas de formulario 1.1'!DX$1,2,1)),#REF!,12,0),"")</f>
        <v/>
      </c>
      <c r="DY254" s="45" t="str">
        <f>IFERROR(VLOOKUP(CONCATENATE('Respuestas de formulario 1.1'!$B254,MID('Respuestas de formulario 1.1'!DY$1,2,1)),#REF!,12,0),"")</f>
        <v/>
      </c>
      <c r="DZ254" s="45" t="str">
        <f>IFERROR(VLOOKUP(CONCATENATE('Respuestas de formulario 1.1'!$B254,MID('Respuestas de formulario 1.1'!DZ$1,2,1)),#REF!,12,0),"")</f>
        <v/>
      </c>
      <c r="EA254" s="45" t="str">
        <f>IFERROR(VLOOKUP(CONCATENATE('Respuestas de formulario 1.1'!$B254,MID('Respuestas de formulario 1.1'!EA$1,2,1)),#REF!,12,0),"")</f>
        <v/>
      </c>
      <c r="EB254" s="45" t="str">
        <f>IFERROR(VLOOKUP(CONCATENATE('Respuestas de formulario 1.1'!$B254,MID('Respuestas de formulario 1.1'!EB$1,2,1)),#REF!,12,0),"")</f>
        <v/>
      </c>
      <c r="EC254" s="45" t="str">
        <f>IFERROR(VLOOKUP(CONCATENATE('Respuestas de formulario 1.1'!$B254,MID('Respuestas de formulario 1.1'!EC$1,2,1)),#REF!,12,0),"")</f>
        <v/>
      </c>
      <c r="ED254" s="45" t="str">
        <f>IFERROR(VLOOKUP(CONCATENATE('Respuestas de formulario 1.1'!$B254,MID('Respuestas de formulario 1.1'!ED$1,2,1)),#REF!,12,0),"")</f>
        <v/>
      </c>
      <c r="EE254" s="45" t="str">
        <f>IFERROR(VLOOKUP(CONCATENATE('Respuestas de formulario 1.1'!$B254,MID('Respuestas de formulario 1.1'!EE$1,2,1)),#REF!,12,0),"")</f>
        <v/>
      </c>
      <c r="EF254" s="45" t="str">
        <f>IFERROR(VLOOKUP(CONCATENATE('Respuestas de formulario 1.1'!$B254,MID('Respuestas de formulario 1.1'!EF$1,2,1)),#REF!,12,0),"")</f>
        <v/>
      </c>
      <c r="EG254" s="45" t="str">
        <f>IFERROR(VLOOKUP(CONCATENATE('Respuestas de formulario 1.1'!$B254,MID('Respuestas de formulario 1.1'!EG$1,2,1)),#REF!,12,0),"")</f>
        <v/>
      </c>
      <c r="EH254" s="45" t="str">
        <f>IFERROR(VLOOKUP(CONCATENATE('Respuestas de formulario 1.1'!$B254,MID('Respuestas de formulario 1.1'!EH$1,2,1)),#REF!,12,0),"")</f>
        <v/>
      </c>
      <c r="EI254" s="45" t="str">
        <f>IFERROR(VLOOKUP(CONCATENATE('Respuestas de formulario 1.1'!$B254,MID('Respuestas de formulario 1.1'!EI$1,2,1)),#REF!,12,0),"")</f>
        <v/>
      </c>
      <c r="EJ254" s="45" t="str">
        <f t="array" ref="EJ254">IF(DO254="","", INDEX(#REF!,MATCH(CONCATENATE('Respuestas de formulario 1.1'!$B254,DO254),#REF!,0),MATCH('Respuestas de formulario 1.1'!EJ$1,#REF!,0)))</f>
        <v/>
      </c>
      <c r="EK254" s="56" t="str">
        <f t="array" ref="EK254">IF(DP254="","", INDEX(#REF!,MATCH(CONCATENATE('Respuestas de formulario 1.1'!$B254,DP254),#REF!,0),MATCH('Respuestas de formulario 1.1'!EK$1,#REF!,0)))</f>
        <v/>
      </c>
      <c r="EL254" s="56" t="str">
        <f t="array" ref="EL254">IF(DQ254="","", INDEX(#REF!,MATCH(CONCATENATE('Respuestas de formulario 1.1'!$B254,DQ254),#REF!,0),MATCH('Respuestas de formulario 1.1'!EL$1,#REF!,0)))</f>
        <v/>
      </c>
      <c r="EM254" s="56" t="str">
        <f t="array" ref="EM254">IF(DR254="","", INDEX(#REF!,MATCH(CONCATENATE('Respuestas de formulario 1.1'!$B254,DR254),#REF!,0),MATCH('Respuestas de formulario 1.1'!EM$1,#REF!,0)))</f>
        <v/>
      </c>
      <c r="EN254" s="56" t="str">
        <f t="array" ref="EN254">IF(DS254="","", INDEX(#REF!,MATCH(CONCATENATE('Respuestas de formulario 1.1'!$B254,DS254),#REF!,0),MATCH('Respuestas de formulario 1.1'!EN$1,#REF!,0)))</f>
        <v/>
      </c>
      <c r="EO254" s="56" t="str">
        <f t="array" ref="EO254">IF(DT254="","", INDEX(#REF!,MATCH(CONCATENATE('Respuestas de formulario 1.1'!$B254,DT254),#REF!,0),MATCH('Respuestas de formulario 1.1'!EO$1,#REF!,0)))</f>
        <v/>
      </c>
      <c r="EP254" s="45" t="str">
        <f t="array" ref="EP254">IF(DU254="","", INDEX(#REF!,MATCH(CONCATENATE('Respuestas de formulario 1.1'!$B254,DU254),#REF!,0),MATCH('Respuestas de formulario 1.1'!EP$1,#REF!,0)))</f>
        <v/>
      </c>
      <c r="EQ254" s="45" t="str">
        <f t="array" ref="EQ254">IF(DP254="","", INDEX(#REF!,MATCH(CONCATENATE('Respuestas de formulario 1.1'!$B254,DP254),#REF!,0),MATCH('Respuestas de formulario 1.1'!EQ$1,#REF!,0)))</f>
        <v/>
      </c>
      <c r="ER254" s="56" t="str">
        <f t="array" ref="ER254">IF(DQ254="","", INDEX(#REF!,MATCH(CONCATENATE('Respuestas de formulario 1.1'!$B254,DQ254),#REF!,0),MATCH('Respuestas de formulario 1.1'!ER$1,#REF!,0)))</f>
        <v/>
      </c>
      <c r="ES254" s="56" t="str">
        <f t="array" ref="ES254">IF(DR254="","", INDEX(#REF!,MATCH(CONCATENATE('Respuestas de formulario 1.1'!$B254,DR254),#REF!,0),MATCH('Respuestas de formulario 1.1'!ES$1,#REF!,0)))</f>
        <v/>
      </c>
      <c r="ET254" s="56" t="str">
        <f t="array" ref="ET254">IF(DS254="","", INDEX(#REF!,MATCH(CONCATENATE('Respuestas de formulario 1.1'!$B254,DS254),#REF!,0),MATCH('Respuestas de formulario 1.1'!ET$1,#REF!,0)))</f>
        <v/>
      </c>
      <c r="EU254" s="56" t="str">
        <f t="array" ref="EU254">IF(DT254="","", INDEX(#REF!,MATCH(CONCATENATE('Respuestas de formulario 1.1'!$B254,DT254),#REF!,0),MATCH('Respuestas de formulario 1.1'!EU$1,#REF!,0)))</f>
        <v/>
      </c>
      <c r="EV254" s="56" t="str">
        <f t="array" ref="EV254">IF(DU254="","", INDEX(#REF!,MATCH(CONCATENATE('Respuestas de formulario 1.1'!$B254,DU254),#REF!,0),MATCH('Respuestas de formulario 1.1'!EV$1,#REF!,0)))</f>
        <v/>
      </c>
      <c r="EW254" s="45" t="str">
        <f t="array" ref="EW254">IF(DV254="","", INDEX(#REF!,MATCH(CONCATENATE('Respuestas de formulario 1.1'!$B254,DV254),#REF!,0),MATCH('Respuestas de formulario 1.1'!EW$1,#REF!,0)))</f>
        <v/>
      </c>
      <c r="EX254" s="45" t="str">
        <f t="array" ref="EX254">IF($DQ254="","", INDEX(#REF!,MATCH(CONCATENATE('Respuestas de formulario 1.1'!$B254,$DQ254),#REF!,0),MATCH('Respuestas de formulario 1.1'!EX$1,#REF!,0)))</f>
        <v/>
      </c>
      <c r="EY254" s="56" t="str">
        <f t="array" ref="EY254">IF($DQ254="","", INDEX(#REF!,MATCH(CONCATENATE('Respuestas de formulario 1.1'!$B254,$DQ254),#REF!,0),MATCH('Respuestas de formulario 1.1'!EY$1,#REF!,0)))</f>
        <v/>
      </c>
      <c r="EZ254" s="56" t="str">
        <f t="array" ref="EZ254">IF($DQ254="","", INDEX(#REF!,MATCH(CONCATENATE('Respuestas de formulario 1.1'!$B254,$DQ254),#REF!,0),MATCH('Respuestas de formulario 1.1'!EZ$1,#REF!,0)))</f>
        <v/>
      </c>
      <c r="FA254" s="56" t="str">
        <f t="array" ref="FA254">IF($DQ254="","", INDEX(#REF!,MATCH(CONCATENATE('Respuestas de formulario 1.1'!$B254,$DQ254),#REF!,0),MATCH('Respuestas de formulario 1.1'!FA$1,#REF!,0)))</f>
        <v/>
      </c>
      <c r="FB254" s="56" t="str">
        <f t="array" ref="FB254">IF($DQ254="","", INDEX(#REF!,MATCH(CONCATENATE('Respuestas de formulario 1.1'!$B254,$DQ254),#REF!,0),MATCH('Respuestas de formulario 1.1'!FB$1,#REF!,0)))</f>
        <v/>
      </c>
      <c r="FC254" s="56" t="str">
        <f t="array" ref="FC254">IF($DQ254="","", INDEX(#REF!,MATCH(CONCATENATE('Respuestas de formulario 1.1'!$B254,$DQ254),#REF!,0),MATCH('Respuestas de formulario 1.1'!FC$1,#REF!,0)))</f>
        <v/>
      </c>
      <c r="FD254" s="45" t="str">
        <f t="array" ref="FD254">IF($DQ254="","", INDEX(#REF!,MATCH(CONCATENATE('Respuestas de formulario 1.1'!$B254,$DQ254),#REF!,0),MATCH('Respuestas de formulario 1.1'!FD$1,#REF!,0)))</f>
        <v/>
      </c>
      <c r="FE254" s="45" t="str">
        <f t="array" ref="FE254">IF($DR254="","", INDEX(#REF!,MATCH(CONCATENATE(#REF!,$DR254),#REF!,0),MATCH(#REF!,#REF!,0)))</f>
        <v/>
      </c>
      <c r="FF254" s="56" t="str">
        <f t="array" ref="FF254">IF($DR254="","", INDEX(#REF!,MATCH(CONCATENATE(#REF!,$DR254),#REF!,0),MATCH(#REF!,#REF!,0)))</f>
        <v/>
      </c>
      <c r="FG254" s="56" t="str">
        <f t="array" ref="FG254">IF($DR254="","", INDEX(#REF!,MATCH(CONCATENATE(#REF!,$DR254),#REF!,0),MATCH(#REF!,#REF!,0)))</f>
        <v/>
      </c>
      <c r="FH254" s="56" t="str">
        <f t="array" ref="FH254">IF($DR254="","", INDEX(#REF!,MATCH(CONCATENATE(#REF!,$DR254),#REF!,0),MATCH(#REF!,#REF!,0)))</f>
        <v/>
      </c>
      <c r="FI254" s="56" t="str">
        <f t="array" ref="FI254">IF($DR254="","", INDEX(#REF!,MATCH(CONCATENATE(#REF!,$DR254),#REF!,0),MATCH(#REF!,#REF!,0)))</f>
        <v/>
      </c>
      <c r="FJ254" s="56" t="str">
        <f t="array" ref="FJ254">IF($DR254="","", INDEX(#REF!,MATCH(CONCATENATE(#REF!,$DR254),#REF!,0),MATCH(#REF!,#REF!,0)))</f>
        <v/>
      </c>
      <c r="FK254" s="45" t="str">
        <f t="array" ref="FK254">IF($DR254="","", INDEX(#REF!,MATCH(CONCATENATE(#REF!,$DR254),#REF!,0),MATCH(#REF!,#REF!,0)))</f>
        <v/>
      </c>
      <c r="FL254" s="45" t="str">
        <f t="array" ref="FL254">IF($DT254="","", INDEX(#REF!,MATCH(CONCATENATE('Respuestas de formulario 1.1'!$B254,$DS254),#REF!,0),MATCH('Respuestas de formulario 1.1'!FL$1,#REF!,0)))</f>
        <v/>
      </c>
      <c r="FM254" s="56" t="str">
        <f t="array" ref="FM254">IF($DT254="","", INDEX(#REF!,MATCH(CONCATENATE('Respuestas de formulario 1.1'!$B254,$DS254),#REF!,0),MATCH('Respuestas de formulario 1.1'!FM$1,#REF!,0)))</f>
        <v/>
      </c>
      <c r="FN254" s="56" t="str">
        <f t="array" ref="FN254">IF($DT254="","", INDEX(#REF!,MATCH(CONCATENATE('Respuestas de formulario 1.1'!$B254,$DS254),#REF!,0),MATCH('Respuestas de formulario 1.1'!FN$1,#REF!,0)))</f>
        <v/>
      </c>
      <c r="FO254" s="56" t="str">
        <f t="array" ref="FO254">IF($DT254="","", INDEX(#REF!,MATCH(CONCATENATE('Respuestas de formulario 1.1'!$B254,$DS254),#REF!,0),MATCH('Respuestas de formulario 1.1'!FO$1,#REF!,0)))</f>
        <v/>
      </c>
      <c r="FP254" s="56" t="str">
        <f t="array" ref="FP254">IF($DT254="","", INDEX(#REF!,MATCH(CONCATENATE('Respuestas de formulario 1.1'!$B254,$DS254),#REF!,0),MATCH('Respuestas de formulario 1.1'!FP$1,#REF!,0)))</f>
        <v/>
      </c>
      <c r="FQ254" s="56" t="str">
        <f t="array" ref="FQ254">IF($DT254="","", INDEX(#REF!,MATCH(CONCATENATE('Respuestas de formulario 1.1'!$B254,$DS254),#REF!,0),MATCH('Respuestas de formulario 1.1'!FQ$1,#REF!,0)))</f>
        <v/>
      </c>
      <c r="FR254" s="45" t="str">
        <f t="array" ref="FR254">IF($DT254="","", INDEX(#REF!,MATCH(CONCATENATE('Respuestas de formulario 1.1'!$B254,$DS254),#REF!,0),MATCH('Respuestas de formulario 1.1'!FR$1,#REF!,0)))</f>
        <v/>
      </c>
      <c r="FS254" s="45" t="str">
        <f t="array" ref="FS254">IF($DU254="","", INDEX(#REF!,MATCH(CONCATENATE('Respuestas de formulario 1.1'!$B254,$DT254),#REF!,0),MATCH('Respuestas de formulario 1.1'!FS$1,#REF!,0)))</f>
        <v/>
      </c>
      <c r="FT254" s="56" t="str">
        <f t="array" ref="FT254">IF($DU254="","", INDEX(#REF!,MATCH(CONCATENATE('Respuestas de formulario 1.1'!$B254,$DT254),#REF!,0),MATCH('Respuestas de formulario 1.1'!FT$1,#REF!,0)))</f>
        <v/>
      </c>
      <c r="FU254" s="56" t="str">
        <f t="array" ref="FU254">IF($DU254="","", INDEX(#REF!,MATCH(CONCATENATE('Respuestas de formulario 1.1'!$B254,$DT254),#REF!,0),MATCH('Respuestas de formulario 1.1'!FU$1,#REF!,0)))</f>
        <v/>
      </c>
      <c r="FV254" s="56" t="str">
        <f t="array" ref="FV254">IF($DU254="","", INDEX(#REF!,MATCH(CONCATENATE('Respuestas de formulario 1.1'!$B254,$DT254),#REF!,0),MATCH('Respuestas de formulario 1.1'!FV$1,#REF!,0)))</f>
        <v/>
      </c>
      <c r="FW254" s="56" t="str">
        <f t="array" ref="FW254">IF($DU254="","", INDEX(#REF!,MATCH(CONCATENATE('Respuestas de formulario 1.1'!$B254,$DT254),#REF!,0),MATCH('Respuestas de formulario 1.1'!FW$1,#REF!,0)))</f>
        <v/>
      </c>
      <c r="FX254" s="56" t="str">
        <f t="array" ref="FX254">IF($DU254="","", INDEX(#REF!,MATCH(CONCATENATE('Respuestas de formulario 1.1'!$B254,$DT254),#REF!,0),MATCH('Respuestas de formulario 1.1'!FX$1,#REF!,0)))</f>
        <v/>
      </c>
      <c r="FY254" s="45" t="str">
        <f t="array" ref="FY254">IF($DU254="","", INDEX(#REF!,MATCH(CONCATENATE('Respuestas de formulario 1.1'!$B254,$DT254),#REF!,0),MATCH('Respuestas de formulario 1.1'!FY$1,#REF!,0)))</f>
        <v/>
      </c>
      <c r="FZ254" s="3" t="s">
        <v>2860</v>
      </c>
      <c r="GA254" s="1" t="s">
        <v>7206</v>
      </c>
      <c r="GB254" s="5" t="s">
        <v>7207</v>
      </c>
      <c r="GC254" s="4" t="str">
        <f>HYPERLINK("https://drive.google.com/file/d/1qo8KemEJ9VFaMc-JuFOzIzfajiHQ9ZsA/view?usp=drivesdk","TORRES HERNANDEZ BRAYAN ARATH Formato de reinscripción y pago 2022-2")</f>
        <v>TORRES HERNANDEZ BRAYAN ARATH Formato de reinscripción y pago 2022-2</v>
      </c>
      <c r="GD254" s="1" t="s">
        <v>7208</v>
      </c>
      <c r="GE254" s="1"/>
      <c r="GF254" s="1"/>
      <c r="GG254" s="1"/>
      <c r="GH254" s="1"/>
      <c r="GI254" s="1" t="s">
        <v>7209</v>
      </c>
      <c r="GJ254" s="5" t="s">
        <v>7210</v>
      </c>
      <c r="GK254" s="5" t="str">
        <f>HYPERLINK("https://drive.google.com/file/d/1Bm1qGjmQFyZ9Ip19gJ2XqUgImFayotNs/view?usp=drivesdk","TORRES HERNANDEZ BRAYAN ARATH Formato de reinscripción y pago 2022-2")</f>
        <v>TORRES HERNANDEZ BRAYAN ARATH Formato de reinscripción y pago 2022-2</v>
      </c>
      <c r="GL254" s="1" t="s">
        <v>7211</v>
      </c>
    </row>
    <row r="255" spans="1:194" ht="38.25" x14ac:dyDescent="0.2">
      <c r="A255" s="2">
        <v>45139.552194999997</v>
      </c>
      <c r="B255" s="1" t="s">
        <v>2492</v>
      </c>
      <c r="C255" s="1" t="s">
        <v>1420</v>
      </c>
      <c r="D255" s="1" t="s">
        <v>382</v>
      </c>
      <c r="E255" s="1" t="s">
        <v>7212</v>
      </c>
      <c r="F255" s="1" t="s">
        <v>223</v>
      </c>
      <c r="G255" s="5" t="s">
        <v>7213</v>
      </c>
      <c r="H255" s="41">
        <v>39077</v>
      </c>
      <c r="I255" s="1">
        <v>16</v>
      </c>
      <c r="J255" s="1">
        <v>5617141987</v>
      </c>
      <c r="K255" s="1">
        <v>5552453897</v>
      </c>
      <c r="L255" s="1" t="s">
        <v>2493</v>
      </c>
      <c r="M255" s="1">
        <v>22309060570279</v>
      </c>
      <c r="N255" s="1" t="s">
        <v>562</v>
      </c>
      <c r="O255" s="1" t="s">
        <v>225</v>
      </c>
      <c r="P255" s="1" t="s">
        <v>278</v>
      </c>
      <c r="Q255" s="1" t="s">
        <v>227</v>
      </c>
      <c r="R255" s="1" t="s">
        <v>236</v>
      </c>
      <c r="S255" s="1" t="s">
        <v>228</v>
      </c>
      <c r="T255" s="1" t="s">
        <v>411</v>
      </c>
      <c r="U255" s="1" t="s">
        <v>249</v>
      </c>
      <c r="V255" s="1" t="s">
        <v>228</v>
      </c>
      <c r="W255" s="1" t="s">
        <v>7214</v>
      </c>
      <c r="X255" s="1" t="s">
        <v>249</v>
      </c>
      <c r="Y255" s="1" t="s">
        <v>1381</v>
      </c>
      <c r="Z255" s="1" t="s">
        <v>240</v>
      </c>
      <c r="AA255" s="44" t="s">
        <v>967</v>
      </c>
      <c r="AB255" s="1">
        <v>2</v>
      </c>
      <c r="AC255" s="1">
        <v>2</v>
      </c>
      <c r="AD255" s="1" t="s">
        <v>7215</v>
      </c>
      <c r="AE255" s="1" t="s">
        <v>7216</v>
      </c>
      <c r="AF255" s="1" t="s">
        <v>403</v>
      </c>
      <c r="AG255" s="1">
        <v>18</v>
      </c>
      <c r="AH255" s="5" t="s">
        <v>7217</v>
      </c>
      <c r="AI255" s="1">
        <v>5617141987</v>
      </c>
      <c r="AJ255" s="1">
        <v>5552453897</v>
      </c>
      <c r="AK255" s="1" t="s">
        <v>2494</v>
      </c>
      <c r="AL255" s="1" t="s">
        <v>1420</v>
      </c>
      <c r="AM255" s="1" t="s">
        <v>7218</v>
      </c>
      <c r="AN255" s="1" t="s">
        <v>582</v>
      </c>
      <c r="AO255" s="1" t="s">
        <v>435</v>
      </c>
      <c r="AP255" s="1">
        <v>48</v>
      </c>
      <c r="AQ255" s="1" t="s">
        <v>456</v>
      </c>
      <c r="AR255" s="42">
        <v>0.33333333333575865</v>
      </c>
      <c r="AS255" s="42">
        <v>0.875</v>
      </c>
      <c r="AT255" s="1">
        <v>2223895023</v>
      </c>
      <c r="AU255" s="1">
        <v>5552453897</v>
      </c>
      <c r="AV255" s="1" t="s">
        <v>2495</v>
      </c>
      <c r="AW255" s="5" t="s">
        <v>7219</v>
      </c>
      <c r="AX255" s="1" t="s">
        <v>382</v>
      </c>
      <c r="AY255" s="1" t="s">
        <v>304</v>
      </c>
      <c r="AZ255" s="1" t="s">
        <v>2203</v>
      </c>
      <c r="BA255" s="1" t="s">
        <v>265</v>
      </c>
      <c r="BB255" s="1">
        <v>57</v>
      </c>
      <c r="BC255" s="1" t="s">
        <v>233</v>
      </c>
      <c r="BD255" s="43">
        <v>0</v>
      </c>
      <c r="BE255" s="43">
        <v>0</v>
      </c>
      <c r="BF255" s="1">
        <v>5617141987</v>
      </c>
      <c r="BG255" s="1">
        <v>5552453897</v>
      </c>
      <c r="BH255" s="1" t="s">
        <v>7220</v>
      </c>
      <c r="BI255" s="5" t="s">
        <v>7221</v>
      </c>
      <c r="BJ255" s="1" t="s">
        <v>236</v>
      </c>
      <c r="BL255" s="1">
        <v>1.56</v>
      </c>
      <c r="BM255" s="1">
        <v>60</v>
      </c>
      <c r="BN255" s="1" t="s">
        <v>236</v>
      </c>
      <c r="BO255" s="1" t="s">
        <v>228</v>
      </c>
      <c r="BQ255" s="1" t="s">
        <v>236</v>
      </c>
      <c r="BR255" s="1" t="s">
        <v>348</v>
      </c>
      <c r="BS255" s="1" t="s">
        <v>228</v>
      </c>
      <c r="BT255" s="1" t="s">
        <v>237</v>
      </c>
      <c r="BU255" s="1" t="s">
        <v>228</v>
      </c>
      <c r="BW255" s="1" t="s">
        <v>238</v>
      </c>
      <c r="BX255" s="1">
        <v>150</v>
      </c>
      <c r="BY255" s="1">
        <v>150</v>
      </c>
      <c r="BZ255" s="1" t="s">
        <v>298</v>
      </c>
      <c r="CA255" s="1" t="s">
        <v>343</v>
      </c>
      <c r="CB255" s="1" t="s">
        <v>240</v>
      </c>
      <c r="CC255" s="1" t="s">
        <v>300</v>
      </c>
      <c r="CD255" s="1">
        <v>2000</v>
      </c>
      <c r="CE255" s="1">
        <v>1500</v>
      </c>
      <c r="CF255" s="1" t="s">
        <v>236</v>
      </c>
      <c r="CG255" s="1" t="s">
        <v>242</v>
      </c>
      <c r="CH255" s="1" t="s">
        <v>243</v>
      </c>
      <c r="CI255" s="1" t="s">
        <v>243</v>
      </c>
      <c r="CJ255" s="1" t="s">
        <v>2848</v>
      </c>
      <c r="CL255" s="5" t="s">
        <v>7222</v>
      </c>
      <c r="CM255" s="1">
        <v>14210693835</v>
      </c>
      <c r="CN255" s="1" t="s">
        <v>228</v>
      </c>
      <c r="CQ255" s="42">
        <v>0</v>
      </c>
      <c r="CR255" s="42">
        <v>0</v>
      </c>
      <c r="CT255" s="45" t="str">
        <f t="array" ref="CT255">IFERROR(INDEX(#REF!,MATCH('Respuestas de formulario 1.1'!$B255,#REF!,0),MATCH('Respuestas de formulario 1.1'!CT$1,#REF!,0)),"")</f>
        <v/>
      </c>
      <c r="CU255" s="56" t="str">
        <f t="array" ref="CU255">IFERROR(INDEX(#REF!,MATCH('Respuestas de formulario 1.1'!$B255,#REF!,0),MATCH('Respuestas de formulario 1.1'!CU$1,#REF!,0)),"")</f>
        <v/>
      </c>
      <c r="CV255" s="56" t="str">
        <f t="array" ref="CV255">IFERROR(INDEX(#REF!,MATCH('Respuestas de formulario 1.1'!$B255,#REF!,0),MATCH('Respuestas de formulario 1.1'!CV$1,#REF!,0)),"")</f>
        <v/>
      </c>
      <c r="CW255" s="56" t="str">
        <f t="array" ref="CW255">IFERROR(INDEX(#REF!,MATCH('Respuestas de formulario 1.1'!$B255,#REF!,0),MATCH('Respuestas de formulario 1.1'!CW$1,#REF!,0)),"")</f>
        <v/>
      </c>
      <c r="CX255" s="56" t="str">
        <f t="array" ref="CX255">IFERROR(INDEX(#REF!,MATCH('Respuestas de formulario 1.1'!$B255,#REF!,0),MATCH('Respuestas de formulario 1.1'!CX$1,#REF!,0)),"")</f>
        <v/>
      </c>
      <c r="CY255" s="56" t="str">
        <f t="array" ref="CY255">IFERROR(INDEX(#REF!,MATCH('Respuestas de formulario 1.1'!$B255,#REF!,0),MATCH('Respuestas de formulario 1.1'!CY$1,#REF!,0)),"")</f>
        <v/>
      </c>
      <c r="CZ255" s="57" t="str">
        <f t="array" ref="CZ255">IFERROR(INDEX(#REF!,MATCH('Respuestas de formulario 1.1'!$B255,#REF!,0),MATCH('Respuestas de formulario 1.1'!CZ$1,#REF!,0)),"")</f>
        <v/>
      </c>
      <c r="DA255" s="45" t="e">
        <f t="array" ref="DA255">INDEX(#REF!,MATCH('Respuestas de formulario 1.1'!$B255,#REF!,0),MATCH('Respuestas de formulario 1.1'!DA$1,#REF!,0))</f>
        <v>#REF!</v>
      </c>
      <c r="DB255" s="45" t="e">
        <f t="array" ref="DB255">INDEX(#REF!,MATCH('Respuestas de formulario 1.1'!$B255,#REF!,0),MATCH('Respuestas de formulario 1.1'!DB$1,#REF!,0))</f>
        <v>#REF!</v>
      </c>
      <c r="DC255" s="45" t="e">
        <f t="array" ref="DC255">INDEX(#REF!,MATCH('Respuestas de formulario 1.1'!$B255,#REF!,0),MATCH('Respuestas de formulario 1.1'!DC$1,#REF!,0))</f>
        <v>#REF!</v>
      </c>
      <c r="DD255" s="45" t="e">
        <f t="array" ref="DD255">INDEX(#REF!,MATCH('Respuestas de formulario 1.1'!$B255,#REF!,0),MATCH('Respuestas de formulario 1.1'!DD$1,#REF!,0))</f>
        <v>#REF!</v>
      </c>
      <c r="DE255" s="45" t="e">
        <f t="array" ref="DE255">INDEX(#REF!,MATCH('Respuestas de formulario 1.1'!$B255,#REF!,0),MATCH('Respuestas de formulario 1.1'!DE$1,#REF!,0))</f>
        <v>#REF!</v>
      </c>
      <c r="DF255" s="45" t="e">
        <f t="array" ref="DF255">INDEX(#REF!,MATCH('Respuestas de formulario 1.1'!$B255,#REF!,0),MATCH('Respuestas de formulario 1.1'!DF$1,#REF!,0))</f>
        <v>#REF!</v>
      </c>
      <c r="DG255" s="45" t="e">
        <f t="array" ref="DG255">INDEX(#REF!,MATCH('Respuestas de formulario 1.1'!$B255,#REF!,0),MATCH('Respuestas de formulario 1.1'!DG$1,#REF!,0))</f>
        <v>#REF!</v>
      </c>
      <c r="DH255" s="45" t="e">
        <f t="array" ref="DH255">INDEX(#REF!,MATCH('Respuestas de formulario 1.1'!$B255,#REF!,0),MATCH('Respuestas de formulario 1.1'!DH$1,#REF!,0))</f>
        <v>#REF!</v>
      </c>
      <c r="DI255" s="48" t="e">
        <f>VLOOKUP(CONCATENATE($DF255," TUTO ",$DC255),#REF!,3,0)</f>
        <v>#REF!</v>
      </c>
      <c r="DJ255" s="48" t="e">
        <f t="array" ref="DJ255">IF('Respuestas de formulario 1.1'!A255="","",INDEX(#REF!,MATCH('Respuestas de formulario 1.1'!B255,#REF!,0),MATCH('Respuestas de formulario 1.1'!$DH$1,#REF!,0)))</f>
        <v>#REF!</v>
      </c>
      <c r="DK255" s="52" t="str">
        <f>CONCATENATE("http://doc.google.com/uc?id=",MID('Respuestas de formulario 1.1'!G255,34,33))</f>
        <v>http://doc.google.com/uc?id=1SJk3GuVgXP2fYdfbxWhsp51vU2R9prsU</v>
      </c>
      <c r="DL255" s="49" t="str">
        <f>CONCATENATE("http://doc.google.com/uc?id=",MID('Respuestas de formulario 1.1'!AH255,34,33))</f>
        <v>http://doc.google.com/uc?id=126arQVFr5mUtTvzEq2Aa_e-FL1-8xFi_</v>
      </c>
      <c r="DM255" s="50" t="str">
        <f>CONCATENATE("http://doc.google.com/uc?id=",MID('Respuestas de formulario 1.1'!AW255,34,33))</f>
        <v>http://doc.google.com/uc?id=1eMhY0JNTbtqd2vZ21MycogQ6Uc2ve0Gc</v>
      </c>
      <c r="DN255" s="53" t="str">
        <f>CONCATENATE("http://doc.google.com/uc?id=",MID('Respuestas de formulario 1.1'!$BI255,34,33))</f>
        <v>http://doc.google.com/uc?id=1iLpC0DDiTReqjlS0frp9r5QYFHHBO49n</v>
      </c>
      <c r="DO255" s="45" t="str">
        <f>IFERROR(VLOOKUP(CONCATENATE('Respuestas de formulario 1.1'!$B255,MID('Respuestas de formulario 1.1'!DO$1,2,1)),#REF!,12,0),"")</f>
        <v/>
      </c>
      <c r="DP255" s="45" t="str">
        <f>IFERROR(VLOOKUP(CONCATENATE('Respuestas de formulario 1.1'!$B255,MID('Respuestas de formulario 1.1'!DP$1,2,1)),#REF!,12,0),"")</f>
        <v/>
      </c>
      <c r="DQ255" s="45" t="str">
        <f>IFERROR(VLOOKUP(CONCATENATE('Respuestas de formulario 1.1'!$B255,MID('Respuestas de formulario 1.1'!DQ$1,2,1)),#REF!,12,0),"")</f>
        <v/>
      </c>
      <c r="DR255" s="45" t="str">
        <f>IFERROR(VLOOKUP(CONCATENATE('Respuestas de formulario 1.1'!$B255,MID('Respuestas de formulario 1.1'!DR$1,2,1)),#REF!,12,0),"")</f>
        <v/>
      </c>
      <c r="DS255" s="45" t="str">
        <f>IFERROR(VLOOKUP(CONCATENATE('Respuestas de formulario 1.1'!$B255,MID('Respuestas de formulario 1.1'!DS$1,2,1)),#REF!,12,0),"")</f>
        <v/>
      </c>
      <c r="DT255" s="45" t="str">
        <f>IFERROR(VLOOKUP(CONCATENATE('Respuestas de formulario 1.1'!$B255,MID('Respuestas de formulario 1.1'!DT$1,2,1)),#REF!,12,0),"")</f>
        <v/>
      </c>
      <c r="DU255" s="45" t="str">
        <f>IFERROR(VLOOKUP(CONCATENATE('Respuestas de formulario 1.1'!$B255,MID('Respuestas de formulario 1.1'!DU$1,2,1)),#REF!,12,0),"")</f>
        <v/>
      </c>
      <c r="DV255" s="45" t="str">
        <f>IFERROR(VLOOKUP(CONCATENATE('Respuestas de formulario 1.1'!$B255,MID('Respuestas de formulario 1.1'!DV$1,2,1)),#REF!,12,0),"")</f>
        <v/>
      </c>
      <c r="DW255" s="45" t="str">
        <f>IFERROR(VLOOKUP(CONCATENATE('Respuestas de formulario 1.1'!$B255,MID('Respuestas de formulario 1.1'!DW$1,2,1)),#REF!,12,0),"")</f>
        <v/>
      </c>
      <c r="DX255" s="45" t="str">
        <f>IFERROR(VLOOKUP(CONCATENATE('Respuestas de formulario 1.1'!$B255,MID('Respuestas de formulario 1.1'!DX$1,2,1)),#REF!,12,0),"")</f>
        <v/>
      </c>
      <c r="DY255" s="45" t="str">
        <f>IFERROR(VLOOKUP(CONCATENATE('Respuestas de formulario 1.1'!$B255,MID('Respuestas de formulario 1.1'!DY$1,2,1)),#REF!,12,0),"")</f>
        <v/>
      </c>
      <c r="DZ255" s="45" t="str">
        <f>IFERROR(VLOOKUP(CONCATENATE('Respuestas de formulario 1.1'!$B255,MID('Respuestas de formulario 1.1'!DZ$1,2,1)),#REF!,12,0),"")</f>
        <v/>
      </c>
      <c r="EA255" s="45" t="str">
        <f>IFERROR(VLOOKUP(CONCATENATE('Respuestas de formulario 1.1'!$B255,MID('Respuestas de formulario 1.1'!EA$1,2,1)),#REF!,12,0),"")</f>
        <v/>
      </c>
      <c r="EB255" s="45" t="str">
        <f>IFERROR(VLOOKUP(CONCATENATE('Respuestas de formulario 1.1'!$B255,MID('Respuestas de formulario 1.1'!EB$1,2,1)),#REF!,12,0),"")</f>
        <v/>
      </c>
      <c r="EC255" s="45" t="str">
        <f>IFERROR(VLOOKUP(CONCATENATE('Respuestas de formulario 1.1'!$B255,MID('Respuestas de formulario 1.1'!EC$1,2,1)),#REF!,12,0),"")</f>
        <v/>
      </c>
      <c r="ED255" s="45" t="str">
        <f>IFERROR(VLOOKUP(CONCATENATE('Respuestas de formulario 1.1'!$B255,MID('Respuestas de formulario 1.1'!ED$1,2,1)),#REF!,12,0),"")</f>
        <v/>
      </c>
      <c r="EE255" s="45" t="str">
        <f>IFERROR(VLOOKUP(CONCATENATE('Respuestas de formulario 1.1'!$B255,MID('Respuestas de formulario 1.1'!EE$1,2,1)),#REF!,12,0),"")</f>
        <v/>
      </c>
      <c r="EF255" s="45" t="str">
        <f>IFERROR(VLOOKUP(CONCATENATE('Respuestas de formulario 1.1'!$B255,MID('Respuestas de formulario 1.1'!EF$1,2,1)),#REF!,12,0),"")</f>
        <v/>
      </c>
      <c r="EG255" s="45" t="str">
        <f>IFERROR(VLOOKUP(CONCATENATE('Respuestas de formulario 1.1'!$B255,MID('Respuestas de formulario 1.1'!EG$1,2,1)),#REF!,12,0),"")</f>
        <v/>
      </c>
      <c r="EH255" s="45" t="str">
        <f>IFERROR(VLOOKUP(CONCATENATE('Respuestas de formulario 1.1'!$B255,MID('Respuestas de formulario 1.1'!EH$1,2,1)),#REF!,12,0),"")</f>
        <v/>
      </c>
      <c r="EI255" s="45" t="str">
        <f>IFERROR(VLOOKUP(CONCATENATE('Respuestas de formulario 1.1'!$B255,MID('Respuestas de formulario 1.1'!EI$1,2,1)),#REF!,12,0),"")</f>
        <v/>
      </c>
      <c r="EJ255" s="45" t="str">
        <f t="array" ref="EJ255">IF(DO255="","", INDEX(#REF!,MATCH(CONCATENATE('Respuestas de formulario 1.1'!$B255,DO255),#REF!,0),MATCH('Respuestas de formulario 1.1'!EJ$1,#REF!,0)))</f>
        <v/>
      </c>
      <c r="EK255" s="56" t="str">
        <f t="array" ref="EK255">IF(DP255="","", INDEX(#REF!,MATCH(CONCATENATE('Respuestas de formulario 1.1'!$B255,DP255),#REF!,0),MATCH('Respuestas de formulario 1.1'!EK$1,#REF!,0)))</f>
        <v/>
      </c>
      <c r="EL255" s="56" t="str">
        <f t="array" ref="EL255">IF(DQ255="","", INDEX(#REF!,MATCH(CONCATENATE('Respuestas de formulario 1.1'!$B255,DQ255),#REF!,0),MATCH('Respuestas de formulario 1.1'!EL$1,#REF!,0)))</f>
        <v/>
      </c>
      <c r="EM255" s="56" t="str">
        <f t="array" ref="EM255">IF(DR255="","", INDEX(#REF!,MATCH(CONCATENATE('Respuestas de formulario 1.1'!$B255,DR255),#REF!,0),MATCH('Respuestas de formulario 1.1'!EM$1,#REF!,0)))</f>
        <v/>
      </c>
      <c r="EN255" s="56" t="str">
        <f t="array" ref="EN255">IF(DS255="","", INDEX(#REF!,MATCH(CONCATENATE('Respuestas de formulario 1.1'!$B255,DS255),#REF!,0),MATCH('Respuestas de formulario 1.1'!EN$1,#REF!,0)))</f>
        <v/>
      </c>
      <c r="EO255" s="56" t="str">
        <f t="array" ref="EO255">IF(DT255="","", INDEX(#REF!,MATCH(CONCATENATE('Respuestas de formulario 1.1'!$B255,DT255),#REF!,0),MATCH('Respuestas de formulario 1.1'!EO$1,#REF!,0)))</f>
        <v/>
      </c>
      <c r="EP255" s="45" t="str">
        <f t="array" ref="EP255">IF(DU255="","", INDEX(#REF!,MATCH(CONCATENATE('Respuestas de formulario 1.1'!$B255,DU255),#REF!,0),MATCH('Respuestas de formulario 1.1'!EP$1,#REF!,0)))</f>
        <v/>
      </c>
      <c r="EQ255" s="45" t="str">
        <f t="array" ref="EQ255">IF(DP255="","", INDEX(#REF!,MATCH(CONCATENATE('Respuestas de formulario 1.1'!$B255,DP255),#REF!,0),MATCH('Respuestas de formulario 1.1'!EQ$1,#REF!,0)))</f>
        <v/>
      </c>
      <c r="ER255" s="56" t="str">
        <f t="array" ref="ER255">IF(DQ255="","", INDEX(#REF!,MATCH(CONCATENATE('Respuestas de formulario 1.1'!$B255,DQ255),#REF!,0),MATCH('Respuestas de formulario 1.1'!ER$1,#REF!,0)))</f>
        <v/>
      </c>
      <c r="ES255" s="56" t="str">
        <f t="array" ref="ES255">IF(DR255="","", INDEX(#REF!,MATCH(CONCATENATE('Respuestas de formulario 1.1'!$B255,DR255),#REF!,0),MATCH('Respuestas de formulario 1.1'!ES$1,#REF!,0)))</f>
        <v/>
      </c>
      <c r="ET255" s="56" t="str">
        <f t="array" ref="ET255">IF(DS255="","", INDEX(#REF!,MATCH(CONCATENATE('Respuestas de formulario 1.1'!$B255,DS255),#REF!,0),MATCH('Respuestas de formulario 1.1'!ET$1,#REF!,0)))</f>
        <v/>
      </c>
      <c r="EU255" s="56" t="str">
        <f t="array" ref="EU255">IF(DT255="","", INDEX(#REF!,MATCH(CONCATENATE('Respuestas de formulario 1.1'!$B255,DT255),#REF!,0),MATCH('Respuestas de formulario 1.1'!EU$1,#REF!,0)))</f>
        <v/>
      </c>
      <c r="EV255" s="56" t="str">
        <f t="array" ref="EV255">IF(DU255="","", INDEX(#REF!,MATCH(CONCATENATE('Respuestas de formulario 1.1'!$B255,DU255),#REF!,0),MATCH('Respuestas de formulario 1.1'!EV$1,#REF!,0)))</f>
        <v/>
      </c>
      <c r="EW255" s="45" t="str">
        <f t="array" ref="EW255">IF(DV255="","", INDEX(#REF!,MATCH(CONCATENATE('Respuestas de formulario 1.1'!$B255,DV255),#REF!,0),MATCH('Respuestas de formulario 1.1'!EW$1,#REF!,0)))</f>
        <v/>
      </c>
      <c r="EX255" s="45" t="str">
        <f t="array" ref="EX255">IF($DQ255="","", INDEX(#REF!,MATCH(CONCATENATE('Respuestas de formulario 1.1'!$B255,$DQ255),#REF!,0),MATCH('Respuestas de formulario 1.1'!EX$1,#REF!,0)))</f>
        <v/>
      </c>
      <c r="EY255" s="56" t="str">
        <f t="array" ref="EY255">IF($DQ255="","", INDEX(#REF!,MATCH(CONCATENATE('Respuestas de formulario 1.1'!$B255,$DQ255),#REF!,0),MATCH('Respuestas de formulario 1.1'!EY$1,#REF!,0)))</f>
        <v/>
      </c>
      <c r="EZ255" s="56" t="str">
        <f t="array" ref="EZ255">IF($DQ255="","", INDEX(#REF!,MATCH(CONCATENATE('Respuestas de formulario 1.1'!$B255,$DQ255),#REF!,0),MATCH('Respuestas de formulario 1.1'!EZ$1,#REF!,0)))</f>
        <v/>
      </c>
      <c r="FA255" s="56" t="str">
        <f t="array" ref="FA255">IF($DQ255="","", INDEX(#REF!,MATCH(CONCATENATE('Respuestas de formulario 1.1'!$B255,$DQ255),#REF!,0),MATCH('Respuestas de formulario 1.1'!FA$1,#REF!,0)))</f>
        <v/>
      </c>
      <c r="FB255" s="56" t="str">
        <f t="array" ref="FB255">IF($DQ255="","", INDEX(#REF!,MATCH(CONCATENATE('Respuestas de formulario 1.1'!$B255,$DQ255),#REF!,0),MATCH('Respuestas de formulario 1.1'!FB$1,#REF!,0)))</f>
        <v/>
      </c>
      <c r="FC255" s="56" t="str">
        <f t="array" ref="FC255">IF($DQ255="","", INDEX(#REF!,MATCH(CONCATENATE('Respuestas de formulario 1.1'!$B255,$DQ255),#REF!,0),MATCH('Respuestas de formulario 1.1'!FC$1,#REF!,0)))</f>
        <v/>
      </c>
      <c r="FD255" s="45" t="str">
        <f t="array" ref="FD255">IF($DQ255="","", INDEX(#REF!,MATCH(CONCATENATE('Respuestas de formulario 1.1'!$B255,$DQ255),#REF!,0),MATCH('Respuestas de formulario 1.1'!FD$1,#REF!,0)))</f>
        <v/>
      </c>
      <c r="FE255" s="45" t="str">
        <f t="array" ref="FE255">IF($DR255="","", INDEX(#REF!,MATCH(CONCATENATE(#REF!,$DR255),#REF!,0),MATCH(#REF!,#REF!,0)))</f>
        <v/>
      </c>
      <c r="FF255" s="56" t="str">
        <f t="array" ref="FF255">IF($DR255="","", INDEX(#REF!,MATCH(CONCATENATE(#REF!,$DR255),#REF!,0),MATCH(#REF!,#REF!,0)))</f>
        <v/>
      </c>
      <c r="FG255" s="56" t="str">
        <f t="array" ref="FG255">IF($DR255="","", INDEX(#REF!,MATCH(CONCATENATE(#REF!,$DR255),#REF!,0),MATCH(#REF!,#REF!,0)))</f>
        <v/>
      </c>
      <c r="FH255" s="56" t="str">
        <f t="array" ref="FH255">IF($DR255="","", INDEX(#REF!,MATCH(CONCATENATE(#REF!,$DR255),#REF!,0),MATCH(#REF!,#REF!,0)))</f>
        <v/>
      </c>
      <c r="FI255" s="56" t="str">
        <f t="array" ref="FI255">IF($DR255="","", INDEX(#REF!,MATCH(CONCATENATE(#REF!,$DR255),#REF!,0),MATCH(#REF!,#REF!,0)))</f>
        <v/>
      </c>
      <c r="FJ255" s="56" t="str">
        <f t="array" ref="FJ255">IF($DR255="","", INDEX(#REF!,MATCH(CONCATENATE(#REF!,$DR255),#REF!,0),MATCH(#REF!,#REF!,0)))</f>
        <v/>
      </c>
      <c r="FK255" s="45" t="str">
        <f t="array" ref="FK255">IF($DR255="","", INDEX(#REF!,MATCH(CONCATENATE(#REF!,$DR255),#REF!,0),MATCH(#REF!,#REF!,0)))</f>
        <v/>
      </c>
      <c r="FL255" s="45" t="str">
        <f t="array" ref="FL255">IF($DT255="","", INDEX(#REF!,MATCH(CONCATENATE('Respuestas de formulario 1.1'!$B255,$DS255),#REF!,0),MATCH('Respuestas de formulario 1.1'!FL$1,#REF!,0)))</f>
        <v/>
      </c>
      <c r="FM255" s="56" t="str">
        <f t="array" ref="FM255">IF($DT255="","", INDEX(#REF!,MATCH(CONCATENATE('Respuestas de formulario 1.1'!$B255,$DS255),#REF!,0),MATCH('Respuestas de formulario 1.1'!FM$1,#REF!,0)))</f>
        <v/>
      </c>
      <c r="FN255" s="56" t="str">
        <f t="array" ref="FN255">IF($DT255="","", INDEX(#REF!,MATCH(CONCATENATE('Respuestas de formulario 1.1'!$B255,$DS255),#REF!,0),MATCH('Respuestas de formulario 1.1'!FN$1,#REF!,0)))</f>
        <v/>
      </c>
      <c r="FO255" s="56" t="str">
        <f t="array" ref="FO255">IF($DT255="","", INDEX(#REF!,MATCH(CONCATENATE('Respuestas de formulario 1.1'!$B255,$DS255),#REF!,0),MATCH('Respuestas de formulario 1.1'!FO$1,#REF!,0)))</f>
        <v/>
      </c>
      <c r="FP255" s="56" t="str">
        <f t="array" ref="FP255">IF($DT255="","", INDEX(#REF!,MATCH(CONCATENATE('Respuestas de formulario 1.1'!$B255,$DS255),#REF!,0),MATCH('Respuestas de formulario 1.1'!FP$1,#REF!,0)))</f>
        <v/>
      </c>
      <c r="FQ255" s="56" t="str">
        <f t="array" ref="FQ255">IF($DT255="","", INDEX(#REF!,MATCH(CONCATENATE('Respuestas de formulario 1.1'!$B255,$DS255),#REF!,0),MATCH('Respuestas de formulario 1.1'!FQ$1,#REF!,0)))</f>
        <v/>
      </c>
      <c r="FR255" s="45" t="str">
        <f t="array" ref="FR255">IF($DT255="","", INDEX(#REF!,MATCH(CONCATENATE('Respuestas de formulario 1.1'!$B255,$DS255),#REF!,0),MATCH('Respuestas de formulario 1.1'!FR$1,#REF!,0)))</f>
        <v/>
      </c>
      <c r="FS255" s="45" t="str">
        <f t="array" ref="FS255">IF($DU255="","", INDEX(#REF!,MATCH(CONCATENATE('Respuestas de formulario 1.1'!$B255,$DT255),#REF!,0),MATCH('Respuestas de formulario 1.1'!FS$1,#REF!,0)))</f>
        <v/>
      </c>
      <c r="FT255" s="56" t="str">
        <f t="array" ref="FT255">IF($DU255="","", INDEX(#REF!,MATCH(CONCATENATE('Respuestas de formulario 1.1'!$B255,$DT255),#REF!,0),MATCH('Respuestas de formulario 1.1'!FT$1,#REF!,0)))</f>
        <v/>
      </c>
      <c r="FU255" s="56" t="str">
        <f t="array" ref="FU255">IF($DU255="","", INDEX(#REF!,MATCH(CONCATENATE('Respuestas de formulario 1.1'!$B255,$DT255),#REF!,0),MATCH('Respuestas de formulario 1.1'!FU$1,#REF!,0)))</f>
        <v/>
      </c>
      <c r="FV255" s="56" t="str">
        <f t="array" ref="FV255">IF($DU255="","", INDEX(#REF!,MATCH(CONCATENATE('Respuestas de formulario 1.1'!$B255,$DT255),#REF!,0),MATCH('Respuestas de formulario 1.1'!FV$1,#REF!,0)))</f>
        <v/>
      </c>
      <c r="FW255" s="56" t="str">
        <f t="array" ref="FW255">IF($DU255="","", INDEX(#REF!,MATCH(CONCATENATE('Respuestas de formulario 1.1'!$B255,$DT255),#REF!,0),MATCH('Respuestas de formulario 1.1'!FW$1,#REF!,0)))</f>
        <v/>
      </c>
      <c r="FX255" s="56" t="str">
        <f t="array" ref="FX255">IF($DU255="","", INDEX(#REF!,MATCH(CONCATENATE('Respuestas de formulario 1.1'!$B255,$DT255),#REF!,0),MATCH('Respuestas de formulario 1.1'!FX$1,#REF!,0)))</f>
        <v/>
      </c>
      <c r="FY255" s="45" t="str">
        <f t="array" ref="FY255">IF($DU255="","", INDEX(#REF!,MATCH(CONCATENATE('Respuestas de formulario 1.1'!$B255,$DT255),#REF!,0),MATCH('Respuestas de formulario 1.1'!FY$1,#REF!,0)))</f>
        <v/>
      </c>
      <c r="FZ255" s="3" t="s">
        <v>2860</v>
      </c>
      <c r="GA255" s="1" t="s">
        <v>7223</v>
      </c>
      <c r="GB255" s="5" t="s">
        <v>7224</v>
      </c>
      <c r="GC255" s="4" t="str">
        <f>HYPERLINK("https://drive.google.com/file/d/10_Tc2CfNYFWYdDuDzzeUCGFQnxMEffGh/view?usp=drivesdk","RIVERA REYES MIRIAM ITZEL Formato de reinscripción y pago 2022-2")</f>
        <v>RIVERA REYES MIRIAM ITZEL Formato de reinscripción y pago 2022-2</v>
      </c>
      <c r="GD255" s="1" t="s">
        <v>7225</v>
      </c>
      <c r="GE255" s="1"/>
      <c r="GF255" s="1"/>
      <c r="GG255" s="1"/>
      <c r="GH255" s="1"/>
      <c r="GI255" s="1" t="s">
        <v>7226</v>
      </c>
      <c r="GJ255" s="5" t="s">
        <v>7227</v>
      </c>
      <c r="GK255" s="5" t="str">
        <f>HYPERLINK("https://drive.google.com/file/d/1SWYqoq66QGbsPJfQvlJJLW2ULVp2TJ-w/view?usp=drivesdk","RIVERA REYES MIRIAM ITZEL Formato de reinscripción y pago 2022-2")</f>
        <v>RIVERA REYES MIRIAM ITZEL Formato de reinscripción y pago 2022-2</v>
      </c>
      <c r="GL255" s="1" t="s">
        <v>7228</v>
      </c>
    </row>
    <row r="256" spans="1:194" ht="38.25" x14ac:dyDescent="0.2">
      <c r="A256" s="2">
        <v>45139.552485891203</v>
      </c>
      <c r="B256" s="1" t="s">
        <v>2249</v>
      </c>
      <c r="C256" s="1" t="s">
        <v>390</v>
      </c>
      <c r="D256" s="1" t="s">
        <v>1528</v>
      </c>
      <c r="E256" s="1" t="s">
        <v>427</v>
      </c>
      <c r="F256" s="1" t="s">
        <v>223</v>
      </c>
      <c r="G256" s="5" t="s">
        <v>7229</v>
      </c>
      <c r="H256" s="41">
        <v>39029</v>
      </c>
      <c r="I256" s="1">
        <v>16</v>
      </c>
      <c r="J256" s="1">
        <v>5529112291</v>
      </c>
      <c r="K256" s="1">
        <v>5584651190</v>
      </c>
      <c r="L256" s="1" t="s">
        <v>7230</v>
      </c>
      <c r="M256" s="1">
        <v>21309060570952</v>
      </c>
      <c r="N256" s="1" t="s">
        <v>1108</v>
      </c>
      <c r="O256" s="1" t="s">
        <v>225</v>
      </c>
      <c r="P256" s="1" t="s">
        <v>314</v>
      </c>
      <c r="Q256" s="1" t="s">
        <v>248</v>
      </c>
      <c r="R256" s="1" t="s">
        <v>236</v>
      </c>
      <c r="S256" s="1" t="s">
        <v>228</v>
      </c>
      <c r="T256" s="1" t="s">
        <v>686</v>
      </c>
      <c r="U256" s="1" t="s">
        <v>249</v>
      </c>
      <c r="V256" s="1" t="s">
        <v>228</v>
      </c>
      <c r="W256" s="1" t="s">
        <v>7231</v>
      </c>
      <c r="X256" s="1" t="s">
        <v>249</v>
      </c>
      <c r="Y256" s="1" t="s">
        <v>7232</v>
      </c>
      <c r="Z256" s="1" t="s">
        <v>240</v>
      </c>
      <c r="AA256" s="44" t="s">
        <v>500</v>
      </c>
      <c r="AB256" s="1">
        <v>9</v>
      </c>
      <c r="AC256" s="1">
        <v>9</v>
      </c>
      <c r="AD256" s="1" t="s">
        <v>7233</v>
      </c>
      <c r="AE256" s="1" t="s">
        <v>7234</v>
      </c>
      <c r="AF256" s="1" t="s">
        <v>265</v>
      </c>
      <c r="AG256" s="1">
        <v>43</v>
      </c>
      <c r="AH256" s="5" t="s">
        <v>7235</v>
      </c>
      <c r="AI256" s="1">
        <v>5546562093</v>
      </c>
      <c r="AJ256" s="1">
        <v>5584651190</v>
      </c>
      <c r="AK256" s="1" t="s">
        <v>2250</v>
      </c>
      <c r="AL256" s="1" t="s">
        <v>390</v>
      </c>
      <c r="AM256" s="1" t="s">
        <v>2252</v>
      </c>
      <c r="AN256" s="1" t="s">
        <v>870</v>
      </c>
      <c r="AO256" s="1" t="s">
        <v>435</v>
      </c>
      <c r="AP256" s="1">
        <v>41</v>
      </c>
      <c r="AQ256" s="1" t="s">
        <v>2256</v>
      </c>
      <c r="AR256" s="42">
        <v>0.29166666666424135</v>
      </c>
      <c r="AS256" s="42">
        <v>0.125</v>
      </c>
      <c r="AT256" s="1">
        <v>5545339919</v>
      </c>
      <c r="AU256" s="1">
        <v>5584651190</v>
      </c>
      <c r="AV256" s="1" t="s">
        <v>2253</v>
      </c>
      <c r="AW256" s="5" t="s">
        <v>7236</v>
      </c>
      <c r="AX256" s="1" t="s">
        <v>1528</v>
      </c>
      <c r="AY256" s="1" t="s">
        <v>531</v>
      </c>
      <c r="AZ256" s="1" t="s">
        <v>296</v>
      </c>
      <c r="BA256" s="1" t="s">
        <v>524</v>
      </c>
      <c r="BB256" s="1">
        <v>64</v>
      </c>
      <c r="BC256" s="1" t="s">
        <v>364</v>
      </c>
      <c r="BD256" s="43">
        <v>0</v>
      </c>
      <c r="BE256" s="43">
        <v>0</v>
      </c>
      <c r="BF256" s="1">
        <v>5586980324</v>
      </c>
      <c r="BG256" s="1">
        <v>5553682988</v>
      </c>
      <c r="BH256" s="1" t="s">
        <v>2250</v>
      </c>
      <c r="BI256" s="5" t="s">
        <v>7237</v>
      </c>
      <c r="BJ256" s="1" t="s">
        <v>236</v>
      </c>
      <c r="BK256" s="1" t="s">
        <v>7238</v>
      </c>
      <c r="BL256" s="1">
        <v>175</v>
      </c>
      <c r="BM256" s="1">
        <v>70</v>
      </c>
      <c r="BN256" s="1" t="s">
        <v>236</v>
      </c>
      <c r="BO256" s="1" t="s">
        <v>236</v>
      </c>
      <c r="BP256" s="1" t="s">
        <v>7239</v>
      </c>
      <c r="BQ256" s="1" t="s">
        <v>236</v>
      </c>
      <c r="BR256" s="1" t="s">
        <v>348</v>
      </c>
      <c r="BS256" s="1" t="s">
        <v>236</v>
      </c>
      <c r="BT256" s="1" t="s">
        <v>457</v>
      </c>
      <c r="BU256" s="1" t="s">
        <v>228</v>
      </c>
      <c r="BW256" s="1" t="s">
        <v>349</v>
      </c>
      <c r="BX256" s="1">
        <v>120</v>
      </c>
      <c r="BY256" s="1">
        <v>330</v>
      </c>
      <c r="BZ256" s="1" t="s">
        <v>253</v>
      </c>
      <c r="CA256" s="1" t="s">
        <v>786</v>
      </c>
      <c r="CB256" s="1" t="s">
        <v>240</v>
      </c>
      <c r="CC256" s="1" t="s">
        <v>300</v>
      </c>
      <c r="CD256" s="1">
        <v>1500</v>
      </c>
      <c r="CE256" s="1">
        <v>1400</v>
      </c>
      <c r="CF256" s="1" t="s">
        <v>236</v>
      </c>
      <c r="CG256" s="1" t="s">
        <v>242</v>
      </c>
      <c r="CH256" s="1" t="s">
        <v>243</v>
      </c>
      <c r="CI256" s="1" t="s">
        <v>243</v>
      </c>
      <c r="CJ256" s="1" t="s">
        <v>2848</v>
      </c>
      <c r="CL256" s="5" t="s">
        <v>7240</v>
      </c>
      <c r="CM256" s="1">
        <v>20210669964</v>
      </c>
      <c r="CN256" s="1" t="s">
        <v>228</v>
      </c>
      <c r="CQ256" s="42">
        <v>0</v>
      </c>
      <c r="CR256" s="42">
        <v>0</v>
      </c>
      <c r="CT256" s="45" t="str">
        <f t="array" ref="CT256">IFERROR(INDEX(#REF!,MATCH('Respuestas de formulario 1.1'!$B256,#REF!,0),MATCH('Respuestas de formulario 1.1'!CT$1,#REF!,0)),"")</f>
        <v/>
      </c>
      <c r="CU256" s="56" t="str">
        <f t="array" ref="CU256">IFERROR(INDEX(#REF!,MATCH('Respuestas de formulario 1.1'!$B256,#REF!,0),MATCH('Respuestas de formulario 1.1'!CU$1,#REF!,0)),"")</f>
        <v/>
      </c>
      <c r="CV256" s="56" t="str">
        <f t="array" ref="CV256">IFERROR(INDEX(#REF!,MATCH('Respuestas de formulario 1.1'!$B256,#REF!,0),MATCH('Respuestas de formulario 1.1'!CV$1,#REF!,0)),"")</f>
        <v/>
      </c>
      <c r="CW256" s="56" t="str">
        <f t="array" ref="CW256">IFERROR(INDEX(#REF!,MATCH('Respuestas de formulario 1.1'!$B256,#REF!,0),MATCH('Respuestas de formulario 1.1'!CW$1,#REF!,0)),"")</f>
        <v/>
      </c>
      <c r="CX256" s="56" t="str">
        <f t="array" ref="CX256">IFERROR(INDEX(#REF!,MATCH('Respuestas de formulario 1.1'!$B256,#REF!,0),MATCH('Respuestas de formulario 1.1'!CX$1,#REF!,0)),"")</f>
        <v/>
      </c>
      <c r="CY256" s="56" t="str">
        <f t="array" ref="CY256">IFERROR(INDEX(#REF!,MATCH('Respuestas de formulario 1.1'!$B256,#REF!,0),MATCH('Respuestas de formulario 1.1'!CY$1,#REF!,0)),"")</f>
        <v/>
      </c>
      <c r="CZ256" s="57" t="str">
        <f t="array" ref="CZ256">IFERROR(INDEX(#REF!,MATCH('Respuestas de formulario 1.1'!$B256,#REF!,0),MATCH('Respuestas de formulario 1.1'!CZ$1,#REF!,0)),"")</f>
        <v/>
      </c>
      <c r="DA256" s="45" t="e">
        <f t="array" ref="DA256">INDEX(#REF!,MATCH('Respuestas de formulario 1.1'!$B256,#REF!,0),MATCH('Respuestas de formulario 1.1'!DA$1,#REF!,0))</f>
        <v>#REF!</v>
      </c>
      <c r="DB256" s="45" t="e">
        <f t="array" ref="DB256">INDEX(#REF!,MATCH('Respuestas de formulario 1.1'!$B256,#REF!,0),MATCH('Respuestas de formulario 1.1'!DB$1,#REF!,0))</f>
        <v>#REF!</v>
      </c>
      <c r="DC256" s="45" t="e">
        <f t="array" ref="DC256">INDEX(#REF!,MATCH('Respuestas de formulario 1.1'!$B256,#REF!,0),MATCH('Respuestas de formulario 1.1'!DC$1,#REF!,0))</f>
        <v>#REF!</v>
      </c>
      <c r="DD256" s="45" t="e">
        <f t="array" ref="DD256">INDEX(#REF!,MATCH('Respuestas de formulario 1.1'!$B256,#REF!,0),MATCH('Respuestas de formulario 1.1'!DD$1,#REF!,0))</f>
        <v>#REF!</v>
      </c>
      <c r="DE256" s="45" t="e">
        <f t="array" ref="DE256">INDEX(#REF!,MATCH('Respuestas de formulario 1.1'!$B256,#REF!,0),MATCH('Respuestas de formulario 1.1'!DE$1,#REF!,0))</f>
        <v>#REF!</v>
      </c>
      <c r="DF256" s="45" t="e">
        <f t="array" ref="DF256">INDEX(#REF!,MATCH('Respuestas de formulario 1.1'!$B256,#REF!,0),MATCH('Respuestas de formulario 1.1'!DF$1,#REF!,0))</f>
        <v>#REF!</v>
      </c>
      <c r="DG256" s="45" t="e">
        <f t="array" ref="DG256">INDEX(#REF!,MATCH('Respuestas de formulario 1.1'!$B256,#REF!,0),MATCH('Respuestas de formulario 1.1'!DG$1,#REF!,0))</f>
        <v>#REF!</v>
      </c>
      <c r="DH256" s="45" t="e">
        <f t="array" ref="DH256">INDEX(#REF!,MATCH('Respuestas de formulario 1.1'!$B256,#REF!,0),MATCH('Respuestas de formulario 1.1'!DH$1,#REF!,0))</f>
        <v>#REF!</v>
      </c>
      <c r="DI256" s="48" t="e">
        <f>VLOOKUP(CONCATENATE($DF256," TUTO ",$DC256),#REF!,3,0)</f>
        <v>#REF!</v>
      </c>
      <c r="DJ256" s="48" t="e">
        <f t="array" ref="DJ256">IF('Respuestas de formulario 1.1'!A256="","",INDEX(#REF!,MATCH('Respuestas de formulario 1.1'!B256,#REF!,0),MATCH('Respuestas de formulario 1.1'!$DH$1,#REF!,0)))</f>
        <v>#REF!</v>
      </c>
      <c r="DK256" s="52" t="str">
        <f>CONCATENATE("http://doc.google.com/uc?id=",MID('Respuestas de formulario 1.1'!G256,34,33))</f>
        <v>http://doc.google.com/uc?id=19wRx9it3PzJ-fWiOuHgQVB1QgA6nnxM_</v>
      </c>
      <c r="DL256" s="49" t="str">
        <f>CONCATENATE("http://doc.google.com/uc?id=",MID('Respuestas de formulario 1.1'!AH256,34,33))</f>
        <v>http://doc.google.com/uc?id=1hLqBvoVTa3wH14zI-ucnZ8QLX6NXpTow</v>
      </c>
      <c r="DM256" s="50" t="str">
        <f>CONCATENATE("http://doc.google.com/uc?id=",MID('Respuestas de formulario 1.1'!AW256,34,33))</f>
        <v>http://doc.google.com/uc?id=1HEH6PujElEFJewzO_cP3mBFGnmCI3BNl</v>
      </c>
      <c r="DN256" s="53" t="str">
        <f>CONCATENATE("http://doc.google.com/uc?id=",MID('Respuestas de formulario 1.1'!$BI256,34,33))</f>
        <v>http://doc.google.com/uc?id=1-yf6xUscBNc-1lQCYz08ZQAB4x1JtUDG</v>
      </c>
      <c r="DO256" s="45" t="str">
        <f>IFERROR(VLOOKUP(CONCATENATE('Respuestas de formulario 1.1'!$B256,MID('Respuestas de formulario 1.1'!DO$1,2,1)),#REF!,12,0),"")</f>
        <v/>
      </c>
      <c r="DP256" s="45" t="str">
        <f>IFERROR(VLOOKUP(CONCATENATE('Respuestas de formulario 1.1'!$B256,MID('Respuestas de formulario 1.1'!DP$1,2,1)),#REF!,12,0),"")</f>
        <v/>
      </c>
      <c r="DQ256" s="45" t="str">
        <f>IFERROR(VLOOKUP(CONCATENATE('Respuestas de formulario 1.1'!$B256,MID('Respuestas de formulario 1.1'!DQ$1,2,1)),#REF!,12,0),"")</f>
        <v/>
      </c>
      <c r="DR256" s="45" t="str">
        <f>IFERROR(VLOOKUP(CONCATENATE('Respuestas de formulario 1.1'!$B256,MID('Respuestas de formulario 1.1'!DR$1,2,1)),#REF!,12,0),"")</f>
        <v/>
      </c>
      <c r="DS256" s="45" t="str">
        <f>IFERROR(VLOOKUP(CONCATENATE('Respuestas de formulario 1.1'!$B256,MID('Respuestas de formulario 1.1'!DS$1,2,1)),#REF!,12,0),"")</f>
        <v/>
      </c>
      <c r="DT256" s="45" t="str">
        <f>IFERROR(VLOOKUP(CONCATENATE('Respuestas de formulario 1.1'!$B256,MID('Respuestas de formulario 1.1'!DT$1,2,1)),#REF!,12,0),"")</f>
        <v/>
      </c>
      <c r="DU256" s="45" t="str">
        <f>IFERROR(VLOOKUP(CONCATENATE('Respuestas de formulario 1.1'!$B256,MID('Respuestas de formulario 1.1'!DU$1,2,1)),#REF!,12,0),"")</f>
        <v/>
      </c>
      <c r="DV256" s="45" t="str">
        <f>IFERROR(VLOOKUP(CONCATENATE('Respuestas de formulario 1.1'!$B256,MID('Respuestas de formulario 1.1'!DV$1,2,1)),#REF!,12,0),"")</f>
        <v/>
      </c>
      <c r="DW256" s="45" t="str">
        <f>IFERROR(VLOOKUP(CONCATENATE('Respuestas de formulario 1.1'!$B256,MID('Respuestas de formulario 1.1'!DW$1,2,1)),#REF!,12,0),"")</f>
        <v/>
      </c>
      <c r="DX256" s="45" t="str">
        <f>IFERROR(VLOOKUP(CONCATENATE('Respuestas de formulario 1.1'!$B256,MID('Respuestas de formulario 1.1'!DX$1,2,1)),#REF!,12,0),"")</f>
        <v/>
      </c>
      <c r="DY256" s="45" t="str">
        <f>IFERROR(VLOOKUP(CONCATENATE('Respuestas de formulario 1.1'!$B256,MID('Respuestas de formulario 1.1'!DY$1,2,1)),#REF!,12,0),"")</f>
        <v/>
      </c>
      <c r="DZ256" s="45" t="str">
        <f>IFERROR(VLOOKUP(CONCATENATE('Respuestas de formulario 1.1'!$B256,MID('Respuestas de formulario 1.1'!DZ$1,2,1)),#REF!,12,0),"")</f>
        <v/>
      </c>
      <c r="EA256" s="45" t="str">
        <f>IFERROR(VLOOKUP(CONCATENATE('Respuestas de formulario 1.1'!$B256,MID('Respuestas de formulario 1.1'!EA$1,2,1)),#REF!,12,0),"")</f>
        <v/>
      </c>
      <c r="EB256" s="45" t="str">
        <f>IFERROR(VLOOKUP(CONCATENATE('Respuestas de formulario 1.1'!$B256,MID('Respuestas de formulario 1.1'!EB$1,2,1)),#REF!,12,0),"")</f>
        <v/>
      </c>
      <c r="EC256" s="45" t="str">
        <f>IFERROR(VLOOKUP(CONCATENATE('Respuestas de formulario 1.1'!$B256,MID('Respuestas de formulario 1.1'!EC$1,2,1)),#REF!,12,0),"")</f>
        <v/>
      </c>
      <c r="ED256" s="45" t="str">
        <f>IFERROR(VLOOKUP(CONCATENATE('Respuestas de formulario 1.1'!$B256,MID('Respuestas de formulario 1.1'!ED$1,2,1)),#REF!,12,0),"")</f>
        <v/>
      </c>
      <c r="EE256" s="45" t="str">
        <f>IFERROR(VLOOKUP(CONCATENATE('Respuestas de formulario 1.1'!$B256,MID('Respuestas de formulario 1.1'!EE$1,2,1)),#REF!,12,0),"")</f>
        <v/>
      </c>
      <c r="EF256" s="45" t="str">
        <f>IFERROR(VLOOKUP(CONCATENATE('Respuestas de formulario 1.1'!$B256,MID('Respuestas de formulario 1.1'!EF$1,2,1)),#REF!,12,0),"")</f>
        <v/>
      </c>
      <c r="EG256" s="45" t="str">
        <f>IFERROR(VLOOKUP(CONCATENATE('Respuestas de formulario 1.1'!$B256,MID('Respuestas de formulario 1.1'!EG$1,2,1)),#REF!,12,0),"")</f>
        <v/>
      </c>
      <c r="EH256" s="45" t="str">
        <f>IFERROR(VLOOKUP(CONCATENATE('Respuestas de formulario 1.1'!$B256,MID('Respuestas de formulario 1.1'!EH$1,2,1)),#REF!,12,0),"")</f>
        <v/>
      </c>
      <c r="EI256" s="45" t="str">
        <f>IFERROR(VLOOKUP(CONCATENATE('Respuestas de formulario 1.1'!$B256,MID('Respuestas de formulario 1.1'!EI$1,2,1)),#REF!,12,0),"")</f>
        <v/>
      </c>
      <c r="EJ256" s="45" t="str">
        <f t="array" ref="EJ256">IF(DO256="","", INDEX(#REF!,MATCH(CONCATENATE('Respuestas de formulario 1.1'!$B256,DO256),#REF!,0),MATCH('Respuestas de formulario 1.1'!EJ$1,#REF!,0)))</f>
        <v/>
      </c>
      <c r="EK256" s="56" t="str">
        <f t="array" ref="EK256">IF(DP256="","", INDEX(#REF!,MATCH(CONCATENATE('Respuestas de formulario 1.1'!$B256,DP256),#REF!,0),MATCH('Respuestas de formulario 1.1'!EK$1,#REF!,0)))</f>
        <v/>
      </c>
      <c r="EL256" s="56" t="str">
        <f t="array" ref="EL256">IF(DQ256="","", INDEX(#REF!,MATCH(CONCATENATE('Respuestas de formulario 1.1'!$B256,DQ256),#REF!,0),MATCH('Respuestas de formulario 1.1'!EL$1,#REF!,0)))</f>
        <v/>
      </c>
      <c r="EM256" s="56" t="str">
        <f t="array" ref="EM256">IF(DR256="","", INDEX(#REF!,MATCH(CONCATENATE('Respuestas de formulario 1.1'!$B256,DR256),#REF!,0),MATCH('Respuestas de formulario 1.1'!EM$1,#REF!,0)))</f>
        <v/>
      </c>
      <c r="EN256" s="56" t="str">
        <f t="array" ref="EN256">IF(DS256="","", INDEX(#REF!,MATCH(CONCATENATE('Respuestas de formulario 1.1'!$B256,DS256),#REF!,0),MATCH('Respuestas de formulario 1.1'!EN$1,#REF!,0)))</f>
        <v/>
      </c>
      <c r="EO256" s="56" t="str">
        <f t="array" ref="EO256">IF(DT256="","", INDEX(#REF!,MATCH(CONCATENATE('Respuestas de formulario 1.1'!$B256,DT256),#REF!,0),MATCH('Respuestas de formulario 1.1'!EO$1,#REF!,0)))</f>
        <v/>
      </c>
      <c r="EP256" s="45" t="str">
        <f t="array" ref="EP256">IF(DU256="","", INDEX(#REF!,MATCH(CONCATENATE('Respuestas de formulario 1.1'!$B256,DU256),#REF!,0),MATCH('Respuestas de formulario 1.1'!EP$1,#REF!,0)))</f>
        <v/>
      </c>
      <c r="EQ256" s="45" t="str">
        <f t="array" ref="EQ256">IF(DP256="","", INDEX(#REF!,MATCH(CONCATENATE('Respuestas de formulario 1.1'!$B256,DP256),#REF!,0),MATCH('Respuestas de formulario 1.1'!EQ$1,#REF!,0)))</f>
        <v/>
      </c>
      <c r="ER256" s="56" t="str">
        <f t="array" ref="ER256">IF(DQ256="","", INDEX(#REF!,MATCH(CONCATENATE('Respuestas de formulario 1.1'!$B256,DQ256),#REF!,0),MATCH('Respuestas de formulario 1.1'!ER$1,#REF!,0)))</f>
        <v/>
      </c>
      <c r="ES256" s="56" t="str">
        <f t="array" ref="ES256">IF(DR256="","", INDEX(#REF!,MATCH(CONCATENATE('Respuestas de formulario 1.1'!$B256,DR256),#REF!,0),MATCH('Respuestas de formulario 1.1'!ES$1,#REF!,0)))</f>
        <v/>
      </c>
      <c r="ET256" s="56" t="str">
        <f t="array" ref="ET256">IF(DS256="","", INDEX(#REF!,MATCH(CONCATENATE('Respuestas de formulario 1.1'!$B256,DS256),#REF!,0),MATCH('Respuestas de formulario 1.1'!ET$1,#REF!,0)))</f>
        <v/>
      </c>
      <c r="EU256" s="56" t="str">
        <f t="array" ref="EU256">IF(DT256="","", INDEX(#REF!,MATCH(CONCATENATE('Respuestas de formulario 1.1'!$B256,DT256),#REF!,0),MATCH('Respuestas de formulario 1.1'!EU$1,#REF!,0)))</f>
        <v/>
      </c>
      <c r="EV256" s="56" t="str">
        <f t="array" ref="EV256">IF(DU256="","", INDEX(#REF!,MATCH(CONCATENATE('Respuestas de formulario 1.1'!$B256,DU256),#REF!,0),MATCH('Respuestas de formulario 1.1'!EV$1,#REF!,0)))</f>
        <v/>
      </c>
      <c r="EW256" s="45" t="str">
        <f t="array" ref="EW256">IF(DV256="","", INDEX(#REF!,MATCH(CONCATENATE('Respuestas de formulario 1.1'!$B256,DV256),#REF!,0),MATCH('Respuestas de formulario 1.1'!EW$1,#REF!,0)))</f>
        <v/>
      </c>
      <c r="EX256" s="45" t="str">
        <f t="array" ref="EX256">IF($DQ256="","", INDEX(#REF!,MATCH(CONCATENATE('Respuestas de formulario 1.1'!$B256,$DQ256),#REF!,0),MATCH('Respuestas de formulario 1.1'!EX$1,#REF!,0)))</f>
        <v/>
      </c>
      <c r="EY256" s="56" t="str">
        <f t="array" ref="EY256">IF($DQ256="","", INDEX(#REF!,MATCH(CONCATENATE('Respuestas de formulario 1.1'!$B256,$DQ256),#REF!,0),MATCH('Respuestas de formulario 1.1'!EY$1,#REF!,0)))</f>
        <v/>
      </c>
      <c r="EZ256" s="56" t="str">
        <f t="array" ref="EZ256">IF($DQ256="","", INDEX(#REF!,MATCH(CONCATENATE('Respuestas de formulario 1.1'!$B256,$DQ256),#REF!,0),MATCH('Respuestas de formulario 1.1'!EZ$1,#REF!,0)))</f>
        <v/>
      </c>
      <c r="FA256" s="56" t="str">
        <f t="array" ref="FA256">IF($DQ256="","", INDEX(#REF!,MATCH(CONCATENATE('Respuestas de formulario 1.1'!$B256,$DQ256),#REF!,0),MATCH('Respuestas de formulario 1.1'!FA$1,#REF!,0)))</f>
        <v/>
      </c>
      <c r="FB256" s="56" t="str">
        <f t="array" ref="FB256">IF($DQ256="","", INDEX(#REF!,MATCH(CONCATENATE('Respuestas de formulario 1.1'!$B256,$DQ256),#REF!,0),MATCH('Respuestas de formulario 1.1'!FB$1,#REF!,0)))</f>
        <v/>
      </c>
      <c r="FC256" s="56" t="str">
        <f t="array" ref="FC256">IF($DQ256="","", INDEX(#REF!,MATCH(CONCATENATE('Respuestas de formulario 1.1'!$B256,$DQ256),#REF!,0),MATCH('Respuestas de formulario 1.1'!FC$1,#REF!,0)))</f>
        <v/>
      </c>
      <c r="FD256" s="45" t="str">
        <f t="array" ref="FD256">IF($DQ256="","", INDEX(#REF!,MATCH(CONCATENATE('Respuestas de formulario 1.1'!$B256,$DQ256),#REF!,0),MATCH('Respuestas de formulario 1.1'!FD$1,#REF!,0)))</f>
        <v/>
      </c>
      <c r="FE256" s="45" t="str">
        <f t="array" ref="FE256">IF($DR256="","", INDEX(#REF!,MATCH(CONCATENATE(#REF!,$DR256),#REF!,0),MATCH(#REF!,#REF!,0)))</f>
        <v/>
      </c>
      <c r="FF256" s="56" t="str">
        <f t="array" ref="FF256">IF($DR256="","", INDEX(#REF!,MATCH(CONCATENATE(#REF!,$DR256),#REF!,0),MATCH(#REF!,#REF!,0)))</f>
        <v/>
      </c>
      <c r="FG256" s="56" t="str">
        <f t="array" ref="FG256">IF($DR256="","", INDEX(#REF!,MATCH(CONCATENATE(#REF!,$DR256),#REF!,0),MATCH(#REF!,#REF!,0)))</f>
        <v/>
      </c>
      <c r="FH256" s="56" t="str">
        <f t="array" ref="FH256">IF($DR256="","", INDEX(#REF!,MATCH(CONCATENATE(#REF!,$DR256),#REF!,0),MATCH(#REF!,#REF!,0)))</f>
        <v/>
      </c>
      <c r="FI256" s="56" t="str">
        <f t="array" ref="FI256">IF($DR256="","", INDEX(#REF!,MATCH(CONCATENATE(#REF!,$DR256),#REF!,0),MATCH(#REF!,#REF!,0)))</f>
        <v/>
      </c>
      <c r="FJ256" s="56" t="str">
        <f t="array" ref="FJ256">IF($DR256="","", INDEX(#REF!,MATCH(CONCATENATE(#REF!,$DR256),#REF!,0),MATCH(#REF!,#REF!,0)))</f>
        <v/>
      </c>
      <c r="FK256" s="45" t="str">
        <f t="array" ref="FK256">IF($DR256="","", INDEX(#REF!,MATCH(CONCATENATE(#REF!,$DR256),#REF!,0),MATCH(#REF!,#REF!,0)))</f>
        <v/>
      </c>
      <c r="FL256" s="45" t="str">
        <f t="array" ref="FL256">IF($DT256="","", INDEX(#REF!,MATCH(CONCATENATE('Respuestas de formulario 1.1'!$B256,$DS256),#REF!,0),MATCH('Respuestas de formulario 1.1'!FL$1,#REF!,0)))</f>
        <v/>
      </c>
      <c r="FM256" s="56" t="str">
        <f t="array" ref="FM256">IF($DT256="","", INDEX(#REF!,MATCH(CONCATENATE('Respuestas de formulario 1.1'!$B256,$DS256),#REF!,0),MATCH('Respuestas de formulario 1.1'!FM$1,#REF!,0)))</f>
        <v/>
      </c>
      <c r="FN256" s="56" t="str">
        <f t="array" ref="FN256">IF($DT256="","", INDEX(#REF!,MATCH(CONCATENATE('Respuestas de formulario 1.1'!$B256,$DS256),#REF!,0),MATCH('Respuestas de formulario 1.1'!FN$1,#REF!,0)))</f>
        <v/>
      </c>
      <c r="FO256" s="56" t="str">
        <f t="array" ref="FO256">IF($DT256="","", INDEX(#REF!,MATCH(CONCATENATE('Respuestas de formulario 1.1'!$B256,$DS256),#REF!,0),MATCH('Respuestas de formulario 1.1'!FO$1,#REF!,0)))</f>
        <v/>
      </c>
      <c r="FP256" s="56" t="str">
        <f t="array" ref="FP256">IF($DT256="","", INDEX(#REF!,MATCH(CONCATENATE('Respuestas de formulario 1.1'!$B256,$DS256),#REF!,0),MATCH('Respuestas de formulario 1.1'!FP$1,#REF!,0)))</f>
        <v/>
      </c>
      <c r="FQ256" s="56" t="str">
        <f t="array" ref="FQ256">IF($DT256="","", INDEX(#REF!,MATCH(CONCATENATE('Respuestas de formulario 1.1'!$B256,$DS256),#REF!,0),MATCH('Respuestas de formulario 1.1'!FQ$1,#REF!,0)))</f>
        <v/>
      </c>
      <c r="FR256" s="45" t="str">
        <f t="array" ref="FR256">IF($DT256="","", INDEX(#REF!,MATCH(CONCATENATE('Respuestas de formulario 1.1'!$B256,$DS256),#REF!,0),MATCH('Respuestas de formulario 1.1'!FR$1,#REF!,0)))</f>
        <v/>
      </c>
      <c r="FS256" s="45" t="str">
        <f t="array" ref="FS256">IF($DU256="","", INDEX(#REF!,MATCH(CONCATENATE('Respuestas de formulario 1.1'!$B256,$DT256),#REF!,0),MATCH('Respuestas de formulario 1.1'!FS$1,#REF!,0)))</f>
        <v/>
      </c>
      <c r="FT256" s="56" t="str">
        <f t="array" ref="FT256">IF($DU256="","", INDEX(#REF!,MATCH(CONCATENATE('Respuestas de formulario 1.1'!$B256,$DT256),#REF!,0),MATCH('Respuestas de formulario 1.1'!FT$1,#REF!,0)))</f>
        <v/>
      </c>
      <c r="FU256" s="56" t="str">
        <f t="array" ref="FU256">IF($DU256="","", INDEX(#REF!,MATCH(CONCATENATE('Respuestas de formulario 1.1'!$B256,$DT256),#REF!,0),MATCH('Respuestas de formulario 1.1'!FU$1,#REF!,0)))</f>
        <v/>
      </c>
      <c r="FV256" s="56" t="str">
        <f t="array" ref="FV256">IF($DU256="","", INDEX(#REF!,MATCH(CONCATENATE('Respuestas de formulario 1.1'!$B256,$DT256),#REF!,0),MATCH('Respuestas de formulario 1.1'!FV$1,#REF!,0)))</f>
        <v/>
      </c>
      <c r="FW256" s="56" t="str">
        <f t="array" ref="FW256">IF($DU256="","", INDEX(#REF!,MATCH(CONCATENATE('Respuestas de formulario 1.1'!$B256,$DT256),#REF!,0),MATCH('Respuestas de formulario 1.1'!FW$1,#REF!,0)))</f>
        <v/>
      </c>
      <c r="FX256" s="56" t="str">
        <f t="array" ref="FX256">IF($DU256="","", INDEX(#REF!,MATCH(CONCATENATE('Respuestas de formulario 1.1'!$B256,$DT256),#REF!,0),MATCH('Respuestas de formulario 1.1'!FX$1,#REF!,0)))</f>
        <v/>
      </c>
      <c r="FY256" s="45" t="str">
        <f t="array" ref="FY256">IF($DU256="","", INDEX(#REF!,MATCH(CONCATENATE('Respuestas de formulario 1.1'!$B256,$DT256),#REF!,0),MATCH('Respuestas de formulario 1.1'!FY$1,#REF!,0)))</f>
        <v/>
      </c>
      <c r="FZ256" s="3" t="s">
        <v>2860</v>
      </c>
      <c r="GA256" s="1" t="s">
        <v>7241</v>
      </c>
      <c r="GB256" s="5" t="s">
        <v>7242</v>
      </c>
      <c r="GC256" s="4" t="str">
        <f>HYPERLINK("https://drive.google.com/file/d/1ywskdZbYRmlp-HHpA81dFQPq3qK33BvB/view?usp=drivesdk","GARCIA  MEZA MARIA FERNANDA  Formato de reinscripción y pago 2022-2")</f>
        <v>GARCIA  MEZA MARIA FERNANDA  Formato de reinscripción y pago 2022-2</v>
      </c>
      <c r="GD256" s="1" t="s">
        <v>7243</v>
      </c>
      <c r="GE256" s="1"/>
      <c r="GF256" s="1"/>
      <c r="GG256" s="1"/>
      <c r="GH256" s="1"/>
      <c r="GI256" s="1" t="s">
        <v>7244</v>
      </c>
      <c r="GJ256" s="5" t="s">
        <v>7245</v>
      </c>
      <c r="GK256" s="5" t="str">
        <f>HYPERLINK("https://drive.google.com/file/d/1MGCibzleoKEYlemhwTbrffm1JtrmqsMp/view?usp=drivesdk","GARCIA  MEZA MARIA FERNANDA  Formato de reinscripción y pago 2022-2")</f>
        <v>GARCIA  MEZA MARIA FERNANDA  Formato de reinscripción y pago 2022-2</v>
      </c>
      <c r="GL256" s="1" t="s">
        <v>7246</v>
      </c>
    </row>
    <row r="257" spans="1:194" ht="38.25" x14ac:dyDescent="0.2">
      <c r="A257" s="2">
        <v>45139.554043356482</v>
      </c>
      <c r="B257" s="1" t="s">
        <v>2482</v>
      </c>
      <c r="C257" s="1" t="s">
        <v>245</v>
      </c>
      <c r="D257" s="1" t="s">
        <v>1265</v>
      </c>
      <c r="E257" s="1" t="s">
        <v>2483</v>
      </c>
      <c r="F257" s="1" t="s">
        <v>223</v>
      </c>
      <c r="G257" s="5" t="s">
        <v>7247</v>
      </c>
      <c r="H257" s="41">
        <v>35772</v>
      </c>
      <c r="I257" s="1">
        <v>25</v>
      </c>
      <c r="J257" s="1">
        <v>5580926120</v>
      </c>
      <c r="K257" s="1">
        <v>5556076220</v>
      </c>
      <c r="L257" s="1" t="s">
        <v>2484</v>
      </c>
      <c r="M257" s="1">
        <v>21309060570623</v>
      </c>
      <c r="N257" s="1" t="s">
        <v>1108</v>
      </c>
      <c r="O257" s="1" t="s">
        <v>225</v>
      </c>
      <c r="P257" s="1" t="s">
        <v>278</v>
      </c>
      <c r="Q257" s="1" t="s">
        <v>227</v>
      </c>
      <c r="R257" s="1" t="s">
        <v>236</v>
      </c>
      <c r="S257" s="1" t="s">
        <v>228</v>
      </c>
      <c r="T257" s="1" t="s">
        <v>1167</v>
      </c>
      <c r="U257" s="1" t="s">
        <v>249</v>
      </c>
      <c r="V257" s="1" t="s">
        <v>228</v>
      </c>
      <c r="W257" s="1" t="s">
        <v>7248</v>
      </c>
      <c r="X257" s="1" t="s">
        <v>1398</v>
      </c>
      <c r="Y257" s="1" t="s">
        <v>2486</v>
      </c>
      <c r="Z257" s="1" t="s">
        <v>240</v>
      </c>
      <c r="AA257" s="44" t="s">
        <v>711</v>
      </c>
      <c r="AB257" s="1">
        <v>138</v>
      </c>
      <c r="AC257" s="1">
        <v>38</v>
      </c>
      <c r="AD257" s="1" t="s">
        <v>7249</v>
      </c>
      <c r="AE257" s="1" t="s">
        <v>7250</v>
      </c>
      <c r="AF257" s="1" t="s">
        <v>445</v>
      </c>
      <c r="AG257" s="1">
        <v>45</v>
      </c>
      <c r="AH257" s="5" t="s">
        <v>7251</v>
      </c>
      <c r="AI257" s="1">
        <v>5580984546</v>
      </c>
      <c r="AJ257" s="1">
        <v>5556076220</v>
      </c>
      <c r="AK257" s="1" t="s">
        <v>7252</v>
      </c>
      <c r="AL257" s="1" t="s">
        <v>245</v>
      </c>
      <c r="AM257" s="1" t="s">
        <v>2372</v>
      </c>
      <c r="AN257" s="1" t="s">
        <v>762</v>
      </c>
      <c r="AO257" s="1" t="s">
        <v>435</v>
      </c>
      <c r="AP257" s="1">
        <v>53</v>
      </c>
      <c r="AQ257" s="1" t="s">
        <v>306</v>
      </c>
      <c r="AR257" s="42">
        <v>0.41666666666424135</v>
      </c>
      <c r="AS257" s="42">
        <v>0.45833333333575865</v>
      </c>
      <c r="AT257" s="1">
        <v>5636478957</v>
      </c>
      <c r="AU257" s="1">
        <v>5556076220</v>
      </c>
      <c r="AV257" s="1" t="s">
        <v>7253</v>
      </c>
      <c r="AW257" s="5" t="s">
        <v>7254</v>
      </c>
      <c r="AX257" s="1" t="s">
        <v>245</v>
      </c>
      <c r="AY257" s="1" t="s">
        <v>7158</v>
      </c>
      <c r="AZ257" s="1" t="s">
        <v>2185</v>
      </c>
      <c r="BA257" s="1" t="s">
        <v>586</v>
      </c>
      <c r="BB257" s="1">
        <v>21</v>
      </c>
      <c r="BC257" s="1" t="s">
        <v>1044</v>
      </c>
      <c r="BD257" s="43">
        <v>0</v>
      </c>
      <c r="BE257" s="43">
        <v>0</v>
      </c>
      <c r="BF257" s="1">
        <v>5514635299</v>
      </c>
      <c r="BG257" s="1">
        <v>5556076220</v>
      </c>
      <c r="BH257" s="1" t="s">
        <v>2485</v>
      </c>
      <c r="BI257" s="5" t="s">
        <v>7255</v>
      </c>
      <c r="BJ257" s="1" t="s">
        <v>236</v>
      </c>
      <c r="BK257" s="1" t="s">
        <v>437</v>
      </c>
      <c r="BL257" s="1">
        <v>154</v>
      </c>
      <c r="BM257" s="1">
        <v>58</v>
      </c>
      <c r="BN257" s="1" t="s">
        <v>236</v>
      </c>
      <c r="BO257" s="1" t="s">
        <v>228</v>
      </c>
      <c r="BP257" s="1" t="s">
        <v>437</v>
      </c>
      <c r="BQ257" s="1" t="s">
        <v>228</v>
      </c>
      <c r="BR257" s="1" t="s">
        <v>237</v>
      </c>
      <c r="BS257" s="1" t="s">
        <v>228</v>
      </c>
      <c r="BT257" s="1" t="s">
        <v>237</v>
      </c>
      <c r="BU257" s="1" t="s">
        <v>228</v>
      </c>
      <c r="BW257" s="1" t="s">
        <v>238</v>
      </c>
      <c r="BX257" s="1">
        <v>50</v>
      </c>
      <c r="BY257" s="1">
        <v>300</v>
      </c>
      <c r="BZ257" s="1" t="s">
        <v>253</v>
      </c>
      <c r="CA257" s="1" t="s">
        <v>1865</v>
      </c>
      <c r="CB257" s="1" t="s">
        <v>240</v>
      </c>
      <c r="CC257" s="1" t="s">
        <v>7256</v>
      </c>
      <c r="CD257" s="1">
        <v>3000</v>
      </c>
      <c r="CE257" s="1">
        <v>2000</v>
      </c>
      <c r="CF257" s="1" t="s">
        <v>236</v>
      </c>
      <c r="CG257" s="1" t="s">
        <v>242</v>
      </c>
      <c r="CH257" s="1" t="s">
        <v>243</v>
      </c>
      <c r="CI257" s="1" t="s">
        <v>243</v>
      </c>
      <c r="CJ257" s="1" t="s">
        <v>2848</v>
      </c>
      <c r="CL257" s="5" t="s">
        <v>7257</v>
      </c>
      <c r="CM257" s="1">
        <v>70169745059</v>
      </c>
      <c r="CN257" s="1" t="s">
        <v>228</v>
      </c>
      <c r="CQ257" s="42">
        <v>0.5</v>
      </c>
      <c r="CR257" s="42">
        <v>0.41666666666424135</v>
      </c>
      <c r="CT257" s="45" t="str">
        <f t="array" ref="CT257">IFERROR(INDEX(#REF!,MATCH('Respuestas de formulario 1.1'!$B257,#REF!,0),MATCH('Respuestas de formulario 1.1'!CT$1,#REF!,0)),"")</f>
        <v/>
      </c>
      <c r="CU257" s="56" t="str">
        <f t="array" ref="CU257">IFERROR(INDEX(#REF!,MATCH('Respuestas de formulario 1.1'!$B257,#REF!,0),MATCH('Respuestas de formulario 1.1'!CU$1,#REF!,0)),"")</f>
        <v/>
      </c>
      <c r="CV257" s="56" t="str">
        <f t="array" ref="CV257">IFERROR(INDEX(#REF!,MATCH('Respuestas de formulario 1.1'!$B257,#REF!,0),MATCH('Respuestas de formulario 1.1'!CV$1,#REF!,0)),"")</f>
        <v/>
      </c>
      <c r="CW257" s="56" t="str">
        <f t="array" ref="CW257">IFERROR(INDEX(#REF!,MATCH('Respuestas de formulario 1.1'!$B257,#REF!,0),MATCH('Respuestas de formulario 1.1'!CW$1,#REF!,0)),"")</f>
        <v/>
      </c>
      <c r="CX257" s="56" t="str">
        <f t="array" ref="CX257">IFERROR(INDEX(#REF!,MATCH('Respuestas de formulario 1.1'!$B257,#REF!,0),MATCH('Respuestas de formulario 1.1'!CX$1,#REF!,0)),"")</f>
        <v/>
      </c>
      <c r="CY257" s="56" t="str">
        <f t="array" ref="CY257">IFERROR(INDEX(#REF!,MATCH('Respuestas de formulario 1.1'!$B257,#REF!,0),MATCH('Respuestas de formulario 1.1'!CY$1,#REF!,0)),"")</f>
        <v/>
      </c>
      <c r="CZ257" s="57" t="str">
        <f t="array" ref="CZ257">IFERROR(INDEX(#REF!,MATCH('Respuestas de formulario 1.1'!$B257,#REF!,0),MATCH('Respuestas de formulario 1.1'!CZ$1,#REF!,0)),"")</f>
        <v/>
      </c>
      <c r="DA257" s="45" t="e">
        <f t="array" ref="DA257">INDEX(#REF!,MATCH('Respuestas de formulario 1.1'!$B257,#REF!,0),MATCH('Respuestas de formulario 1.1'!DA$1,#REF!,0))</f>
        <v>#REF!</v>
      </c>
      <c r="DB257" s="45" t="e">
        <f t="array" ref="DB257">INDEX(#REF!,MATCH('Respuestas de formulario 1.1'!$B257,#REF!,0),MATCH('Respuestas de formulario 1.1'!DB$1,#REF!,0))</f>
        <v>#REF!</v>
      </c>
      <c r="DC257" s="45" t="e">
        <f t="array" ref="DC257">INDEX(#REF!,MATCH('Respuestas de formulario 1.1'!$B257,#REF!,0),MATCH('Respuestas de formulario 1.1'!DC$1,#REF!,0))</f>
        <v>#REF!</v>
      </c>
      <c r="DD257" s="45" t="e">
        <f t="array" ref="DD257">INDEX(#REF!,MATCH('Respuestas de formulario 1.1'!$B257,#REF!,0),MATCH('Respuestas de formulario 1.1'!DD$1,#REF!,0))</f>
        <v>#REF!</v>
      </c>
      <c r="DE257" s="45" t="e">
        <f t="array" ref="DE257">INDEX(#REF!,MATCH('Respuestas de formulario 1.1'!$B257,#REF!,0),MATCH('Respuestas de formulario 1.1'!DE$1,#REF!,0))</f>
        <v>#REF!</v>
      </c>
      <c r="DF257" s="45" t="e">
        <f t="array" ref="DF257">INDEX(#REF!,MATCH('Respuestas de formulario 1.1'!$B257,#REF!,0),MATCH('Respuestas de formulario 1.1'!DF$1,#REF!,0))</f>
        <v>#REF!</v>
      </c>
      <c r="DG257" s="45" t="e">
        <f t="array" ref="DG257">INDEX(#REF!,MATCH('Respuestas de formulario 1.1'!$B257,#REF!,0),MATCH('Respuestas de formulario 1.1'!DG$1,#REF!,0))</f>
        <v>#REF!</v>
      </c>
      <c r="DH257" s="45" t="e">
        <f t="array" ref="DH257">INDEX(#REF!,MATCH('Respuestas de formulario 1.1'!$B257,#REF!,0),MATCH('Respuestas de formulario 1.1'!DH$1,#REF!,0))</f>
        <v>#REF!</v>
      </c>
      <c r="DI257" s="48" t="e">
        <f>VLOOKUP(CONCATENATE($DF257," TUTO ",$DC257),#REF!,3,0)</f>
        <v>#REF!</v>
      </c>
      <c r="DJ257" s="48" t="e">
        <f t="array" ref="DJ257">IF('Respuestas de formulario 1.1'!A257="","",INDEX(#REF!,MATCH('Respuestas de formulario 1.1'!B257,#REF!,0),MATCH('Respuestas de formulario 1.1'!$DH$1,#REF!,0)))</f>
        <v>#REF!</v>
      </c>
      <c r="DK257" s="52" t="str">
        <f>CONCATENATE("http://doc.google.com/uc?id=",MID('Respuestas de formulario 1.1'!G257,34,33))</f>
        <v>http://doc.google.com/uc?id=1v7xldkpev49_yOJduH2D0o-dvAnE954g</v>
      </c>
      <c r="DL257" s="49" t="str">
        <f>CONCATENATE("http://doc.google.com/uc?id=",MID('Respuestas de formulario 1.1'!AH257,34,33))</f>
        <v>http://doc.google.com/uc?id=1tAELcvYmjg746SWte8rBi6ub6SvFCg-O</v>
      </c>
      <c r="DM257" s="50" t="str">
        <f>CONCATENATE("http://doc.google.com/uc?id=",MID('Respuestas de formulario 1.1'!AW257,34,33))</f>
        <v>http://doc.google.com/uc?id=1gxu2ZgPco9yvtW9veqlZzyh8D2nqhU7E</v>
      </c>
      <c r="DN257" s="53" t="str">
        <f>CONCATENATE("http://doc.google.com/uc?id=",MID('Respuestas de formulario 1.1'!$BI257,34,33))</f>
        <v>http://doc.google.com/uc?id=1C4Sygk3SrRt8VKRzYr287gDjFnVFkIoh</v>
      </c>
      <c r="DO257" s="45" t="str">
        <f>IFERROR(VLOOKUP(CONCATENATE('Respuestas de formulario 1.1'!$B257,MID('Respuestas de formulario 1.1'!DO$1,2,1)),#REF!,12,0),"")</f>
        <v/>
      </c>
      <c r="DP257" s="45" t="str">
        <f>IFERROR(VLOOKUP(CONCATENATE('Respuestas de formulario 1.1'!$B257,MID('Respuestas de formulario 1.1'!DP$1,2,1)),#REF!,12,0),"")</f>
        <v/>
      </c>
      <c r="DQ257" s="45" t="str">
        <f>IFERROR(VLOOKUP(CONCATENATE('Respuestas de formulario 1.1'!$B257,MID('Respuestas de formulario 1.1'!DQ$1,2,1)),#REF!,12,0),"")</f>
        <v/>
      </c>
      <c r="DR257" s="45" t="str">
        <f>IFERROR(VLOOKUP(CONCATENATE('Respuestas de formulario 1.1'!$B257,MID('Respuestas de formulario 1.1'!DR$1,2,1)),#REF!,12,0),"")</f>
        <v/>
      </c>
      <c r="DS257" s="45" t="str">
        <f>IFERROR(VLOOKUP(CONCATENATE('Respuestas de formulario 1.1'!$B257,MID('Respuestas de formulario 1.1'!DS$1,2,1)),#REF!,12,0),"")</f>
        <v/>
      </c>
      <c r="DT257" s="45" t="str">
        <f>IFERROR(VLOOKUP(CONCATENATE('Respuestas de formulario 1.1'!$B257,MID('Respuestas de formulario 1.1'!DT$1,2,1)),#REF!,12,0),"")</f>
        <v/>
      </c>
      <c r="DU257" s="45" t="str">
        <f>IFERROR(VLOOKUP(CONCATENATE('Respuestas de formulario 1.1'!$B257,MID('Respuestas de formulario 1.1'!DU$1,2,1)),#REF!,12,0),"")</f>
        <v/>
      </c>
      <c r="DV257" s="45" t="str">
        <f>IFERROR(VLOOKUP(CONCATENATE('Respuestas de formulario 1.1'!$B257,MID('Respuestas de formulario 1.1'!DV$1,2,1)),#REF!,12,0),"")</f>
        <v/>
      </c>
      <c r="DW257" s="45" t="str">
        <f>IFERROR(VLOOKUP(CONCATENATE('Respuestas de formulario 1.1'!$B257,MID('Respuestas de formulario 1.1'!DW$1,2,1)),#REF!,12,0),"")</f>
        <v/>
      </c>
      <c r="DX257" s="45" t="str">
        <f>IFERROR(VLOOKUP(CONCATENATE('Respuestas de formulario 1.1'!$B257,MID('Respuestas de formulario 1.1'!DX$1,2,1)),#REF!,12,0),"")</f>
        <v/>
      </c>
      <c r="DY257" s="45" t="str">
        <f>IFERROR(VLOOKUP(CONCATENATE('Respuestas de formulario 1.1'!$B257,MID('Respuestas de formulario 1.1'!DY$1,2,1)),#REF!,12,0),"")</f>
        <v/>
      </c>
      <c r="DZ257" s="45" t="str">
        <f>IFERROR(VLOOKUP(CONCATENATE('Respuestas de formulario 1.1'!$B257,MID('Respuestas de formulario 1.1'!DZ$1,2,1)),#REF!,12,0),"")</f>
        <v/>
      </c>
      <c r="EA257" s="45" t="str">
        <f>IFERROR(VLOOKUP(CONCATENATE('Respuestas de formulario 1.1'!$B257,MID('Respuestas de formulario 1.1'!EA$1,2,1)),#REF!,12,0),"")</f>
        <v/>
      </c>
      <c r="EB257" s="45" t="str">
        <f>IFERROR(VLOOKUP(CONCATENATE('Respuestas de formulario 1.1'!$B257,MID('Respuestas de formulario 1.1'!EB$1,2,1)),#REF!,12,0),"")</f>
        <v/>
      </c>
      <c r="EC257" s="45" t="str">
        <f>IFERROR(VLOOKUP(CONCATENATE('Respuestas de formulario 1.1'!$B257,MID('Respuestas de formulario 1.1'!EC$1,2,1)),#REF!,12,0),"")</f>
        <v/>
      </c>
      <c r="ED257" s="45" t="str">
        <f>IFERROR(VLOOKUP(CONCATENATE('Respuestas de formulario 1.1'!$B257,MID('Respuestas de formulario 1.1'!ED$1,2,1)),#REF!,12,0),"")</f>
        <v/>
      </c>
      <c r="EE257" s="45" t="str">
        <f>IFERROR(VLOOKUP(CONCATENATE('Respuestas de formulario 1.1'!$B257,MID('Respuestas de formulario 1.1'!EE$1,2,1)),#REF!,12,0),"")</f>
        <v/>
      </c>
      <c r="EF257" s="45" t="str">
        <f>IFERROR(VLOOKUP(CONCATENATE('Respuestas de formulario 1.1'!$B257,MID('Respuestas de formulario 1.1'!EF$1,2,1)),#REF!,12,0),"")</f>
        <v/>
      </c>
      <c r="EG257" s="45" t="str">
        <f>IFERROR(VLOOKUP(CONCATENATE('Respuestas de formulario 1.1'!$B257,MID('Respuestas de formulario 1.1'!EG$1,2,1)),#REF!,12,0),"")</f>
        <v/>
      </c>
      <c r="EH257" s="45" t="str">
        <f>IFERROR(VLOOKUP(CONCATENATE('Respuestas de formulario 1.1'!$B257,MID('Respuestas de formulario 1.1'!EH$1,2,1)),#REF!,12,0),"")</f>
        <v/>
      </c>
      <c r="EI257" s="45" t="str">
        <f>IFERROR(VLOOKUP(CONCATENATE('Respuestas de formulario 1.1'!$B257,MID('Respuestas de formulario 1.1'!EI$1,2,1)),#REF!,12,0),"")</f>
        <v/>
      </c>
      <c r="EJ257" s="45" t="str">
        <f t="array" ref="EJ257">IF(DO257="","", INDEX(#REF!,MATCH(CONCATENATE('Respuestas de formulario 1.1'!$B257,DO257),#REF!,0),MATCH('Respuestas de formulario 1.1'!EJ$1,#REF!,0)))</f>
        <v/>
      </c>
      <c r="EK257" s="56" t="str">
        <f t="array" ref="EK257">IF(DP257="","", INDEX(#REF!,MATCH(CONCATENATE('Respuestas de formulario 1.1'!$B257,DP257),#REF!,0),MATCH('Respuestas de formulario 1.1'!EK$1,#REF!,0)))</f>
        <v/>
      </c>
      <c r="EL257" s="56" t="str">
        <f t="array" ref="EL257">IF(DQ257="","", INDEX(#REF!,MATCH(CONCATENATE('Respuestas de formulario 1.1'!$B257,DQ257),#REF!,0),MATCH('Respuestas de formulario 1.1'!EL$1,#REF!,0)))</f>
        <v/>
      </c>
      <c r="EM257" s="56" t="str">
        <f t="array" ref="EM257">IF(DR257="","", INDEX(#REF!,MATCH(CONCATENATE('Respuestas de formulario 1.1'!$B257,DR257),#REF!,0),MATCH('Respuestas de formulario 1.1'!EM$1,#REF!,0)))</f>
        <v/>
      </c>
      <c r="EN257" s="56" t="str">
        <f t="array" ref="EN257">IF(DS257="","", INDEX(#REF!,MATCH(CONCATENATE('Respuestas de formulario 1.1'!$B257,DS257),#REF!,0),MATCH('Respuestas de formulario 1.1'!EN$1,#REF!,0)))</f>
        <v/>
      </c>
      <c r="EO257" s="56" t="str">
        <f t="array" ref="EO257">IF(DT257="","", INDEX(#REF!,MATCH(CONCATENATE('Respuestas de formulario 1.1'!$B257,DT257),#REF!,0),MATCH('Respuestas de formulario 1.1'!EO$1,#REF!,0)))</f>
        <v/>
      </c>
      <c r="EP257" s="45" t="str">
        <f t="array" ref="EP257">IF(DU257="","", INDEX(#REF!,MATCH(CONCATENATE('Respuestas de formulario 1.1'!$B257,DU257),#REF!,0),MATCH('Respuestas de formulario 1.1'!EP$1,#REF!,0)))</f>
        <v/>
      </c>
      <c r="EQ257" s="45" t="str">
        <f t="array" ref="EQ257">IF(DP257="","", INDEX(#REF!,MATCH(CONCATENATE('Respuestas de formulario 1.1'!$B257,DP257),#REF!,0),MATCH('Respuestas de formulario 1.1'!EQ$1,#REF!,0)))</f>
        <v/>
      </c>
      <c r="ER257" s="56" t="str">
        <f t="array" ref="ER257">IF(DQ257="","", INDEX(#REF!,MATCH(CONCATENATE('Respuestas de formulario 1.1'!$B257,DQ257),#REF!,0),MATCH('Respuestas de formulario 1.1'!ER$1,#REF!,0)))</f>
        <v/>
      </c>
      <c r="ES257" s="56" t="str">
        <f t="array" ref="ES257">IF(DR257="","", INDEX(#REF!,MATCH(CONCATENATE('Respuestas de formulario 1.1'!$B257,DR257),#REF!,0),MATCH('Respuestas de formulario 1.1'!ES$1,#REF!,0)))</f>
        <v/>
      </c>
      <c r="ET257" s="56" t="str">
        <f t="array" ref="ET257">IF(DS257="","", INDEX(#REF!,MATCH(CONCATENATE('Respuestas de formulario 1.1'!$B257,DS257),#REF!,0),MATCH('Respuestas de formulario 1.1'!ET$1,#REF!,0)))</f>
        <v/>
      </c>
      <c r="EU257" s="56" t="str">
        <f t="array" ref="EU257">IF(DT257="","", INDEX(#REF!,MATCH(CONCATENATE('Respuestas de formulario 1.1'!$B257,DT257),#REF!,0),MATCH('Respuestas de formulario 1.1'!EU$1,#REF!,0)))</f>
        <v/>
      </c>
      <c r="EV257" s="56" t="str">
        <f t="array" ref="EV257">IF(DU257="","", INDEX(#REF!,MATCH(CONCATENATE('Respuestas de formulario 1.1'!$B257,DU257),#REF!,0),MATCH('Respuestas de formulario 1.1'!EV$1,#REF!,0)))</f>
        <v/>
      </c>
      <c r="EW257" s="45" t="str">
        <f t="array" ref="EW257">IF(DV257="","", INDEX(#REF!,MATCH(CONCATENATE('Respuestas de formulario 1.1'!$B257,DV257),#REF!,0),MATCH('Respuestas de formulario 1.1'!EW$1,#REF!,0)))</f>
        <v/>
      </c>
      <c r="EX257" s="45" t="str">
        <f t="array" ref="EX257">IF($DQ257="","", INDEX(#REF!,MATCH(CONCATENATE('Respuestas de formulario 1.1'!$B257,$DQ257),#REF!,0),MATCH('Respuestas de formulario 1.1'!EX$1,#REF!,0)))</f>
        <v/>
      </c>
      <c r="EY257" s="56" t="str">
        <f t="array" ref="EY257">IF($DQ257="","", INDEX(#REF!,MATCH(CONCATENATE('Respuestas de formulario 1.1'!$B257,$DQ257),#REF!,0),MATCH('Respuestas de formulario 1.1'!EY$1,#REF!,0)))</f>
        <v/>
      </c>
      <c r="EZ257" s="56" t="str">
        <f t="array" ref="EZ257">IF($DQ257="","", INDEX(#REF!,MATCH(CONCATENATE('Respuestas de formulario 1.1'!$B257,$DQ257),#REF!,0),MATCH('Respuestas de formulario 1.1'!EZ$1,#REF!,0)))</f>
        <v/>
      </c>
      <c r="FA257" s="56" t="str">
        <f t="array" ref="FA257">IF($DQ257="","", INDEX(#REF!,MATCH(CONCATENATE('Respuestas de formulario 1.1'!$B257,$DQ257),#REF!,0),MATCH('Respuestas de formulario 1.1'!FA$1,#REF!,0)))</f>
        <v/>
      </c>
      <c r="FB257" s="56" t="str">
        <f t="array" ref="FB257">IF($DQ257="","", INDEX(#REF!,MATCH(CONCATENATE('Respuestas de formulario 1.1'!$B257,$DQ257),#REF!,0),MATCH('Respuestas de formulario 1.1'!FB$1,#REF!,0)))</f>
        <v/>
      </c>
      <c r="FC257" s="56" t="str">
        <f t="array" ref="FC257">IF($DQ257="","", INDEX(#REF!,MATCH(CONCATENATE('Respuestas de formulario 1.1'!$B257,$DQ257),#REF!,0),MATCH('Respuestas de formulario 1.1'!FC$1,#REF!,0)))</f>
        <v/>
      </c>
      <c r="FD257" s="45" t="str">
        <f t="array" ref="FD257">IF($DQ257="","", INDEX(#REF!,MATCH(CONCATENATE('Respuestas de formulario 1.1'!$B257,$DQ257),#REF!,0),MATCH('Respuestas de formulario 1.1'!FD$1,#REF!,0)))</f>
        <v/>
      </c>
      <c r="FE257" s="45" t="str">
        <f t="array" ref="FE257">IF($DR257="","", INDEX(#REF!,MATCH(CONCATENATE(#REF!,$DR257),#REF!,0),MATCH(#REF!,#REF!,0)))</f>
        <v/>
      </c>
      <c r="FF257" s="56" t="str">
        <f t="array" ref="FF257">IF($DR257="","", INDEX(#REF!,MATCH(CONCATENATE(#REF!,$DR257),#REF!,0),MATCH(#REF!,#REF!,0)))</f>
        <v/>
      </c>
      <c r="FG257" s="56" t="str">
        <f t="array" ref="FG257">IF($DR257="","", INDEX(#REF!,MATCH(CONCATENATE(#REF!,$DR257),#REF!,0),MATCH(#REF!,#REF!,0)))</f>
        <v/>
      </c>
      <c r="FH257" s="56" t="str">
        <f t="array" ref="FH257">IF($DR257="","", INDEX(#REF!,MATCH(CONCATENATE(#REF!,$DR257),#REF!,0),MATCH(#REF!,#REF!,0)))</f>
        <v/>
      </c>
      <c r="FI257" s="56" t="str">
        <f t="array" ref="FI257">IF($DR257="","", INDEX(#REF!,MATCH(CONCATENATE(#REF!,$DR257),#REF!,0),MATCH(#REF!,#REF!,0)))</f>
        <v/>
      </c>
      <c r="FJ257" s="56" t="str">
        <f t="array" ref="FJ257">IF($DR257="","", INDEX(#REF!,MATCH(CONCATENATE(#REF!,$DR257),#REF!,0),MATCH(#REF!,#REF!,0)))</f>
        <v/>
      </c>
      <c r="FK257" s="45" t="str">
        <f t="array" ref="FK257">IF($DR257="","", INDEX(#REF!,MATCH(CONCATENATE(#REF!,$DR257),#REF!,0),MATCH(#REF!,#REF!,0)))</f>
        <v/>
      </c>
      <c r="FL257" s="45" t="str">
        <f t="array" ref="FL257">IF($DT257="","", INDEX(#REF!,MATCH(CONCATENATE('Respuestas de formulario 1.1'!$B257,$DS257),#REF!,0),MATCH('Respuestas de formulario 1.1'!FL$1,#REF!,0)))</f>
        <v/>
      </c>
      <c r="FM257" s="56" t="str">
        <f t="array" ref="FM257">IF($DT257="","", INDEX(#REF!,MATCH(CONCATENATE('Respuestas de formulario 1.1'!$B257,$DS257),#REF!,0),MATCH('Respuestas de formulario 1.1'!FM$1,#REF!,0)))</f>
        <v/>
      </c>
      <c r="FN257" s="56" t="str">
        <f t="array" ref="FN257">IF($DT257="","", INDEX(#REF!,MATCH(CONCATENATE('Respuestas de formulario 1.1'!$B257,$DS257),#REF!,0),MATCH('Respuestas de formulario 1.1'!FN$1,#REF!,0)))</f>
        <v/>
      </c>
      <c r="FO257" s="56" t="str">
        <f t="array" ref="FO257">IF($DT257="","", INDEX(#REF!,MATCH(CONCATENATE('Respuestas de formulario 1.1'!$B257,$DS257),#REF!,0),MATCH('Respuestas de formulario 1.1'!FO$1,#REF!,0)))</f>
        <v/>
      </c>
      <c r="FP257" s="56" t="str">
        <f t="array" ref="FP257">IF($DT257="","", INDEX(#REF!,MATCH(CONCATENATE('Respuestas de formulario 1.1'!$B257,$DS257),#REF!,0),MATCH('Respuestas de formulario 1.1'!FP$1,#REF!,0)))</f>
        <v/>
      </c>
      <c r="FQ257" s="56" t="str">
        <f t="array" ref="FQ257">IF($DT257="","", INDEX(#REF!,MATCH(CONCATENATE('Respuestas de formulario 1.1'!$B257,$DS257),#REF!,0),MATCH('Respuestas de formulario 1.1'!FQ$1,#REF!,0)))</f>
        <v/>
      </c>
      <c r="FR257" s="45" t="str">
        <f t="array" ref="FR257">IF($DT257="","", INDEX(#REF!,MATCH(CONCATENATE('Respuestas de formulario 1.1'!$B257,$DS257),#REF!,0),MATCH('Respuestas de formulario 1.1'!FR$1,#REF!,0)))</f>
        <v/>
      </c>
      <c r="FS257" s="45" t="str">
        <f t="array" ref="FS257">IF($DU257="","", INDEX(#REF!,MATCH(CONCATENATE('Respuestas de formulario 1.1'!$B257,$DT257),#REF!,0),MATCH('Respuestas de formulario 1.1'!FS$1,#REF!,0)))</f>
        <v/>
      </c>
      <c r="FT257" s="56" t="str">
        <f t="array" ref="FT257">IF($DU257="","", INDEX(#REF!,MATCH(CONCATENATE('Respuestas de formulario 1.1'!$B257,$DT257),#REF!,0),MATCH('Respuestas de formulario 1.1'!FT$1,#REF!,0)))</f>
        <v/>
      </c>
      <c r="FU257" s="56" t="str">
        <f t="array" ref="FU257">IF($DU257="","", INDEX(#REF!,MATCH(CONCATENATE('Respuestas de formulario 1.1'!$B257,$DT257),#REF!,0),MATCH('Respuestas de formulario 1.1'!FU$1,#REF!,0)))</f>
        <v/>
      </c>
      <c r="FV257" s="56" t="str">
        <f t="array" ref="FV257">IF($DU257="","", INDEX(#REF!,MATCH(CONCATENATE('Respuestas de formulario 1.1'!$B257,$DT257),#REF!,0),MATCH('Respuestas de formulario 1.1'!FV$1,#REF!,0)))</f>
        <v/>
      </c>
      <c r="FW257" s="56" t="str">
        <f t="array" ref="FW257">IF($DU257="","", INDEX(#REF!,MATCH(CONCATENATE('Respuestas de formulario 1.1'!$B257,$DT257),#REF!,0),MATCH('Respuestas de formulario 1.1'!FW$1,#REF!,0)))</f>
        <v/>
      </c>
      <c r="FX257" s="56" t="str">
        <f t="array" ref="FX257">IF($DU257="","", INDEX(#REF!,MATCH(CONCATENATE('Respuestas de formulario 1.1'!$B257,$DT257),#REF!,0),MATCH('Respuestas de formulario 1.1'!FX$1,#REF!,0)))</f>
        <v/>
      </c>
      <c r="FY257" s="45" t="str">
        <f t="array" ref="FY257">IF($DU257="","", INDEX(#REF!,MATCH(CONCATENATE('Respuestas de formulario 1.1'!$B257,$DT257),#REF!,0),MATCH('Respuestas de formulario 1.1'!FY$1,#REF!,0)))</f>
        <v/>
      </c>
      <c r="FZ257" s="3" t="s">
        <v>2860</v>
      </c>
      <c r="GA257" s="1" t="s">
        <v>7258</v>
      </c>
      <c r="GB257" s="5" t="s">
        <v>7259</v>
      </c>
      <c r="GC257" s="4" t="str">
        <f>HYPERLINK("https://drive.google.com/file/d/1cZ4gW0gDU-tLuyt_7iJCE4LjOu0It-hT/view?usp=drivesdk","LOPEZ DELGADO ALINA Formato de reinscripción y pago 2022-2")</f>
        <v>LOPEZ DELGADO ALINA Formato de reinscripción y pago 2022-2</v>
      </c>
      <c r="GD257" s="1" t="s">
        <v>7260</v>
      </c>
      <c r="GE257" s="1"/>
      <c r="GF257" s="1"/>
      <c r="GG257" s="1"/>
      <c r="GH257" s="1"/>
      <c r="GI257" s="1" t="s">
        <v>7261</v>
      </c>
      <c r="GJ257" s="5" t="s">
        <v>7262</v>
      </c>
      <c r="GK257" s="5" t="str">
        <f>HYPERLINK("https://drive.google.com/file/d/1iBLN5WQwTcDXTqZKr0m0P_ETdmfr9gjN/view?usp=drivesdk","LOPEZ DELGADO ALINA Formato de reinscripción y pago 2022-2")</f>
        <v>LOPEZ DELGADO ALINA Formato de reinscripción y pago 2022-2</v>
      </c>
      <c r="GL257" s="1" t="s">
        <v>7263</v>
      </c>
    </row>
    <row r="258" spans="1:194" ht="38.25" x14ac:dyDescent="0.2">
      <c r="A258" s="2">
        <v>45139.561151817128</v>
      </c>
      <c r="B258" s="1" t="s">
        <v>807</v>
      </c>
      <c r="C258" s="1" t="s">
        <v>259</v>
      </c>
      <c r="D258" s="1" t="s">
        <v>623</v>
      </c>
      <c r="E258" s="1" t="s">
        <v>808</v>
      </c>
      <c r="F258" s="1" t="s">
        <v>223</v>
      </c>
      <c r="G258" s="5" t="s">
        <v>7264</v>
      </c>
      <c r="H258" s="41">
        <v>38924</v>
      </c>
      <c r="I258" s="1">
        <v>17</v>
      </c>
      <c r="J258" s="1">
        <v>5518099100</v>
      </c>
      <c r="K258" s="1">
        <v>5562860046</v>
      </c>
      <c r="L258" s="1" t="s">
        <v>809</v>
      </c>
      <c r="M258" s="1">
        <v>21309060570652</v>
      </c>
      <c r="N258" s="1" t="s">
        <v>1108</v>
      </c>
      <c r="O258" s="1" t="s">
        <v>247</v>
      </c>
      <c r="P258" s="1" t="s">
        <v>314</v>
      </c>
      <c r="Q258" s="1" t="s">
        <v>315</v>
      </c>
      <c r="R258" s="1" t="s">
        <v>236</v>
      </c>
      <c r="S258" s="1" t="s">
        <v>228</v>
      </c>
      <c r="T258" s="1" t="s">
        <v>411</v>
      </c>
      <c r="U258" s="1" t="s">
        <v>249</v>
      </c>
      <c r="V258" s="1" t="s">
        <v>228</v>
      </c>
      <c r="W258" s="1" t="s">
        <v>7265</v>
      </c>
      <c r="X258" s="1" t="s">
        <v>249</v>
      </c>
      <c r="Y258" s="1" t="s">
        <v>715</v>
      </c>
      <c r="Z258" s="1" t="s">
        <v>240</v>
      </c>
      <c r="AA258" s="44" t="s">
        <v>555</v>
      </c>
      <c r="AB258" s="1" t="s">
        <v>7266</v>
      </c>
      <c r="AC258" s="1" t="s">
        <v>688</v>
      </c>
      <c r="AD258" s="1" t="s">
        <v>7267</v>
      </c>
      <c r="AE258" s="1" t="s">
        <v>810</v>
      </c>
      <c r="AF258" s="1" t="s">
        <v>265</v>
      </c>
      <c r="AG258" s="1">
        <v>50</v>
      </c>
      <c r="AH258" s="5" t="s">
        <v>7268</v>
      </c>
      <c r="AI258" s="1">
        <v>5539549787</v>
      </c>
      <c r="AJ258" s="1">
        <v>5562860046</v>
      </c>
      <c r="AK258" s="1" t="s">
        <v>811</v>
      </c>
      <c r="AL258" s="1" t="s">
        <v>433</v>
      </c>
      <c r="AM258" s="1" t="s">
        <v>545</v>
      </c>
      <c r="AN258" s="1" t="s">
        <v>812</v>
      </c>
      <c r="AO258" s="1" t="s">
        <v>435</v>
      </c>
      <c r="AP258" s="1">
        <v>52</v>
      </c>
      <c r="AQ258" s="1" t="s">
        <v>306</v>
      </c>
      <c r="AR258" s="42">
        <v>0.41666666666424135</v>
      </c>
      <c r="AS258" s="42">
        <v>0.83333333333575865</v>
      </c>
      <c r="AT258" s="1">
        <v>5545850766</v>
      </c>
      <c r="AU258" s="1">
        <v>5562860046</v>
      </c>
      <c r="AV258" s="1" t="s">
        <v>813</v>
      </c>
      <c r="AW258" s="5" t="s">
        <v>7269</v>
      </c>
      <c r="AX258" s="1" t="s">
        <v>433</v>
      </c>
      <c r="AY258" s="1" t="s">
        <v>623</v>
      </c>
      <c r="AZ258" s="1" t="s">
        <v>812</v>
      </c>
      <c r="BA258" s="1" t="s">
        <v>403</v>
      </c>
      <c r="BB258" s="1">
        <v>21</v>
      </c>
      <c r="BC258" s="1" t="s">
        <v>303</v>
      </c>
      <c r="BD258" s="43">
        <v>0.375</v>
      </c>
      <c r="BE258" s="43">
        <v>0.20833333333575865</v>
      </c>
      <c r="BF258" s="1">
        <v>5561460366</v>
      </c>
      <c r="BG258" s="1">
        <v>5562860046</v>
      </c>
      <c r="BH258" s="1" t="s">
        <v>7270</v>
      </c>
      <c r="BI258" s="5" t="s">
        <v>7271</v>
      </c>
      <c r="BJ258" s="1" t="s">
        <v>236</v>
      </c>
      <c r="BK258" s="1" t="s">
        <v>7272</v>
      </c>
      <c r="BL258" s="1">
        <v>158</v>
      </c>
      <c r="BM258" s="1">
        <v>66</v>
      </c>
      <c r="BN258" s="1" t="s">
        <v>228</v>
      </c>
      <c r="BO258" s="1" t="s">
        <v>228</v>
      </c>
      <c r="BP258" s="1" t="s">
        <v>270</v>
      </c>
      <c r="BQ258" s="1" t="s">
        <v>228</v>
      </c>
      <c r="BR258" s="1" t="s">
        <v>237</v>
      </c>
      <c r="BS258" s="1" t="s">
        <v>236</v>
      </c>
      <c r="BT258" s="1" t="s">
        <v>271</v>
      </c>
      <c r="BU258" s="1" t="s">
        <v>228</v>
      </c>
      <c r="BW258" s="1" t="s">
        <v>238</v>
      </c>
      <c r="BX258" s="1">
        <v>50</v>
      </c>
      <c r="BY258" s="1">
        <v>21</v>
      </c>
      <c r="BZ258" s="1" t="s">
        <v>253</v>
      </c>
      <c r="CA258" s="1" t="s">
        <v>384</v>
      </c>
      <c r="CB258" s="1" t="s">
        <v>240</v>
      </c>
      <c r="CC258" s="1" t="s">
        <v>322</v>
      </c>
      <c r="CD258" s="1">
        <v>800</v>
      </c>
      <c r="CE258" s="1">
        <v>1000</v>
      </c>
      <c r="CF258" s="1" t="s">
        <v>236</v>
      </c>
      <c r="CG258" s="1" t="s">
        <v>242</v>
      </c>
      <c r="CH258" s="1" t="s">
        <v>243</v>
      </c>
      <c r="CI258" s="1" t="s">
        <v>243</v>
      </c>
      <c r="CJ258" s="1" t="s">
        <v>2848</v>
      </c>
      <c r="CL258" s="5" t="s">
        <v>7273</v>
      </c>
      <c r="CM258" s="1" t="s">
        <v>270</v>
      </c>
      <c r="CN258" s="1" t="s">
        <v>228</v>
      </c>
      <c r="CQ258" s="42">
        <v>0.375</v>
      </c>
      <c r="CR258" s="42">
        <v>0.79166666666424135</v>
      </c>
      <c r="CT258" s="45" t="str">
        <f t="array" ref="CT258">IFERROR(INDEX(#REF!,MATCH('Respuestas de formulario 1.1'!$B258,#REF!,0),MATCH('Respuestas de formulario 1.1'!CT$1,#REF!,0)),"")</f>
        <v/>
      </c>
      <c r="CU258" s="56" t="str">
        <f t="array" ref="CU258">IFERROR(INDEX(#REF!,MATCH('Respuestas de formulario 1.1'!$B258,#REF!,0),MATCH('Respuestas de formulario 1.1'!CU$1,#REF!,0)),"")</f>
        <v/>
      </c>
      <c r="CV258" s="56" t="str">
        <f t="array" ref="CV258">IFERROR(INDEX(#REF!,MATCH('Respuestas de formulario 1.1'!$B258,#REF!,0),MATCH('Respuestas de formulario 1.1'!CV$1,#REF!,0)),"")</f>
        <v/>
      </c>
      <c r="CW258" s="56" t="str">
        <f t="array" ref="CW258">IFERROR(INDEX(#REF!,MATCH('Respuestas de formulario 1.1'!$B258,#REF!,0),MATCH('Respuestas de formulario 1.1'!CW$1,#REF!,0)),"")</f>
        <v/>
      </c>
      <c r="CX258" s="56" t="str">
        <f t="array" ref="CX258">IFERROR(INDEX(#REF!,MATCH('Respuestas de formulario 1.1'!$B258,#REF!,0),MATCH('Respuestas de formulario 1.1'!CX$1,#REF!,0)),"")</f>
        <v/>
      </c>
      <c r="CY258" s="56" t="str">
        <f t="array" ref="CY258">IFERROR(INDEX(#REF!,MATCH('Respuestas de formulario 1.1'!$B258,#REF!,0),MATCH('Respuestas de formulario 1.1'!CY$1,#REF!,0)),"")</f>
        <v/>
      </c>
      <c r="CZ258" s="57" t="str">
        <f t="array" ref="CZ258">IFERROR(INDEX(#REF!,MATCH('Respuestas de formulario 1.1'!$B258,#REF!,0),MATCH('Respuestas de formulario 1.1'!CZ$1,#REF!,0)),"")</f>
        <v/>
      </c>
      <c r="DA258" s="45" t="e">
        <f t="array" ref="DA258">INDEX(#REF!,MATCH('Respuestas de formulario 1.1'!$B258,#REF!,0),MATCH('Respuestas de formulario 1.1'!DA$1,#REF!,0))</f>
        <v>#REF!</v>
      </c>
      <c r="DB258" s="45" t="e">
        <f t="array" ref="DB258">INDEX(#REF!,MATCH('Respuestas de formulario 1.1'!$B258,#REF!,0),MATCH('Respuestas de formulario 1.1'!DB$1,#REF!,0))</f>
        <v>#REF!</v>
      </c>
      <c r="DC258" s="45" t="e">
        <f t="array" ref="DC258">INDEX(#REF!,MATCH('Respuestas de formulario 1.1'!$B258,#REF!,0),MATCH('Respuestas de formulario 1.1'!DC$1,#REF!,0))</f>
        <v>#REF!</v>
      </c>
      <c r="DD258" s="45" t="e">
        <f t="array" ref="DD258">INDEX(#REF!,MATCH('Respuestas de formulario 1.1'!$B258,#REF!,0),MATCH('Respuestas de formulario 1.1'!DD$1,#REF!,0))</f>
        <v>#REF!</v>
      </c>
      <c r="DE258" s="45" t="e">
        <f t="array" ref="DE258">INDEX(#REF!,MATCH('Respuestas de formulario 1.1'!$B258,#REF!,0),MATCH('Respuestas de formulario 1.1'!DE$1,#REF!,0))</f>
        <v>#REF!</v>
      </c>
      <c r="DF258" s="45" t="e">
        <f t="array" ref="DF258">INDEX(#REF!,MATCH('Respuestas de formulario 1.1'!$B258,#REF!,0),MATCH('Respuestas de formulario 1.1'!DF$1,#REF!,0))</f>
        <v>#REF!</v>
      </c>
      <c r="DG258" s="45" t="e">
        <f t="array" ref="DG258">INDEX(#REF!,MATCH('Respuestas de formulario 1.1'!$B258,#REF!,0),MATCH('Respuestas de formulario 1.1'!DG$1,#REF!,0))</f>
        <v>#REF!</v>
      </c>
      <c r="DH258" s="45" t="e">
        <f t="array" ref="DH258">INDEX(#REF!,MATCH('Respuestas de formulario 1.1'!$B258,#REF!,0),MATCH('Respuestas de formulario 1.1'!DH$1,#REF!,0))</f>
        <v>#REF!</v>
      </c>
      <c r="DI258" s="48" t="e">
        <f>VLOOKUP(CONCATENATE($DF258," TUTO ",$DC258),#REF!,3,0)</f>
        <v>#REF!</v>
      </c>
      <c r="DJ258" s="48" t="e">
        <f t="array" ref="DJ258">IF('Respuestas de formulario 1.1'!A258="","",INDEX(#REF!,MATCH('Respuestas de formulario 1.1'!B258,#REF!,0),MATCH('Respuestas de formulario 1.1'!$DH$1,#REF!,0)))</f>
        <v>#REF!</v>
      </c>
      <c r="DK258" s="52" t="str">
        <f>CONCATENATE("http://doc.google.com/uc?id=",MID('Respuestas de formulario 1.1'!G258,34,33))</f>
        <v>http://doc.google.com/uc?id=1NkaWu0wTz2cEac28jgKNcpOBj3Mx_gqp</v>
      </c>
      <c r="DL258" s="49" t="str">
        <f>CONCATENATE("http://doc.google.com/uc?id=",MID('Respuestas de formulario 1.1'!AH258,34,33))</f>
        <v>http://doc.google.com/uc?id=1c7tQY-5Pje0ycT8M9_7rcR5bqJ0iqRJv</v>
      </c>
      <c r="DM258" s="50" t="str">
        <f>CONCATENATE("http://doc.google.com/uc?id=",MID('Respuestas de formulario 1.1'!AW258,34,33))</f>
        <v>http://doc.google.com/uc?id=1Wl_Pn5shdS-ZT5wDOv8uTG9bUlFYnA0G</v>
      </c>
      <c r="DN258" s="53" t="str">
        <f>CONCATENATE("http://doc.google.com/uc?id=",MID('Respuestas de formulario 1.1'!$BI258,34,33))</f>
        <v>http://doc.google.com/uc?id=14_xWPIWwa6wdjbHgYia7afp0MS-akqOg</v>
      </c>
      <c r="DO258" s="45" t="str">
        <f>IFERROR(VLOOKUP(CONCATENATE('Respuestas de formulario 1.1'!$B258,MID('Respuestas de formulario 1.1'!DO$1,2,1)),#REF!,12,0),"")</f>
        <v/>
      </c>
      <c r="DP258" s="45" t="str">
        <f>IFERROR(VLOOKUP(CONCATENATE('Respuestas de formulario 1.1'!$B258,MID('Respuestas de formulario 1.1'!DP$1,2,1)),#REF!,12,0),"")</f>
        <v/>
      </c>
      <c r="DQ258" s="45" t="str">
        <f>IFERROR(VLOOKUP(CONCATENATE('Respuestas de formulario 1.1'!$B258,MID('Respuestas de formulario 1.1'!DQ$1,2,1)),#REF!,12,0),"")</f>
        <v/>
      </c>
      <c r="DR258" s="45" t="str">
        <f>IFERROR(VLOOKUP(CONCATENATE('Respuestas de formulario 1.1'!$B258,MID('Respuestas de formulario 1.1'!DR$1,2,1)),#REF!,12,0),"")</f>
        <v/>
      </c>
      <c r="DS258" s="45" t="str">
        <f>IFERROR(VLOOKUP(CONCATENATE('Respuestas de formulario 1.1'!$B258,MID('Respuestas de formulario 1.1'!DS$1,2,1)),#REF!,12,0),"")</f>
        <v/>
      </c>
      <c r="DT258" s="45" t="str">
        <f>IFERROR(VLOOKUP(CONCATENATE('Respuestas de formulario 1.1'!$B258,MID('Respuestas de formulario 1.1'!DT$1,2,1)),#REF!,12,0),"")</f>
        <v/>
      </c>
      <c r="DU258" s="45" t="str">
        <f>IFERROR(VLOOKUP(CONCATENATE('Respuestas de formulario 1.1'!$B258,MID('Respuestas de formulario 1.1'!DU$1,2,1)),#REF!,12,0),"")</f>
        <v/>
      </c>
      <c r="DV258" s="45" t="str">
        <f>IFERROR(VLOOKUP(CONCATENATE('Respuestas de formulario 1.1'!$B258,MID('Respuestas de formulario 1.1'!DV$1,2,1)),#REF!,12,0),"")</f>
        <v/>
      </c>
      <c r="DW258" s="45" t="str">
        <f>IFERROR(VLOOKUP(CONCATENATE('Respuestas de formulario 1.1'!$B258,MID('Respuestas de formulario 1.1'!DW$1,2,1)),#REF!,12,0),"")</f>
        <v/>
      </c>
      <c r="DX258" s="45" t="str">
        <f>IFERROR(VLOOKUP(CONCATENATE('Respuestas de formulario 1.1'!$B258,MID('Respuestas de formulario 1.1'!DX$1,2,1)),#REF!,12,0),"")</f>
        <v/>
      </c>
      <c r="DY258" s="45" t="str">
        <f>IFERROR(VLOOKUP(CONCATENATE('Respuestas de formulario 1.1'!$B258,MID('Respuestas de formulario 1.1'!DY$1,2,1)),#REF!,12,0),"")</f>
        <v/>
      </c>
      <c r="DZ258" s="45" t="str">
        <f>IFERROR(VLOOKUP(CONCATENATE('Respuestas de formulario 1.1'!$B258,MID('Respuestas de formulario 1.1'!DZ$1,2,1)),#REF!,12,0),"")</f>
        <v/>
      </c>
      <c r="EA258" s="45" t="str">
        <f>IFERROR(VLOOKUP(CONCATENATE('Respuestas de formulario 1.1'!$B258,MID('Respuestas de formulario 1.1'!EA$1,2,1)),#REF!,12,0),"")</f>
        <v/>
      </c>
      <c r="EB258" s="45" t="str">
        <f>IFERROR(VLOOKUP(CONCATENATE('Respuestas de formulario 1.1'!$B258,MID('Respuestas de formulario 1.1'!EB$1,2,1)),#REF!,12,0),"")</f>
        <v/>
      </c>
      <c r="EC258" s="45" t="str">
        <f>IFERROR(VLOOKUP(CONCATENATE('Respuestas de formulario 1.1'!$B258,MID('Respuestas de formulario 1.1'!EC$1,2,1)),#REF!,12,0),"")</f>
        <v/>
      </c>
      <c r="ED258" s="45" t="str">
        <f>IFERROR(VLOOKUP(CONCATENATE('Respuestas de formulario 1.1'!$B258,MID('Respuestas de formulario 1.1'!ED$1,2,1)),#REF!,12,0),"")</f>
        <v/>
      </c>
      <c r="EE258" s="45" t="str">
        <f>IFERROR(VLOOKUP(CONCATENATE('Respuestas de formulario 1.1'!$B258,MID('Respuestas de formulario 1.1'!EE$1,2,1)),#REF!,12,0),"")</f>
        <v/>
      </c>
      <c r="EF258" s="45" t="str">
        <f>IFERROR(VLOOKUP(CONCATENATE('Respuestas de formulario 1.1'!$B258,MID('Respuestas de formulario 1.1'!EF$1,2,1)),#REF!,12,0),"")</f>
        <v/>
      </c>
      <c r="EG258" s="45" t="str">
        <f>IFERROR(VLOOKUP(CONCATENATE('Respuestas de formulario 1.1'!$B258,MID('Respuestas de formulario 1.1'!EG$1,2,1)),#REF!,12,0),"")</f>
        <v/>
      </c>
      <c r="EH258" s="45" t="str">
        <f>IFERROR(VLOOKUP(CONCATENATE('Respuestas de formulario 1.1'!$B258,MID('Respuestas de formulario 1.1'!EH$1,2,1)),#REF!,12,0),"")</f>
        <v/>
      </c>
      <c r="EI258" s="45" t="str">
        <f>IFERROR(VLOOKUP(CONCATENATE('Respuestas de formulario 1.1'!$B258,MID('Respuestas de formulario 1.1'!EI$1,2,1)),#REF!,12,0),"")</f>
        <v/>
      </c>
      <c r="EJ258" s="45" t="str">
        <f t="array" ref="EJ258">IF(DO258="","", INDEX(#REF!,MATCH(CONCATENATE('Respuestas de formulario 1.1'!$B258,DO258),#REF!,0),MATCH('Respuestas de formulario 1.1'!EJ$1,#REF!,0)))</f>
        <v/>
      </c>
      <c r="EK258" s="56" t="str">
        <f t="array" ref="EK258">IF(DP258="","", INDEX(#REF!,MATCH(CONCATENATE('Respuestas de formulario 1.1'!$B258,DP258),#REF!,0),MATCH('Respuestas de formulario 1.1'!EK$1,#REF!,0)))</f>
        <v/>
      </c>
      <c r="EL258" s="56" t="str">
        <f t="array" ref="EL258">IF(DQ258="","", INDEX(#REF!,MATCH(CONCATENATE('Respuestas de formulario 1.1'!$B258,DQ258),#REF!,0),MATCH('Respuestas de formulario 1.1'!EL$1,#REF!,0)))</f>
        <v/>
      </c>
      <c r="EM258" s="56" t="str">
        <f t="array" ref="EM258">IF(DR258="","", INDEX(#REF!,MATCH(CONCATENATE('Respuestas de formulario 1.1'!$B258,DR258),#REF!,0),MATCH('Respuestas de formulario 1.1'!EM$1,#REF!,0)))</f>
        <v/>
      </c>
      <c r="EN258" s="56" t="str">
        <f t="array" ref="EN258">IF(DS258="","", INDEX(#REF!,MATCH(CONCATENATE('Respuestas de formulario 1.1'!$B258,DS258),#REF!,0),MATCH('Respuestas de formulario 1.1'!EN$1,#REF!,0)))</f>
        <v/>
      </c>
      <c r="EO258" s="56" t="str">
        <f t="array" ref="EO258">IF(DT258="","", INDEX(#REF!,MATCH(CONCATENATE('Respuestas de formulario 1.1'!$B258,DT258),#REF!,0),MATCH('Respuestas de formulario 1.1'!EO$1,#REF!,0)))</f>
        <v/>
      </c>
      <c r="EP258" s="45" t="str">
        <f t="array" ref="EP258">IF(DU258="","", INDEX(#REF!,MATCH(CONCATENATE('Respuestas de formulario 1.1'!$B258,DU258),#REF!,0),MATCH('Respuestas de formulario 1.1'!EP$1,#REF!,0)))</f>
        <v/>
      </c>
      <c r="EQ258" s="45" t="str">
        <f t="array" ref="EQ258">IF(DP258="","", INDEX(#REF!,MATCH(CONCATENATE('Respuestas de formulario 1.1'!$B258,DP258),#REF!,0),MATCH('Respuestas de formulario 1.1'!EQ$1,#REF!,0)))</f>
        <v/>
      </c>
      <c r="ER258" s="56" t="str">
        <f t="array" ref="ER258">IF(DQ258="","", INDEX(#REF!,MATCH(CONCATENATE('Respuestas de formulario 1.1'!$B258,DQ258),#REF!,0),MATCH('Respuestas de formulario 1.1'!ER$1,#REF!,0)))</f>
        <v/>
      </c>
      <c r="ES258" s="56" t="str">
        <f t="array" ref="ES258">IF(DR258="","", INDEX(#REF!,MATCH(CONCATENATE('Respuestas de formulario 1.1'!$B258,DR258),#REF!,0),MATCH('Respuestas de formulario 1.1'!ES$1,#REF!,0)))</f>
        <v/>
      </c>
      <c r="ET258" s="56" t="str">
        <f t="array" ref="ET258">IF(DS258="","", INDEX(#REF!,MATCH(CONCATENATE('Respuestas de formulario 1.1'!$B258,DS258),#REF!,0),MATCH('Respuestas de formulario 1.1'!ET$1,#REF!,0)))</f>
        <v/>
      </c>
      <c r="EU258" s="56" t="str">
        <f t="array" ref="EU258">IF(DT258="","", INDEX(#REF!,MATCH(CONCATENATE('Respuestas de formulario 1.1'!$B258,DT258),#REF!,0),MATCH('Respuestas de formulario 1.1'!EU$1,#REF!,0)))</f>
        <v/>
      </c>
      <c r="EV258" s="56" t="str">
        <f t="array" ref="EV258">IF(DU258="","", INDEX(#REF!,MATCH(CONCATENATE('Respuestas de formulario 1.1'!$B258,DU258),#REF!,0),MATCH('Respuestas de formulario 1.1'!EV$1,#REF!,0)))</f>
        <v/>
      </c>
      <c r="EW258" s="45" t="str">
        <f t="array" ref="EW258">IF(DV258="","", INDEX(#REF!,MATCH(CONCATENATE('Respuestas de formulario 1.1'!$B258,DV258),#REF!,0),MATCH('Respuestas de formulario 1.1'!EW$1,#REF!,0)))</f>
        <v/>
      </c>
      <c r="EX258" s="45" t="str">
        <f t="array" ref="EX258">IF($DQ258="","", INDEX(#REF!,MATCH(CONCATENATE('Respuestas de formulario 1.1'!$B258,$DQ258),#REF!,0),MATCH('Respuestas de formulario 1.1'!EX$1,#REF!,0)))</f>
        <v/>
      </c>
      <c r="EY258" s="56" t="str">
        <f t="array" ref="EY258">IF($DQ258="","", INDEX(#REF!,MATCH(CONCATENATE('Respuestas de formulario 1.1'!$B258,$DQ258),#REF!,0),MATCH('Respuestas de formulario 1.1'!EY$1,#REF!,0)))</f>
        <v/>
      </c>
      <c r="EZ258" s="56" t="str">
        <f t="array" ref="EZ258">IF($DQ258="","", INDEX(#REF!,MATCH(CONCATENATE('Respuestas de formulario 1.1'!$B258,$DQ258),#REF!,0),MATCH('Respuestas de formulario 1.1'!EZ$1,#REF!,0)))</f>
        <v/>
      </c>
      <c r="FA258" s="56" t="str">
        <f t="array" ref="FA258">IF($DQ258="","", INDEX(#REF!,MATCH(CONCATENATE('Respuestas de formulario 1.1'!$B258,$DQ258),#REF!,0),MATCH('Respuestas de formulario 1.1'!FA$1,#REF!,0)))</f>
        <v/>
      </c>
      <c r="FB258" s="56" t="str">
        <f t="array" ref="FB258">IF($DQ258="","", INDEX(#REF!,MATCH(CONCATENATE('Respuestas de formulario 1.1'!$B258,$DQ258),#REF!,0),MATCH('Respuestas de formulario 1.1'!FB$1,#REF!,0)))</f>
        <v/>
      </c>
      <c r="FC258" s="56" t="str">
        <f t="array" ref="FC258">IF($DQ258="","", INDEX(#REF!,MATCH(CONCATENATE('Respuestas de formulario 1.1'!$B258,$DQ258),#REF!,0),MATCH('Respuestas de formulario 1.1'!FC$1,#REF!,0)))</f>
        <v/>
      </c>
      <c r="FD258" s="45" t="str">
        <f t="array" ref="FD258">IF($DQ258="","", INDEX(#REF!,MATCH(CONCATENATE('Respuestas de formulario 1.1'!$B258,$DQ258),#REF!,0),MATCH('Respuestas de formulario 1.1'!FD$1,#REF!,0)))</f>
        <v/>
      </c>
      <c r="FE258" s="45" t="str">
        <f t="array" ref="FE258">IF($DR258="","", INDEX(#REF!,MATCH(CONCATENATE(#REF!,$DR258),#REF!,0),MATCH(#REF!,#REF!,0)))</f>
        <v/>
      </c>
      <c r="FF258" s="56" t="str">
        <f t="array" ref="FF258">IF($DR258="","", INDEX(#REF!,MATCH(CONCATENATE(#REF!,$DR258),#REF!,0),MATCH(#REF!,#REF!,0)))</f>
        <v/>
      </c>
      <c r="FG258" s="56" t="str">
        <f t="array" ref="FG258">IF($DR258="","", INDEX(#REF!,MATCH(CONCATENATE(#REF!,$DR258),#REF!,0),MATCH(#REF!,#REF!,0)))</f>
        <v/>
      </c>
      <c r="FH258" s="56" t="str">
        <f t="array" ref="FH258">IF($DR258="","", INDEX(#REF!,MATCH(CONCATENATE(#REF!,$DR258),#REF!,0),MATCH(#REF!,#REF!,0)))</f>
        <v/>
      </c>
      <c r="FI258" s="56" t="str">
        <f t="array" ref="FI258">IF($DR258="","", INDEX(#REF!,MATCH(CONCATENATE(#REF!,$DR258),#REF!,0),MATCH(#REF!,#REF!,0)))</f>
        <v/>
      </c>
      <c r="FJ258" s="56" t="str">
        <f t="array" ref="FJ258">IF($DR258="","", INDEX(#REF!,MATCH(CONCATENATE(#REF!,$DR258),#REF!,0),MATCH(#REF!,#REF!,0)))</f>
        <v/>
      </c>
      <c r="FK258" s="45" t="str">
        <f t="array" ref="FK258">IF($DR258="","", INDEX(#REF!,MATCH(CONCATENATE(#REF!,$DR258),#REF!,0),MATCH(#REF!,#REF!,0)))</f>
        <v/>
      </c>
      <c r="FL258" s="45" t="str">
        <f t="array" ref="FL258">IF($DT258="","", INDEX(#REF!,MATCH(CONCATENATE('Respuestas de formulario 1.1'!$B258,$DS258),#REF!,0),MATCH('Respuestas de formulario 1.1'!FL$1,#REF!,0)))</f>
        <v/>
      </c>
      <c r="FM258" s="56" t="str">
        <f t="array" ref="FM258">IF($DT258="","", INDEX(#REF!,MATCH(CONCATENATE('Respuestas de formulario 1.1'!$B258,$DS258),#REF!,0),MATCH('Respuestas de formulario 1.1'!FM$1,#REF!,0)))</f>
        <v/>
      </c>
      <c r="FN258" s="56" t="str">
        <f t="array" ref="FN258">IF($DT258="","", INDEX(#REF!,MATCH(CONCATENATE('Respuestas de formulario 1.1'!$B258,$DS258),#REF!,0),MATCH('Respuestas de formulario 1.1'!FN$1,#REF!,0)))</f>
        <v/>
      </c>
      <c r="FO258" s="56" t="str">
        <f t="array" ref="FO258">IF($DT258="","", INDEX(#REF!,MATCH(CONCATENATE('Respuestas de formulario 1.1'!$B258,$DS258),#REF!,0),MATCH('Respuestas de formulario 1.1'!FO$1,#REF!,0)))</f>
        <v/>
      </c>
      <c r="FP258" s="56" t="str">
        <f t="array" ref="FP258">IF($DT258="","", INDEX(#REF!,MATCH(CONCATENATE('Respuestas de formulario 1.1'!$B258,$DS258),#REF!,0),MATCH('Respuestas de formulario 1.1'!FP$1,#REF!,0)))</f>
        <v/>
      </c>
      <c r="FQ258" s="56" t="str">
        <f t="array" ref="FQ258">IF($DT258="","", INDEX(#REF!,MATCH(CONCATENATE('Respuestas de formulario 1.1'!$B258,$DS258),#REF!,0),MATCH('Respuestas de formulario 1.1'!FQ$1,#REF!,0)))</f>
        <v/>
      </c>
      <c r="FR258" s="45" t="str">
        <f t="array" ref="FR258">IF($DT258="","", INDEX(#REF!,MATCH(CONCATENATE('Respuestas de formulario 1.1'!$B258,$DS258),#REF!,0),MATCH('Respuestas de formulario 1.1'!FR$1,#REF!,0)))</f>
        <v/>
      </c>
      <c r="FS258" s="45" t="str">
        <f t="array" ref="FS258">IF($DU258="","", INDEX(#REF!,MATCH(CONCATENATE('Respuestas de formulario 1.1'!$B258,$DT258),#REF!,0),MATCH('Respuestas de formulario 1.1'!FS$1,#REF!,0)))</f>
        <v/>
      </c>
      <c r="FT258" s="56" t="str">
        <f t="array" ref="FT258">IF($DU258="","", INDEX(#REF!,MATCH(CONCATENATE('Respuestas de formulario 1.1'!$B258,$DT258),#REF!,0),MATCH('Respuestas de formulario 1.1'!FT$1,#REF!,0)))</f>
        <v/>
      </c>
      <c r="FU258" s="56" t="str">
        <f t="array" ref="FU258">IF($DU258="","", INDEX(#REF!,MATCH(CONCATENATE('Respuestas de formulario 1.1'!$B258,$DT258),#REF!,0),MATCH('Respuestas de formulario 1.1'!FU$1,#REF!,0)))</f>
        <v/>
      </c>
      <c r="FV258" s="56" t="str">
        <f t="array" ref="FV258">IF($DU258="","", INDEX(#REF!,MATCH(CONCATENATE('Respuestas de formulario 1.1'!$B258,$DT258),#REF!,0),MATCH('Respuestas de formulario 1.1'!FV$1,#REF!,0)))</f>
        <v/>
      </c>
      <c r="FW258" s="56" t="str">
        <f t="array" ref="FW258">IF($DU258="","", INDEX(#REF!,MATCH(CONCATENATE('Respuestas de formulario 1.1'!$B258,$DT258),#REF!,0),MATCH('Respuestas de formulario 1.1'!FW$1,#REF!,0)))</f>
        <v/>
      </c>
      <c r="FX258" s="56" t="str">
        <f t="array" ref="FX258">IF($DU258="","", INDEX(#REF!,MATCH(CONCATENATE('Respuestas de formulario 1.1'!$B258,$DT258),#REF!,0),MATCH('Respuestas de formulario 1.1'!FX$1,#REF!,0)))</f>
        <v/>
      </c>
      <c r="FY258" s="45" t="str">
        <f t="array" ref="FY258">IF($DU258="","", INDEX(#REF!,MATCH(CONCATENATE('Respuestas de formulario 1.1'!$B258,$DT258),#REF!,0),MATCH('Respuestas de formulario 1.1'!FY$1,#REF!,0)))</f>
        <v/>
      </c>
      <c r="FZ258" s="3" t="s">
        <v>2860</v>
      </c>
      <c r="GA258" s="1" t="s">
        <v>7274</v>
      </c>
      <c r="GB258" s="5" t="s">
        <v>7275</v>
      </c>
      <c r="GC258" s="4" t="str">
        <f>HYPERLINK("https://drive.google.com/file/d/10YwketOJ_zMFZaPEPw5E3f05bgZ0GakE/view?usp=drivesdk","MARTINEZ  VENTURA ARALUZ Formato de reinscripción y pago 2022-2")</f>
        <v>MARTINEZ  VENTURA ARALUZ Formato de reinscripción y pago 2022-2</v>
      </c>
      <c r="GD258" s="1" t="s">
        <v>7276</v>
      </c>
      <c r="GE258" s="1"/>
      <c r="GF258" s="1"/>
      <c r="GG258" s="1"/>
      <c r="GH258" s="1"/>
      <c r="GI258" s="1" t="s">
        <v>7277</v>
      </c>
      <c r="GJ258" s="5" t="s">
        <v>7278</v>
      </c>
      <c r="GK258" s="5" t="str">
        <f>HYPERLINK("https://drive.google.com/file/d/17jCWXKH2FT4T1XMd5Vy3ssmMLiCv7sG1/view?usp=drivesdk","MARTINEZ  VENTURA ARALUZ Formato de reinscripción y pago 2022-2")</f>
        <v>MARTINEZ  VENTURA ARALUZ Formato de reinscripción y pago 2022-2</v>
      </c>
      <c r="GL258" s="1" t="s">
        <v>7279</v>
      </c>
    </row>
    <row r="259" spans="1:194" ht="38.25" x14ac:dyDescent="0.2">
      <c r="A259" s="2">
        <v>45139.556191342592</v>
      </c>
      <c r="B259" s="1" t="s">
        <v>2705</v>
      </c>
      <c r="C259" s="1" t="s">
        <v>2294</v>
      </c>
      <c r="D259" s="1" t="s">
        <v>585</v>
      </c>
      <c r="E259" s="1" t="s">
        <v>7280</v>
      </c>
      <c r="F259" s="1" t="s">
        <v>262</v>
      </c>
      <c r="G259" s="5" t="s">
        <v>7281</v>
      </c>
      <c r="H259" s="41">
        <v>38441</v>
      </c>
      <c r="I259" s="1">
        <v>18</v>
      </c>
      <c r="J259" s="1">
        <v>5535144867</v>
      </c>
      <c r="K259" s="1">
        <v>5550342104</v>
      </c>
      <c r="L259" s="1" t="s">
        <v>2706</v>
      </c>
      <c r="M259" s="1">
        <v>20309060570513</v>
      </c>
      <c r="N259" s="1" t="s">
        <v>1108</v>
      </c>
      <c r="O259" s="1" t="s">
        <v>225</v>
      </c>
      <c r="P259" s="1" t="s">
        <v>314</v>
      </c>
      <c r="Q259" s="1" t="s">
        <v>248</v>
      </c>
      <c r="R259" s="1" t="s">
        <v>228</v>
      </c>
      <c r="S259" s="1" t="s">
        <v>236</v>
      </c>
      <c r="T259" s="1" t="s">
        <v>411</v>
      </c>
      <c r="U259" s="1" t="s">
        <v>249</v>
      </c>
      <c r="V259" s="1" t="s">
        <v>228</v>
      </c>
      <c r="W259" s="1" t="s">
        <v>7282</v>
      </c>
      <c r="X259" s="1" t="s">
        <v>249</v>
      </c>
      <c r="Y259" s="1" t="s">
        <v>1932</v>
      </c>
      <c r="Z259" s="1" t="s">
        <v>240</v>
      </c>
      <c r="AA259" s="44" t="s">
        <v>555</v>
      </c>
      <c r="AB259" s="44" t="s">
        <v>555</v>
      </c>
      <c r="AC259" s="44" t="s">
        <v>555</v>
      </c>
      <c r="AD259" s="1" t="s">
        <v>7283</v>
      </c>
      <c r="AE259" s="1" t="s">
        <v>7284</v>
      </c>
      <c r="AF259" s="1" t="s">
        <v>279</v>
      </c>
      <c r="AG259" s="1">
        <v>60</v>
      </c>
      <c r="AH259" s="5" t="s">
        <v>7285</v>
      </c>
      <c r="AI259" s="1">
        <v>5550342104</v>
      </c>
      <c r="AJ259" s="1">
        <v>5550342104</v>
      </c>
      <c r="AK259" s="1"/>
      <c r="AL259" s="1" t="s">
        <v>585</v>
      </c>
      <c r="AM259" s="1" t="s">
        <v>2707</v>
      </c>
      <c r="AN259" s="1" t="s">
        <v>2708</v>
      </c>
      <c r="AO259" s="1" t="s">
        <v>445</v>
      </c>
      <c r="AP259" s="1">
        <v>38</v>
      </c>
      <c r="AQ259" s="1" t="s">
        <v>1355</v>
      </c>
      <c r="AR259" s="42">
        <v>0.375</v>
      </c>
      <c r="AS259" s="42">
        <v>0.41666666666424135</v>
      </c>
      <c r="AT259" s="1">
        <v>5624869949</v>
      </c>
      <c r="AU259" s="1">
        <v>5550342104</v>
      </c>
      <c r="AV259" s="1"/>
      <c r="AW259" s="5" t="s">
        <v>7286</v>
      </c>
      <c r="AX259" s="1" t="s">
        <v>2294</v>
      </c>
      <c r="AY259" s="1" t="s">
        <v>585</v>
      </c>
      <c r="AZ259" s="1" t="s">
        <v>7280</v>
      </c>
      <c r="BA259" s="1" t="s">
        <v>1013</v>
      </c>
      <c r="BB259" s="1">
        <v>18</v>
      </c>
      <c r="BC259" s="1" t="s">
        <v>303</v>
      </c>
      <c r="BD259" s="43">
        <v>8.3333333335758653E-2</v>
      </c>
      <c r="BE259" s="43">
        <v>0.375</v>
      </c>
      <c r="BF259" s="1">
        <v>5535144867</v>
      </c>
      <c r="BG259" s="1">
        <v>5550342104</v>
      </c>
      <c r="BH259" s="1"/>
      <c r="BI259" s="5" t="s">
        <v>7287</v>
      </c>
      <c r="BJ259" s="1" t="s">
        <v>236</v>
      </c>
      <c r="BL259" s="1">
        <v>165</v>
      </c>
      <c r="BM259" s="1">
        <v>57</v>
      </c>
      <c r="BN259" s="1" t="s">
        <v>236</v>
      </c>
      <c r="BO259" s="1" t="s">
        <v>228</v>
      </c>
      <c r="BQ259" s="1" t="s">
        <v>236</v>
      </c>
      <c r="BR259" s="1" t="s">
        <v>237</v>
      </c>
      <c r="BS259" s="1" t="s">
        <v>236</v>
      </c>
      <c r="BT259" s="1" t="s">
        <v>457</v>
      </c>
      <c r="BU259" s="1" t="s">
        <v>236</v>
      </c>
      <c r="BW259" s="1" t="s">
        <v>238</v>
      </c>
      <c r="BX259" s="1">
        <v>120</v>
      </c>
      <c r="BY259" s="1">
        <v>120</v>
      </c>
      <c r="BZ259" s="1" t="s">
        <v>7288</v>
      </c>
      <c r="CA259" s="1" t="s">
        <v>1962</v>
      </c>
      <c r="CB259" s="1" t="s">
        <v>7289</v>
      </c>
      <c r="CC259" s="1" t="s">
        <v>7290</v>
      </c>
      <c r="CD259" s="1">
        <v>3000</v>
      </c>
      <c r="CE259" s="1">
        <v>1200</v>
      </c>
      <c r="CF259" s="1" t="s">
        <v>236</v>
      </c>
      <c r="CG259" s="1" t="s">
        <v>242</v>
      </c>
      <c r="CH259" s="1" t="s">
        <v>243</v>
      </c>
      <c r="CI259" s="1" t="s">
        <v>243</v>
      </c>
      <c r="CJ259" s="1" t="s">
        <v>2848</v>
      </c>
      <c r="CL259" s="5" t="s">
        <v>7291</v>
      </c>
      <c r="CM259" s="44" t="s">
        <v>2709</v>
      </c>
      <c r="CN259" s="1" t="s">
        <v>228</v>
      </c>
      <c r="CQ259" s="42">
        <v>0.41666666666424135</v>
      </c>
      <c r="CR259" s="42">
        <v>0.41666666666424135</v>
      </c>
      <c r="CT259" s="45" t="str">
        <f t="array" ref="CT259">IFERROR(INDEX(#REF!,MATCH('Respuestas de formulario 1.1'!$B259,#REF!,0),MATCH('Respuestas de formulario 1.1'!CT$1,#REF!,0)),"")</f>
        <v/>
      </c>
      <c r="CU259" s="56" t="str">
        <f t="array" ref="CU259">IFERROR(INDEX(#REF!,MATCH('Respuestas de formulario 1.1'!$B259,#REF!,0),MATCH('Respuestas de formulario 1.1'!CU$1,#REF!,0)),"")</f>
        <v/>
      </c>
      <c r="CV259" s="56" t="str">
        <f t="array" ref="CV259">IFERROR(INDEX(#REF!,MATCH('Respuestas de formulario 1.1'!$B259,#REF!,0),MATCH('Respuestas de formulario 1.1'!CV$1,#REF!,0)),"")</f>
        <v/>
      </c>
      <c r="CW259" s="56" t="str">
        <f t="array" ref="CW259">IFERROR(INDEX(#REF!,MATCH('Respuestas de formulario 1.1'!$B259,#REF!,0),MATCH('Respuestas de formulario 1.1'!CW$1,#REF!,0)),"")</f>
        <v/>
      </c>
      <c r="CX259" s="56" t="str">
        <f t="array" ref="CX259">IFERROR(INDEX(#REF!,MATCH('Respuestas de formulario 1.1'!$B259,#REF!,0),MATCH('Respuestas de formulario 1.1'!CX$1,#REF!,0)),"")</f>
        <v/>
      </c>
      <c r="CY259" s="56" t="str">
        <f t="array" ref="CY259">IFERROR(INDEX(#REF!,MATCH('Respuestas de formulario 1.1'!$B259,#REF!,0),MATCH('Respuestas de formulario 1.1'!CY$1,#REF!,0)),"")</f>
        <v/>
      </c>
      <c r="CZ259" s="57" t="str">
        <f t="array" ref="CZ259">IFERROR(INDEX(#REF!,MATCH('Respuestas de formulario 1.1'!$B259,#REF!,0),MATCH('Respuestas de formulario 1.1'!CZ$1,#REF!,0)),"")</f>
        <v/>
      </c>
      <c r="DA259" s="45" t="e">
        <f t="array" ref="DA259">INDEX(#REF!,MATCH('Respuestas de formulario 1.1'!$B259,#REF!,0),MATCH('Respuestas de formulario 1.1'!DA$1,#REF!,0))</f>
        <v>#REF!</v>
      </c>
      <c r="DB259" s="45" t="e">
        <f t="array" ref="DB259">INDEX(#REF!,MATCH('Respuestas de formulario 1.1'!$B259,#REF!,0),MATCH('Respuestas de formulario 1.1'!DB$1,#REF!,0))</f>
        <v>#REF!</v>
      </c>
      <c r="DC259" s="45" t="e">
        <f t="array" ref="DC259">INDEX(#REF!,MATCH('Respuestas de formulario 1.1'!$B259,#REF!,0),MATCH('Respuestas de formulario 1.1'!DC$1,#REF!,0))</f>
        <v>#REF!</v>
      </c>
      <c r="DD259" s="45" t="e">
        <f t="array" ref="DD259">INDEX(#REF!,MATCH('Respuestas de formulario 1.1'!$B259,#REF!,0),MATCH('Respuestas de formulario 1.1'!DD$1,#REF!,0))</f>
        <v>#REF!</v>
      </c>
      <c r="DE259" s="45" t="e">
        <f t="array" ref="DE259">INDEX(#REF!,MATCH('Respuestas de formulario 1.1'!$B259,#REF!,0),MATCH('Respuestas de formulario 1.1'!DE$1,#REF!,0))</f>
        <v>#REF!</v>
      </c>
      <c r="DF259" s="45" t="e">
        <f t="array" ref="DF259">INDEX(#REF!,MATCH('Respuestas de formulario 1.1'!$B259,#REF!,0),MATCH('Respuestas de formulario 1.1'!DF$1,#REF!,0))</f>
        <v>#REF!</v>
      </c>
      <c r="DG259" s="45" t="e">
        <f t="array" ref="DG259">INDEX(#REF!,MATCH('Respuestas de formulario 1.1'!$B259,#REF!,0),MATCH('Respuestas de formulario 1.1'!DG$1,#REF!,0))</f>
        <v>#REF!</v>
      </c>
      <c r="DH259" s="45" t="e">
        <f t="array" ref="DH259">INDEX(#REF!,MATCH('Respuestas de formulario 1.1'!$B259,#REF!,0),MATCH('Respuestas de formulario 1.1'!DH$1,#REF!,0))</f>
        <v>#REF!</v>
      </c>
      <c r="DI259" s="48" t="e">
        <f>VLOOKUP(CONCATENATE($DF259," TUTO ",$DC259),#REF!,3,0)</f>
        <v>#REF!</v>
      </c>
      <c r="DJ259" s="48" t="e">
        <f t="array" ref="DJ259">IF('Respuestas de formulario 1.1'!A259="","",INDEX(#REF!,MATCH('Respuestas de formulario 1.1'!B259,#REF!,0),MATCH('Respuestas de formulario 1.1'!$DH$1,#REF!,0)))</f>
        <v>#REF!</v>
      </c>
      <c r="DK259" s="52" t="str">
        <f>CONCATENATE("http://doc.google.com/uc?id=",MID('Respuestas de formulario 1.1'!G259,34,33))</f>
        <v>http://doc.google.com/uc?id=1b5F7Lw71XZtmRgIA23aw3wApNo6k-6A-</v>
      </c>
      <c r="DL259" s="49" t="str">
        <f>CONCATENATE("http://doc.google.com/uc?id=",MID('Respuestas de formulario 1.1'!AH259,34,33))</f>
        <v>http://doc.google.com/uc?id=1V_s6pp4haTR0dnaEPd2_8VRm0Sc5xhB6</v>
      </c>
      <c r="DM259" s="50" t="str">
        <f>CONCATENATE("http://doc.google.com/uc?id=",MID('Respuestas de formulario 1.1'!AW259,34,33))</f>
        <v>http://doc.google.com/uc?id=1fIgjSN121fo2kgwv-iPq74IcPjChtijB</v>
      </c>
      <c r="DN259" s="53" t="str">
        <f>CONCATENATE("http://doc.google.com/uc?id=",MID('Respuestas de formulario 1.1'!$BI259,34,33))</f>
        <v>http://doc.google.com/uc?id=1lTJzblV9FMZ8pbkJrjKcaafYA50mLCHZ</v>
      </c>
      <c r="DO259" s="45" t="str">
        <f>IFERROR(VLOOKUP(CONCATENATE('Respuestas de formulario 1.1'!$B259,MID('Respuestas de formulario 1.1'!DO$1,2,1)),#REF!,12,0),"")</f>
        <v/>
      </c>
      <c r="DP259" s="45" t="str">
        <f>IFERROR(VLOOKUP(CONCATENATE('Respuestas de formulario 1.1'!$B259,MID('Respuestas de formulario 1.1'!DP$1,2,1)),#REF!,12,0),"")</f>
        <v/>
      </c>
      <c r="DQ259" s="45" t="str">
        <f>IFERROR(VLOOKUP(CONCATENATE('Respuestas de formulario 1.1'!$B259,MID('Respuestas de formulario 1.1'!DQ$1,2,1)),#REF!,12,0),"")</f>
        <v/>
      </c>
      <c r="DR259" s="45" t="str">
        <f>IFERROR(VLOOKUP(CONCATENATE('Respuestas de formulario 1.1'!$B259,MID('Respuestas de formulario 1.1'!DR$1,2,1)),#REF!,12,0),"")</f>
        <v/>
      </c>
      <c r="DS259" s="45" t="str">
        <f>IFERROR(VLOOKUP(CONCATENATE('Respuestas de formulario 1.1'!$B259,MID('Respuestas de formulario 1.1'!DS$1,2,1)),#REF!,12,0),"")</f>
        <v/>
      </c>
      <c r="DT259" s="45" t="str">
        <f>IFERROR(VLOOKUP(CONCATENATE('Respuestas de formulario 1.1'!$B259,MID('Respuestas de formulario 1.1'!DT$1,2,1)),#REF!,12,0),"")</f>
        <v/>
      </c>
      <c r="DU259" s="45" t="str">
        <f>IFERROR(VLOOKUP(CONCATENATE('Respuestas de formulario 1.1'!$B259,MID('Respuestas de formulario 1.1'!DU$1,2,1)),#REF!,12,0),"")</f>
        <v/>
      </c>
      <c r="DV259" s="45" t="str">
        <f>IFERROR(VLOOKUP(CONCATENATE('Respuestas de formulario 1.1'!$B259,MID('Respuestas de formulario 1.1'!DV$1,2,1)),#REF!,12,0),"")</f>
        <v/>
      </c>
      <c r="DW259" s="45" t="str">
        <f>IFERROR(VLOOKUP(CONCATENATE('Respuestas de formulario 1.1'!$B259,MID('Respuestas de formulario 1.1'!DW$1,2,1)),#REF!,12,0),"")</f>
        <v/>
      </c>
      <c r="DX259" s="45" t="str">
        <f>IFERROR(VLOOKUP(CONCATENATE('Respuestas de formulario 1.1'!$B259,MID('Respuestas de formulario 1.1'!DX$1,2,1)),#REF!,12,0),"")</f>
        <v/>
      </c>
      <c r="DY259" s="45" t="str">
        <f>IFERROR(VLOOKUP(CONCATENATE('Respuestas de formulario 1.1'!$B259,MID('Respuestas de formulario 1.1'!DY$1,2,1)),#REF!,12,0),"")</f>
        <v/>
      </c>
      <c r="DZ259" s="45" t="str">
        <f>IFERROR(VLOOKUP(CONCATENATE('Respuestas de formulario 1.1'!$B259,MID('Respuestas de formulario 1.1'!DZ$1,2,1)),#REF!,12,0),"")</f>
        <v/>
      </c>
      <c r="EA259" s="45" t="str">
        <f>IFERROR(VLOOKUP(CONCATENATE('Respuestas de formulario 1.1'!$B259,MID('Respuestas de formulario 1.1'!EA$1,2,1)),#REF!,12,0),"")</f>
        <v/>
      </c>
      <c r="EB259" s="45" t="str">
        <f>IFERROR(VLOOKUP(CONCATENATE('Respuestas de formulario 1.1'!$B259,MID('Respuestas de formulario 1.1'!EB$1,2,1)),#REF!,12,0),"")</f>
        <v/>
      </c>
      <c r="EC259" s="45" t="str">
        <f>IFERROR(VLOOKUP(CONCATENATE('Respuestas de formulario 1.1'!$B259,MID('Respuestas de formulario 1.1'!EC$1,2,1)),#REF!,12,0),"")</f>
        <v/>
      </c>
      <c r="ED259" s="45" t="str">
        <f>IFERROR(VLOOKUP(CONCATENATE('Respuestas de formulario 1.1'!$B259,MID('Respuestas de formulario 1.1'!ED$1,2,1)),#REF!,12,0),"")</f>
        <v/>
      </c>
      <c r="EE259" s="45" t="str">
        <f>IFERROR(VLOOKUP(CONCATENATE('Respuestas de formulario 1.1'!$B259,MID('Respuestas de formulario 1.1'!EE$1,2,1)),#REF!,12,0),"")</f>
        <v/>
      </c>
      <c r="EF259" s="45" t="str">
        <f>IFERROR(VLOOKUP(CONCATENATE('Respuestas de formulario 1.1'!$B259,MID('Respuestas de formulario 1.1'!EF$1,2,1)),#REF!,12,0),"")</f>
        <v/>
      </c>
      <c r="EG259" s="45" t="str">
        <f>IFERROR(VLOOKUP(CONCATENATE('Respuestas de formulario 1.1'!$B259,MID('Respuestas de formulario 1.1'!EG$1,2,1)),#REF!,12,0),"")</f>
        <v/>
      </c>
      <c r="EH259" s="45" t="str">
        <f>IFERROR(VLOOKUP(CONCATENATE('Respuestas de formulario 1.1'!$B259,MID('Respuestas de formulario 1.1'!EH$1,2,1)),#REF!,12,0),"")</f>
        <v/>
      </c>
      <c r="EI259" s="45" t="str">
        <f>IFERROR(VLOOKUP(CONCATENATE('Respuestas de formulario 1.1'!$B259,MID('Respuestas de formulario 1.1'!EI$1,2,1)),#REF!,12,0),"")</f>
        <v/>
      </c>
      <c r="EJ259" s="45" t="str">
        <f t="array" ref="EJ259">IF(DO259="","", INDEX(#REF!,MATCH(CONCATENATE('Respuestas de formulario 1.1'!$B259,DO259),#REF!,0),MATCH('Respuestas de formulario 1.1'!EJ$1,#REF!,0)))</f>
        <v/>
      </c>
      <c r="EK259" s="56" t="str">
        <f t="array" ref="EK259">IF(DP259="","", INDEX(#REF!,MATCH(CONCATENATE('Respuestas de formulario 1.1'!$B259,DP259),#REF!,0),MATCH('Respuestas de formulario 1.1'!EK$1,#REF!,0)))</f>
        <v/>
      </c>
      <c r="EL259" s="56" t="str">
        <f t="array" ref="EL259">IF(DQ259="","", INDEX(#REF!,MATCH(CONCATENATE('Respuestas de formulario 1.1'!$B259,DQ259),#REF!,0),MATCH('Respuestas de formulario 1.1'!EL$1,#REF!,0)))</f>
        <v/>
      </c>
      <c r="EM259" s="56" t="str">
        <f t="array" ref="EM259">IF(DR259="","", INDEX(#REF!,MATCH(CONCATENATE('Respuestas de formulario 1.1'!$B259,DR259),#REF!,0),MATCH('Respuestas de formulario 1.1'!EM$1,#REF!,0)))</f>
        <v/>
      </c>
      <c r="EN259" s="56" t="str">
        <f t="array" ref="EN259">IF(DS259="","", INDEX(#REF!,MATCH(CONCATENATE('Respuestas de formulario 1.1'!$B259,DS259),#REF!,0),MATCH('Respuestas de formulario 1.1'!EN$1,#REF!,0)))</f>
        <v/>
      </c>
      <c r="EO259" s="56" t="str">
        <f t="array" ref="EO259">IF(DT259="","", INDEX(#REF!,MATCH(CONCATENATE('Respuestas de formulario 1.1'!$B259,DT259),#REF!,0),MATCH('Respuestas de formulario 1.1'!EO$1,#REF!,0)))</f>
        <v/>
      </c>
      <c r="EP259" s="45" t="str">
        <f t="array" ref="EP259">IF(DU259="","", INDEX(#REF!,MATCH(CONCATENATE('Respuestas de formulario 1.1'!$B259,DU259),#REF!,0),MATCH('Respuestas de formulario 1.1'!EP$1,#REF!,0)))</f>
        <v/>
      </c>
      <c r="EQ259" s="45" t="str">
        <f t="array" ref="EQ259">IF(DP259="","", INDEX(#REF!,MATCH(CONCATENATE('Respuestas de formulario 1.1'!$B259,DP259),#REF!,0),MATCH('Respuestas de formulario 1.1'!EQ$1,#REF!,0)))</f>
        <v/>
      </c>
      <c r="ER259" s="56" t="str">
        <f t="array" ref="ER259">IF(DQ259="","", INDEX(#REF!,MATCH(CONCATENATE('Respuestas de formulario 1.1'!$B259,DQ259),#REF!,0),MATCH('Respuestas de formulario 1.1'!ER$1,#REF!,0)))</f>
        <v/>
      </c>
      <c r="ES259" s="56" t="str">
        <f t="array" ref="ES259">IF(DR259="","", INDEX(#REF!,MATCH(CONCATENATE('Respuestas de formulario 1.1'!$B259,DR259),#REF!,0),MATCH('Respuestas de formulario 1.1'!ES$1,#REF!,0)))</f>
        <v/>
      </c>
      <c r="ET259" s="56" t="str">
        <f t="array" ref="ET259">IF(DS259="","", INDEX(#REF!,MATCH(CONCATENATE('Respuestas de formulario 1.1'!$B259,DS259),#REF!,0),MATCH('Respuestas de formulario 1.1'!ET$1,#REF!,0)))</f>
        <v/>
      </c>
      <c r="EU259" s="56" t="str">
        <f t="array" ref="EU259">IF(DT259="","", INDEX(#REF!,MATCH(CONCATENATE('Respuestas de formulario 1.1'!$B259,DT259),#REF!,0),MATCH('Respuestas de formulario 1.1'!EU$1,#REF!,0)))</f>
        <v/>
      </c>
      <c r="EV259" s="56" t="str">
        <f t="array" ref="EV259">IF(DU259="","", INDEX(#REF!,MATCH(CONCATENATE('Respuestas de formulario 1.1'!$B259,DU259),#REF!,0),MATCH('Respuestas de formulario 1.1'!EV$1,#REF!,0)))</f>
        <v/>
      </c>
      <c r="EW259" s="45" t="str">
        <f t="array" ref="EW259">IF(DV259="","", INDEX(#REF!,MATCH(CONCATENATE('Respuestas de formulario 1.1'!$B259,DV259),#REF!,0),MATCH('Respuestas de formulario 1.1'!EW$1,#REF!,0)))</f>
        <v/>
      </c>
      <c r="EX259" s="45" t="str">
        <f t="array" ref="EX259">IF($DQ259="","", INDEX(#REF!,MATCH(CONCATENATE('Respuestas de formulario 1.1'!$B259,$DQ259),#REF!,0),MATCH('Respuestas de formulario 1.1'!EX$1,#REF!,0)))</f>
        <v/>
      </c>
      <c r="EY259" s="56" t="str">
        <f t="array" ref="EY259">IF($DQ259="","", INDEX(#REF!,MATCH(CONCATENATE('Respuestas de formulario 1.1'!$B259,$DQ259),#REF!,0),MATCH('Respuestas de formulario 1.1'!EY$1,#REF!,0)))</f>
        <v/>
      </c>
      <c r="EZ259" s="56" t="str">
        <f t="array" ref="EZ259">IF($DQ259="","", INDEX(#REF!,MATCH(CONCATENATE('Respuestas de formulario 1.1'!$B259,$DQ259),#REF!,0),MATCH('Respuestas de formulario 1.1'!EZ$1,#REF!,0)))</f>
        <v/>
      </c>
      <c r="FA259" s="56" t="str">
        <f t="array" ref="FA259">IF($DQ259="","", INDEX(#REF!,MATCH(CONCATENATE('Respuestas de formulario 1.1'!$B259,$DQ259),#REF!,0),MATCH('Respuestas de formulario 1.1'!FA$1,#REF!,0)))</f>
        <v/>
      </c>
      <c r="FB259" s="56" t="str">
        <f t="array" ref="FB259">IF($DQ259="","", INDEX(#REF!,MATCH(CONCATENATE('Respuestas de formulario 1.1'!$B259,$DQ259),#REF!,0),MATCH('Respuestas de formulario 1.1'!FB$1,#REF!,0)))</f>
        <v/>
      </c>
      <c r="FC259" s="56" t="str">
        <f t="array" ref="FC259">IF($DQ259="","", INDEX(#REF!,MATCH(CONCATENATE('Respuestas de formulario 1.1'!$B259,$DQ259),#REF!,0),MATCH('Respuestas de formulario 1.1'!FC$1,#REF!,0)))</f>
        <v/>
      </c>
      <c r="FD259" s="45" t="str">
        <f t="array" ref="FD259">IF($DQ259="","", INDEX(#REF!,MATCH(CONCATENATE('Respuestas de formulario 1.1'!$B259,$DQ259),#REF!,0),MATCH('Respuestas de formulario 1.1'!FD$1,#REF!,0)))</f>
        <v/>
      </c>
      <c r="FE259" s="45" t="str">
        <f t="array" ref="FE259">IF($DR259="","", INDEX(#REF!,MATCH(CONCATENATE(#REF!,$DR259),#REF!,0),MATCH(#REF!,#REF!,0)))</f>
        <v/>
      </c>
      <c r="FF259" s="56" t="str">
        <f t="array" ref="FF259">IF($DR259="","", INDEX(#REF!,MATCH(CONCATENATE(#REF!,$DR259),#REF!,0),MATCH(#REF!,#REF!,0)))</f>
        <v/>
      </c>
      <c r="FG259" s="56" t="str">
        <f t="array" ref="FG259">IF($DR259="","", INDEX(#REF!,MATCH(CONCATENATE(#REF!,$DR259),#REF!,0),MATCH(#REF!,#REF!,0)))</f>
        <v/>
      </c>
      <c r="FH259" s="56" t="str">
        <f t="array" ref="FH259">IF($DR259="","", INDEX(#REF!,MATCH(CONCATENATE(#REF!,$DR259),#REF!,0),MATCH(#REF!,#REF!,0)))</f>
        <v/>
      </c>
      <c r="FI259" s="56" t="str">
        <f t="array" ref="FI259">IF($DR259="","", INDEX(#REF!,MATCH(CONCATENATE(#REF!,$DR259),#REF!,0),MATCH(#REF!,#REF!,0)))</f>
        <v/>
      </c>
      <c r="FJ259" s="56" t="str">
        <f t="array" ref="FJ259">IF($DR259="","", INDEX(#REF!,MATCH(CONCATENATE(#REF!,$DR259),#REF!,0),MATCH(#REF!,#REF!,0)))</f>
        <v/>
      </c>
      <c r="FK259" s="45" t="str">
        <f t="array" ref="FK259">IF($DR259="","", INDEX(#REF!,MATCH(CONCATENATE(#REF!,$DR259),#REF!,0),MATCH(#REF!,#REF!,0)))</f>
        <v/>
      </c>
      <c r="FL259" s="45" t="str">
        <f t="array" ref="FL259">IF($DT259="","", INDEX(#REF!,MATCH(CONCATENATE('Respuestas de formulario 1.1'!$B259,$DS259),#REF!,0),MATCH('Respuestas de formulario 1.1'!FL$1,#REF!,0)))</f>
        <v/>
      </c>
      <c r="FM259" s="56" t="str">
        <f t="array" ref="FM259">IF($DT259="","", INDEX(#REF!,MATCH(CONCATENATE('Respuestas de formulario 1.1'!$B259,$DS259),#REF!,0),MATCH('Respuestas de formulario 1.1'!FM$1,#REF!,0)))</f>
        <v/>
      </c>
      <c r="FN259" s="56" t="str">
        <f t="array" ref="FN259">IF($DT259="","", INDEX(#REF!,MATCH(CONCATENATE('Respuestas de formulario 1.1'!$B259,$DS259),#REF!,0),MATCH('Respuestas de formulario 1.1'!FN$1,#REF!,0)))</f>
        <v/>
      </c>
      <c r="FO259" s="56" t="str">
        <f t="array" ref="FO259">IF($DT259="","", INDEX(#REF!,MATCH(CONCATENATE('Respuestas de formulario 1.1'!$B259,$DS259),#REF!,0),MATCH('Respuestas de formulario 1.1'!FO$1,#REF!,0)))</f>
        <v/>
      </c>
      <c r="FP259" s="56" t="str">
        <f t="array" ref="FP259">IF($DT259="","", INDEX(#REF!,MATCH(CONCATENATE('Respuestas de formulario 1.1'!$B259,$DS259),#REF!,0),MATCH('Respuestas de formulario 1.1'!FP$1,#REF!,0)))</f>
        <v/>
      </c>
      <c r="FQ259" s="56" t="str">
        <f t="array" ref="FQ259">IF($DT259="","", INDEX(#REF!,MATCH(CONCATENATE('Respuestas de formulario 1.1'!$B259,$DS259),#REF!,0),MATCH('Respuestas de formulario 1.1'!FQ$1,#REF!,0)))</f>
        <v/>
      </c>
      <c r="FR259" s="45" t="str">
        <f t="array" ref="FR259">IF($DT259="","", INDEX(#REF!,MATCH(CONCATENATE('Respuestas de formulario 1.1'!$B259,$DS259),#REF!,0),MATCH('Respuestas de formulario 1.1'!FR$1,#REF!,0)))</f>
        <v/>
      </c>
      <c r="FS259" s="45" t="str">
        <f t="array" ref="FS259">IF($DU259="","", INDEX(#REF!,MATCH(CONCATENATE('Respuestas de formulario 1.1'!$B259,$DT259),#REF!,0),MATCH('Respuestas de formulario 1.1'!FS$1,#REF!,0)))</f>
        <v/>
      </c>
      <c r="FT259" s="56" t="str">
        <f t="array" ref="FT259">IF($DU259="","", INDEX(#REF!,MATCH(CONCATENATE('Respuestas de formulario 1.1'!$B259,$DT259),#REF!,0),MATCH('Respuestas de formulario 1.1'!FT$1,#REF!,0)))</f>
        <v/>
      </c>
      <c r="FU259" s="56" t="str">
        <f t="array" ref="FU259">IF($DU259="","", INDEX(#REF!,MATCH(CONCATENATE('Respuestas de formulario 1.1'!$B259,$DT259),#REF!,0),MATCH('Respuestas de formulario 1.1'!FU$1,#REF!,0)))</f>
        <v/>
      </c>
      <c r="FV259" s="56" t="str">
        <f t="array" ref="FV259">IF($DU259="","", INDEX(#REF!,MATCH(CONCATENATE('Respuestas de formulario 1.1'!$B259,$DT259),#REF!,0),MATCH('Respuestas de formulario 1.1'!FV$1,#REF!,0)))</f>
        <v/>
      </c>
      <c r="FW259" s="56" t="str">
        <f t="array" ref="FW259">IF($DU259="","", INDEX(#REF!,MATCH(CONCATENATE('Respuestas de formulario 1.1'!$B259,$DT259),#REF!,0),MATCH('Respuestas de formulario 1.1'!FW$1,#REF!,0)))</f>
        <v/>
      </c>
      <c r="FX259" s="56" t="str">
        <f t="array" ref="FX259">IF($DU259="","", INDEX(#REF!,MATCH(CONCATENATE('Respuestas de formulario 1.1'!$B259,$DT259),#REF!,0),MATCH('Respuestas de formulario 1.1'!FX$1,#REF!,0)))</f>
        <v/>
      </c>
      <c r="FY259" s="45" t="str">
        <f t="array" ref="FY259">IF($DU259="","", INDEX(#REF!,MATCH(CONCATENATE('Respuestas de formulario 1.1'!$B259,$DT259),#REF!,0),MATCH('Respuestas de formulario 1.1'!FY$1,#REF!,0)))</f>
        <v/>
      </c>
      <c r="FZ259" s="3" t="s">
        <v>2860</v>
      </c>
      <c r="GA259" s="1" t="s">
        <v>7292</v>
      </c>
      <c r="GB259" s="5" t="s">
        <v>7293</v>
      </c>
      <c r="GC259" s="4" t="str">
        <f>HYPERLINK("https://drive.google.com/file/d/1m8-RdawkPMRjkvUIpsufxDGCYAY6G-yQ/view?usp=drivesdk","LEMUS SANCHEZ OMAR ALEXIS Formato de reinscripción y pago 2022-2")</f>
        <v>LEMUS SANCHEZ OMAR ALEXIS Formato de reinscripción y pago 2022-2</v>
      </c>
      <c r="GD259" s="1" t="s">
        <v>7294</v>
      </c>
      <c r="GE259" s="1"/>
      <c r="GF259" s="1"/>
      <c r="GG259" s="1"/>
      <c r="GH259" s="1"/>
      <c r="GI259" s="1" t="s">
        <v>7295</v>
      </c>
      <c r="GJ259" s="5" t="s">
        <v>7296</v>
      </c>
      <c r="GK259" s="5" t="str">
        <f>HYPERLINK("https://drive.google.com/file/d/1as8xXOAI-IRe4_O_7q4kVbC6aCn5Q45k/view?usp=drivesdk","LEMUS SANCHEZ OMAR ALEXIS Formato de reinscripción y pago 2022-2")</f>
        <v>LEMUS SANCHEZ OMAR ALEXIS Formato de reinscripción y pago 2022-2</v>
      </c>
      <c r="GL259" s="1" t="s">
        <v>7297</v>
      </c>
    </row>
    <row r="260" spans="1:194" ht="38.25" x14ac:dyDescent="0.2">
      <c r="A260" s="2">
        <v>45139.556659201393</v>
      </c>
      <c r="B260" s="1" t="s">
        <v>63</v>
      </c>
      <c r="C260" s="1" t="s">
        <v>504</v>
      </c>
      <c r="D260" s="1" t="s">
        <v>997</v>
      </c>
      <c r="E260" s="1" t="s">
        <v>2057</v>
      </c>
      <c r="F260" s="1" t="s">
        <v>223</v>
      </c>
      <c r="G260" s="5" t="s">
        <v>7298</v>
      </c>
      <c r="H260" s="41">
        <v>38884</v>
      </c>
      <c r="I260" s="1">
        <v>17</v>
      </c>
      <c r="J260" s="1">
        <v>5565632700</v>
      </c>
      <c r="K260" s="1">
        <v>5514354533</v>
      </c>
      <c r="L260" s="1" t="s">
        <v>2058</v>
      </c>
      <c r="M260" s="1">
        <v>21309060570588</v>
      </c>
      <c r="N260" s="1" t="s">
        <v>1108</v>
      </c>
      <c r="O260" s="1" t="s">
        <v>247</v>
      </c>
      <c r="P260" s="1" t="s">
        <v>278</v>
      </c>
      <c r="Q260" s="1" t="s">
        <v>227</v>
      </c>
      <c r="R260" s="1" t="s">
        <v>236</v>
      </c>
      <c r="S260" s="1" t="s">
        <v>228</v>
      </c>
      <c r="T260" s="1" t="s">
        <v>411</v>
      </c>
      <c r="U260" s="1" t="s">
        <v>249</v>
      </c>
      <c r="V260" s="1" t="s">
        <v>228</v>
      </c>
      <c r="W260" s="1" t="s">
        <v>7299</v>
      </c>
      <c r="X260" s="1" t="s">
        <v>249</v>
      </c>
      <c r="Y260" s="1" t="s">
        <v>584</v>
      </c>
      <c r="Z260" s="1" t="s">
        <v>240</v>
      </c>
      <c r="AA260" s="44" t="s">
        <v>548</v>
      </c>
      <c r="AB260" s="1" t="s">
        <v>7300</v>
      </c>
      <c r="AC260" s="1" t="s">
        <v>2060</v>
      </c>
      <c r="AD260" s="1" t="s">
        <v>2059</v>
      </c>
      <c r="AE260" s="1" t="s">
        <v>7301</v>
      </c>
      <c r="AF260" s="1" t="s">
        <v>265</v>
      </c>
      <c r="AG260" s="1">
        <v>47</v>
      </c>
      <c r="AH260" s="5" t="s">
        <v>7302</v>
      </c>
      <c r="AI260" s="1">
        <v>5514354533</v>
      </c>
      <c r="AJ260" s="1">
        <v>5514354533</v>
      </c>
      <c r="AK260" s="1" t="s">
        <v>2061</v>
      </c>
      <c r="AL260" s="1" t="s">
        <v>504</v>
      </c>
      <c r="AM260" s="1" t="s">
        <v>304</v>
      </c>
      <c r="AN260" s="1" t="s">
        <v>2667</v>
      </c>
      <c r="AO260" s="1" t="s">
        <v>435</v>
      </c>
      <c r="AP260" s="1">
        <v>49</v>
      </c>
      <c r="AQ260" s="1" t="s">
        <v>235</v>
      </c>
      <c r="AR260" s="42">
        <v>0.33333333333575865</v>
      </c>
      <c r="AS260" s="42">
        <v>0.83333333333575865</v>
      </c>
      <c r="AT260" s="1">
        <v>5636252465</v>
      </c>
      <c r="AU260" s="1">
        <v>5514354533</v>
      </c>
      <c r="AV260" s="1" t="s">
        <v>2061</v>
      </c>
      <c r="AW260" s="5" t="s">
        <v>7303</v>
      </c>
      <c r="AX260" s="1" t="s">
        <v>806</v>
      </c>
      <c r="AY260" s="1" t="s">
        <v>587</v>
      </c>
      <c r="AZ260" s="1" t="s">
        <v>347</v>
      </c>
      <c r="BA260" s="1" t="s">
        <v>493</v>
      </c>
      <c r="BB260" s="1">
        <v>55</v>
      </c>
      <c r="BC260" s="1" t="s">
        <v>454</v>
      </c>
      <c r="BD260" s="43">
        <v>0.375</v>
      </c>
      <c r="BE260" s="43">
        <v>0.75</v>
      </c>
      <c r="BF260" s="1">
        <v>5534329417</v>
      </c>
      <c r="BG260" s="1">
        <v>5514354533</v>
      </c>
      <c r="BH260" s="1" t="s">
        <v>7304</v>
      </c>
      <c r="BI260" s="5" t="s">
        <v>7305</v>
      </c>
      <c r="BJ260" s="1" t="s">
        <v>236</v>
      </c>
      <c r="BL260" s="1">
        <v>156</v>
      </c>
      <c r="BM260" s="1">
        <v>49</v>
      </c>
      <c r="BN260" s="1" t="s">
        <v>236</v>
      </c>
      <c r="BO260" s="1" t="s">
        <v>228</v>
      </c>
      <c r="BQ260" s="1" t="s">
        <v>228</v>
      </c>
      <c r="BR260" s="1" t="s">
        <v>237</v>
      </c>
      <c r="BS260" s="1" t="s">
        <v>228</v>
      </c>
      <c r="BT260" s="1" t="s">
        <v>237</v>
      </c>
      <c r="BU260" s="1" t="s">
        <v>228</v>
      </c>
      <c r="BW260" s="1" t="s">
        <v>272</v>
      </c>
      <c r="BX260" s="1">
        <v>120</v>
      </c>
      <c r="BY260" s="1">
        <v>200</v>
      </c>
      <c r="BZ260" s="1" t="s">
        <v>253</v>
      </c>
      <c r="CA260" s="1" t="s">
        <v>343</v>
      </c>
      <c r="CB260" s="1" t="s">
        <v>240</v>
      </c>
      <c r="CC260" s="1" t="s">
        <v>274</v>
      </c>
      <c r="CD260" s="1">
        <v>2000</v>
      </c>
      <c r="CE260" s="1">
        <v>1400</v>
      </c>
      <c r="CF260" s="1" t="s">
        <v>236</v>
      </c>
      <c r="CG260" s="1" t="s">
        <v>242</v>
      </c>
      <c r="CH260" s="1" t="s">
        <v>243</v>
      </c>
      <c r="CI260" s="1" t="s">
        <v>243</v>
      </c>
      <c r="CJ260" s="1" t="s">
        <v>2848</v>
      </c>
      <c r="CL260" s="5" t="s">
        <v>7306</v>
      </c>
      <c r="CM260" s="1">
        <v>58210695415</v>
      </c>
      <c r="CN260" s="1" t="s">
        <v>228</v>
      </c>
      <c r="CQ260" s="42">
        <v>0.375</v>
      </c>
      <c r="CR260" s="42">
        <v>0.75</v>
      </c>
      <c r="CT260" s="45" t="str">
        <f t="array" ref="CT260">IFERROR(INDEX(#REF!,MATCH('Respuestas de formulario 1.1'!$B260,#REF!,0),MATCH('Respuestas de formulario 1.1'!CT$1,#REF!,0)),"")</f>
        <v/>
      </c>
      <c r="CU260" s="56" t="str">
        <f t="array" ref="CU260">IFERROR(INDEX(#REF!,MATCH('Respuestas de formulario 1.1'!$B260,#REF!,0),MATCH('Respuestas de formulario 1.1'!CU$1,#REF!,0)),"")</f>
        <v/>
      </c>
      <c r="CV260" s="56" t="str">
        <f t="array" ref="CV260">IFERROR(INDEX(#REF!,MATCH('Respuestas de formulario 1.1'!$B260,#REF!,0),MATCH('Respuestas de formulario 1.1'!CV$1,#REF!,0)),"")</f>
        <v/>
      </c>
      <c r="CW260" s="56" t="str">
        <f t="array" ref="CW260">IFERROR(INDEX(#REF!,MATCH('Respuestas de formulario 1.1'!$B260,#REF!,0),MATCH('Respuestas de formulario 1.1'!CW$1,#REF!,0)),"")</f>
        <v/>
      </c>
      <c r="CX260" s="56" t="str">
        <f t="array" ref="CX260">IFERROR(INDEX(#REF!,MATCH('Respuestas de formulario 1.1'!$B260,#REF!,0),MATCH('Respuestas de formulario 1.1'!CX$1,#REF!,0)),"")</f>
        <v/>
      </c>
      <c r="CY260" s="56" t="str">
        <f t="array" ref="CY260">IFERROR(INDEX(#REF!,MATCH('Respuestas de formulario 1.1'!$B260,#REF!,0),MATCH('Respuestas de formulario 1.1'!CY$1,#REF!,0)),"")</f>
        <v/>
      </c>
      <c r="CZ260" s="57" t="str">
        <f t="array" ref="CZ260">IFERROR(INDEX(#REF!,MATCH('Respuestas de formulario 1.1'!$B260,#REF!,0),MATCH('Respuestas de formulario 1.1'!CZ$1,#REF!,0)),"")</f>
        <v/>
      </c>
      <c r="DA260" s="45" t="e">
        <f t="array" ref="DA260">INDEX(#REF!,MATCH('Respuestas de formulario 1.1'!$B260,#REF!,0),MATCH('Respuestas de formulario 1.1'!DA$1,#REF!,0))</f>
        <v>#REF!</v>
      </c>
      <c r="DB260" s="45" t="e">
        <f t="array" ref="DB260">INDEX(#REF!,MATCH('Respuestas de formulario 1.1'!$B260,#REF!,0),MATCH('Respuestas de formulario 1.1'!DB$1,#REF!,0))</f>
        <v>#REF!</v>
      </c>
      <c r="DC260" s="45" t="e">
        <f t="array" ref="DC260">INDEX(#REF!,MATCH('Respuestas de formulario 1.1'!$B260,#REF!,0),MATCH('Respuestas de formulario 1.1'!DC$1,#REF!,0))</f>
        <v>#REF!</v>
      </c>
      <c r="DD260" s="45" t="e">
        <f t="array" ref="DD260">INDEX(#REF!,MATCH('Respuestas de formulario 1.1'!$B260,#REF!,0),MATCH('Respuestas de formulario 1.1'!DD$1,#REF!,0))</f>
        <v>#REF!</v>
      </c>
      <c r="DE260" s="45" t="e">
        <f t="array" ref="DE260">INDEX(#REF!,MATCH('Respuestas de formulario 1.1'!$B260,#REF!,0),MATCH('Respuestas de formulario 1.1'!DE$1,#REF!,0))</f>
        <v>#REF!</v>
      </c>
      <c r="DF260" s="45" t="e">
        <f t="array" ref="DF260">INDEX(#REF!,MATCH('Respuestas de formulario 1.1'!$B260,#REF!,0),MATCH('Respuestas de formulario 1.1'!DF$1,#REF!,0))</f>
        <v>#REF!</v>
      </c>
      <c r="DG260" s="45" t="e">
        <f t="array" ref="DG260">INDEX(#REF!,MATCH('Respuestas de formulario 1.1'!$B260,#REF!,0),MATCH('Respuestas de formulario 1.1'!DG$1,#REF!,0))</f>
        <v>#REF!</v>
      </c>
      <c r="DH260" s="45" t="e">
        <f t="array" ref="DH260">INDEX(#REF!,MATCH('Respuestas de formulario 1.1'!$B260,#REF!,0),MATCH('Respuestas de formulario 1.1'!DH$1,#REF!,0))</f>
        <v>#REF!</v>
      </c>
      <c r="DI260" s="48" t="e">
        <f>VLOOKUP(CONCATENATE($DF260," TUTO ",$DC260),#REF!,3,0)</f>
        <v>#REF!</v>
      </c>
      <c r="DJ260" s="48" t="e">
        <f t="array" ref="DJ260">IF('Respuestas de formulario 1.1'!A260="","",INDEX(#REF!,MATCH('Respuestas de formulario 1.1'!B260,#REF!,0),MATCH('Respuestas de formulario 1.1'!$DH$1,#REF!,0)))</f>
        <v>#REF!</v>
      </c>
      <c r="DK260" s="52" t="str">
        <f>CONCATENATE("http://doc.google.com/uc?id=",MID('Respuestas de formulario 1.1'!G260,34,33))</f>
        <v>http://doc.google.com/uc?id=1XGa5FMXQlt7_BCvPckWKx7SlJQAsiu9u</v>
      </c>
      <c r="DL260" s="49" t="str">
        <f>CONCATENATE("http://doc.google.com/uc?id=",MID('Respuestas de formulario 1.1'!AH260,34,33))</f>
        <v>http://doc.google.com/uc?id=18h6ELEkVzx9tn8D1JlWIJb6ASZ3lqjjA</v>
      </c>
      <c r="DM260" s="50" t="str">
        <f>CONCATENATE("http://doc.google.com/uc?id=",MID('Respuestas de formulario 1.1'!AW260,34,33))</f>
        <v>http://doc.google.com/uc?id=1QXeAMM2rZBIBNXOv2AgzmX5Af_WWX2IS</v>
      </c>
      <c r="DN260" s="53" t="str">
        <f>CONCATENATE("http://doc.google.com/uc?id=",MID('Respuestas de formulario 1.1'!$BI260,34,33))</f>
        <v>http://doc.google.com/uc?id=1VYKWgvtlWGGgz8dfUPYW_3vYVjgbiRPh</v>
      </c>
      <c r="DO260" s="45" t="str">
        <f>IFERROR(VLOOKUP(CONCATENATE('Respuestas de formulario 1.1'!$B260,MID('Respuestas de formulario 1.1'!DO$1,2,1)),#REF!,12,0),"")</f>
        <v/>
      </c>
      <c r="DP260" s="45" t="str">
        <f>IFERROR(VLOOKUP(CONCATENATE('Respuestas de formulario 1.1'!$B260,MID('Respuestas de formulario 1.1'!DP$1,2,1)),#REF!,12,0),"")</f>
        <v/>
      </c>
      <c r="DQ260" s="45" t="str">
        <f>IFERROR(VLOOKUP(CONCATENATE('Respuestas de formulario 1.1'!$B260,MID('Respuestas de formulario 1.1'!DQ$1,2,1)),#REF!,12,0),"")</f>
        <v/>
      </c>
      <c r="DR260" s="45" t="str">
        <f>IFERROR(VLOOKUP(CONCATENATE('Respuestas de formulario 1.1'!$B260,MID('Respuestas de formulario 1.1'!DR$1,2,1)),#REF!,12,0),"")</f>
        <v/>
      </c>
      <c r="DS260" s="45" t="str">
        <f>IFERROR(VLOOKUP(CONCATENATE('Respuestas de formulario 1.1'!$B260,MID('Respuestas de formulario 1.1'!DS$1,2,1)),#REF!,12,0),"")</f>
        <v/>
      </c>
      <c r="DT260" s="45" t="str">
        <f>IFERROR(VLOOKUP(CONCATENATE('Respuestas de formulario 1.1'!$B260,MID('Respuestas de formulario 1.1'!DT$1,2,1)),#REF!,12,0),"")</f>
        <v/>
      </c>
      <c r="DU260" s="45" t="str">
        <f>IFERROR(VLOOKUP(CONCATENATE('Respuestas de formulario 1.1'!$B260,MID('Respuestas de formulario 1.1'!DU$1,2,1)),#REF!,12,0),"")</f>
        <v/>
      </c>
      <c r="DV260" s="45" t="str">
        <f>IFERROR(VLOOKUP(CONCATENATE('Respuestas de formulario 1.1'!$B260,MID('Respuestas de formulario 1.1'!DV$1,2,1)),#REF!,12,0),"")</f>
        <v/>
      </c>
      <c r="DW260" s="45" t="str">
        <f>IFERROR(VLOOKUP(CONCATENATE('Respuestas de formulario 1.1'!$B260,MID('Respuestas de formulario 1.1'!DW$1,2,1)),#REF!,12,0),"")</f>
        <v/>
      </c>
      <c r="DX260" s="45" t="str">
        <f>IFERROR(VLOOKUP(CONCATENATE('Respuestas de formulario 1.1'!$B260,MID('Respuestas de formulario 1.1'!DX$1,2,1)),#REF!,12,0),"")</f>
        <v/>
      </c>
      <c r="DY260" s="45" t="str">
        <f>IFERROR(VLOOKUP(CONCATENATE('Respuestas de formulario 1.1'!$B260,MID('Respuestas de formulario 1.1'!DY$1,2,1)),#REF!,12,0),"")</f>
        <v/>
      </c>
      <c r="DZ260" s="45" t="str">
        <f>IFERROR(VLOOKUP(CONCATENATE('Respuestas de formulario 1.1'!$B260,MID('Respuestas de formulario 1.1'!DZ$1,2,1)),#REF!,12,0),"")</f>
        <v/>
      </c>
      <c r="EA260" s="45" t="str">
        <f>IFERROR(VLOOKUP(CONCATENATE('Respuestas de formulario 1.1'!$B260,MID('Respuestas de formulario 1.1'!EA$1,2,1)),#REF!,12,0),"")</f>
        <v/>
      </c>
      <c r="EB260" s="45" t="str">
        <f>IFERROR(VLOOKUP(CONCATENATE('Respuestas de formulario 1.1'!$B260,MID('Respuestas de formulario 1.1'!EB$1,2,1)),#REF!,12,0),"")</f>
        <v/>
      </c>
      <c r="EC260" s="45" t="str">
        <f>IFERROR(VLOOKUP(CONCATENATE('Respuestas de formulario 1.1'!$B260,MID('Respuestas de formulario 1.1'!EC$1,2,1)),#REF!,12,0),"")</f>
        <v/>
      </c>
      <c r="ED260" s="45" t="str">
        <f>IFERROR(VLOOKUP(CONCATENATE('Respuestas de formulario 1.1'!$B260,MID('Respuestas de formulario 1.1'!ED$1,2,1)),#REF!,12,0),"")</f>
        <v/>
      </c>
      <c r="EE260" s="45" t="str">
        <f>IFERROR(VLOOKUP(CONCATENATE('Respuestas de formulario 1.1'!$B260,MID('Respuestas de formulario 1.1'!EE$1,2,1)),#REF!,12,0),"")</f>
        <v/>
      </c>
      <c r="EF260" s="45" t="str">
        <f>IFERROR(VLOOKUP(CONCATENATE('Respuestas de formulario 1.1'!$B260,MID('Respuestas de formulario 1.1'!EF$1,2,1)),#REF!,12,0),"")</f>
        <v/>
      </c>
      <c r="EG260" s="45" t="str">
        <f>IFERROR(VLOOKUP(CONCATENATE('Respuestas de formulario 1.1'!$B260,MID('Respuestas de formulario 1.1'!EG$1,2,1)),#REF!,12,0),"")</f>
        <v/>
      </c>
      <c r="EH260" s="45" t="str">
        <f>IFERROR(VLOOKUP(CONCATENATE('Respuestas de formulario 1.1'!$B260,MID('Respuestas de formulario 1.1'!EH$1,2,1)),#REF!,12,0),"")</f>
        <v/>
      </c>
      <c r="EI260" s="45" t="str">
        <f>IFERROR(VLOOKUP(CONCATENATE('Respuestas de formulario 1.1'!$B260,MID('Respuestas de formulario 1.1'!EI$1,2,1)),#REF!,12,0),"")</f>
        <v/>
      </c>
      <c r="EJ260" s="45" t="str">
        <f t="array" ref="EJ260">IF(DO260="","", INDEX(#REF!,MATCH(CONCATENATE('Respuestas de formulario 1.1'!$B260,DO260),#REF!,0),MATCH('Respuestas de formulario 1.1'!EJ$1,#REF!,0)))</f>
        <v/>
      </c>
      <c r="EK260" s="56" t="str">
        <f t="array" ref="EK260">IF(DP260="","", INDEX(#REF!,MATCH(CONCATENATE('Respuestas de formulario 1.1'!$B260,DP260),#REF!,0),MATCH('Respuestas de formulario 1.1'!EK$1,#REF!,0)))</f>
        <v/>
      </c>
      <c r="EL260" s="56" t="str">
        <f t="array" ref="EL260">IF(DQ260="","", INDEX(#REF!,MATCH(CONCATENATE('Respuestas de formulario 1.1'!$B260,DQ260),#REF!,0),MATCH('Respuestas de formulario 1.1'!EL$1,#REF!,0)))</f>
        <v/>
      </c>
      <c r="EM260" s="56" t="str">
        <f t="array" ref="EM260">IF(DR260="","", INDEX(#REF!,MATCH(CONCATENATE('Respuestas de formulario 1.1'!$B260,DR260),#REF!,0),MATCH('Respuestas de formulario 1.1'!EM$1,#REF!,0)))</f>
        <v/>
      </c>
      <c r="EN260" s="56" t="str">
        <f t="array" ref="EN260">IF(DS260="","", INDEX(#REF!,MATCH(CONCATENATE('Respuestas de formulario 1.1'!$B260,DS260),#REF!,0),MATCH('Respuestas de formulario 1.1'!EN$1,#REF!,0)))</f>
        <v/>
      </c>
      <c r="EO260" s="56" t="str">
        <f t="array" ref="EO260">IF(DT260="","", INDEX(#REF!,MATCH(CONCATENATE('Respuestas de formulario 1.1'!$B260,DT260),#REF!,0),MATCH('Respuestas de formulario 1.1'!EO$1,#REF!,0)))</f>
        <v/>
      </c>
      <c r="EP260" s="45" t="str">
        <f t="array" ref="EP260">IF(DU260="","", INDEX(#REF!,MATCH(CONCATENATE('Respuestas de formulario 1.1'!$B260,DU260),#REF!,0),MATCH('Respuestas de formulario 1.1'!EP$1,#REF!,0)))</f>
        <v/>
      </c>
      <c r="EQ260" s="45" t="str">
        <f t="array" ref="EQ260">IF(DP260="","", INDEX(#REF!,MATCH(CONCATENATE('Respuestas de formulario 1.1'!$B260,DP260),#REF!,0),MATCH('Respuestas de formulario 1.1'!EQ$1,#REF!,0)))</f>
        <v/>
      </c>
      <c r="ER260" s="56" t="str">
        <f t="array" ref="ER260">IF(DQ260="","", INDEX(#REF!,MATCH(CONCATENATE('Respuestas de formulario 1.1'!$B260,DQ260),#REF!,0),MATCH('Respuestas de formulario 1.1'!ER$1,#REF!,0)))</f>
        <v/>
      </c>
      <c r="ES260" s="56" t="str">
        <f t="array" ref="ES260">IF(DR260="","", INDEX(#REF!,MATCH(CONCATENATE('Respuestas de formulario 1.1'!$B260,DR260),#REF!,0),MATCH('Respuestas de formulario 1.1'!ES$1,#REF!,0)))</f>
        <v/>
      </c>
      <c r="ET260" s="56" t="str">
        <f t="array" ref="ET260">IF(DS260="","", INDEX(#REF!,MATCH(CONCATENATE('Respuestas de formulario 1.1'!$B260,DS260),#REF!,0),MATCH('Respuestas de formulario 1.1'!ET$1,#REF!,0)))</f>
        <v/>
      </c>
      <c r="EU260" s="56" t="str">
        <f t="array" ref="EU260">IF(DT260="","", INDEX(#REF!,MATCH(CONCATENATE('Respuestas de formulario 1.1'!$B260,DT260),#REF!,0),MATCH('Respuestas de formulario 1.1'!EU$1,#REF!,0)))</f>
        <v/>
      </c>
      <c r="EV260" s="56" t="str">
        <f t="array" ref="EV260">IF(DU260="","", INDEX(#REF!,MATCH(CONCATENATE('Respuestas de formulario 1.1'!$B260,DU260),#REF!,0),MATCH('Respuestas de formulario 1.1'!EV$1,#REF!,0)))</f>
        <v/>
      </c>
      <c r="EW260" s="45" t="str">
        <f t="array" ref="EW260">IF(DV260="","", INDEX(#REF!,MATCH(CONCATENATE('Respuestas de formulario 1.1'!$B260,DV260),#REF!,0),MATCH('Respuestas de formulario 1.1'!EW$1,#REF!,0)))</f>
        <v/>
      </c>
      <c r="EX260" s="45" t="str">
        <f t="array" ref="EX260">IF($DQ260="","", INDEX(#REF!,MATCH(CONCATENATE('Respuestas de formulario 1.1'!$B260,$DQ260),#REF!,0),MATCH('Respuestas de formulario 1.1'!EX$1,#REF!,0)))</f>
        <v/>
      </c>
      <c r="EY260" s="56" t="str">
        <f t="array" ref="EY260">IF($DQ260="","", INDEX(#REF!,MATCH(CONCATENATE('Respuestas de formulario 1.1'!$B260,$DQ260),#REF!,0),MATCH('Respuestas de formulario 1.1'!EY$1,#REF!,0)))</f>
        <v/>
      </c>
      <c r="EZ260" s="56" t="str">
        <f t="array" ref="EZ260">IF($DQ260="","", INDEX(#REF!,MATCH(CONCATENATE('Respuestas de formulario 1.1'!$B260,$DQ260),#REF!,0),MATCH('Respuestas de formulario 1.1'!EZ$1,#REF!,0)))</f>
        <v/>
      </c>
      <c r="FA260" s="56" t="str">
        <f t="array" ref="FA260">IF($DQ260="","", INDEX(#REF!,MATCH(CONCATENATE('Respuestas de formulario 1.1'!$B260,$DQ260),#REF!,0),MATCH('Respuestas de formulario 1.1'!FA$1,#REF!,0)))</f>
        <v/>
      </c>
      <c r="FB260" s="56" t="str">
        <f t="array" ref="FB260">IF($DQ260="","", INDEX(#REF!,MATCH(CONCATENATE('Respuestas de formulario 1.1'!$B260,$DQ260),#REF!,0),MATCH('Respuestas de formulario 1.1'!FB$1,#REF!,0)))</f>
        <v/>
      </c>
      <c r="FC260" s="56" t="str">
        <f t="array" ref="FC260">IF($DQ260="","", INDEX(#REF!,MATCH(CONCATENATE('Respuestas de formulario 1.1'!$B260,$DQ260),#REF!,0),MATCH('Respuestas de formulario 1.1'!FC$1,#REF!,0)))</f>
        <v/>
      </c>
      <c r="FD260" s="45" t="str">
        <f t="array" ref="FD260">IF($DQ260="","", INDEX(#REF!,MATCH(CONCATENATE('Respuestas de formulario 1.1'!$B260,$DQ260),#REF!,0),MATCH('Respuestas de formulario 1.1'!FD$1,#REF!,0)))</f>
        <v/>
      </c>
      <c r="FE260" s="45" t="str">
        <f t="array" ref="FE260">IF($DR260="","", INDEX(#REF!,MATCH(CONCATENATE(#REF!,$DR260),#REF!,0),MATCH(#REF!,#REF!,0)))</f>
        <v/>
      </c>
      <c r="FF260" s="56" t="str">
        <f t="array" ref="FF260">IF($DR260="","", INDEX(#REF!,MATCH(CONCATENATE(#REF!,$DR260),#REF!,0),MATCH(#REF!,#REF!,0)))</f>
        <v/>
      </c>
      <c r="FG260" s="56" t="str">
        <f t="array" ref="FG260">IF($DR260="","", INDEX(#REF!,MATCH(CONCATENATE(#REF!,$DR260),#REF!,0),MATCH(#REF!,#REF!,0)))</f>
        <v/>
      </c>
      <c r="FH260" s="56" t="str">
        <f t="array" ref="FH260">IF($DR260="","", INDEX(#REF!,MATCH(CONCATENATE(#REF!,$DR260),#REF!,0),MATCH(#REF!,#REF!,0)))</f>
        <v/>
      </c>
      <c r="FI260" s="56" t="str">
        <f t="array" ref="FI260">IF($DR260="","", INDEX(#REF!,MATCH(CONCATENATE(#REF!,$DR260),#REF!,0),MATCH(#REF!,#REF!,0)))</f>
        <v/>
      </c>
      <c r="FJ260" s="56" t="str">
        <f t="array" ref="FJ260">IF($DR260="","", INDEX(#REF!,MATCH(CONCATENATE(#REF!,$DR260),#REF!,0),MATCH(#REF!,#REF!,0)))</f>
        <v/>
      </c>
      <c r="FK260" s="45" t="str">
        <f t="array" ref="FK260">IF($DR260="","", INDEX(#REF!,MATCH(CONCATENATE(#REF!,$DR260),#REF!,0),MATCH(#REF!,#REF!,0)))</f>
        <v/>
      </c>
      <c r="FL260" s="45" t="str">
        <f t="array" ref="FL260">IF($DT260="","", INDEX(#REF!,MATCH(CONCATENATE('Respuestas de formulario 1.1'!$B260,$DS260),#REF!,0),MATCH('Respuestas de formulario 1.1'!FL$1,#REF!,0)))</f>
        <v/>
      </c>
      <c r="FM260" s="56" t="str">
        <f t="array" ref="FM260">IF($DT260="","", INDEX(#REF!,MATCH(CONCATENATE('Respuestas de formulario 1.1'!$B260,$DS260),#REF!,0),MATCH('Respuestas de formulario 1.1'!FM$1,#REF!,0)))</f>
        <v/>
      </c>
      <c r="FN260" s="56" t="str">
        <f t="array" ref="FN260">IF($DT260="","", INDEX(#REF!,MATCH(CONCATENATE('Respuestas de formulario 1.1'!$B260,$DS260),#REF!,0),MATCH('Respuestas de formulario 1.1'!FN$1,#REF!,0)))</f>
        <v/>
      </c>
      <c r="FO260" s="56" t="str">
        <f t="array" ref="FO260">IF($DT260="","", INDEX(#REF!,MATCH(CONCATENATE('Respuestas de formulario 1.1'!$B260,$DS260),#REF!,0),MATCH('Respuestas de formulario 1.1'!FO$1,#REF!,0)))</f>
        <v/>
      </c>
      <c r="FP260" s="56" t="str">
        <f t="array" ref="FP260">IF($DT260="","", INDEX(#REF!,MATCH(CONCATENATE('Respuestas de formulario 1.1'!$B260,$DS260),#REF!,0),MATCH('Respuestas de formulario 1.1'!FP$1,#REF!,0)))</f>
        <v/>
      </c>
      <c r="FQ260" s="56" t="str">
        <f t="array" ref="FQ260">IF($DT260="","", INDEX(#REF!,MATCH(CONCATENATE('Respuestas de formulario 1.1'!$B260,$DS260),#REF!,0),MATCH('Respuestas de formulario 1.1'!FQ$1,#REF!,0)))</f>
        <v/>
      </c>
      <c r="FR260" s="45" t="str">
        <f t="array" ref="FR260">IF($DT260="","", INDEX(#REF!,MATCH(CONCATENATE('Respuestas de formulario 1.1'!$B260,$DS260),#REF!,0),MATCH('Respuestas de formulario 1.1'!FR$1,#REF!,0)))</f>
        <v/>
      </c>
      <c r="FS260" s="45" t="str">
        <f t="array" ref="FS260">IF($DU260="","", INDEX(#REF!,MATCH(CONCATENATE('Respuestas de formulario 1.1'!$B260,$DT260),#REF!,0),MATCH('Respuestas de formulario 1.1'!FS$1,#REF!,0)))</f>
        <v/>
      </c>
      <c r="FT260" s="56" t="str">
        <f t="array" ref="FT260">IF($DU260="","", INDEX(#REF!,MATCH(CONCATENATE('Respuestas de formulario 1.1'!$B260,$DT260),#REF!,0),MATCH('Respuestas de formulario 1.1'!FT$1,#REF!,0)))</f>
        <v/>
      </c>
      <c r="FU260" s="56" t="str">
        <f t="array" ref="FU260">IF($DU260="","", INDEX(#REF!,MATCH(CONCATENATE('Respuestas de formulario 1.1'!$B260,$DT260),#REF!,0),MATCH('Respuestas de formulario 1.1'!FU$1,#REF!,0)))</f>
        <v/>
      </c>
      <c r="FV260" s="56" t="str">
        <f t="array" ref="FV260">IF($DU260="","", INDEX(#REF!,MATCH(CONCATENATE('Respuestas de formulario 1.1'!$B260,$DT260),#REF!,0),MATCH('Respuestas de formulario 1.1'!FV$1,#REF!,0)))</f>
        <v/>
      </c>
      <c r="FW260" s="56" t="str">
        <f t="array" ref="FW260">IF($DU260="","", INDEX(#REF!,MATCH(CONCATENATE('Respuestas de formulario 1.1'!$B260,$DT260),#REF!,0),MATCH('Respuestas de formulario 1.1'!FW$1,#REF!,0)))</f>
        <v/>
      </c>
      <c r="FX260" s="56" t="str">
        <f t="array" ref="FX260">IF($DU260="","", INDEX(#REF!,MATCH(CONCATENATE('Respuestas de formulario 1.1'!$B260,$DT260),#REF!,0),MATCH('Respuestas de formulario 1.1'!FX$1,#REF!,0)))</f>
        <v/>
      </c>
      <c r="FY260" s="45" t="str">
        <f t="array" ref="FY260">IF($DU260="","", INDEX(#REF!,MATCH(CONCATENATE('Respuestas de formulario 1.1'!$B260,$DT260),#REF!,0),MATCH('Respuestas de formulario 1.1'!FY$1,#REF!,0)))</f>
        <v/>
      </c>
      <c r="FZ260" s="3" t="s">
        <v>2860</v>
      </c>
      <c r="GA260" s="1" t="s">
        <v>7307</v>
      </c>
      <c r="GB260" s="5" t="s">
        <v>7308</v>
      </c>
      <c r="GC260" s="4" t="str">
        <f>HYPERLINK("https://drive.google.com/file/d/134WUFgM7PrQK_JogmDV3en4Ciur-Byl5/view?usp=drivesdk","JIMENEZ  MENDOZA  ANDREA BELEN Formato de reinscripción y pago 2022-2")</f>
        <v>JIMENEZ  MENDOZA  ANDREA BELEN Formato de reinscripción y pago 2022-2</v>
      </c>
      <c r="GD260" s="1" t="s">
        <v>7309</v>
      </c>
      <c r="GE260" s="1"/>
      <c r="GF260" s="1"/>
      <c r="GG260" s="1"/>
      <c r="GH260" s="1"/>
      <c r="GI260" s="1" t="s">
        <v>7310</v>
      </c>
      <c r="GJ260" s="5" t="s">
        <v>7311</v>
      </c>
      <c r="GK260" s="5" t="str">
        <f>HYPERLINK("https://drive.google.com/file/d/1c3tCbg0lPxeoEjQoZV6_Eqj7QZops7CO/view?usp=drivesdk","JIMENEZ  MENDOZA  ANDREA BELEN Formato de reinscripción y pago 2022-2")</f>
        <v>JIMENEZ  MENDOZA  ANDREA BELEN Formato de reinscripción y pago 2022-2</v>
      </c>
      <c r="GL260" s="1" t="s">
        <v>7312</v>
      </c>
    </row>
    <row r="261" spans="1:194" ht="38.25" x14ac:dyDescent="0.2">
      <c r="A261" s="2">
        <v>45140.639504479172</v>
      </c>
      <c r="B261" s="1" t="s">
        <v>2146</v>
      </c>
      <c r="C261" s="1" t="s">
        <v>432</v>
      </c>
      <c r="D261" s="1" t="s">
        <v>304</v>
      </c>
      <c r="E261" s="1" t="s">
        <v>7313</v>
      </c>
      <c r="F261" s="1" t="s">
        <v>262</v>
      </c>
      <c r="G261" s="5" t="s">
        <v>7314</v>
      </c>
      <c r="H261" s="41">
        <v>39331</v>
      </c>
      <c r="I261" s="1">
        <v>15</v>
      </c>
      <c r="J261" s="1">
        <v>5585160702</v>
      </c>
      <c r="K261" s="1">
        <v>5558582362</v>
      </c>
      <c r="L261" s="1" t="s">
        <v>2147</v>
      </c>
      <c r="M261" s="1">
        <v>22309060570462</v>
      </c>
      <c r="N261" s="1" t="s">
        <v>562</v>
      </c>
      <c r="O261" s="1" t="s">
        <v>247</v>
      </c>
      <c r="P261" s="1" t="s">
        <v>278</v>
      </c>
      <c r="Q261" s="1" t="s">
        <v>248</v>
      </c>
      <c r="R261" s="1" t="s">
        <v>236</v>
      </c>
      <c r="S261" s="1" t="s">
        <v>228</v>
      </c>
      <c r="T261" s="1" t="s">
        <v>686</v>
      </c>
      <c r="U261" s="1" t="s">
        <v>1812</v>
      </c>
      <c r="V261" s="1" t="s">
        <v>228</v>
      </c>
      <c r="W261" s="1" t="s">
        <v>7315</v>
      </c>
      <c r="X261" s="1" t="s">
        <v>249</v>
      </c>
      <c r="Y261" s="1" t="s">
        <v>7316</v>
      </c>
      <c r="Z261" s="1" t="s">
        <v>240</v>
      </c>
      <c r="AA261" s="44" t="s">
        <v>548</v>
      </c>
      <c r="AB261" s="1" t="s">
        <v>7317</v>
      </c>
      <c r="AC261" s="1" t="s">
        <v>910</v>
      </c>
      <c r="AD261" s="1" t="s">
        <v>7318</v>
      </c>
      <c r="AE261" s="1" t="s">
        <v>7319</v>
      </c>
      <c r="AF261" s="1" t="s">
        <v>420</v>
      </c>
      <c r="AG261" s="1">
        <v>45</v>
      </c>
      <c r="AH261" s="5" t="s">
        <v>7320</v>
      </c>
      <c r="AI261" s="1">
        <v>5542672872</v>
      </c>
      <c r="AJ261" s="1">
        <v>5542672872</v>
      </c>
      <c r="AK261" s="1" t="s">
        <v>2151</v>
      </c>
      <c r="AL261" s="1" t="s">
        <v>304</v>
      </c>
      <c r="AM261" s="1" t="s">
        <v>2092</v>
      </c>
      <c r="AN261" s="1" t="s">
        <v>1946</v>
      </c>
      <c r="AO261" s="1" t="s">
        <v>461</v>
      </c>
      <c r="AP261" s="1">
        <v>46</v>
      </c>
      <c r="AQ261" s="1" t="s">
        <v>2094</v>
      </c>
      <c r="AR261" s="42">
        <v>0.25</v>
      </c>
      <c r="AS261" s="42">
        <v>0.625</v>
      </c>
      <c r="AT261" s="1">
        <v>5537388478</v>
      </c>
      <c r="AU261" s="1">
        <v>5537388478</v>
      </c>
      <c r="AV261" s="1" t="s">
        <v>2149</v>
      </c>
      <c r="AW261" s="5" t="s">
        <v>7321</v>
      </c>
      <c r="AX261" s="1" t="s">
        <v>304</v>
      </c>
      <c r="AY261" s="1" t="s">
        <v>2092</v>
      </c>
      <c r="AZ261" s="1" t="s">
        <v>2776</v>
      </c>
      <c r="BA261" s="1" t="s">
        <v>453</v>
      </c>
      <c r="BB261" s="1">
        <v>42</v>
      </c>
      <c r="BC261" s="1" t="s">
        <v>546</v>
      </c>
      <c r="BD261" s="43">
        <v>0.29166666666424135</v>
      </c>
      <c r="BE261" s="43">
        <v>0.625</v>
      </c>
      <c r="BF261" s="1">
        <v>5572075821</v>
      </c>
      <c r="BG261" s="1">
        <v>5572075821</v>
      </c>
      <c r="BH261" s="1"/>
      <c r="BI261" s="5" t="s">
        <v>7322</v>
      </c>
      <c r="BJ261" s="1" t="s">
        <v>236</v>
      </c>
      <c r="BL261" s="1">
        <v>1.6</v>
      </c>
      <c r="BM261" s="1">
        <v>55</v>
      </c>
      <c r="BN261" s="1" t="s">
        <v>236</v>
      </c>
      <c r="BO261" s="1" t="s">
        <v>228</v>
      </c>
      <c r="BQ261" s="1" t="s">
        <v>228</v>
      </c>
      <c r="BR261" s="1" t="s">
        <v>237</v>
      </c>
      <c r="BS261" s="1" t="s">
        <v>236</v>
      </c>
      <c r="BT261" s="1" t="s">
        <v>271</v>
      </c>
      <c r="BU261" s="1" t="s">
        <v>228</v>
      </c>
      <c r="BW261" s="1" t="s">
        <v>272</v>
      </c>
      <c r="BX261" s="1">
        <v>120</v>
      </c>
      <c r="BY261" s="1">
        <v>65</v>
      </c>
      <c r="BZ261" s="1" t="s">
        <v>270</v>
      </c>
      <c r="CA261" s="1" t="s">
        <v>673</v>
      </c>
      <c r="CB261" s="1" t="s">
        <v>240</v>
      </c>
      <c r="CC261" s="1" t="s">
        <v>1071</v>
      </c>
      <c r="CD261" s="1">
        <v>2000</v>
      </c>
      <c r="CE261" s="1">
        <v>1500</v>
      </c>
      <c r="CF261" s="1" t="s">
        <v>236</v>
      </c>
      <c r="CG261" s="1" t="s">
        <v>323</v>
      </c>
      <c r="CH261" s="1" t="s">
        <v>243</v>
      </c>
      <c r="CI261" s="1" t="s">
        <v>243</v>
      </c>
      <c r="CJ261" s="1" t="s">
        <v>2848</v>
      </c>
      <c r="CL261" s="5" t="s">
        <v>7323</v>
      </c>
      <c r="CM261" s="1">
        <v>11220761586</v>
      </c>
      <c r="CN261" s="1" t="s">
        <v>236</v>
      </c>
      <c r="CO261" s="1" t="s">
        <v>2762</v>
      </c>
      <c r="CP261" s="1" t="s">
        <v>237</v>
      </c>
      <c r="CQ261" s="42">
        <v>0.29166666666424135</v>
      </c>
      <c r="CR261" s="42">
        <v>0.625</v>
      </c>
      <c r="CT261" s="45" t="str">
        <f t="array" ref="CT261">IFERROR(INDEX(#REF!,MATCH('Respuestas de formulario 1.1'!$B261,#REF!,0),MATCH('Respuestas de formulario 1.1'!CT$1,#REF!,0)),"")</f>
        <v/>
      </c>
      <c r="CU261" s="56" t="str">
        <f t="array" ref="CU261">IFERROR(INDEX(#REF!,MATCH('Respuestas de formulario 1.1'!$B261,#REF!,0),MATCH('Respuestas de formulario 1.1'!CU$1,#REF!,0)),"")</f>
        <v/>
      </c>
      <c r="CV261" s="56" t="str">
        <f t="array" ref="CV261">IFERROR(INDEX(#REF!,MATCH('Respuestas de formulario 1.1'!$B261,#REF!,0),MATCH('Respuestas de formulario 1.1'!CV$1,#REF!,0)),"")</f>
        <v/>
      </c>
      <c r="CW261" s="56" t="str">
        <f t="array" ref="CW261">IFERROR(INDEX(#REF!,MATCH('Respuestas de formulario 1.1'!$B261,#REF!,0),MATCH('Respuestas de formulario 1.1'!CW$1,#REF!,0)),"")</f>
        <v/>
      </c>
      <c r="CX261" s="56" t="str">
        <f t="array" ref="CX261">IFERROR(INDEX(#REF!,MATCH('Respuestas de formulario 1.1'!$B261,#REF!,0),MATCH('Respuestas de formulario 1.1'!CX$1,#REF!,0)),"")</f>
        <v/>
      </c>
      <c r="CY261" s="56" t="str">
        <f t="array" ref="CY261">IFERROR(INDEX(#REF!,MATCH('Respuestas de formulario 1.1'!$B261,#REF!,0),MATCH('Respuestas de formulario 1.1'!CY$1,#REF!,0)),"")</f>
        <v/>
      </c>
      <c r="CZ261" s="57" t="str">
        <f t="array" ref="CZ261">IFERROR(INDEX(#REF!,MATCH('Respuestas de formulario 1.1'!$B261,#REF!,0),MATCH('Respuestas de formulario 1.1'!CZ$1,#REF!,0)),"")</f>
        <v/>
      </c>
      <c r="DA261" s="45" t="e">
        <f t="array" ref="DA261">INDEX(#REF!,MATCH('Respuestas de formulario 1.1'!$B261,#REF!,0),MATCH('Respuestas de formulario 1.1'!DA$1,#REF!,0))</f>
        <v>#REF!</v>
      </c>
      <c r="DB261" s="45" t="e">
        <f t="array" ref="DB261">INDEX(#REF!,MATCH('Respuestas de formulario 1.1'!$B261,#REF!,0),MATCH('Respuestas de formulario 1.1'!DB$1,#REF!,0))</f>
        <v>#REF!</v>
      </c>
      <c r="DC261" s="45" t="e">
        <f t="array" ref="DC261">INDEX(#REF!,MATCH('Respuestas de formulario 1.1'!$B261,#REF!,0),MATCH('Respuestas de formulario 1.1'!DC$1,#REF!,0))</f>
        <v>#REF!</v>
      </c>
      <c r="DD261" s="45" t="e">
        <f t="array" ref="DD261">INDEX(#REF!,MATCH('Respuestas de formulario 1.1'!$B261,#REF!,0),MATCH('Respuestas de formulario 1.1'!DD$1,#REF!,0))</f>
        <v>#REF!</v>
      </c>
      <c r="DE261" s="45" t="e">
        <f t="array" ref="DE261">INDEX(#REF!,MATCH('Respuestas de formulario 1.1'!$B261,#REF!,0),MATCH('Respuestas de formulario 1.1'!DE$1,#REF!,0))</f>
        <v>#REF!</v>
      </c>
      <c r="DF261" s="45" t="e">
        <f t="array" ref="DF261">INDEX(#REF!,MATCH('Respuestas de formulario 1.1'!$B261,#REF!,0),MATCH('Respuestas de formulario 1.1'!DF$1,#REF!,0))</f>
        <v>#REF!</v>
      </c>
      <c r="DG261" s="45" t="e">
        <f t="array" ref="DG261">INDEX(#REF!,MATCH('Respuestas de formulario 1.1'!$B261,#REF!,0),MATCH('Respuestas de formulario 1.1'!DG$1,#REF!,0))</f>
        <v>#REF!</v>
      </c>
      <c r="DH261" s="45" t="e">
        <f t="array" ref="DH261">INDEX(#REF!,MATCH('Respuestas de formulario 1.1'!$B261,#REF!,0),MATCH('Respuestas de formulario 1.1'!DH$1,#REF!,0))</f>
        <v>#REF!</v>
      </c>
      <c r="DI261" s="48" t="e">
        <f>VLOOKUP(CONCATENATE($DF261," TUTO ",$DC261),#REF!,3,0)</f>
        <v>#REF!</v>
      </c>
      <c r="DJ261" s="48" t="e">
        <f t="array" ref="DJ261">IF('Respuestas de formulario 1.1'!A261="","",INDEX(#REF!,MATCH('Respuestas de formulario 1.1'!B261,#REF!,0),MATCH('Respuestas de formulario 1.1'!$DH$1,#REF!,0)))</f>
        <v>#REF!</v>
      </c>
      <c r="DK261" s="52" t="str">
        <f>CONCATENATE("http://doc.google.com/uc?id=",MID('Respuestas de formulario 1.1'!G261,34,33))</f>
        <v>http://doc.google.com/uc?id=1aL7WuUjSO3UDJjL52dMOEh855uKOU7Ps</v>
      </c>
      <c r="DL261" s="49" t="str">
        <f>CONCATENATE("http://doc.google.com/uc?id=",MID('Respuestas de formulario 1.1'!AH261,34,33))</f>
        <v>http://doc.google.com/uc?id=1UVb37v3mK25cUNoEksfKlfr0NJK0DxT1</v>
      </c>
      <c r="DM261" s="50" t="str">
        <f>CONCATENATE("http://doc.google.com/uc?id=",MID('Respuestas de formulario 1.1'!AW261,34,33))</f>
        <v>http://doc.google.com/uc?id=1yawAH3pG6pjQJS1UiTG-cqepj9mogqJx</v>
      </c>
      <c r="DN261" s="53" t="str">
        <f>CONCATENATE("http://doc.google.com/uc?id=",MID('Respuestas de formulario 1.1'!$BI261,34,33))</f>
        <v>http://doc.google.com/uc?id=1hZ9vcl_2e3rpPSlmuY3E1PVy_WWsOOCH</v>
      </c>
      <c r="DO261" s="45" t="str">
        <f>IFERROR(VLOOKUP(CONCATENATE('Respuestas de formulario 1.1'!$B261,MID('Respuestas de formulario 1.1'!DO$1,2,1)),#REF!,12,0),"")</f>
        <v/>
      </c>
      <c r="DP261" s="45" t="str">
        <f>IFERROR(VLOOKUP(CONCATENATE('Respuestas de formulario 1.1'!$B261,MID('Respuestas de formulario 1.1'!DP$1,2,1)),#REF!,12,0),"")</f>
        <v/>
      </c>
      <c r="DQ261" s="45" t="str">
        <f>IFERROR(VLOOKUP(CONCATENATE('Respuestas de formulario 1.1'!$B261,MID('Respuestas de formulario 1.1'!DQ$1,2,1)),#REF!,12,0),"")</f>
        <v/>
      </c>
      <c r="DR261" s="45" t="str">
        <f>IFERROR(VLOOKUP(CONCATENATE('Respuestas de formulario 1.1'!$B261,MID('Respuestas de formulario 1.1'!DR$1,2,1)),#REF!,12,0),"")</f>
        <v/>
      </c>
      <c r="DS261" s="45" t="str">
        <f>IFERROR(VLOOKUP(CONCATENATE('Respuestas de formulario 1.1'!$B261,MID('Respuestas de formulario 1.1'!DS$1,2,1)),#REF!,12,0),"")</f>
        <v/>
      </c>
      <c r="DT261" s="45" t="str">
        <f>IFERROR(VLOOKUP(CONCATENATE('Respuestas de formulario 1.1'!$B261,MID('Respuestas de formulario 1.1'!DT$1,2,1)),#REF!,12,0),"")</f>
        <v/>
      </c>
      <c r="DU261" s="45" t="str">
        <f>IFERROR(VLOOKUP(CONCATENATE('Respuestas de formulario 1.1'!$B261,MID('Respuestas de formulario 1.1'!DU$1,2,1)),#REF!,12,0),"")</f>
        <v/>
      </c>
      <c r="DV261" s="45" t="str">
        <f>IFERROR(VLOOKUP(CONCATENATE('Respuestas de formulario 1.1'!$B261,MID('Respuestas de formulario 1.1'!DV$1,2,1)),#REF!,12,0),"")</f>
        <v/>
      </c>
      <c r="DW261" s="45" t="str">
        <f>IFERROR(VLOOKUP(CONCATENATE('Respuestas de formulario 1.1'!$B261,MID('Respuestas de formulario 1.1'!DW$1,2,1)),#REF!,12,0),"")</f>
        <v/>
      </c>
      <c r="DX261" s="45" t="str">
        <f>IFERROR(VLOOKUP(CONCATENATE('Respuestas de formulario 1.1'!$B261,MID('Respuestas de formulario 1.1'!DX$1,2,1)),#REF!,12,0),"")</f>
        <v/>
      </c>
      <c r="DY261" s="45" t="str">
        <f>IFERROR(VLOOKUP(CONCATENATE('Respuestas de formulario 1.1'!$B261,MID('Respuestas de formulario 1.1'!DY$1,2,1)),#REF!,12,0),"")</f>
        <v/>
      </c>
      <c r="DZ261" s="45" t="str">
        <f>IFERROR(VLOOKUP(CONCATENATE('Respuestas de formulario 1.1'!$B261,MID('Respuestas de formulario 1.1'!DZ$1,2,1)),#REF!,12,0),"")</f>
        <v/>
      </c>
      <c r="EA261" s="45" t="str">
        <f>IFERROR(VLOOKUP(CONCATENATE('Respuestas de formulario 1.1'!$B261,MID('Respuestas de formulario 1.1'!EA$1,2,1)),#REF!,12,0),"")</f>
        <v/>
      </c>
      <c r="EB261" s="45" t="str">
        <f>IFERROR(VLOOKUP(CONCATENATE('Respuestas de formulario 1.1'!$B261,MID('Respuestas de formulario 1.1'!EB$1,2,1)),#REF!,12,0),"")</f>
        <v/>
      </c>
      <c r="EC261" s="45" t="str">
        <f>IFERROR(VLOOKUP(CONCATENATE('Respuestas de formulario 1.1'!$B261,MID('Respuestas de formulario 1.1'!EC$1,2,1)),#REF!,12,0),"")</f>
        <v/>
      </c>
      <c r="ED261" s="45" t="str">
        <f>IFERROR(VLOOKUP(CONCATENATE('Respuestas de formulario 1.1'!$B261,MID('Respuestas de formulario 1.1'!ED$1,2,1)),#REF!,12,0),"")</f>
        <v/>
      </c>
      <c r="EE261" s="45" t="str">
        <f>IFERROR(VLOOKUP(CONCATENATE('Respuestas de formulario 1.1'!$B261,MID('Respuestas de formulario 1.1'!EE$1,2,1)),#REF!,12,0),"")</f>
        <v/>
      </c>
      <c r="EF261" s="45" t="str">
        <f>IFERROR(VLOOKUP(CONCATENATE('Respuestas de formulario 1.1'!$B261,MID('Respuestas de formulario 1.1'!EF$1,2,1)),#REF!,12,0),"")</f>
        <v/>
      </c>
      <c r="EG261" s="45" t="str">
        <f>IFERROR(VLOOKUP(CONCATENATE('Respuestas de formulario 1.1'!$B261,MID('Respuestas de formulario 1.1'!EG$1,2,1)),#REF!,12,0),"")</f>
        <v/>
      </c>
      <c r="EH261" s="45" t="str">
        <f>IFERROR(VLOOKUP(CONCATENATE('Respuestas de formulario 1.1'!$B261,MID('Respuestas de formulario 1.1'!EH$1,2,1)),#REF!,12,0),"")</f>
        <v/>
      </c>
      <c r="EI261" s="45" t="str">
        <f>IFERROR(VLOOKUP(CONCATENATE('Respuestas de formulario 1.1'!$B261,MID('Respuestas de formulario 1.1'!EI$1,2,1)),#REF!,12,0),"")</f>
        <v/>
      </c>
      <c r="EJ261" s="45" t="str">
        <f t="array" ref="EJ261">IF(DO261="","", INDEX(#REF!,MATCH(CONCATENATE('Respuestas de formulario 1.1'!$B261,DO261),#REF!,0),MATCH('Respuestas de formulario 1.1'!EJ$1,#REF!,0)))</f>
        <v/>
      </c>
      <c r="EK261" s="56" t="str">
        <f t="array" ref="EK261">IF(DP261="","", INDEX(#REF!,MATCH(CONCATENATE('Respuestas de formulario 1.1'!$B261,DP261),#REF!,0),MATCH('Respuestas de formulario 1.1'!EK$1,#REF!,0)))</f>
        <v/>
      </c>
      <c r="EL261" s="56" t="str">
        <f t="array" ref="EL261">IF(DQ261="","", INDEX(#REF!,MATCH(CONCATENATE('Respuestas de formulario 1.1'!$B261,DQ261),#REF!,0),MATCH('Respuestas de formulario 1.1'!EL$1,#REF!,0)))</f>
        <v/>
      </c>
      <c r="EM261" s="56" t="str">
        <f t="array" ref="EM261">IF(DR261="","", INDEX(#REF!,MATCH(CONCATENATE('Respuestas de formulario 1.1'!$B261,DR261),#REF!,0),MATCH('Respuestas de formulario 1.1'!EM$1,#REF!,0)))</f>
        <v/>
      </c>
      <c r="EN261" s="56" t="str">
        <f t="array" ref="EN261">IF(DS261="","", INDEX(#REF!,MATCH(CONCATENATE('Respuestas de formulario 1.1'!$B261,DS261),#REF!,0),MATCH('Respuestas de formulario 1.1'!EN$1,#REF!,0)))</f>
        <v/>
      </c>
      <c r="EO261" s="56" t="str">
        <f t="array" ref="EO261">IF(DT261="","", INDEX(#REF!,MATCH(CONCATENATE('Respuestas de formulario 1.1'!$B261,DT261),#REF!,0),MATCH('Respuestas de formulario 1.1'!EO$1,#REF!,0)))</f>
        <v/>
      </c>
      <c r="EP261" s="45" t="str">
        <f t="array" ref="EP261">IF(DU261="","", INDEX(#REF!,MATCH(CONCATENATE('Respuestas de formulario 1.1'!$B261,DU261),#REF!,0),MATCH('Respuestas de formulario 1.1'!EP$1,#REF!,0)))</f>
        <v/>
      </c>
      <c r="EQ261" s="45" t="str">
        <f t="array" ref="EQ261">IF(DP261="","", INDEX(#REF!,MATCH(CONCATENATE('Respuestas de formulario 1.1'!$B261,DP261),#REF!,0),MATCH('Respuestas de formulario 1.1'!EQ$1,#REF!,0)))</f>
        <v/>
      </c>
      <c r="ER261" s="56" t="str">
        <f t="array" ref="ER261">IF(DQ261="","", INDEX(#REF!,MATCH(CONCATENATE('Respuestas de formulario 1.1'!$B261,DQ261),#REF!,0),MATCH('Respuestas de formulario 1.1'!ER$1,#REF!,0)))</f>
        <v/>
      </c>
      <c r="ES261" s="56" t="str">
        <f t="array" ref="ES261">IF(DR261="","", INDEX(#REF!,MATCH(CONCATENATE('Respuestas de formulario 1.1'!$B261,DR261),#REF!,0),MATCH('Respuestas de formulario 1.1'!ES$1,#REF!,0)))</f>
        <v/>
      </c>
      <c r="ET261" s="56" t="str">
        <f t="array" ref="ET261">IF(DS261="","", INDEX(#REF!,MATCH(CONCATENATE('Respuestas de formulario 1.1'!$B261,DS261),#REF!,0),MATCH('Respuestas de formulario 1.1'!ET$1,#REF!,0)))</f>
        <v/>
      </c>
      <c r="EU261" s="56" t="str">
        <f t="array" ref="EU261">IF(DT261="","", INDEX(#REF!,MATCH(CONCATENATE('Respuestas de formulario 1.1'!$B261,DT261),#REF!,0),MATCH('Respuestas de formulario 1.1'!EU$1,#REF!,0)))</f>
        <v/>
      </c>
      <c r="EV261" s="56" t="str">
        <f t="array" ref="EV261">IF(DU261="","", INDEX(#REF!,MATCH(CONCATENATE('Respuestas de formulario 1.1'!$B261,DU261),#REF!,0),MATCH('Respuestas de formulario 1.1'!EV$1,#REF!,0)))</f>
        <v/>
      </c>
      <c r="EW261" s="45" t="str">
        <f t="array" ref="EW261">IF(DV261="","", INDEX(#REF!,MATCH(CONCATENATE('Respuestas de formulario 1.1'!$B261,DV261),#REF!,0),MATCH('Respuestas de formulario 1.1'!EW$1,#REF!,0)))</f>
        <v/>
      </c>
      <c r="EX261" s="45" t="str">
        <f t="array" ref="EX261">IF($DQ261="","", INDEX(#REF!,MATCH(CONCATENATE('Respuestas de formulario 1.1'!$B261,$DQ261),#REF!,0),MATCH('Respuestas de formulario 1.1'!EX$1,#REF!,0)))</f>
        <v/>
      </c>
      <c r="EY261" s="56" t="str">
        <f t="array" ref="EY261">IF($DQ261="","", INDEX(#REF!,MATCH(CONCATENATE('Respuestas de formulario 1.1'!$B261,$DQ261),#REF!,0),MATCH('Respuestas de formulario 1.1'!EY$1,#REF!,0)))</f>
        <v/>
      </c>
      <c r="EZ261" s="56" t="str">
        <f t="array" ref="EZ261">IF($DQ261="","", INDEX(#REF!,MATCH(CONCATENATE('Respuestas de formulario 1.1'!$B261,$DQ261),#REF!,0),MATCH('Respuestas de formulario 1.1'!EZ$1,#REF!,0)))</f>
        <v/>
      </c>
      <c r="FA261" s="56" t="str">
        <f t="array" ref="FA261">IF($DQ261="","", INDEX(#REF!,MATCH(CONCATENATE('Respuestas de formulario 1.1'!$B261,$DQ261),#REF!,0),MATCH('Respuestas de formulario 1.1'!FA$1,#REF!,0)))</f>
        <v/>
      </c>
      <c r="FB261" s="56" t="str">
        <f t="array" ref="FB261">IF($DQ261="","", INDEX(#REF!,MATCH(CONCATENATE('Respuestas de formulario 1.1'!$B261,$DQ261),#REF!,0),MATCH('Respuestas de formulario 1.1'!FB$1,#REF!,0)))</f>
        <v/>
      </c>
      <c r="FC261" s="56" t="str">
        <f t="array" ref="FC261">IF($DQ261="","", INDEX(#REF!,MATCH(CONCATENATE('Respuestas de formulario 1.1'!$B261,$DQ261),#REF!,0),MATCH('Respuestas de formulario 1.1'!FC$1,#REF!,0)))</f>
        <v/>
      </c>
      <c r="FD261" s="45" t="str">
        <f t="array" ref="FD261">IF($DQ261="","", INDEX(#REF!,MATCH(CONCATENATE('Respuestas de formulario 1.1'!$B261,$DQ261),#REF!,0),MATCH('Respuestas de formulario 1.1'!FD$1,#REF!,0)))</f>
        <v/>
      </c>
      <c r="FE261" s="45" t="str">
        <f t="array" ref="FE261">IF($DR261="","", INDEX(#REF!,MATCH(CONCATENATE(#REF!,$DR261),#REF!,0),MATCH(#REF!,#REF!,0)))</f>
        <v/>
      </c>
      <c r="FF261" s="56" t="str">
        <f t="array" ref="FF261">IF($DR261="","", INDEX(#REF!,MATCH(CONCATENATE(#REF!,$DR261),#REF!,0),MATCH(#REF!,#REF!,0)))</f>
        <v/>
      </c>
      <c r="FG261" s="56" t="str">
        <f t="array" ref="FG261">IF($DR261="","", INDEX(#REF!,MATCH(CONCATENATE(#REF!,$DR261),#REF!,0),MATCH(#REF!,#REF!,0)))</f>
        <v/>
      </c>
      <c r="FH261" s="56" t="str">
        <f t="array" ref="FH261">IF($DR261="","", INDEX(#REF!,MATCH(CONCATENATE(#REF!,$DR261),#REF!,0),MATCH(#REF!,#REF!,0)))</f>
        <v/>
      </c>
      <c r="FI261" s="56" t="str">
        <f t="array" ref="FI261">IF($DR261="","", INDEX(#REF!,MATCH(CONCATENATE(#REF!,$DR261),#REF!,0),MATCH(#REF!,#REF!,0)))</f>
        <v/>
      </c>
      <c r="FJ261" s="56" t="str">
        <f t="array" ref="FJ261">IF($DR261="","", INDEX(#REF!,MATCH(CONCATENATE(#REF!,$DR261),#REF!,0),MATCH(#REF!,#REF!,0)))</f>
        <v/>
      </c>
      <c r="FK261" s="45" t="str">
        <f t="array" ref="FK261">IF($DR261="","", INDEX(#REF!,MATCH(CONCATENATE(#REF!,$DR261),#REF!,0),MATCH(#REF!,#REF!,0)))</f>
        <v/>
      </c>
      <c r="FL261" s="45" t="str">
        <f t="array" ref="FL261">IF($DT261="","", INDEX(#REF!,MATCH(CONCATENATE('Respuestas de formulario 1.1'!$B261,$DS261),#REF!,0),MATCH('Respuestas de formulario 1.1'!FL$1,#REF!,0)))</f>
        <v/>
      </c>
      <c r="FM261" s="56" t="str">
        <f t="array" ref="FM261">IF($DT261="","", INDEX(#REF!,MATCH(CONCATENATE('Respuestas de formulario 1.1'!$B261,$DS261),#REF!,0),MATCH('Respuestas de formulario 1.1'!FM$1,#REF!,0)))</f>
        <v/>
      </c>
      <c r="FN261" s="56" t="str">
        <f t="array" ref="FN261">IF($DT261="","", INDEX(#REF!,MATCH(CONCATENATE('Respuestas de formulario 1.1'!$B261,$DS261),#REF!,0),MATCH('Respuestas de formulario 1.1'!FN$1,#REF!,0)))</f>
        <v/>
      </c>
      <c r="FO261" s="56" t="str">
        <f t="array" ref="FO261">IF($DT261="","", INDEX(#REF!,MATCH(CONCATENATE('Respuestas de formulario 1.1'!$B261,$DS261),#REF!,0),MATCH('Respuestas de formulario 1.1'!FO$1,#REF!,0)))</f>
        <v/>
      </c>
      <c r="FP261" s="56" t="str">
        <f t="array" ref="FP261">IF($DT261="","", INDEX(#REF!,MATCH(CONCATENATE('Respuestas de formulario 1.1'!$B261,$DS261),#REF!,0),MATCH('Respuestas de formulario 1.1'!FP$1,#REF!,0)))</f>
        <v/>
      </c>
      <c r="FQ261" s="56" t="str">
        <f t="array" ref="FQ261">IF($DT261="","", INDEX(#REF!,MATCH(CONCATENATE('Respuestas de formulario 1.1'!$B261,$DS261),#REF!,0),MATCH('Respuestas de formulario 1.1'!FQ$1,#REF!,0)))</f>
        <v/>
      </c>
      <c r="FR261" s="45" t="str">
        <f t="array" ref="FR261">IF($DT261="","", INDEX(#REF!,MATCH(CONCATENATE('Respuestas de formulario 1.1'!$B261,$DS261),#REF!,0),MATCH('Respuestas de formulario 1.1'!FR$1,#REF!,0)))</f>
        <v/>
      </c>
      <c r="FS261" s="45" t="str">
        <f t="array" ref="FS261">IF($DU261="","", INDEX(#REF!,MATCH(CONCATENATE('Respuestas de formulario 1.1'!$B261,$DT261),#REF!,0),MATCH('Respuestas de formulario 1.1'!FS$1,#REF!,0)))</f>
        <v/>
      </c>
      <c r="FT261" s="56" t="str">
        <f t="array" ref="FT261">IF($DU261="","", INDEX(#REF!,MATCH(CONCATENATE('Respuestas de formulario 1.1'!$B261,$DT261),#REF!,0),MATCH('Respuestas de formulario 1.1'!FT$1,#REF!,0)))</f>
        <v/>
      </c>
      <c r="FU261" s="56" t="str">
        <f t="array" ref="FU261">IF($DU261="","", INDEX(#REF!,MATCH(CONCATENATE('Respuestas de formulario 1.1'!$B261,$DT261),#REF!,0),MATCH('Respuestas de formulario 1.1'!FU$1,#REF!,0)))</f>
        <v/>
      </c>
      <c r="FV261" s="56" t="str">
        <f t="array" ref="FV261">IF($DU261="","", INDEX(#REF!,MATCH(CONCATENATE('Respuestas de formulario 1.1'!$B261,$DT261),#REF!,0),MATCH('Respuestas de formulario 1.1'!FV$1,#REF!,0)))</f>
        <v/>
      </c>
      <c r="FW261" s="56" t="str">
        <f t="array" ref="FW261">IF($DU261="","", INDEX(#REF!,MATCH(CONCATENATE('Respuestas de formulario 1.1'!$B261,$DT261),#REF!,0),MATCH('Respuestas de formulario 1.1'!FW$1,#REF!,0)))</f>
        <v/>
      </c>
      <c r="FX261" s="56" t="str">
        <f t="array" ref="FX261">IF($DU261="","", INDEX(#REF!,MATCH(CONCATENATE('Respuestas de formulario 1.1'!$B261,$DT261),#REF!,0),MATCH('Respuestas de formulario 1.1'!FX$1,#REF!,0)))</f>
        <v/>
      </c>
      <c r="FY261" s="45" t="str">
        <f t="array" ref="FY261">IF($DU261="","", INDEX(#REF!,MATCH(CONCATENATE('Respuestas de formulario 1.1'!$B261,$DT261),#REF!,0),MATCH('Respuestas de formulario 1.1'!FY$1,#REF!,0)))</f>
        <v/>
      </c>
      <c r="FZ261" s="3" t="s">
        <v>2860</v>
      </c>
      <c r="GA261" s="1" t="s">
        <v>7324</v>
      </c>
      <c r="GB261" s="5" t="s">
        <v>7325</v>
      </c>
      <c r="GC261" s="4" t="str">
        <f>HYPERLINK("https://drive.google.com/file/d/1e0vmSXVTg9EsJn4BFo7ndcKWXDiJt6wR/view?usp=drivesdk","JUAREZ GARCIA JAIME EDUARDO Formato de reinscripción y pago 2022-2")</f>
        <v>JUAREZ GARCIA JAIME EDUARDO Formato de reinscripción y pago 2022-2</v>
      </c>
      <c r="GD261" s="1" t="s">
        <v>7326</v>
      </c>
      <c r="GE261" s="1"/>
      <c r="GF261" s="1"/>
      <c r="GG261" s="1"/>
      <c r="GH261" s="1"/>
      <c r="GI261" s="1" t="s">
        <v>7327</v>
      </c>
      <c r="GJ261" s="5" t="s">
        <v>7328</v>
      </c>
      <c r="GK261" s="5" t="str">
        <f>HYPERLINK("https://drive.google.com/file/d/15gANN1btdaws1JzUnOuloOMzvQUTa9pU/view?usp=drivesdk","JUAREZ GARCIA JAIME EDUARDO Formato de reinscripción y pago 2022-2")</f>
        <v>JUAREZ GARCIA JAIME EDUARDO Formato de reinscripción y pago 2022-2</v>
      </c>
      <c r="GL261" s="1" t="s">
        <v>7329</v>
      </c>
    </row>
    <row r="262" spans="1:194" ht="38.25" x14ac:dyDescent="0.2">
      <c r="A262" s="2">
        <v>45141.654990393523</v>
      </c>
      <c r="B262" s="1" t="s">
        <v>1942</v>
      </c>
      <c r="C262" s="1" t="s">
        <v>771</v>
      </c>
      <c r="D262" s="1" t="s">
        <v>1943</v>
      </c>
      <c r="E262" s="1" t="s">
        <v>1944</v>
      </c>
      <c r="F262" s="1" t="s">
        <v>223</v>
      </c>
      <c r="G262" s="5" t="s">
        <v>7330</v>
      </c>
      <c r="H262" s="41">
        <v>38878</v>
      </c>
      <c r="I262" s="1">
        <v>17</v>
      </c>
      <c r="J262" s="1">
        <v>5582513924</v>
      </c>
      <c r="K262" s="1">
        <v>5590490477</v>
      </c>
      <c r="L262" s="1" t="s">
        <v>1945</v>
      </c>
      <c r="M262" s="1">
        <v>21309060570727</v>
      </c>
      <c r="N262" s="1" t="s">
        <v>1108</v>
      </c>
      <c r="O262" s="1" t="s">
        <v>225</v>
      </c>
      <c r="P262" s="1" t="s">
        <v>278</v>
      </c>
      <c r="Q262" s="1" t="s">
        <v>315</v>
      </c>
      <c r="R262" s="1" t="s">
        <v>236</v>
      </c>
      <c r="S262" s="1" t="s">
        <v>228</v>
      </c>
      <c r="T262" s="1" t="s">
        <v>411</v>
      </c>
      <c r="U262" s="1" t="s">
        <v>249</v>
      </c>
      <c r="V262" s="1" t="s">
        <v>228</v>
      </c>
      <c r="W262" s="1" t="s">
        <v>7331</v>
      </c>
      <c r="X262" s="1" t="s">
        <v>249</v>
      </c>
      <c r="Y262" s="1" t="s">
        <v>1242</v>
      </c>
      <c r="Z262" s="1" t="s">
        <v>240</v>
      </c>
      <c r="AA262" s="44" t="s">
        <v>555</v>
      </c>
      <c r="AB262" s="1">
        <v>47</v>
      </c>
      <c r="AC262" s="1">
        <v>11</v>
      </c>
      <c r="AD262" s="1" t="s">
        <v>7332</v>
      </c>
      <c r="AE262" s="1" t="s">
        <v>7333</v>
      </c>
      <c r="AF262" s="1" t="s">
        <v>265</v>
      </c>
      <c r="AG262" s="1">
        <v>48</v>
      </c>
      <c r="AH262" s="5" t="s">
        <v>7334</v>
      </c>
      <c r="AI262" s="1">
        <v>5560308943</v>
      </c>
      <c r="AJ262" s="1">
        <v>5590490477</v>
      </c>
      <c r="AK262" s="1" t="s">
        <v>1947</v>
      </c>
      <c r="AL262" s="1" t="s">
        <v>771</v>
      </c>
      <c r="AM262" s="1" t="s">
        <v>1943</v>
      </c>
      <c r="AN262" s="1" t="s">
        <v>2087</v>
      </c>
      <c r="AO262" s="1" t="s">
        <v>403</v>
      </c>
      <c r="AP262" s="1">
        <v>21</v>
      </c>
      <c r="AQ262" s="1" t="s">
        <v>303</v>
      </c>
      <c r="AR262" s="42">
        <v>0</v>
      </c>
      <c r="AS262" s="42">
        <v>0</v>
      </c>
      <c r="AT262" s="1">
        <v>5510316280</v>
      </c>
      <c r="AU262" s="1">
        <v>5590490477</v>
      </c>
      <c r="AV262" s="1" t="s">
        <v>7335</v>
      </c>
      <c r="AW262" s="5" t="s">
        <v>7336</v>
      </c>
      <c r="AX262" s="1" t="s">
        <v>771</v>
      </c>
      <c r="AY262" s="1" t="s">
        <v>1943</v>
      </c>
      <c r="AZ262" s="1" t="s">
        <v>2310</v>
      </c>
      <c r="BA262" s="1" t="s">
        <v>758</v>
      </c>
      <c r="BB262" s="1">
        <v>19</v>
      </c>
      <c r="BC262" s="1" t="s">
        <v>1044</v>
      </c>
      <c r="BD262" s="43">
        <v>0.29166666666424135</v>
      </c>
      <c r="BE262" s="43">
        <v>0.33333333333575865</v>
      </c>
      <c r="BF262" s="1">
        <v>5614437373</v>
      </c>
      <c r="BG262" s="1">
        <v>5590490477</v>
      </c>
      <c r="BH262" s="1" t="s">
        <v>7337</v>
      </c>
      <c r="BI262" s="5" t="s">
        <v>7338</v>
      </c>
      <c r="BJ262" s="1" t="s">
        <v>236</v>
      </c>
      <c r="BL262" s="1">
        <v>165</v>
      </c>
      <c r="BM262" s="1">
        <v>50</v>
      </c>
      <c r="BN262" s="1" t="s">
        <v>228</v>
      </c>
      <c r="BO262" s="1" t="s">
        <v>228</v>
      </c>
      <c r="BQ262" s="1" t="s">
        <v>228</v>
      </c>
      <c r="BR262" s="1" t="s">
        <v>237</v>
      </c>
      <c r="BS262" s="1" t="s">
        <v>228</v>
      </c>
      <c r="BT262" s="1" t="s">
        <v>237</v>
      </c>
      <c r="BU262" s="1" t="s">
        <v>228</v>
      </c>
      <c r="BW262" s="1" t="s">
        <v>272</v>
      </c>
      <c r="BX262" s="1">
        <v>60</v>
      </c>
      <c r="BY262" s="1">
        <v>200</v>
      </c>
      <c r="BZ262" s="1" t="s">
        <v>284</v>
      </c>
      <c r="CA262" s="1" t="s">
        <v>890</v>
      </c>
      <c r="CB262" s="1" t="s">
        <v>240</v>
      </c>
      <c r="CC262" s="1" t="s">
        <v>274</v>
      </c>
      <c r="CD262" s="1">
        <v>800</v>
      </c>
      <c r="CE262" s="1">
        <v>400</v>
      </c>
      <c r="CF262" s="1" t="s">
        <v>236</v>
      </c>
      <c r="CG262" s="1" t="s">
        <v>242</v>
      </c>
      <c r="CH262" s="1" t="s">
        <v>243</v>
      </c>
      <c r="CI262" s="1" t="s">
        <v>243</v>
      </c>
      <c r="CJ262" s="1" t="s">
        <v>2848</v>
      </c>
      <c r="CL262" s="5" t="s">
        <v>7339</v>
      </c>
      <c r="CM262" s="1">
        <v>15210640684</v>
      </c>
      <c r="CN262" s="1" t="s">
        <v>228</v>
      </c>
      <c r="CQ262" s="42">
        <v>0.29166666666424135</v>
      </c>
      <c r="CR262" s="42">
        <v>0.33333333333575865</v>
      </c>
      <c r="CT262" s="45" t="str">
        <f t="array" ref="CT262">IFERROR(INDEX(#REF!,MATCH('Respuestas de formulario 1.1'!$B262,#REF!,0),MATCH('Respuestas de formulario 1.1'!CT$1,#REF!,0)),"")</f>
        <v/>
      </c>
      <c r="CU262" s="56" t="str">
        <f t="array" ref="CU262">IFERROR(INDEX(#REF!,MATCH('Respuestas de formulario 1.1'!$B262,#REF!,0),MATCH('Respuestas de formulario 1.1'!CU$1,#REF!,0)),"")</f>
        <v/>
      </c>
      <c r="CV262" s="56" t="str">
        <f t="array" ref="CV262">IFERROR(INDEX(#REF!,MATCH('Respuestas de formulario 1.1'!$B262,#REF!,0),MATCH('Respuestas de formulario 1.1'!CV$1,#REF!,0)),"")</f>
        <v/>
      </c>
      <c r="CW262" s="56" t="str">
        <f t="array" ref="CW262">IFERROR(INDEX(#REF!,MATCH('Respuestas de formulario 1.1'!$B262,#REF!,0),MATCH('Respuestas de formulario 1.1'!CW$1,#REF!,0)),"")</f>
        <v/>
      </c>
      <c r="CX262" s="56" t="str">
        <f t="array" ref="CX262">IFERROR(INDEX(#REF!,MATCH('Respuestas de formulario 1.1'!$B262,#REF!,0),MATCH('Respuestas de formulario 1.1'!CX$1,#REF!,0)),"")</f>
        <v/>
      </c>
      <c r="CY262" s="56" t="str">
        <f t="array" ref="CY262">IFERROR(INDEX(#REF!,MATCH('Respuestas de formulario 1.1'!$B262,#REF!,0),MATCH('Respuestas de formulario 1.1'!CY$1,#REF!,0)),"")</f>
        <v/>
      </c>
      <c r="CZ262" s="57" t="str">
        <f t="array" ref="CZ262">IFERROR(INDEX(#REF!,MATCH('Respuestas de formulario 1.1'!$B262,#REF!,0),MATCH('Respuestas de formulario 1.1'!CZ$1,#REF!,0)),"")</f>
        <v/>
      </c>
      <c r="DA262" s="45" t="e">
        <f t="array" ref="DA262">INDEX(#REF!,MATCH('Respuestas de formulario 1.1'!$B262,#REF!,0),MATCH('Respuestas de formulario 1.1'!DA$1,#REF!,0))</f>
        <v>#REF!</v>
      </c>
      <c r="DB262" s="45" t="e">
        <f t="array" ref="DB262">INDEX(#REF!,MATCH('Respuestas de formulario 1.1'!$B262,#REF!,0),MATCH('Respuestas de formulario 1.1'!DB$1,#REF!,0))</f>
        <v>#REF!</v>
      </c>
      <c r="DC262" s="45" t="e">
        <f t="array" ref="DC262">INDEX(#REF!,MATCH('Respuestas de formulario 1.1'!$B262,#REF!,0),MATCH('Respuestas de formulario 1.1'!DC$1,#REF!,0))</f>
        <v>#REF!</v>
      </c>
      <c r="DD262" s="45" t="e">
        <f t="array" ref="DD262">INDEX(#REF!,MATCH('Respuestas de formulario 1.1'!$B262,#REF!,0),MATCH('Respuestas de formulario 1.1'!DD$1,#REF!,0))</f>
        <v>#REF!</v>
      </c>
      <c r="DE262" s="45" t="e">
        <f t="array" ref="DE262">INDEX(#REF!,MATCH('Respuestas de formulario 1.1'!$B262,#REF!,0),MATCH('Respuestas de formulario 1.1'!DE$1,#REF!,0))</f>
        <v>#REF!</v>
      </c>
      <c r="DF262" s="45" t="e">
        <f t="array" ref="DF262">INDEX(#REF!,MATCH('Respuestas de formulario 1.1'!$B262,#REF!,0),MATCH('Respuestas de formulario 1.1'!DF$1,#REF!,0))</f>
        <v>#REF!</v>
      </c>
      <c r="DG262" s="45" t="e">
        <f t="array" ref="DG262">INDEX(#REF!,MATCH('Respuestas de formulario 1.1'!$B262,#REF!,0),MATCH('Respuestas de formulario 1.1'!DG$1,#REF!,0))</f>
        <v>#REF!</v>
      </c>
      <c r="DH262" s="45" t="e">
        <f t="array" ref="DH262">INDEX(#REF!,MATCH('Respuestas de formulario 1.1'!$B262,#REF!,0),MATCH('Respuestas de formulario 1.1'!DH$1,#REF!,0))</f>
        <v>#REF!</v>
      </c>
      <c r="DI262" s="48" t="e">
        <f>VLOOKUP(CONCATENATE($DF262," TUTO ",$DC262),#REF!,3,0)</f>
        <v>#REF!</v>
      </c>
      <c r="DJ262" s="48" t="e">
        <f t="array" ref="DJ262">IF('Respuestas de formulario 1.1'!A262="","",INDEX(#REF!,MATCH('Respuestas de formulario 1.1'!B262,#REF!,0),MATCH('Respuestas de formulario 1.1'!$DH$1,#REF!,0)))</f>
        <v>#REF!</v>
      </c>
      <c r="DK262" s="52" t="str">
        <f>CONCATENATE("http://doc.google.com/uc?id=",MID('Respuestas de formulario 1.1'!G262,34,33))</f>
        <v>http://doc.google.com/uc?id=1wyDi3f9emzdAE36zcMMbPGsXtXHe_O6l</v>
      </c>
      <c r="DL262" s="49" t="str">
        <f>CONCATENATE("http://doc.google.com/uc?id=",MID('Respuestas de formulario 1.1'!AH262,34,33))</f>
        <v>http://doc.google.com/uc?id=1W4kpvM1WiENYp0pxCmP1Yfq6MbCl3OOe</v>
      </c>
      <c r="DM262" s="50" t="str">
        <f>CONCATENATE("http://doc.google.com/uc?id=",MID('Respuestas de formulario 1.1'!AW262,34,33))</f>
        <v>http://doc.google.com/uc?id=173M9h_E8a_uJAlOy-puxlhp2L24gERQS</v>
      </c>
      <c r="DN262" s="53" t="str">
        <f>CONCATENATE("http://doc.google.com/uc?id=",MID('Respuestas de formulario 1.1'!$BI262,34,33))</f>
        <v>http://doc.google.com/uc?id=1WhzqdsuwsAEX0Axbzl1FOYCNkVkwEAxq</v>
      </c>
      <c r="DO262" s="45" t="str">
        <f>IFERROR(VLOOKUP(CONCATENATE('Respuestas de formulario 1.1'!$B262,MID('Respuestas de formulario 1.1'!DO$1,2,1)),#REF!,12,0),"")</f>
        <v/>
      </c>
      <c r="DP262" s="45" t="str">
        <f>IFERROR(VLOOKUP(CONCATENATE('Respuestas de formulario 1.1'!$B262,MID('Respuestas de formulario 1.1'!DP$1,2,1)),#REF!,12,0),"")</f>
        <v/>
      </c>
      <c r="DQ262" s="45" t="str">
        <f>IFERROR(VLOOKUP(CONCATENATE('Respuestas de formulario 1.1'!$B262,MID('Respuestas de formulario 1.1'!DQ$1,2,1)),#REF!,12,0),"")</f>
        <v/>
      </c>
      <c r="DR262" s="45" t="str">
        <f>IFERROR(VLOOKUP(CONCATENATE('Respuestas de formulario 1.1'!$B262,MID('Respuestas de formulario 1.1'!DR$1,2,1)),#REF!,12,0),"")</f>
        <v/>
      </c>
      <c r="DS262" s="45" t="str">
        <f>IFERROR(VLOOKUP(CONCATENATE('Respuestas de formulario 1.1'!$B262,MID('Respuestas de formulario 1.1'!DS$1,2,1)),#REF!,12,0),"")</f>
        <v/>
      </c>
      <c r="DT262" s="45" t="str">
        <f>IFERROR(VLOOKUP(CONCATENATE('Respuestas de formulario 1.1'!$B262,MID('Respuestas de formulario 1.1'!DT$1,2,1)),#REF!,12,0),"")</f>
        <v/>
      </c>
      <c r="DU262" s="45" t="str">
        <f>IFERROR(VLOOKUP(CONCATENATE('Respuestas de formulario 1.1'!$B262,MID('Respuestas de formulario 1.1'!DU$1,2,1)),#REF!,12,0),"")</f>
        <v/>
      </c>
      <c r="DV262" s="45" t="str">
        <f>IFERROR(VLOOKUP(CONCATENATE('Respuestas de formulario 1.1'!$B262,MID('Respuestas de formulario 1.1'!DV$1,2,1)),#REF!,12,0),"")</f>
        <v/>
      </c>
      <c r="DW262" s="45" t="str">
        <f>IFERROR(VLOOKUP(CONCATENATE('Respuestas de formulario 1.1'!$B262,MID('Respuestas de formulario 1.1'!DW$1,2,1)),#REF!,12,0),"")</f>
        <v/>
      </c>
      <c r="DX262" s="45" t="str">
        <f>IFERROR(VLOOKUP(CONCATENATE('Respuestas de formulario 1.1'!$B262,MID('Respuestas de formulario 1.1'!DX$1,2,1)),#REF!,12,0),"")</f>
        <v/>
      </c>
      <c r="DY262" s="45" t="str">
        <f>IFERROR(VLOOKUP(CONCATENATE('Respuestas de formulario 1.1'!$B262,MID('Respuestas de formulario 1.1'!DY$1,2,1)),#REF!,12,0),"")</f>
        <v/>
      </c>
      <c r="DZ262" s="45" t="str">
        <f>IFERROR(VLOOKUP(CONCATENATE('Respuestas de formulario 1.1'!$B262,MID('Respuestas de formulario 1.1'!DZ$1,2,1)),#REF!,12,0),"")</f>
        <v/>
      </c>
      <c r="EA262" s="45" t="str">
        <f>IFERROR(VLOOKUP(CONCATENATE('Respuestas de formulario 1.1'!$B262,MID('Respuestas de formulario 1.1'!EA$1,2,1)),#REF!,12,0),"")</f>
        <v/>
      </c>
      <c r="EB262" s="45" t="str">
        <f>IFERROR(VLOOKUP(CONCATENATE('Respuestas de formulario 1.1'!$B262,MID('Respuestas de formulario 1.1'!EB$1,2,1)),#REF!,12,0),"")</f>
        <v/>
      </c>
      <c r="EC262" s="45" t="str">
        <f>IFERROR(VLOOKUP(CONCATENATE('Respuestas de formulario 1.1'!$B262,MID('Respuestas de formulario 1.1'!EC$1,2,1)),#REF!,12,0),"")</f>
        <v/>
      </c>
      <c r="ED262" s="45" t="str">
        <f>IFERROR(VLOOKUP(CONCATENATE('Respuestas de formulario 1.1'!$B262,MID('Respuestas de formulario 1.1'!ED$1,2,1)),#REF!,12,0),"")</f>
        <v/>
      </c>
      <c r="EE262" s="45" t="str">
        <f>IFERROR(VLOOKUP(CONCATENATE('Respuestas de formulario 1.1'!$B262,MID('Respuestas de formulario 1.1'!EE$1,2,1)),#REF!,12,0),"")</f>
        <v/>
      </c>
      <c r="EF262" s="45" t="str">
        <f>IFERROR(VLOOKUP(CONCATENATE('Respuestas de formulario 1.1'!$B262,MID('Respuestas de formulario 1.1'!EF$1,2,1)),#REF!,12,0),"")</f>
        <v/>
      </c>
      <c r="EG262" s="45" t="str">
        <f>IFERROR(VLOOKUP(CONCATENATE('Respuestas de formulario 1.1'!$B262,MID('Respuestas de formulario 1.1'!EG$1,2,1)),#REF!,12,0),"")</f>
        <v/>
      </c>
      <c r="EH262" s="45" t="str">
        <f>IFERROR(VLOOKUP(CONCATENATE('Respuestas de formulario 1.1'!$B262,MID('Respuestas de formulario 1.1'!EH$1,2,1)),#REF!,12,0),"")</f>
        <v/>
      </c>
      <c r="EI262" s="45" t="str">
        <f>IFERROR(VLOOKUP(CONCATENATE('Respuestas de formulario 1.1'!$B262,MID('Respuestas de formulario 1.1'!EI$1,2,1)),#REF!,12,0),"")</f>
        <v/>
      </c>
      <c r="EJ262" s="45" t="str">
        <f t="array" ref="EJ262">IF(DO262="","", INDEX(#REF!,MATCH(CONCATENATE('Respuestas de formulario 1.1'!$B262,DO262),#REF!,0),MATCH('Respuestas de formulario 1.1'!EJ$1,#REF!,0)))</f>
        <v/>
      </c>
      <c r="EK262" s="56" t="str">
        <f t="array" ref="EK262">IF(DP262="","", INDEX(#REF!,MATCH(CONCATENATE('Respuestas de formulario 1.1'!$B262,DP262),#REF!,0),MATCH('Respuestas de formulario 1.1'!EK$1,#REF!,0)))</f>
        <v/>
      </c>
      <c r="EL262" s="56" t="str">
        <f t="array" ref="EL262">IF(DQ262="","", INDEX(#REF!,MATCH(CONCATENATE('Respuestas de formulario 1.1'!$B262,DQ262),#REF!,0),MATCH('Respuestas de formulario 1.1'!EL$1,#REF!,0)))</f>
        <v/>
      </c>
      <c r="EM262" s="56" t="str">
        <f t="array" ref="EM262">IF(DR262="","", INDEX(#REF!,MATCH(CONCATENATE('Respuestas de formulario 1.1'!$B262,DR262),#REF!,0),MATCH('Respuestas de formulario 1.1'!EM$1,#REF!,0)))</f>
        <v/>
      </c>
      <c r="EN262" s="56" t="str">
        <f t="array" ref="EN262">IF(DS262="","", INDEX(#REF!,MATCH(CONCATENATE('Respuestas de formulario 1.1'!$B262,DS262),#REF!,0),MATCH('Respuestas de formulario 1.1'!EN$1,#REF!,0)))</f>
        <v/>
      </c>
      <c r="EO262" s="56" t="str">
        <f t="array" ref="EO262">IF(DT262="","", INDEX(#REF!,MATCH(CONCATENATE('Respuestas de formulario 1.1'!$B262,DT262),#REF!,0),MATCH('Respuestas de formulario 1.1'!EO$1,#REF!,0)))</f>
        <v/>
      </c>
      <c r="EP262" s="45" t="str">
        <f t="array" ref="EP262">IF(DU262="","", INDEX(#REF!,MATCH(CONCATENATE('Respuestas de formulario 1.1'!$B262,DU262),#REF!,0),MATCH('Respuestas de formulario 1.1'!EP$1,#REF!,0)))</f>
        <v/>
      </c>
      <c r="EQ262" s="45" t="str">
        <f t="array" ref="EQ262">IF(DP262="","", INDEX(#REF!,MATCH(CONCATENATE('Respuestas de formulario 1.1'!$B262,DP262),#REF!,0),MATCH('Respuestas de formulario 1.1'!EQ$1,#REF!,0)))</f>
        <v/>
      </c>
      <c r="ER262" s="56" t="str">
        <f t="array" ref="ER262">IF(DQ262="","", INDEX(#REF!,MATCH(CONCATENATE('Respuestas de formulario 1.1'!$B262,DQ262),#REF!,0),MATCH('Respuestas de formulario 1.1'!ER$1,#REF!,0)))</f>
        <v/>
      </c>
      <c r="ES262" s="56" t="str">
        <f t="array" ref="ES262">IF(DR262="","", INDEX(#REF!,MATCH(CONCATENATE('Respuestas de formulario 1.1'!$B262,DR262),#REF!,0),MATCH('Respuestas de formulario 1.1'!ES$1,#REF!,0)))</f>
        <v/>
      </c>
      <c r="ET262" s="56" t="str">
        <f t="array" ref="ET262">IF(DS262="","", INDEX(#REF!,MATCH(CONCATENATE('Respuestas de formulario 1.1'!$B262,DS262),#REF!,0),MATCH('Respuestas de formulario 1.1'!ET$1,#REF!,0)))</f>
        <v/>
      </c>
      <c r="EU262" s="56" t="str">
        <f t="array" ref="EU262">IF(DT262="","", INDEX(#REF!,MATCH(CONCATENATE('Respuestas de formulario 1.1'!$B262,DT262),#REF!,0),MATCH('Respuestas de formulario 1.1'!EU$1,#REF!,0)))</f>
        <v/>
      </c>
      <c r="EV262" s="56" t="str">
        <f t="array" ref="EV262">IF(DU262="","", INDEX(#REF!,MATCH(CONCATENATE('Respuestas de formulario 1.1'!$B262,DU262),#REF!,0),MATCH('Respuestas de formulario 1.1'!EV$1,#REF!,0)))</f>
        <v/>
      </c>
      <c r="EW262" s="45" t="str">
        <f t="array" ref="EW262">IF(DV262="","", INDEX(#REF!,MATCH(CONCATENATE('Respuestas de formulario 1.1'!$B262,DV262),#REF!,0),MATCH('Respuestas de formulario 1.1'!EW$1,#REF!,0)))</f>
        <v/>
      </c>
      <c r="EX262" s="45" t="str">
        <f t="array" ref="EX262">IF($DQ262="","", INDEX(#REF!,MATCH(CONCATENATE('Respuestas de formulario 1.1'!$B262,$DQ262),#REF!,0),MATCH('Respuestas de formulario 1.1'!EX$1,#REF!,0)))</f>
        <v/>
      </c>
      <c r="EY262" s="56" t="str">
        <f t="array" ref="EY262">IF($DQ262="","", INDEX(#REF!,MATCH(CONCATENATE('Respuestas de formulario 1.1'!$B262,$DQ262),#REF!,0),MATCH('Respuestas de formulario 1.1'!EY$1,#REF!,0)))</f>
        <v/>
      </c>
      <c r="EZ262" s="56" t="str">
        <f t="array" ref="EZ262">IF($DQ262="","", INDEX(#REF!,MATCH(CONCATENATE('Respuestas de formulario 1.1'!$B262,$DQ262),#REF!,0),MATCH('Respuestas de formulario 1.1'!EZ$1,#REF!,0)))</f>
        <v/>
      </c>
      <c r="FA262" s="56" t="str">
        <f t="array" ref="FA262">IF($DQ262="","", INDEX(#REF!,MATCH(CONCATENATE('Respuestas de formulario 1.1'!$B262,$DQ262),#REF!,0),MATCH('Respuestas de formulario 1.1'!FA$1,#REF!,0)))</f>
        <v/>
      </c>
      <c r="FB262" s="56" t="str">
        <f t="array" ref="FB262">IF($DQ262="","", INDEX(#REF!,MATCH(CONCATENATE('Respuestas de formulario 1.1'!$B262,$DQ262),#REF!,0),MATCH('Respuestas de formulario 1.1'!FB$1,#REF!,0)))</f>
        <v/>
      </c>
      <c r="FC262" s="56" t="str">
        <f t="array" ref="FC262">IF($DQ262="","", INDEX(#REF!,MATCH(CONCATENATE('Respuestas de formulario 1.1'!$B262,$DQ262),#REF!,0),MATCH('Respuestas de formulario 1.1'!FC$1,#REF!,0)))</f>
        <v/>
      </c>
      <c r="FD262" s="45" t="str">
        <f t="array" ref="FD262">IF($DQ262="","", INDEX(#REF!,MATCH(CONCATENATE('Respuestas de formulario 1.1'!$B262,$DQ262),#REF!,0),MATCH('Respuestas de formulario 1.1'!FD$1,#REF!,0)))</f>
        <v/>
      </c>
      <c r="FE262" s="45" t="str">
        <f t="array" ref="FE262">IF($DR262="","", INDEX(#REF!,MATCH(CONCATENATE(#REF!,$DR262),#REF!,0),MATCH(#REF!,#REF!,0)))</f>
        <v/>
      </c>
      <c r="FF262" s="56" t="str">
        <f t="array" ref="FF262">IF($DR262="","", INDEX(#REF!,MATCH(CONCATENATE(#REF!,$DR262),#REF!,0),MATCH(#REF!,#REF!,0)))</f>
        <v/>
      </c>
      <c r="FG262" s="56" t="str">
        <f t="array" ref="FG262">IF($DR262="","", INDEX(#REF!,MATCH(CONCATENATE(#REF!,$DR262),#REF!,0),MATCH(#REF!,#REF!,0)))</f>
        <v/>
      </c>
      <c r="FH262" s="56" t="str">
        <f t="array" ref="FH262">IF($DR262="","", INDEX(#REF!,MATCH(CONCATENATE(#REF!,$DR262),#REF!,0),MATCH(#REF!,#REF!,0)))</f>
        <v/>
      </c>
      <c r="FI262" s="56" t="str">
        <f t="array" ref="FI262">IF($DR262="","", INDEX(#REF!,MATCH(CONCATENATE(#REF!,$DR262),#REF!,0),MATCH(#REF!,#REF!,0)))</f>
        <v/>
      </c>
      <c r="FJ262" s="56" t="str">
        <f t="array" ref="FJ262">IF($DR262="","", INDEX(#REF!,MATCH(CONCATENATE(#REF!,$DR262),#REF!,0),MATCH(#REF!,#REF!,0)))</f>
        <v/>
      </c>
      <c r="FK262" s="45" t="str">
        <f t="array" ref="FK262">IF($DR262="","", INDEX(#REF!,MATCH(CONCATENATE(#REF!,$DR262),#REF!,0),MATCH(#REF!,#REF!,0)))</f>
        <v/>
      </c>
      <c r="FL262" s="45" t="str">
        <f t="array" ref="FL262">IF($DT262="","", INDEX(#REF!,MATCH(CONCATENATE('Respuestas de formulario 1.1'!$B262,$DS262),#REF!,0),MATCH('Respuestas de formulario 1.1'!FL$1,#REF!,0)))</f>
        <v/>
      </c>
      <c r="FM262" s="56" t="str">
        <f t="array" ref="FM262">IF($DT262="","", INDEX(#REF!,MATCH(CONCATENATE('Respuestas de formulario 1.1'!$B262,$DS262),#REF!,0),MATCH('Respuestas de formulario 1.1'!FM$1,#REF!,0)))</f>
        <v/>
      </c>
      <c r="FN262" s="56" t="str">
        <f t="array" ref="FN262">IF($DT262="","", INDEX(#REF!,MATCH(CONCATENATE('Respuestas de formulario 1.1'!$B262,$DS262),#REF!,0),MATCH('Respuestas de formulario 1.1'!FN$1,#REF!,0)))</f>
        <v/>
      </c>
      <c r="FO262" s="56" t="str">
        <f t="array" ref="FO262">IF($DT262="","", INDEX(#REF!,MATCH(CONCATENATE('Respuestas de formulario 1.1'!$B262,$DS262),#REF!,0),MATCH('Respuestas de formulario 1.1'!FO$1,#REF!,0)))</f>
        <v/>
      </c>
      <c r="FP262" s="56" t="str">
        <f t="array" ref="FP262">IF($DT262="","", INDEX(#REF!,MATCH(CONCATENATE('Respuestas de formulario 1.1'!$B262,$DS262),#REF!,0),MATCH('Respuestas de formulario 1.1'!FP$1,#REF!,0)))</f>
        <v/>
      </c>
      <c r="FQ262" s="56" t="str">
        <f t="array" ref="FQ262">IF($DT262="","", INDEX(#REF!,MATCH(CONCATENATE('Respuestas de formulario 1.1'!$B262,$DS262),#REF!,0),MATCH('Respuestas de formulario 1.1'!FQ$1,#REF!,0)))</f>
        <v/>
      </c>
      <c r="FR262" s="45" t="str">
        <f t="array" ref="FR262">IF($DT262="","", INDEX(#REF!,MATCH(CONCATENATE('Respuestas de formulario 1.1'!$B262,$DS262),#REF!,0),MATCH('Respuestas de formulario 1.1'!FR$1,#REF!,0)))</f>
        <v/>
      </c>
      <c r="FS262" s="45" t="str">
        <f t="array" ref="FS262">IF($DU262="","", INDEX(#REF!,MATCH(CONCATENATE('Respuestas de formulario 1.1'!$B262,$DT262),#REF!,0),MATCH('Respuestas de formulario 1.1'!FS$1,#REF!,0)))</f>
        <v/>
      </c>
      <c r="FT262" s="56" t="str">
        <f t="array" ref="FT262">IF($DU262="","", INDEX(#REF!,MATCH(CONCATENATE('Respuestas de formulario 1.1'!$B262,$DT262),#REF!,0),MATCH('Respuestas de formulario 1.1'!FT$1,#REF!,0)))</f>
        <v/>
      </c>
      <c r="FU262" s="56" t="str">
        <f t="array" ref="FU262">IF($DU262="","", INDEX(#REF!,MATCH(CONCATENATE('Respuestas de formulario 1.1'!$B262,$DT262),#REF!,0),MATCH('Respuestas de formulario 1.1'!FU$1,#REF!,0)))</f>
        <v/>
      </c>
      <c r="FV262" s="56" t="str">
        <f t="array" ref="FV262">IF($DU262="","", INDEX(#REF!,MATCH(CONCATENATE('Respuestas de formulario 1.1'!$B262,$DT262),#REF!,0),MATCH('Respuestas de formulario 1.1'!FV$1,#REF!,0)))</f>
        <v/>
      </c>
      <c r="FW262" s="56" t="str">
        <f t="array" ref="FW262">IF($DU262="","", INDEX(#REF!,MATCH(CONCATENATE('Respuestas de formulario 1.1'!$B262,$DT262),#REF!,0),MATCH('Respuestas de formulario 1.1'!FW$1,#REF!,0)))</f>
        <v/>
      </c>
      <c r="FX262" s="56" t="str">
        <f t="array" ref="FX262">IF($DU262="","", INDEX(#REF!,MATCH(CONCATENATE('Respuestas de formulario 1.1'!$B262,$DT262),#REF!,0),MATCH('Respuestas de formulario 1.1'!FX$1,#REF!,0)))</f>
        <v/>
      </c>
      <c r="FY262" s="45" t="str">
        <f t="array" ref="FY262">IF($DU262="","", INDEX(#REF!,MATCH(CONCATENATE('Respuestas de formulario 1.1'!$B262,$DT262),#REF!,0),MATCH('Respuestas de formulario 1.1'!FY$1,#REF!,0)))</f>
        <v/>
      </c>
      <c r="FZ262" s="3" t="s">
        <v>2860</v>
      </c>
      <c r="GA262" s="1" t="s">
        <v>7340</v>
      </c>
      <c r="GB262" s="5" t="s">
        <v>7341</v>
      </c>
      <c r="GC262" s="4" t="str">
        <f>HYPERLINK("https://drive.google.com/file/d/1LnRZ3MF6Kokhvhoc5qkIPjIWnzSmho5R/view?usp=drivesdk","ROMERO SAINZ KATIA NAOMY  Formato de reinscripción y pago 2022-2")</f>
        <v>ROMERO SAINZ KATIA NAOMY  Formato de reinscripción y pago 2022-2</v>
      </c>
      <c r="GD262" s="1" t="s">
        <v>7342</v>
      </c>
      <c r="GE262" s="1"/>
      <c r="GF262" s="1"/>
      <c r="GG262" s="1"/>
      <c r="GH262" s="1"/>
      <c r="GI262" s="1" t="s">
        <v>7343</v>
      </c>
      <c r="GJ262" s="5" t="s">
        <v>7344</v>
      </c>
      <c r="GK262" s="5" t="str">
        <f>HYPERLINK("https://drive.google.com/file/d/16nVdNEmISf1ZfSeFzfqeJohcmiUZj3_4/view?usp=drivesdk","ROMERO SAINZ KATIA NAOMY  Formato de reinscripción y pago 2022-2")</f>
        <v>ROMERO SAINZ KATIA NAOMY  Formato de reinscripción y pago 2022-2</v>
      </c>
      <c r="GL262" s="1" t="s">
        <v>7345</v>
      </c>
    </row>
    <row r="263" spans="1:194" ht="38.25" x14ac:dyDescent="0.2">
      <c r="A263" s="2">
        <v>45139.55720012731</v>
      </c>
      <c r="B263" s="1" t="s">
        <v>1203</v>
      </c>
      <c r="C263" s="1" t="s">
        <v>396</v>
      </c>
      <c r="D263" s="1" t="s">
        <v>244</v>
      </c>
      <c r="E263" s="1" t="s">
        <v>7346</v>
      </c>
      <c r="F263" s="1" t="s">
        <v>223</v>
      </c>
      <c r="G263" s="5" t="s">
        <v>7347</v>
      </c>
      <c r="H263" s="41">
        <v>38751</v>
      </c>
      <c r="I263" s="1">
        <v>17</v>
      </c>
      <c r="J263" s="1">
        <v>5626064130</v>
      </c>
      <c r="K263" s="1">
        <v>5589493423</v>
      </c>
      <c r="L263" s="1" t="s">
        <v>1205</v>
      </c>
      <c r="M263" s="1">
        <v>21309060570022</v>
      </c>
      <c r="N263" s="1" t="s">
        <v>1108</v>
      </c>
      <c r="O263" s="1" t="s">
        <v>247</v>
      </c>
      <c r="P263" s="1" t="s">
        <v>278</v>
      </c>
      <c r="Q263" s="1" t="s">
        <v>315</v>
      </c>
      <c r="R263" s="1" t="s">
        <v>236</v>
      </c>
      <c r="S263" s="1" t="s">
        <v>228</v>
      </c>
      <c r="T263" s="1" t="s">
        <v>229</v>
      </c>
      <c r="U263" s="1" t="s">
        <v>289</v>
      </c>
      <c r="V263" s="1" t="s">
        <v>228</v>
      </c>
      <c r="W263" s="1" t="s">
        <v>7348</v>
      </c>
      <c r="X263" s="1" t="s">
        <v>289</v>
      </c>
      <c r="Y263" s="1" t="s">
        <v>7349</v>
      </c>
      <c r="Z263" s="1" t="s">
        <v>231</v>
      </c>
      <c r="AA263" s="1">
        <v>56535</v>
      </c>
      <c r="AB263" s="1" t="s">
        <v>7350</v>
      </c>
      <c r="AC263" s="1">
        <v>145</v>
      </c>
      <c r="AD263" s="1" t="s">
        <v>7351</v>
      </c>
      <c r="AE263" s="1" t="s">
        <v>7352</v>
      </c>
      <c r="AF263" s="1" t="s">
        <v>265</v>
      </c>
      <c r="AG263" s="1">
        <v>44</v>
      </c>
      <c r="AH263" s="5" t="s">
        <v>7353</v>
      </c>
      <c r="AI263" s="1">
        <v>5523550962</v>
      </c>
      <c r="AJ263" s="1">
        <v>5589493423</v>
      </c>
      <c r="AK263" s="1" t="s">
        <v>1206</v>
      </c>
      <c r="AL263" s="1" t="s">
        <v>396</v>
      </c>
      <c r="AM263" s="1" t="s">
        <v>474</v>
      </c>
      <c r="AN263" s="1" t="s">
        <v>404</v>
      </c>
      <c r="AO263" s="1" t="s">
        <v>435</v>
      </c>
      <c r="AP263" s="1">
        <v>39</v>
      </c>
      <c r="AQ263" s="1" t="s">
        <v>235</v>
      </c>
      <c r="AR263" s="42">
        <v>0.29166666666424135</v>
      </c>
      <c r="AS263" s="42">
        <v>0.58333333333575865</v>
      </c>
      <c r="AT263" s="1">
        <v>5551683585</v>
      </c>
      <c r="AU263" s="1">
        <v>5589493423</v>
      </c>
      <c r="AV263" s="1"/>
      <c r="AW263" s="5" t="s">
        <v>7354</v>
      </c>
      <c r="AX263" s="1" t="s">
        <v>1119</v>
      </c>
      <c r="AY263" s="1" t="s">
        <v>244</v>
      </c>
      <c r="AZ263" s="1" t="s">
        <v>889</v>
      </c>
      <c r="BA263" s="1" t="s">
        <v>624</v>
      </c>
      <c r="BB263" s="1">
        <v>25</v>
      </c>
      <c r="BC263" s="1" t="s">
        <v>532</v>
      </c>
      <c r="BD263" s="43">
        <v>0.33333333333575865</v>
      </c>
      <c r="BE263" s="43">
        <v>0.70833333333575865</v>
      </c>
      <c r="BF263" s="1">
        <v>5582108044</v>
      </c>
      <c r="BG263" s="1">
        <v>5582108044</v>
      </c>
      <c r="BH263" s="1"/>
      <c r="BI263" s="5" t="s">
        <v>7355</v>
      </c>
      <c r="BJ263" s="1" t="s">
        <v>236</v>
      </c>
      <c r="BL263" s="1">
        <v>152</v>
      </c>
      <c r="BM263" s="1">
        <v>52</v>
      </c>
      <c r="BN263" s="1" t="s">
        <v>236</v>
      </c>
      <c r="BO263" s="1" t="s">
        <v>236</v>
      </c>
      <c r="BP263" s="1" t="s">
        <v>7356</v>
      </c>
      <c r="BQ263" s="1" t="s">
        <v>228</v>
      </c>
      <c r="BR263" s="1" t="s">
        <v>237</v>
      </c>
      <c r="BS263" s="1" t="s">
        <v>236</v>
      </c>
      <c r="BT263" s="1" t="s">
        <v>271</v>
      </c>
      <c r="BU263" s="1" t="s">
        <v>228</v>
      </c>
      <c r="BW263" s="1" t="s">
        <v>238</v>
      </c>
      <c r="BX263" s="1">
        <v>120</v>
      </c>
      <c r="BY263" s="1">
        <v>350</v>
      </c>
      <c r="BZ263" s="1" t="s">
        <v>253</v>
      </c>
      <c r="CA263" s="1" t="s">
        <v>7357</v>
      </c>
      <c r="CB263" s="1" t="s">
        <v>240</v>
      </c>
      <c r="CC263" s="1" t="s">
        <v>322</v>
      </c>
      <c r="CD263" s="1">
        <v>2000</v>
      </c>
      <c r="CE263" s="1">
        <v>1500</v>
      </c>
      <c r="CF263" s="1" t="s">
        <v>236</v>
      </c>
      <c r="CG263" s="1" t="s">
        <v>242</v>
      </c>
      <c r="CH263" s="1" t="s">
        <v>243</v>
      </c>
      <c r="CI263" s="1" t="s">
        <v>243</v>
      </c>
      <c r="CJ263" s="1" t="s">
        <v>2848</v>
      </c>
      <c r="CL263" s="5" t="s">
        <v>7358</v>
      </c>
      <c r="CM263" s="1">
        <v>25210688351</v>
      </c>
      <c r="CN263" s="1" t="s">
        <v>228</v>
      </c>
      <c r="CQ263" s="42">
        <v>0</v>
      </c>
      <c r="CR263" s="42">
        <v>0</v>
      </c>
      <c r="CT263" s="45" t="str">
        <f t="array" ref="CT263">IFERROR(INDEX(#REF!,MATCH('Respuestas de formulario 1.1'!$B263,#REF!,0),MATCH('Respuestas de formulario 1.1'!CT$1,#REF!,0)),"")</f>
        <v/>
      </c>
      <c r="CU263" s="56" t="str">
        <f t="array" ref="CU263">IFERROR(INDEX(#REF!,MATCH('Respuestas de formulario 1.1'!$B263,#REF!,0),MATCH('Respuestas de formulario 1.1'!CU$1,#REF!,0)),"")</f>
        <v/>
      </c>
      <c r="CV263" s="56" t="str">
        <f t="array" ref="CV263">IFERROR(INDEX(#REF!,MATCH('Respuestas de formulario 1.1'!$B263,#REF!,0),MATCH('Respuestas de formulario 1.1'!CV$1,#REF!,0)),"")</f>
        <v/>
      </c>
      <c r="CW263" s="56" t="str">
        <f t="array" ref="CW263">IFERROR(INDEX(#REF!,MATCH('Respuestas de formulario 1.1'!$B263,#REF!,0),MATCH('Respuestas de formulario 1.1'!CW$1,#REF!,0)),"")</f>
        <v/>
      </c>
      <c r="CX263" s="56" t="str">
        <f t="array" ref="CX263">IFERROR(INDEX(#REF!,MATCH('Respuestas de formulario 1.1'!$B263,#REF!,0),MATCH('Respuestas de formulario 1.1'!CX$1,#REF!,0)),"")</f>
        <v/>
      </c>
      <c r="CY263" s="56" t="str">
        <f t="array" ref="CY263">IFERROR(INDEX(#REF!,MATCH('Respuestas de formulario 1.1'!$B263,#REF!,0),MATCH('Respuestas de formulario 1.1'!CY$1,#REF!,0)),"")</f>
        <v/>
      </c>
      <c r="CZ263" s="57" t="str">
        <f t="array" ref="CZ263">IFERROR(INDEX(#REF!,MATCH('Respuestas de formulario 1.1'!$B263,#REF!,0),MATCH('Respuestas de formulario 1.1'!CZ$1,#REF!,0)),"")</f>
        <v/>
      </c>
      <c r="DA263" s="45" t="e">
        <f t="array" ref="DA263">INDEX(#REF!,MATCH('Respuestas de formulario 1.1'!$B263,#REF!,0),MATCH('Respuestas de formulario 1.1'!DA$1,#REF!,0))</f>
        <v>#REF!</v>
      </c>
      <c r="DB263" s="45" t="e">
        <f t="array" ref="DB263">INDEX(#REF!,MATCH('Respuestas de formulario 1.1'!$B263,#REF!,0),MATCH('Respuestas de formulario 1.1'!DB$1,#REF!,0))</f>
        <v>#REF!</v>
      </c>
      <c r="DC263" s="45" t="e">
        <f t="array" ref="DC263">INDEX(#REF!,MATCH('Respuestas de formulario 1.1'!$B263,#REF!,0),MATCH('Respuestas de formulario 1.1'!DC$1,#REF!,0))</f>
        <v>#REF!</v>
      </c>
      <c r="DD263" s="45" t="e">
        <f t="array" ref="DD263">INDEX(#REF!,MATCH('Respuestas de formulario 1.1'!$B263,#REF!,0),MATCH('Respuestas de formulario 1.1'!DD$1,#REF!,0))</f>
        <v>#REF!</v>
      </c>
      <c r="DE263" s="45" t="e">
        <f t="array" ref="DE263">INDEX(#REF!,MATCH('Respuestas de formulario 1.1'!$B263,#REF!,0),MATCH('Respuestas de formulario 1.1'!DE$1,#REF!,0))</f>
        <v>#REF!</v>
      </c>
      <c r="DF263" s="45" t="e">
        <f t="array" ref="DF263">INDEX(#REF!,MATCH('Respuestas de formulario 1.1'!$B263,#REF!,0),MATCH('Respuestas de formulario 1.1'!DF$1,#REF!,0))</f>
        <v>#REF!</v>
      </c>
      <c r="DG263" s="45" t="e">
        <f t="array" ref="DG263">INDEX(#REF!,MATCH('Respuestas de formulario 1.1'!$B263,#REF!,0),MATCH('Respuestas de formulario 1.1'!DG$1,#REF!,0))</f>
        <v>#REF!</v>
      </c>
      <c r="DH263" s="45" t="e">
        <f t="array" ref="DH263">INDEX(#REF!,MATCH('Respuestas de formulario 1.1'!$B263,#REF!,0),MATCH('Respuestas de formulario 1.1'!DH$1,#REF!,0))</f>
        <v>#REF!</v>
      </c>
      <c r="DI263" s="48" t="e">
        <f>VLOOKUP(CONCATENATE($DF263," TUTO ",$DC263),#REF!,3,0)</f>
        <v>#REF!</v>
      </c>
      <c r="DJ263" s="48" t="e">
        <f t="array" ref="DJ263">IF('Respuestas de formulario 1.1'!A263="","",INDEX(#REF!,MATCH('Respuestas de formulario 1.1'!B263,#REF!,0),MATCH('Respuestas de formulario 1.1'!$DH$1,#REF!,0)))</f>
        <v>#REF!</v>
      </c>
      <c r="DK263" s="52" t="str">
        <f>CONCATENATE("http://doc.google.com/uc?id=",MID('Respuestas de formulario 1.1'!G263,34,33))</f>
        <v>http://doc.google.com/uc?id=10OMY3WDWLXTmWCHrQHOJFb5y2ftZw4HD</v>
      </c>
      <c r="DL263" s="49" t="str">
        <f>CONCATENATE("http://doc.google.com/uc?id=",MID('Respuestas de formulario 1.1'!AH263,34,33))</f>
        <v>http://doc.google.com/uc?id=1IA4uu1z-v-z_A0fSz7TdfW2Abriyi3Ak</v>
      </c>
      <c r="DM263" s="50" t="str">
        <f>CONCATENATE("http://doc.google.com/uc?id=",MID('Respuestas de formulario 1.1'!AW263,34,33))</f>
        <v>http://doc.google.com/uc?id=1_XyjZ1BzMXiUXe5LVIUlMvF0Mg1EbBWj</v>
      </c>
      <c r="DN263" s="53" t="str">
        <f>CONCATENATE("http://doc.google.com/uc?id=",MID('Respuestas de formulario 1.1'!$BI263,34,33))</f>
        <v>http://doc.google.com/uc?id=1H6pTVFenJtmpSmAShafIr6sACPJ28aUn</v>
      </c>
      <c r="DO263" s="45" t="str">
        <f>IFERROR(VLOOKUP(CONCATENATE('Respuestas de formulario 1.1'!$B263,MID('Respuestas de formulario 1.1'!DO$1,2,1)),#REF!,12,0),"")</f>
        <v/>
      </c>
      <c r="DP263" s="45" t="str">
        <f>IFERROR(VLOOKUP(CONCATENATE('Respuestas de formulario 1.1'!$B263,MID('Respuestas de formulario 1.1'!DP$1,2,1)),#REF!,12,0),"")</f>
        <v/>
      </c>
      <c r="DQ263" s="45" t="str">
        <f>IFERROR(VLOOKUP(CONCATENATE('Respuestas de formulario 1.1'!$B263,MID('Respuestas de formulario 1.1'!DQ$1,2,1)),#REF!,12,0),"")</f>
        <v/>
      </c>
      <c r="DR263" s="45" t="str">
        <f>IFERROR(VLOOKUP(CONCATENATE('Respuestas de formulario 1.1'!$B263,MID('Respuestas de formulario 1.1'!DR$1,2,1)),#REF!,12,0),"")</f>
        <v/>
      </c>
      <c r="DS263" s="45" t="str">
        <f>IFERROR(VLOOKUP(CONCATENATE('Respuestas de formulario 1.1'!$B263,MID('Respuestas de formulario 1.1'!DS$1,2,1)),#REF!,12,0),"")</f>
        <v/>
      </c>
      <c r="DT263" s="45" t="str">
        <f>IFERROR(VLOOKUP(CONCATENATE('Respuestas de formulario 1.1'!$B263,MID('Respuestas de formulario 1.1'!DT$1,2,1)),#REF!,12,0),"")</f>
        <v/>
      </c>
      <c r="DU263" s="45" t="str">
        <f>IFERROR(VLOOKUP(CONCATENATE('Respuestas de formulario 1.1'!$B263,MID('Respuestas de formulario 1.1'!DU$1,2,1)),#REF!,12,0),"")</f>
        <v/>
      </c>
      <c r="DV263" s="45" t="str">
        <f>IFERROR(VLOOKUP(CONCATENATE('Respuestas de formulario 1.1'!$B263,MID('Respuestas de formulario 1.1'!DV$1,2,1)),#REF!,12,0),"")</f>
        <v/>
      </c>
      <c r="DW263" s="45" t="str">
        <f>IFERROR(VLOOKUP(CONCATENATE('Respuestas de formulario 1.1'!$B263,MID('Respuestas de formulario 1.1'!DW$1,2,1)),#REF!,12,0),"")</f>
        <v/>
      </c>
      <c r="DX263" s="45" t="str">
        <f>IFERROR(VLOOKUP(CONCATENATE('Respuestas de formulario 1.1'!$B263,MID('Respuestas de formulario 1.1'!DX$1,2,1)),#REF!,12,0),"")</f>
        <v/>
      </c>
      <c r="DY263" s="45" t="str">
        <f>IFERROR(VLOOKUP(CONCATENATE('Respuestas de formulario 1.1'!$B263,MID('Respuestas de formulario 1.1'!DY$1,2,1)),#REF!,12,0),"")</f>
        <v/>
      </c>
      <c r="DZ263" s="45" t="str">
        <f>IFERROR(VLOOKUP(CONCATENATE('Respuestas de formulario 1.1'!$B263,MID('Respuestas de formulario 1.1'!DZ$1,2,1)),#REF!,12,0),"")</f>
        <v/>
      </c>
      <c r="EA263" s="45" t="str">
        <f>IFERROR(VLOOKUP(CONCATENATE('Respuestas de formulario 1.1'!$B263,MID('Respuestas de formulario 1.1'!EA$1,2,1)),#REF!,12,0),"")</f>
        <v/>
      </c>
      <c r="EB263" s="45" t="str">
        <f>IFERROR(VLOOKUP(CONCATENATE('Respuestas de formulario 1.1'!$B263,MID('Respuestas de formulario 1.1'!EB$1,2,1)),#REF!,12,0),"")</f>
        <v/>
      </c>
      <c r="EC263" s="45" t="str">
        <f>IFERROR(VLOOKUP(CONCATENATE('Respuestas de formulario 1.1'!$B263,MID('Respuestas de formulario 1.1'!EC$1,2,1)),#REF!,12,0),"")</f>
        <v/>
      </c>
      <c r="ED263" s="45" t="str">
        <f>IFERROR(VLOOKUP(CONCATENATE('Respuestas de formulario 1.1'!$B263,MID('Respuestas de formulario 1.1'!ED$1,2,1)),#REF!,12,0),"")</f>
        <v/>
      </c>
      <c r="EE263" s="45" t="str">
        <f>IFERROR(VLOOKUP(CONCATENATE('Respuestas de formulario 1.1'!$B263,MID('Respuestas de formulario 1.1'!EE$1,2,1)),#REF!,12,0),"")</f>
        <v/>
      </c>
      <c r="EF263" s="45" t="str">
        <f>IFERROR(VLOOKUP(CONCATENATE('Respuestas de formulario 1.1'!$B263,MID('Respuestas de formulario 1.1'!EF$1,2,1)),#REF!,12,0),"")</f>
        <v/>
      </c>
      <c r="EG263" s="45" t="str">
        <f>IFERROR(VLOOKUP(CONCATENATE('Respuestas de formulario 1.1'!$B263,MID('Respuestas de formulario 1.1'!EG$1,2,1)),#REF!,12,0),"")</f>
        <v/>
      </c>
      <c r="EH263" s="45" t="str">
        <f>IFERROR(VLOOKUP(CONCATENATE('Respuestas de formulario 1.1'!$B263,MID('Respuestas de formulario 1.1'!EH$1,2,1)),#REF!,12,0),"")</f>
        <v/>
      </c>
      <c r="EI263" s="45" t="str">
        <f>IFERROR(VLOOKUP(CONCATENATE('Respuestas de formulario 1.1'!$B263,MID('Respuestas de formulario 1.1'!EI$1,2,1)),#REF!,12,0),"")</f>
        <v/>
      </c>
      <c r="EJ263" s="45" t="str">
        <f t="array" ref="EJ263">IF(DO263="","", INDEX(#REF!,MATCH(CONCATENATE('Respuestas de formulario 1.1'!$B263,DO263),#REF!,0),MATCH('Respuestas de formulario 1.1'!EJ$1,#REF!,0)))</f>
        <v/>
      </c>
      <c r="EK263" s="56" t="str">
        <f t="array" ref="EK263">IF(DP263="","", INDEX(#REF!,MATCH(CONCATENATE('Respuestas de formulario 1.1'!$B263,DP263),#REF!,0),MATCH('Respuestas de formulario 1.1'!EK$1,#REF!,0)))</f>
        <v/>
      </c>
      <c r="EL263" s="56" t="str">
        <f t="array" ref="EL263">IF(DQ263="","", INDEX(#REF!,MATCH(CONCATENATE('Respuestas de formulario 1.1'!$B263,DQ263),#REF!,0),MATCH('Respuestas de formulario 1.1'!EL$1,#REF!,0)))</f>
        <v/>
      </c>
      <c r="EM263" s="56" t="str">
        <f t="array" ref="EM263">IF(DR263="","", INDEX(#REF!,MATCH(CONCATENATE('Respuestas de formulario 1.1'!$B263,DR263),#REF!,0),MATCH('Respuestas de formulario 1.1'!EM$1,#REF!,0)))</f>
        <v/>
      </c>
      <c r="EN263" s="56" t="str">
        <f t="array" ref="EN263">IF(DS263="","", INDEX(#REF!,MATCH(CONCATENATE('Respuestas de formulario 1.1'!$B263,DS263),#REF!,0),MATCH('Respuestas de formulario 1.1'!EN$1,#REF!,0)))</f>
        <v/>
      </c>
      <c r="EO263" s="56" t="str">
        <f t="array" ref="EO263">IF(DT263="","", INDEX(#REF!,MATCH(CONCATENATE('Respuestas de formulario 1.1'!$B263,DT263),#REF!,0),MATCH('Respuestas de formulario 1.1'!EO$1,#REF!,0)))</f>
        <v/>
      </c>
      <c r="EP263" s="45" t="str">
        <f t="array" ref="EP263">IF(DU263="","", INDEX(#REF!,MATCH(CONCATENATE('Respuestas de formulario 1.1'!$B263,DU263),#REF!,0),MATCH('Respuestas de formulario 1.1'!EP$1,#REF!,0)))</f>
        <v/>
      </c>
      <c r="EQ263" s="45" t="str">
        <f t="array" ref="EQ263">IF(DP263="","", INDEX(#REF!,MATCH(CONCATENATE('Respuestas de formulario 1.1'!$B263,DP263),#REF!,0),MATCH('Respuestas de formulario 1.1'!EQ$1,#REF!,0)))</f>
        <v/>
      </c>
      <c r="ER263" s="56" t="str">
        <f t="array" ref="ER263">IF(DQ263="","", INDEX(#REF!,MATCH(CONCATENATE('Respuestas de formulario 1.1'!$B263,DQ263),#REF!,0),MATCH('Respuestas de formulario 1.1'!ER$1,#REF!,0)))</f>
        <v/>
      </c>
      <c r="ES263" s="56" t="str">
        <f t="array" ref="ES263">IF(DR263="","", INDEX(#REF!,MATCH(CONCATENATE('Respuestas de formulario 1.1'!$B263,DR263),#REF!,0),MATCH('Respuestas de formulario 1.1'!ES$1,#REF!,0)))</f>
        <v/>
      </c>
      <c r="ET263" s="56" t="str">
        <f t="array" ref="ET263">IF(DS263="","", INDEX(#REF!,MATCH(CONCATENATE('Respuestas de formulario 1.1'!$B263,DS263),#REF!,0),MATCH('Respuestas de formulario 1.1'!ET$1,#REF!,0)))</f>
        <v/>
      </c>
      <c r="EU263" s="56" t="str">
        <f t="array" ref="EU263">IF(DT263="","", INDEX(#REF!,MATCH(CONCATENATE('Respuestas de formulario 1.1'!$B263,DT263),#REF!,0),MATCH('Respuestas de formulario 1.1'!EU$1,#REF!,0)))</f>
        <v/>
      </c>
      <c r="EV263" s="56" t="str">
        <f t="array" ref="EV263">IF(DU263="","", INDEX(#REF!,MATCH(CONCATENATE('Respuestas de formulario 1.1'!$B263,DU263),#REF!,0),MATCH('Respuestas de formulario 1.1'!EV$1,#REF!,0)))</f>
        <v/>
      </c>
      <c r="EW263" s="45" t="str">
        <f t="array" ref="EW263">IF(DV263="","", INDEX(#REF!,MATCH(CONCATENATE('Respuestas de formulario 1.1'!$B263,DV263),#REF!,0),MATCH('Respuestas de formulario 1.1'!EW$1,#REF!,0)))</f>
        <v/>
      </c>
      <c r="EX263" s="45" t="str">
        <f t="array" ref="EX263">IF($DQ263="","", INDEX(#REF!,MATCH(CONCATENATE('Respuestas de formulario 1.1'!$B263,$DQ263),#REF!,0),MATCH('Respuestas de formulario 1.1'!EX$1,#REF!,0)))</f>
        <v/>
      </c>
      <c r="EY263" s="56" t="str">
        <f t="array" ref="EY263">IF($DQ263="","", INDEX(#REF!,MATCH(CONCATENATE('Respuestas de formulario 1.1'!$B263,$DQ263),#REF!,0),MATCH('Respuestas de formulario 1.1'!EY$1,#REF!,0)))</f>
        <v/>
      </c>
      <c r="EZ263" s="56" t="str">
        <f t="array" ref="EZ263">IF($DQ263="","", INDEX(#REF!,MATCH(CONCATENATE('Respuestas de formulario 1.1'!$B263,$DQ263),#REF!,0),MATCH('Respuestas de formulario 1.1'!EZ$1,#REF!,0)))</f>
        <v/>
      </c>
      <c r="FA263" s="56" t="str">
        <f t="array" ref="FA263">IF($DQ263="","", INDEX(#REF!,MATCH(CONCATENATE('Respuestas de formulario 1.1'!$B263,$DQ263),#REF!,0),MATCH('Respuestas de formulario 1.1'!FA$1,#REF!,0)))</f>
        <v/>
      </c>
      <c r="FB263" s="56" t="str">
        <f t="array" ref="FB263">IF($DQ263="","", INDEX(#REF!,MATCH(CONCATENATE('Respuestas de formulario 1.1'!$B263,$DQ263),#REF!,0),MATCH('Respuestas de formulario 1.1'!FB$1,#REF!,0)))</f>
        <v/>
      </c>
      <c r="FC263" s="56" t="str">
        <f t="array" ref="FC263">IF($DQ263="","", INDEX(#REF!,MATCH(CONCATENATE('Respuestas de formulario 1.1'!$B263,$DQ263),#REF!,0),MATCH('Respuestas de formulario 1.1'!FC$1,#REF!,0)))</f>
        <v/>
      </c>
      <c r="FD263" s="45" t="str">
        <f t="array" ref="FD263">IF($DQ263="","", INDEX(#REF!,MATCH(CONCATENATE('Respuestas de formulario 1.1'!$B263,$DQ263),#REF!,0),MATCH('Respuestas de formulario 1.1'!FD$1,#REF!,0)))</f>
        <v/>
      </c>
      <c r="FE263" s="45" t="str">
        <f t="array" ref="FE263">IF($DR263="","", INDEX(#REF!,MATCH(CONCATENATE(#REF!,$DR263),#REF!,0),MATCH(#REF!,#REF!,0)))</f>
        <v/>
      </c>
      <c r="FF263" s="56" t="str">
        <f t="array" ref="FF263">IF($DR263="","", INDEX(#REF!,MATCH(CONCATENATE(#REF!,$DR263),#REF!,0),MATCH(#REF!,#REF!,0)))</f>
        <v/>
      </c>
      <c r="FG263" s="56" t="str">
        <f t="array" ref="FG263">IF($DR263="","", INDEX(#REF!,MATCH(CONCATENATE(#REF!,$DR263),#REF!,0),MATCH(#REF!,#REF!,0)))</f>
        <v/>
      </c>
      <c r="FH263" s="56" t="str">
        <f t="array" ref="FH263">IF($DR263="","", INDEX(#REF!,MATCH(CONCATENATE(#REF!,$DR263),#REF!,0),MATCH(#REF!,#REF!,0)))</f>
        <v/>
      </c>
      <c r="FI263" s="56" t="str">
        <f t="array" ref="FI263">IF($DR263="","", INDEX(#REF!,MATCH(CONCATENATE(#REF!,$DR263),#REF!,0),MATCH(#REF!,#REF!,0)))</f>
        <v/>
      </c>
      <c r="FJ263" s="56" t="str">
        <f t="array" ref="FJ263">IF($DR263="","", INDEX(#REF!,MATCH(CONCATENATE(#REF!,$DR263),#REF!,0),MATCH(#REF!,#REF!,0)))</f>
        <v/>
      </c>
      <c r="FK263" s="45" t="str">
        <f t="array" ref="FK263">IF($DR263="","", INDEX(#REF!,MATCH(CONCATENATE(#REF!,$DR263),#REF!,0),MATCH(#REF!,#REF!,0)))</f>
        <v/>
      </c>
      <c r="FL263" s="45" t="str">
        <f t="array" ref="FL263">IF($DT263="","", INDEX(#REF!,MATCH(CONCATENATE('Respuestas de formulario 1.1'!$B263,$DS263),#REF!,0),MATCH('Respuestas de formulario 1.1'!FL$1,#REF!,0)))</f>
        <v/>
      </c>
      <c r="FM263" s="56" t="str">
        <f t="array" ref="FM263">IF($DT263="","", INDEX(#REF!,MATCH(CONCATENATE('Respuestas de formulario 1.1'!$B263,$DS263),#REF!,0),MATCH('Respuestas de formulario 1.1'!FM$1,#REF!,0)))</f>
        <v/>
      </c>
      <c r="FN263" s="56" t="str">
        <f t="array" ref="FN263">IF($DT263="","", INDEX(#REF!,MATCH(CONCATENATE('Respuestas de formulario 1.1'!$B263,$DS263),#REF!,0),MATCH('Respuestas de formulario 1.1'!FN$1,#REF!,0)))</f>
        <v/>
      </c>
      <c r="FO263" s="56" t="str">
        <f t="array" ref="FO263">IF($DT263="","", INDEX(#REF!,MATCH(CONCATENATE('Respuestas de formulario 1.1'!$B263,$DS263),#REF!,0),MATCH('Respuestas de formulario 1.1'!FO$1,#REF!,0)))</f>
        <v/>
      </c>
      <c r="FP263" s="56" t="str">
        <f t="array" ref="FP263">IF($DT263="","", INDEX(#REF!,MATCH(CONCATENATE('Respuestas de formulario 1.1'!$B263,$DS263),#REF!,0),MATCH('Respuestas de formulario 1.1'!FP$1,#REF!,0)))</f>
        <v/>
      </c>
      <c r="FQ263" s="56" t="str">
        <f t="array" ref="FQ263">IF($DT263="","", INDEX(#REF!,MATCH(CONCATENATE('Respuestas de formulario 1.1'!$B263,$DS263),#REF!,0),MATCH('Respuestas de formulario 1.1'!FQ$1,#REF!,0)))</f>
        <v/>
      </c>
      <c r="FR263" s="45" t="str">
        <f t="array" ref="FR263">IF($DT263="","", INDEX(#REF!,MATCH(CONCATENATE('Respuestas de formulario 1.1'!$B263,$DS263),#REF!,0),MATCH('Respuestas de formulario 1.1'!FR$1,#REF!,0)))</f>
        <v/>
      </c>
      <c r="FS263" s="45" t="str">
        <f t="array" ref="FS263">IF($DU263="","", INDEX(#REF!,MATCH(CONCATENATE('Respuestas de formulario 1.1'!$B263,$DT263),#REF!,0),MATCH('Respuestas de formulario 1.1'!FS$1,#REF!,0)))</f>
        <v/>
      </c>
      <c r="FT263" s="56" t="str">
        <f t="array" ref="FT263">IF($DU263="","", INDEX(#REF!,MATCH(CONCATENATE('Respuestas de formulario 1.1'!$B263,$DT263),#REF!,0),MATCH('Respuestas de formulario 1.1'!FT$1,#REF!,0)))</f>
        <v/>
      </c>
      <c r="FU263" s="56" t="str">
        <f t="array" ref="FU263">IF($DU263="","", INDEX(#REF!,MATCH(CONCATENATE('Respuestas de formulario 1.1'!$B263,$DT263),#REF!,0),MATCH('Respuestas de formulario 1.1'!FU$1,#REF!,0)))</f>
        <v/>
      </c>
      <c r="FV263" s="56" t="str">
        <f t="array" ref="FV263">IF($DU263="","", INDEX(#REF!,MATCH(CONCATENATE('Respuestas de formulario 1.1'!$B263,$DT263),#REF!,0),MATCH('Respuestas de formulario 1.1'!FV$1,#REF!,0)))</f>
        <v/>
      </c>
      <c r="FW263" s="56" t="str">
        <f t="array" ref="FW263">IF($DU263="","", INDEX(#REF!,MATCH(CONCATENATE('Respuestas de formulario 1.1'!$B263,$DT263),#REF!,0),MATCH('Respuestas de formulario 1.1'!FW$1,#REF!,0)))</f>
        <v/>
      </c>
      <c r="FX263" s="56" t="str">
        <f t="array" ref="FX263">IF($DU263="","", INDEX(#REF!,MATCH(CONCATENATE('Respuestas de formulario 1.1'!$B263,$DT263),#REF!,0),MATCH('Respuestas de formulario 1.1'!FX$1,#REF!,0)))</f>
        <v/>
      </c>
      <c r="FY263" s="45" t="str">
        <f t="array" ref="FY263">IF($DU263="","", INDEX(#REF!,MATCH(CONCATENATE('Respuestas de formulario 1.1'!$B263,$DT263),#REF!,0),MATCH('Respuestas de formulario 1.1'!FY$1,#REF!,0)))</f>
        <v/>
      </c>
      <c r="FZ263" s="3" t="s">
        <v>2860</v>
      </c>
      <c r="GA263" s="1" t="s">
        <v>7359</v>
      </c>
      <c r="GB263" s="5" t="s">
        <v>7360</v>
      </c>
      <c r="GC263" s="4" t="str">
        <f>HYPERLINK("https://drive.google.com/file/d/1RBpoFoMs4oInTRUbp7iiLPTZf_j7SEOz/view?usp=drivesdk","GALINDO HERNANDEZ HEIDI CRISTAL Formato de reinscripción y pago 2022-2")</f>
        <v>GALINDO HERNANDEZ HEIDI CRISTAL Formato de reinscripción y pago 2022-2</v>
      </c>
      <c r="GD263" s="1" t="s">
        <v>7361</v>
      </c>
      <c r="GE263" s="1"/>
      <c r="GF263" s="1"/>
      <c r="GG263" s="1"/>
      <c r="GH263" s="1"/>
      <c r="GI263" s="1" t="s">
        <v>7362</v>
      </c>
      <c r="GJ263" s="5" t="s">
        <v>7363</v>
      </c>
      <c r="GK263" s="5" t="str">
        <f>HYPERLINK("https://drive.google.com/file/d/1nTU77BoYj9Ym9hiBfcgrKCqdhyX1GWzd/view?usp=drivesdk","GALINDO HERNANDEZ HEIDI CRISTAL Formato de reinscripción y pago 2022-2")</f>
        <v>GALINDO HERNANDEZ HEIDI CRISTAL Formato de reinscripción y pago 2022-2</v>
      </c>
      <c r="GL263" s="1" t="s">
        <v>7364</v>
      </c>
    </row>
    <row r="264" spans="1:194" ht="38.25" x14ac:dyDescent="0.2">
      <c r="A264" s="2">
        <v>45139.557643460648</v>
      </c>
      <c r="B264" s="1" t="s">
        <v>42</v>
      </c>
      <c r="C264" s="1" t="s">
        <v>252</v>
      </c>
      <c r="D264" s="1" t="s">
        <v>784</v>
      </c>
      <c r="E264" s="1" t="s">
        <v>2024</v>
      </c>
      <c r="F264" s="1" t="s">
        <v>223</v>
      </c>
      <c r="G264" s="5" t="s">
        <v>7365</v>
      </c>
      <c r="H264" s="41">
        <v>39407</v>
      </c>
      <c r="I264" s="1">
        <v>15</v>
      </c>
      <c r="J264" s="1">
        <v>5549411903</v>
      </c>
      <c r="K264" s="1">
        <v>5557016240</v>
      </c>
      <c r="L264" s="1" t="s">
        <v>2025</v>
      </c>
      <c r="M264" s="1">
        <v>22309060570597</v>
      </c>
      <c r="N264" s="1" t="s">
        <v>562</v>
      </c>
      <c r="O264" s="1" t="s">
        <v>247</v>
      </c>
      <c r="P264" s="1" t="s">
        <v>226</v>
      </c>
      <c r="Q264" s="1" t="s">
        <v>227</v>
      </c>
      <c r="R264" s="1" t="s">
        <v>236</v>
      </c>
      <c r="S264" s="1" t="s">
        <v>228</v>
      </c>
      <c r="T264" s="1" t="s">
        <v>229</v>
      </c>
      <c r="U264" s="1" t="s">
        <v>249</v>
      </c>
      <c r="V264" s="1" t="s">
        <v>228</v>
      </c>
      <c r="W264" s="1" t="s">
        <v>7366</v>
      </c>
      <c r="X264" s="1" t="s">
        <v>249</v>
      </c>
      <c r="Y264" s="1" t="s">
        <v>1593</v>
      </c>
      <c r="Z264" s="1" t="s">
        <v>240</v>
      </c>
      <c r="AA264" s="44" t="s">
        <v>428</v>
      </c>
      <c r="AB264" s="1">
        <v>23</v>
      </c>
      <c r="AC264" s="1" t="s">
        <v>909</v>
      </c>
      <c r="AD264" s="1" t="s">
        <v>7367</v>
      </c>
      <c r="AE264" s="1" t="s">
        <v>7368</v>
      </c>
      <c r="AF264" s="1" t="s">
        <v>453</v>
      </c>
      <c r="AG264" s="1">
        <v>44</v>
      </c>
      <c r="AH264" s="5" t="s">
        <v>7369</v>
      </c>
      <c r="AI264" s="1">
        <v>2218715800</v>
      </c>
      <c r="AJ264" s="1">
        <v>5557016240</v>
      </c>
      <c r="AK264" s="1" t="s">
        <v>7370</v>
      </c>
      <c r="AL264" s="1" t="s">
        <v>252</v>
      </c>
      <c r="AM264" s="1" t="s">
        <v>1038</v>
      </c>
      <c r="AN264" s="1" t="s">
        <v>7371</v>
      </c>
      <c r="AO264" s="1" t="s">
        <v>453</v>
      </c>
      <c r="AP264" s="1">
        <v>40</v>
      </c>
      <c r="AQ264" s="1" t="s">
        <v>678</v>
      </c>
      <c r="AR264" s="42">
        <v>0.58333333333575865</v>
      </c>
      <c r="AS264" s="42">
        <v>0.91666666666424135</v>
      </c>
      <c r="AT264" s="1">
        <v>5639801897</v>
      </c>
      <c r="AU264" s="1">
        <v>5557016240</v>
      </c>
      <c r="AV264" s="1" t="s">
        <v>7372</v>
      </c>
      <c r="AW264" s="5" t="s">
        <v>7373</v>
      </c>
      <c r="AX264" s="1" t="s">
        <v>252</v>
      </c>
      <c r="AY264" s="1" t="s">
        <v>1038</v>
      </c>
      <c r="AZ264" s="1" t="s">
        <v>2746</v>
      </c>
      <c r="BA264" s="1" t="s">
        <v>493</v>
      </c>
      <c r="BB264" s="1">
        <v>44</v>
      </c>
      <c r="BC264" s="1" t="s">
        <v>328</v>
      </c>
      <c r="BD264" s="43">
        <v>0.41666666666424135</v>
      </c>
      <c r="BE264" s="43">
        <v>0.70833333333575865</v>
      </c>
      <c r="BF264" s="1">
        <v>5510250826</v>
      </c>
      <c r="BG264" s="1">
        <v>5557016240</v>
      </c>
      <c r="BH264" s="1" t="s">
        <v>7374</v>
      </c>
      <c r="BI264" s="5" t="s">
        <v>7375</v>
      </c>
      <c r="BJ264" s="1" t="s">
        <v>228</v>
      </c>
      <c r="BK264" s="1" t="s">
        <v>7376</v>
      </c>
      <c r="BL264" s="1">
        <v>163</v>
      </c>
      <c r="BM264" s="1">
        <v>80</v>
      </c>
      <c r="BN264" s="1" t="s">
        <v>236</v>
      </c>
      <c r="BO264" s="1" t="s">
        <v>228</v>
      </c>
      <c r="BQ264" s="1" t="s">
        <v>228</v>
      </c>
      <c r="BR264" s="1" t="s">
        <v>237</v>
      </c>
      <c r="BS264" s="1" t="s">
        <v>228</v>
      </c>
      <c r="BT264" s="1" t="s">
        <v>237</v>
      </c>
      <c r="BU264" s="1" t="s">
        <v>228</v>
      </c>
      <c r="BW264" s="1" t="s">
        <v>349</v>
      </c>
      <c r="BX264" s="1">
        <v>5</v>
      </c>
      <c r="BY264" s="1">
        <v>80</v>
      </c>
      <c r="BZ264" s="1" t="s">
        <v>2346</v>
      </c>
      <c r="CA264" s="1" t="s">
        <v>509</v>
      </c>
      <c r="CB264" s="1" t="s">
        <v>240</v>
      </c>
      <c r="CC264" s="1" t="s">
        <v>255</v>
      </c>
      <c r="CD264" s="1">
        <v>2000</v>
      </c>
      <c r="CE264" s="1">
        <v>3000</v>
      </c>
      <c r="CF264" s="1" t="s">
        <v>236</v>
      </c>
      <c r="CG264" s="1" t="s">
        <v>242</v>
      </c>
      <c r="CH264" s="1" t="s">
        <v>243</v>
      </c>
      <c r="CI264" s="1" t="s">
        <v>243</v>
      </c>
      <c r="CJ264" s="1" t="s">
        <v>2848</v>
      </c>
      <c r="CL264" s="5" t="s">
        <v>7377</v>
      </c>
      <c r="CM264" s="44" t="s">
        <v>2028</v>
      </c>
      <c r="CN264" s="1" t="s">
        <v>228</v>
      </c>
      <c r="CQ264" s="42">
        <v>0.52083333333575865</v>
      </c>
      <c r="CR264" s="42">
        <v>0.91666666666424135</v>
      </c>
      <c r="CT264" s="45" t="str">
        <f t="array" ref="CT264">IFERROR(INDEX(#REF!,MATCH('Respuestas de formulario 1.1'!$B264,#REF!,0),MATCH('Respuestas de formulario 1.1'!CT$1,#REF!,0)),"")</f>
        <v/>
      </c>
      <c r="CU264" s="56" t="str">
        <f t="array" ref="CU264">IFERROR(INDEX(#REF!,MATCH('Respuestas de formulario 1.1'!$B264,#REF!,0),MATCH('Respuestas de formulario 1.1'!CU$1,#REF!,0)),"")</f>
        <v/>
      </c>
      <c r="CV264" s="56" t="str">
        <f t="array" ref="CV264">IFERROR(INDEX(#REF!,MATCH('Respuestas de formulario 1.1'!$B264,#REF!,0),MATCH('Respuestas de formulario 1.1'!CV$1,#REF!,0)),"")</f>
        <v/>
      </c>
      <c r="CW264" s="56" t="str">
        <f t="array" ref="CW264">IFERROR(INDEX(#REF!,MATCH('Respuestas de formulario 1.1'!$B264,#REF!,0),MATCH('Respuestas de formulario 1.1'!CW$1,#REF!,0)),"")</f>
        <v/>
      </c>
      <c r="CX264" s="56" t="str">
        <f t="array" ref="CX264">IFERROR(INDEX(#REF!,MATCH('Respuestas de formulario 1.1'!$B264,#REF!,0),MATCH('Respuestas de formulario 1.1'!CX$1,#REF!,0)),"")</f>
        <v/>
      </c>
      <c r="CY264" s="56" t="str">
        <f t="array" ref="CY264">IFERROR(INDEX(#REF!,MATCH('Respuestas de formulario 1.1'!$B264,#REF!,0),MATCH('Respuestas de formulario 1.1'!CY$1,#REF!,0)),"")</f>
        <v/>
      </c>
      <c r="CZ264" s="57" t="str">
        <f t="array" ref="CZ264">IFERROR(INDEX(#REF!,MATCH('Respuestas de formulario 1.1'!$B264,#REF!,0),MATCH('Respuestas de formulario 1.1'!CZ$1,#REF!,0)),"")</f>
        <v/>
      </c>
      <c r="DA264" s="45" t="e">
        <f t="array" ref="DA264">INDEX(#REF!,MATCH('Respuestas de formulario 1.1'!$B264,#REF!,0),MATCH('Respuestas de formulario 1.1'!DA$1,#REF!,0))</f>
        <v>#REF!</v>
      </c>
      <c r="DB264" s="45" t="e">
        <f t="array" ref="DB264">INDEX(#REF!,MATCH('Respuestas de formulario 1.1'!$B264,#REF!,0),MATCH('Respuestas de formulario 1.1'!DB$1,#REF!,0))</f>
        <v>#REF!</v>
      </c>
      <c r="DC264" s="45" t="e">
        <f t="array" ref="DC264">INDEX(#REF!,MATCH('Respuestas de formulario 1.1'!$B264,#REF!,0),MATCH('Respuestas de formulario 1.1'!DC$1,#REF!,0))</f>
        <v>#REF!</v>
      </c>
      <c r="DD264" s="45" t="e">
        <f t="array" ref="DD264">INDEX(#REF!,MATCH('Respuestas de formulario 1.1'!$B264,#REF!,0),MATCH('Respuestas de formulario 1.1'!DD$1,#REF!,0))</f>
        <v>#REF!</v>
      </c>
      <c r="DE264" s="45" t="e">
        <f t="array" ref="DE264">INDEX(#REF!,MATCH('Respuestas de formulario 1.1'!$B264,#REF!,0),MATCH('Respuestas de formulario 1.1'!DE$1,#REF!,0))</f>
        <v>#REF!</v>
      </c>
      <c r="DF264" s="45" t="e">
        <f t="array" ref="DF264">INDEX(#REF!,MATCH('Respuestas de formulario 1.1'!$B264,#REF!,0),MATCH('Respuestas de formulario 1.1'!DF$1,#REF!,0))</f>
        <v>#REF!</v>
      </c>
      <c r="DG264" s="45" t="e">
        <f t="array" ref="DG264">INDEX(#REF!,MATCH('Respuestas de formulario 1.1'!$B264,#REF!,0),MATCH('Respuestas de formulario 1.1'!DG$1,#REF!,0))</f>
        <v>#REF!</v>
      </c>
      <c r="DH264" s="45" t="e">
        <f t="array" ref="DH264">INDEX(#REF!,MATCH('Respuestas de formulario 1.1'!$B264,#REF!,0),MATCH('Respuestas de formulario 1.1'!DH$1,#REF!,0))</f>
        <v>#REF!</v>
      </c>
      <c r="DI264" s="48" t="e">
        <f>VLOOKUP(CONCATENATE($DF264," TUTO ",$DC264),#REF!,3,0)</f>
        <v>#REF!</v>
      </c>
      <c r="DJ264" s="48" t="e">
        <f t="array" ref="DJ264">IF('Respuestas de formulario 1.1'!A264="","",INDEX(#REF!,MATCH('Respuestas de formulario 1.1'!B264,#REF!,0),MATCH('Respuestas de formulario 1.1'!$DH$1,#REF!,0)))</f>
        <v>#REF!</v>
      </c>
      <c r="DK264" s="52" t="str">
        <f>CONCATENATE("http://doc.google.com/uc?id=",MID('Respuestas de formulario 1.1'!G264,34,33))</f>
        <v>http://doc.google.com/uc?id=1KpPYavxlZyJTdUjye3c8cyQlh8N9kLcw</v>
      </c>
      <c r="DL264" s="49" t="str">
        <f>CONCATENATE("http://doc.google.com/uc?id=",MID('Respuestas de formulario 1.1'!AH264,34,33))</f>
        <v>http://doc.google.com/uc?id=13WsUJhstSmg58-v2AWSnDoF3IQjuOwbz</v>
      </c>
      <c r="DM264" s="50" t="str">
        <f>CONCATENATE("http://doc.google.com/uc?id=",MID('Respuestas de formulario 1.1'!AW264,34,33))</f>
        <v>http://doc.google.com/uc?id=1NgEQ-QJ9TB2lC67KPmy-IwthHcO85jfU</v>
      </c>
      <c r="DN264" s="53" t="str">
        <f>CONCATENATE("http://doc.google.com/uc?id=",MID('Respuestas de formulario 1.1'!$BI264,34,33))</f>
        <v>http://doc.google.com/uc?id=11ncbv2CXmGbXk8v6boX_-DvMAROjD4gw</v>
      </c>
      <c r="DO264" s="45" t="str">
        <f>IFERROR(VLOOKUP(CONCATENATE('Respuestas de formulario 1.1'!$B264,MID('Respuestas de formulario 1.1'!DO$1,2,1)),#REF!,12,0),"")</f>
        <v/>
      </c>
      <c r="DP264" s="45" t="str">
        <f>IFERROR(VLOOKUP(CONCATENATE('Respuestas de formulario 1.1'!$B264,MID('Respuestas de formulario 1.1'!DP$1,2,1)),#REF!,12,0),"")</f>
        <v/>
      </c>
      <c r="DQ264" s="45" t="str">
        <f>IFERROR(VLOOKUP(CONCATENATE('Respuestas de formulario 1.1'!$B264,MID('Respuestas de formulario 1.1'!DQ$1,2,1)),#REF!,12,0),"")</f>
        <v/>
      </c>
      <c r="DR264" s="45" t="str">
        <f>IFERROR(VLOOKUP(CONCATENATE('Respuestas de formulario 1.1'!$B264,MID('Respuestas de formulario 1.1'!DR$1,2,1)),#REF!,12,0),"")</f>
        <v/>
      </c>
      <c r="DS264" s="45" t="str">
        <f>IFERROR(VLOOKUP(CONCATENATE('Respuestas de formulario 1.1'!$B264,MID('Respuestas de formulario 1.1'!DS$1,2,1)),#REF!,12,0),"")</f>
        <v/>
      </c>
      <c r="DT264" s="45" t="str">
        <f>IFERROR(VLOOKUP(CONCATENATE('Respuestas de formulario 1.1'!$B264,MID('Respuestas de formulario 1.1'!DT$1,2,1)),#REF!,12,0),"")</f>
        <v/>
      </c>
      <c r="DU264" s="45" t="str">
        <f>IFERROR(VLOOKUP(CONCATENATE('Respuestas de formulario 1.1'!$B264,MID('Respuestas de formulario 1.1'!DU$1,2,1)),#REF!,12,0),"")</f>
        <v/>
      </c>
      <c r="DV264" s="45" t="str">
        <f>IFERROR(VLOOKUP(CONCATENATE('Respuestas de formulario 1.1'!$B264,MID('Respuestas de formulario 1.1'!DV$1,2,1)),#REF!,12,0),"")</f>
        <v/>
      </c>
      <c r="DW264" s="45" t="str">
        <f>IFERROR(VLOOKUP(CONCATENATE('Respuestas de formulario 1.1'!$B264,MID('Respuestas de formulario 1.1'!DW$1,2,1)),#REF!,12,0),"")</f>
        <v/>
      </c>
      <c r="DX264" s="45" t="str">
        <f>IFERROR(VLOOKUP(CONCATENATE('Respuestas de formulario 1.1'!$B264,MID('Respuestas de formulario 1.1'!DX$1,2,1)),#REF!,12,0),"")</f>
        <v/>
      </c>
      <c r="DY264" s="45" t="str">
        <f>IFERROR(VLOOKUP(CONCATENATE('Respuestas de formulario 1.1'!$B264,MID('Respuestas de formulario 1.1'!DY$1,2,1)),#REF!,12,0),"")</f>
        <v/>
      </c>
      <c r="DZ264" s="45" t="str">
        <f>IFERROR(VLOOKUP(CONCATENATE('Respuestas de formulario 1.1'!$B264,MID('Respuestas de formulario 1.1'!DZ$1,2,1)),#REF!,12,0),"")</f>
        <v/>
      </c>
      <c r="EA264" s="45" t="str">
        <f>IFERROR(VLOOKUP(CONCATENATE('Respuestas de formulario 1.1'!$B264,MID('Respuestas de formulario 1.1'!EA$1,2,1)),#REF!,12,0),"")</f>
        <v/>
      </c>
      <c r="EB264" s="45" t="str">
        <f>IFERROR(VLOOKUP(CONCATENATE('Respuestas de formulario 1.1'!$B264,MID('Respuestas de formulario 1.1'!EB$1,2,1)),#REF!,12,0),"")</f>
        <v/>
      </c>
      <c r="EC264" s="45" t="str">
        <f>IFERROR(VLOOKUP(CONCATENATE('Respuestas de formulario 1.1'!$B264,MID('Respuestas de formulario 1.1'!EC$1,2,1)),#REF!,12,0),"")</f>
        <v/>
      </c>
      <c r="ED264" s="45" t="str">
        <f>IFERROR(VLOOKUP(CONCATENATE('Respuestas de formulario 1.1'!$B264,MID('Respuestas de formulario 1.1'!ED$1,2,1)),#REF!,12,0),"")</f>
        <v/>
      </c>
      <c r="EE264" s="45" t="str">
        <f>IFERROR(VLOOKUP(CONCATENATE('Respuestas de formulario 1.1'!$B264,MID('Respuestas de formulario 1.1'!EE$1,2,1)),#REF!,12,0),"")</f>
        <v/>
      </c>
      <c r="EF264" s="45" t="str">
        <f>IFERROR(VLOOKUP(CONCATENATE('Respuestas de formulario 1.1'!$B264,MID('Respuestas de formulario 1.1'!EF$1,2,1)),#REF!,12,0),"")</f>
        <v/>
      </c>
      <c r="EG264" s="45" t="str">
        <f>IFERROR(VLOOKUP(CONCATENATE('Respuestas de formulario 1.1'!$B264,MID('Respuestas de formulario 1.1'!EG$1,2,1)),#REF!,12,0),"")</f>
        <v/>
      </c>
      <c r="EH264" s="45" t="str">
        <f>IFERROR(VLOOKUP(CONCATENATE('Respuestas de formulario 1.1'!$B264,MID('Respuestas de formulario 1.1'!EH$1,2,1)),#REF!,12,0),"")</f>
        <v/>
      </c>
      <c r="EI264" s="45" t="str">
        <f>IFERROR(VLOOKUP(CONCATENATE('Respuestas de formulario 1.1'!$B264,MID('Respuestas de formulario 1.1'!EI$1,2,1)),#REF!,12,0),"")</f>
        <v/>
      </c>
      <c r="EJ264" s="45" t="str">
        <f t="array" ref="EJ264">IF(DO264="","", INDEX(#REF!,MATCH(CONCATENATE('Respuestas de formulario 1.1'!$B264,DO264),#REF!,0),MATCH('Respuestas de formulario 1.1'!EJ$1,#REF!,0)))</f>
        <v/>
      </c>
      <c r="EK264" s="56" t="str">
        <f t="array" ref="EK264">IF(DP264="","", INDEX(#REF!,MATCH(CONCATENATE('Respuestas de formulario 1.1'!$B264,DP264),#REF!,0),MATCH('Respuestas de formulario 1.1'!EK$1,#REF!,0)))</f>
        <v/>
      </c>
      <c r="EL264" s="56" t="str">
        <f t="array" ref="EL264">IF(DQ264="","", INDEX(#REF!,MATCH(CONCATENATE('Respuestas de formulario 1.1'!$B264,DQ264),#REF!,0),MATCH('Respuestas de formulario 1.1'!EL$1,#REF!,0)))</f>
        <v/>
      </c>
      <c r="EM264" s="56" t="str">
        <f t="array" ref="EM264">IF(DR264="","", INDEX(#REF!,MATCH(CONCATENATE('Respuestas de formulario 1.1'!$B264,DR264),#REF!,0),MATCH('Respuestas de formulario 1.1'!EM$1,#REF!,0)))</f>
        <v/>
      </c>
      <c r="EN264" s="56" t="str">
        <f t="array" ref="EN264">IF(DS264="","", INDEX(#REF!,MATCH(CONCATENATE('Respuestas de formulario 1.1'!$B264,DS264),#REF!,0),MATCH('Respuestas de formulario 1.1'!EN$1,#REF!,0)))</f>
        <v/>
      </c>
      <c r="EO264" s="56" t="str">
        <f t="array" ref="EO264">IF(DT264="","", INDEX(#REF!,MATCH(CONCATENATE('Respuestas de formulario 1.1'!$B264,DT264),#REF!,0),MATCH('Respuestas de formulario 1.1'!EO$1,#REF!,0)))</f>
        <v/>
      </c>
      <c r="EP264" s="45" t="str">
        <f t="array" ref="EP264">IF(DU264="","", INDEX(#REF!,MATCH(CONCATENATE('Respuestas de formulario 1.1'!$B264,DU264),#REF!,0),MATCH('Respuestas de formulario 1.1'!EP$1,#REF!,0)))</f>
        <v/>
      </c>
      <c r="EQ264" s="45" t="str">
        <f t="array" ref="EQ264">IF(DP264="","", INDEX(#REF!,MATCH(CONCATENATE('Respuestas de formulario 1.1'!$B264,DP264),#REF!,0),MATCH('Respuestas de formulario 1.1'!EQ$1,#REF!,0)))</f>
        <v/>
      </c>
      <c r="ER264" s="56" t="str">
        <f t="array" ref="ER264">IF(DQ264="","", INDEX(#REF!,MATCH(CONCATENATE('Respuestas de formulario 1.1'!$B264,DQ264),#REF!,0),MATCH('Respuestas de formulario 1.1'!ER$1,#REF!,0)))</f>
        <v/>
      </c>
      <c r="ES264" s="56" t="str">
        <f t="array" ref="ES264">IF(DR264="","", INDEX(#REF!,MATCH(CONCATENATE('Respuestas de formulario 1.1'!$B264,DR264),#REF!,0),MATCH('Respuestas de formulario 1.1'!ES$1,#REF!,0)))</f>
        <v/>
      </c>
      <c r="ET264" s="56" t="str">
        <f t="array" ref="ET264">IF(DS264="","", INDEX(#REF!,MATCH(CONCATENATE('Respuestas de formulario 1.1'!$B264,DS264),#REF!,0),MATCH('Respuestas de formulario 1.1'!ET$1,#REF!,0)))</f>
        <v/>
      </c>
      <c r="EU264" s="56" t="str">
        <f t="array" ref="EU264">IF(DT264="","", INDEX(#REF!,MATCH(CONCATENATE('Respuestas de formulario 1.1'!$B264,DT264),#REF!,0),MATCH('Respuestas de formulario 1.1'!EU$1,#REF!,0)))</f>
        <v/>
      </c>
      <c r="EV264" s="56" t="str">
        <f t="array" ref="EV264">IF(DU264="","", INDEX(#REF!,MATCH(CONCATENATE('Respuestas de formulario 1.1'!$B264,DU264),#REF!,0),MATCH('Respuestas de formulario 1.1'!EV$1,#REF!,0)))</f>
        <v/>
      </c>
      <c r="EW264" s="45" t="str">
        <f t="array" ref="EW264">IF(DV264="","", INDEX(#REF!,MATCH(CONCATENATE('Respuestas de formulario 1.1'!$B264,DV264),#REF!,0),MATCH('Respuestas de formulario 1.1'!EW$1,#REF!,0)))</f>
        <v/>
      </c>
      <c r="EX264" s="45" t="str">
        <f t="array" ref="EX264">IF($DQ264="","", INDEX(#REF!,MATCH(CONCATENATE('Respuestas de formulario 1.1'!$B264,$DQ264),#REF!,0),MATCH('Respuestas de formulario 1.1'!EX$1,#REF!,0)))</f>
        <v/>
      </c>
      <c r="EY264" s="56" t="str">
        <f t="array" ref="EY264">IF($DQ264="","", INDEX(#REF!,MATCH(CONCATENATE('Respuestas de formulario 1.1'!$B264,$DQ264),#REF!,0),MATCH('Respuestas de formulario 1.1'!EY$1,#REF!,0)))</f>
        <v/>
      </c>
      <c r="EZ264" s="56" t="str">
        <f t="array" ref="EZ264">IF($DQ264="","", INDEX(#REF!,MATCH(CONCATENATE('Respuestas de formulario 1.1'!$B264,$DQ264),#REF!,0),MATCH('Respuestas de formulario 1.1'!EZ$1,#REF!,0)))</f>
        <v/>
      </c>
      <c r="FA264" s="56" t="str">
        <f t="array" ref="FA264">IF($DQ264="","", INDEX(#REF!,MATCH(CONCATENATE('Respuestas de formulario 1.1'!$B264,$DQ264),#REF!,0),MATCH('Respuestas de formulario 1.1'!FA$1,#REF!,0)))</f>
        <v/>
      </c>
      <c r="FB264" s="56" t="str">
        <f t="array" ref="FB264">IF($DQ264="","", INDEX(#REF!,MATCH(CONCATENATE('Respuestas de formulario 1.1'!$B264,$DQ264),#REF!,0),MATCH('Respuestas de formulario 1.1'!FB$1,#REF!,0)))</f>
        <v/>
      </c>
      <c r="FC264" s="56" t="str">
        <f t="array" ref="FC264">IF($DQ264="","", INDEX(#REF!,MATCH(CONCATENATE('Respuestas de formulario 1.1'!$B264,$DQ264),#REF!,0),MATCH('Respuestas de formulario 1.1'!FC$1,#REF!,0)))</f>
        <v/>
      </c>
      <c r="FD264" s="45" t="str">
        <f t="array" ref="FD264">IF($DQ264="","", INDEX(#REF!,MATCH(CONCATENATE('Respuestas de formulario 1.1'!$B264,$DQ264),#REF!,0),MATCH('Respuestas de formulario 1.1'!FD$1,#REF!,0)))</f>
        <v/>
      </c>
      <c r="FE264" s="45" t="str">
        <f t="array" ref="FE264">IF($DR264="","", INDEX(#REF!,MATCH(CONCATENATE(#REF!,$DR264),#REF!,0),MATCH(#REF!,#REF!,0)))</f>
        <v/>
      </c>
      <c r="FF264" s="56" t="str">
        <f t="array" ref="FF264">IF($DR264="","", INDEX(#REF!,MATCH(CONCATENATE(#REF!,$DR264),#REF!,0),MATCH(#REF!,#REF!,0)))</f>
        <v/>
      </c>
      <c r="FG264" s="56" t="str">
        <f t="array" ref="FG264">IF($DR264="","", INDEX(#REF!,MATCH(CONCATENATE(#REF!,$DR264),#REF!,0),MATCH(#REF!,#REF!,0)))</f>
        <v/>
      </c>
      <c r="FH264" s="56" t="str">
        <f t="array" ref="FH264">IF($DR264="","", INDEX(#REF!,MATCH(CONCATENATE(#REF!,$DR264),#REF!,0),MATCH(#REF!,#REF!,0)))</f>
        <v/>
      </c>
      <c r="FI264" s="56" t="str">
        <f t="array" ref="FI264">IF($DR264="","", INDEX(#REF!,MATCH(CONCATENATE(#REF!,$DR264),#REF!,0),MATCH(#REF!,#REF!,0)))</f>
        <v/>
      </c>
      <c r="FJ264" s="56" t="str">
        <f t="array" ref="FJ264">IF($DR264="","", INDEX(#REF!,MATCH(CONCATENATE(#REF!,$DR264),#REF!,0),MATCH(#REF!,#REF!,0)))</f>
        <v/>
      </c>
      <c r="FK264" s="45" t="str">
        <f t="array" ref="FK264">IF($DR264="","", INDEX(#REF!,MATCH(CONCATENATE(#REF!,$DR264),#REF!,0),MATCH(#REF!,#REF!,0)))</f>
        <v/>
      </c>
      <c r="FL264" s="45" t="str">
        <f t="array" ref="FL264">IF($DT264="","", INDEX(#REF!,MATCH(CONCATENATE('Respuestas de formulario 1.1'!$B264,$DS264),#REF!,0),MATCH('Respuestas de formulario 1.1'!FL$1,#REF!,0)))</f>
        <v/>
      </c>
      <c r="FM264" s="56" t="str">
        <f t="array" ref="FM264">IF($DT264="","", INDEX(#REF!,MATCH(CONCATENATE('Respuestas de formulario 1.1'!$B264,$DS264),#REF!,0),MATCH('Respuestas de formulario 1.1'!FM$1,#REF!,0)))</f>
        <v/>
      </c>
      <c r="FN264" s="56" t="str">
        <f t="array" ref="FN264">IF($DT264="","", INDEX(#REF!,MATCH(CONCATENATE('Respuestas de formulario 1.1'!$B264,$DS264),#REF!,0),MATCH('Respuestas de formulario 1.1'!FN$1,#REF!,0)))</f>
        <v/>
      </c>
      <c r="FO264" s="56" t="str">
        <f t="array" ref="FO264">IF($DT264="","", INDEX(#REF!,MATCH(CONCATENATE('Respuestas de formulario 1.1'!$B264,$DS264),#REF!,0),MATCH('Respuestas de formulario 1.1'!FO$1,#REF!,0)))</f>
        <v/>
      </c>
      <c r="FP264" s="56" t="str">
        <f t="array" ref="FP264">IF($DT264="","", INDEX(#REF!,MATCH(CONCATENATE('Respuestas de formulario 1.1'!$B264,$DS264),#REF!,0),MATCH('Respuestas de formulario 1.1'!FP$1,#REF!,0)))</f>
        <v/>
      </c>
      <c r="FQ264" s="56" t="str">
        <f t="array" ref="FQ264">IF($DT264="","", INDEX(#REF!,MATCH(CONCATENATE('Respuestas de formulario 1.1'!$B264,$DS264),#REF!,0),MATCH('Respuestas de formulario 1.1'!FQ$1,#REF!,0)))</f>
        <v/>
      </c>
      <c r="FR264" s="45" t="str">
        <f t="array" ref="FR264">IF($DT264="","", INDEX(#REF!,MATCH(CONCATENATE('Respuestas de formulario 1.1'!$B264,$DS264),#REF!,0),MATCH('Respuestas de formulario 1.1'!FR$1,#REF!,0)))</f>
        <v/>
      </c>
      <c r="FS264" s="45" t="str">
        <f t="array" ref="FS264">IF($DU264="","", INDEX(#REF!,MATCH(CONCATENATE('Respuestas de formulario 1.1'!$B264,$DT264),#REF!,0),MATCH('Respuestas de formulario 1.1'!FS$1,#REF!,0)))</f>
        <v/>
      </c>
      <c r="FT264" s="56" t="str">
        <f t="array" ref="FT264">IF($DU264="","", INDEX(#REF!,MATCH(CONCATENATE('Respuestas de formulario 1.1'!$B264,$DT264),#REF!,0),MATCH('Respuestas de formulario 1.1'!FT$1,#REF!,0)))</f>
        <v/>
      </c>
      <c r="FU264" s="56" t="str">
        <f t="array" ref="FU264">IF($DU264="","", INDEX(#REF!,MATCH(CONCATENATE('Respuestas de formulario 1.1'!$B264,$DT264),#REF!,0),MATCH('Respuestas de formulario 1.1'!FU$1,#REF!,0)))</f>
        <v/>
      </c>
      <c r="FV264" s="56" t="str">
        <f t="array" ref="FV264">IF($DU264="","", INDEX(#REF!,MATCH(CONCATENATE('Respuestas de formulario 1.1'!$B264,$DT264),#REF!,0),MATCH('Respuestas de formulario 1.1'!FV$1,#REF!,0)))</f>
        <v/>
      </c>
      <c r="FW264" s="56" t="str">
        <f t="array" ref="FW264">IF($DU264="","", INDEX(#REF!,MATCH(CONCATENATE('Respuestas de formulario 1.1'!$B264,$DT264),#REF!,0),MATCH('Respuestas de formulario 1.1'!FW$1,#REF!,0)))</f>
        <v/>
      </c>
      <c r="FX264" s="56" t="str">
        <f t="array" ref="FX264">IF($DU264="","", INDEX(#REF!,MATCH(CONCATENATE('Respuestas de formulario 1.1'!$B264,$DT264),#REF!,0),MATCH('Respuestas de formulario 1.1'!FX$1,#REF!,0)))</f>
        <v/>
      </c>
      <c r="FY264" s="45" t="str">
        <f t="array" ref="FY264">IF($DU264="","", INDEX(#REF!,MATCH(CONCATENATE('Respuestas de formulario 1.1'!$B264,$DT264),#REF!,0),MATCH('Respuestas de formulario 1.1'!FY$1,#REF!,0)))</f>
        <v/>
      </c>
      <c r="FZ264" s="3" t="s">
        <v>2860</v>
      </c>
      <c r="GA264" s="1" t="s">
        <v>7378</v>
      </c>
      <c r="GB264" s="5" t="s">
        <v>7379</v>
      </c>
      <c r="GC264" s="4" t="str">
        <f>HYPERLINK("https://drive.google.com/file/d/1ra1AJOETOK9sg0ARjRE9PEQjAyUuBvSe/view?usp=drivesdk","PEREZ QUINTERO DAMARIS ZURISADAY Formato de reinscripción y pago 2022-2")</f>
        <v>PEREZ QUINTERO DAMARIS ZURISADAY Formato de reinscripción y pago 2022-2</v>
      </c>
      <c r="GD264" s="1" t="s">
        <v>7380</v>
      </c>
      <c r="GE264" s="1"/>
      <c r="GF264" s="1"/>
      <c r="GG264" s="1"/>
      <c r="GH264" s="1"/>
      <c r="GI264" s="1" t="s">
        <v>7381</v>
      </c>
      <c r="GJ264" s="5" t="s">
        <v>7382</v>
      </c>
      <c r="GK264" s="5" t="str">
        <f>HYPERLINK("https://drive.google.com/file/d/1MK6cFlwU4rZQtdc_1J4KCuwxJpQewLNp/view?usp=drivesdk","PEREZ QUINTERO DAMARIS ZURISADAY Formato de reinscripción y pago 2022-2")</f>
        <v>PEREZ QUINTERO DAMARIS ZURISADAY Formato de reinscripción y pago 2022-2</v>
      </c>
      <c r="GL264" s="1" t="s">
        <v>7383</v>
      </c>
    </row>
    <row r="265" spans="1:194" ht="12.75" x14ac:dyDescent="0.2">
      <c r="CZ265" s="58"/>
      <c r="FZ265" s="3"/>
    </row>
    <row r="266" spans="1:194" ht="12.75" x14ac:dyDescent="0.2">
      <c r="CZ266" s="58"/>
      <c r="FZ266" s="3"/>
    </row>
    <row r="267" spans="1:194" ht="12.75" x14ac:dyDescent="0.2">
      <c r="CZ267" s="58"/>
      <c r="FZ267" s="3"/>
    </row>
    <row r="268" spans="1:194" ht="12.75" x14ac:dyDescent="0.2">
      <c r="CZ268" s="58"/>
      <c r="FZ268" s="3"/>
    </row>
    <row r="269" spans="1:194" ht="12.75" x14ac:dyDescent="0.2">
      <c r="CZ269" s="58"/>
      <c r="FZ269" s="3"/>
    </row>
    <row r="270" spans="1:194" ht="12.75" x14ac:dyDescent="0.2">
      <c r="CZ270" s="58"/>
      <c r="FZ270" s="3"/>
    </row>
    <row r="271" spans="1:194" ht="12.75" x14ac:dyDescent="0.2">
      <c r="CZ271" s="58"/>
      <c r="FZ271" s="3"/>
    </row>
    <row r="272" spans="1:194" ht="12.75" x14ac:dyDescent="0.2">
      <c r="CZ272" s="58"/>
      <c r="FZ272" s="3"/>
    </row>
    <row r="273" spans="104:182" ht="12.75" x14ac:dyDescent="0.2">
      <c r="CZ273" s="58"/>
      <c r="FZ273" s="3"/>
    </row>
    <row r="274" spans="104:182" ht="12.75" x14ac:dyDescent="0.2">
      <c r="CZ274" s="58"/>
      <c r="FZ274" s="3"/>
    </row>
    <row r="275" spans="104:182" ht="12.75" x14ac:dyDescent="0.2">
      <c r="CZ275" s="58"/>
      <c r="FZ275" s="3"/>
    </row>
    <row r="276" spans="104:182" ht="12.75" x14ac:dyDescent="0.2">
      <c r="CZ276" s="58"/>
      <c r="FZ276" s="3"/>
    </row>
    <row r="277" spans="104:182" ht="12.75" x14ac:dyDescent="0.2">
      <c r="CZ277" s="58"/>
      <c r="FZ277" s="3"/>
    </row>
    <row r="278" spans="104:182" ht="12.75" x14ac:dyDescent="0.2">
      <c r="CZ278" s="58"/>
      <c r="FZ278" s="3"/>
    </row>
    <row r="279" spans="104:182" ht="12.75" x14ac:dyDescent="0.2">
      <c r="CZ279" s="58"/>
      <c r="FZ279" s="3"/>
    </row>
    <row r="280" spans="104:182" ht="12.75" x14ac:dyDescent="0.2">
      <c r="CZ280" s="58"/>
      <c r="FZ280" s="3"/>
    </row>
    <row r="281" spans="104:182" ht="12.75" x14ac:dyDescent="0.2">
      <c r="CZ281" s="58"/>
      <c r="FZ281" s="3"/>
    </row>
    <row r="282" spans="104:182" ht="12.75" x14ac:dyDescent="0.2">
      <c r="CZ282" s="58"/>
      <c r="FZ282" s="3"/>
    </row>
    <row r="283" spans="104:182" ht="12.75" x14ac:dyDescent="0.2">
      <c r="CZ283" s="58"/>
      <c r="FZ283" s="3"/>
    </row>
    <row r="284" spans="104:182" ht="12.75" x14ac:dyDescent="0.2">
      <c r="CZ284" s="58"/>
      <c r="FZ284" s="3"/>
    </row>
    <row r="285" spans="104:182" ht="12.75" x14ac:dyDescent="0.2">
      <c r="CZ285" s="58"/>
      <c r="FZ285" s="3"/>
    </row>
    <row r="286" spans="104:182" ht="12.75" x14ac:dyDescent="0.2">
      <c r="CZ286" s="58"/>
      <c r="FZ286" s="3"/>
    </row>
    <row r="287" spans="104:182" ht="12.75" x14ac:dyDescent="0.2">
      <c r="CZ287" s="58"/>
      <c r="FZ287" s="3"/>
    </row>
    <row r="288" spans="104:182" ht="12.75" x14ac:dyDescent="0.2">
      <c r="CZ288" s="58"/>
      <c r="FZ288" s="3"/>
    </row>
    <row r="289" spans="104:182" ht="12.75" x14ac:dyDescent="0.2">
      <c r="CZ289" s="58"/>
      <c r="FZ289" s="3"/>
    </row>
    <row r="290" spans="104:182" ht="12.75" x14ac:dyDescent="0.2">
      <c r="CZ290" s="58"/>
      <c r="FZ290" s="3"/>
    </row>
    <row r="291" spans="104:182" ht="12.75" x14ac:dyDescent="0.2">
      <c r="CZ291" s="58"/>
      <c r="FZ291" s="3"/>
    </row>
    <row r="292" spans="104:182" ht="12.75" x14ac:dyDescent="0.2">
      <c r="CZ292" s="58"/>
      <c r="FZ292" s="3"/>
    </row>
    <row r="293" spans="104:182" ht="12.75" x14ac:dyDescent="0.2">
      <c r="CZ293" s="58"/>
      <c r="FZ293" s="3"/>
    </row>
    <row r="294" spans="104:182" ht="12.75" x14ac:dyDescent="0.2">
      <c r="CZ294" s="58"/>
      <c r="FZ294" s="3"/>
    </row>
    <row r="295" spans="104:182" ht="12.75" x14ac:dyDescent="0.2">
      <c r="CZ295" s="58"/>
      <c r="FZ295" s="3"/>
    </row>
    <row r="296" spans="104:182" ht="12.75" x14ac:dyDescent="0.2">
      <c r="CZ296" s="58"/>
      <c r="FZ296" s="3"/>
    </row>
    <row r="297" spans="104:182" ht="12.75" x14ac:dyDescent="0.2">
      <c r="CZ297" s="58"/>
      <c r="FZ297" s="3"/>
    </row>
    <row r="298" spans="104:182" ht="12.75" x14ac:dyDescent="0.2">
      <c r="CZ298" s="58"/>
      <c r="FZ298" s="3"/>
    </row>
    <row r="299" spans="104:182" ht="12.75" x14ac:dyDescent="0.2">
      <c r="CZ299" s="58"/>
      <c r="FZ299" s="3"/>
    </row>
    <row r="300" spans="104:182" ht="12.75" x14ac:dyDescent="0.2">
      <c r="CZ300" s="58"/>
      <c r="FZ300" s="3"/>
    </row>
    <row r="301" spans="104:182" ht="12.75" x14ac:dyDescent="0.2">
      <c r="CZ301" s="58"/>
      <c r="FZ301" s="3"/>
    </row>
    <row r="302" spans="104:182" ht="12.75" x14ac:dyDescent="0.2">
      <c r="CZ302" s="58"/>
      <c r="FZ302" s="3"/>
    </row>
    <row r="303" spans="104:182" ht="12.75" x14ac:dyDescent="0.2">
      <c r="CZ303" s="58"/>
      <c r="FZ303" s="3"/>
    </row>
    <row r="304" spans="104:182" ht="12.75" x14ac:dyDescent="0.2">
      <c r="CZ304" s="58"/>
      <c r="FZ304" s="3"/>
    </row>
    <row r="305" spans="104:182" ht="12.75" x14ac:dyDescent="0.2">
      <c r="CZ305" s="58"/>
      <c r="FZ305" s="3"/>
    </row>
    <row r="306" spans="104:182" ht="12.75" x14ac:dyDescent="0.2">
      <c r="CZ306" s="58"/>
      <c r="FZ306" s="3"/>
    </row>
    <row r="307" spans="104:182" ht="12.75" x14ac:dyDescent="0.2">
      <c r="CZ307" s="58"/>
      <c r="FZ307" s="3"/>
    </row>
    <row r="308" spans="104:182" ht="12.75" x14ac:dyDescent="0.2">
      <c r="CZ308" s="58"/>
      <c r="FZ308" s="3"/>
    </row>
    <row r="309" spans="104:182" ht="12.75" x14ac:dyDescent="0.2">
      <c r="CZ309" s="58"/>
      <c r="FZ309" s="3"/>
    </row>
    <row r="310" spans="104:182" ht="12.75" x14ac:dyDescent="0.2">
      <c r="CZ310" s="58"/>
      <c r="FZ310" s="3"/>
    </row>
    <row r="311" spans="104:182" ht="12.75" x14ac:dyDescent="0.2">
      <c r="CZ311" s="58"/>
      <c r="FZ311" s="3"/>
    </row>
    <row r="312" spans="104:182" ht="12.75" x14ac:dyDescent="0.2">
      <c r="CZ312" s="58"/>
      <c r="FZ312" s="3"/>
    </row>
    <row r="313" spans="104:182" ht="12.75" x14ac:dyDescent="0.2">
      <c r="CZ313" s="58"/>
      <c r="FZ313" s="3"/>
    </row>
    <row r="314" spans="104:182" ht="12.75" x14ac:dyDescent="0.2">
      <c r="CZ314" s="58"/>
      <c r="FZ314" s="3"/>
    </row>
    <row r="315" spans="104:182" ht="12.75" x14ac:dyDescent="0.2">
      <c r="CZ315" s="58"/>
      <c r="FZ315" s="3"/>
    </row>
    <row r="316" spans="104:182" ht="12.75" x14ac:dyDescent="0.2">
      <c r="CZ316" s="58"/>
      <c r="FZ316" s="3"/>
    </row>
    <row r="317" spans="104:182" ht="12.75" x14ac:dyDescent="0.2">
      <c r="CZ317" s="58"/>
      <c r="FZ317" s="3"/>
    </row>
    <row r="318" spans="104:182" ht="12.75" x14ac:dyDescent="0.2">
      <c r="CZ318" s="58"/>
      <c r="FZ318" s="3"/>
    </row>
    <row r="319" spans="104:182" ht="12.75" x14ac:dyDescent="0.2">
      <c r="CZ319" s="58"/>
      <c r="FZ319" s="3"/>
    </row>
    <row r="320" spans="104:182" ht="12.75" x14ac:dyDescent="0.2">
      <c r="CZ320" s="58"/>
      <c r="FZ320" s="3"/>
    </row>
    <row r="321" spans="104:182" ht="12.75" x14ac:dyDescent="0.2">
      <c r="CZ321" s="58"/>
      <c r="FZ321" s="3"/>
    </row>
    <row r="322" spans="104:182" ht="12.75" x14ac:dyDescent="0.2">
      <c r="CZ322" s="58"/>
      <c r="FZ322" s="3"/>
    </row>
  </sheetData>
  <customSheetViews>
    <customSheetView guid="{F4154E35-C84F-4071-9C98-381F1956A15F}" filter="1" showAutoFilter="1">
      <pageMargins left="0.7" right="0.7" top="0.75" bottom="0.75" header="0.3" footer="0.3"/>
      <autoFilter ref="A1:CR1330" xr:uid="{E8EF86B2-E7A0-4B71-A761-C8D695101B06}">
        <filterColumn colId="2">
          <filters blank="1">
            <filter val="ACOSTA"/>
            <filter val="AMBROCIO"/>
            <filter val="CERECERO"/>
            <filter val="DIAZ GONZALEZ"/>
            <filter val="FERIA"/>
            <filter val="HINOJOSA"/>
            <filter val="IPATZI"/>
            <filter val="LUIS"/>
            <filter val="MANZANO"/>
            <filter val="MATIAS"/>
            <filter val="NATERA"/>
            <filter val="NIEVES"/>
            <filter val="PEREZ"/>
            <filter val="VALLEJO"/>
            <filter val="XOLALPA"/>
          </filters>
        </filterColumn>
        <filterColumn colId="3">
          <filters blank="1">
            <filter val="ABONCE"/>
            <filter val="ACOSTA"/>
            <filter val="ACUAPAN"/>
            <filter val="ACUAUTLA"/>
            <filter val="ADRIAN"/>
            <filter val="AGAMA"/>
            <filter val="AGUDO"/>
            <filter val="AGUILA"/>
            <filter val="AGUILAR"/>
            <filter val="AGUIÑAGA"/>
            <filter val="AGUIRRE"/>
            <filter val="ALAMEDA"/>
            <filter val="ALARCON"/>
            <filter val="ALBA"/>
            <filter val="ALBARRAN"/>
            <filter val="ALCANTAR"/>
            <filter val="ALCANTARA"/>
            <filter val="ALDIVAR"/>
            <filter val="ALGOMEDA"/>
            <filter val="ALONSO"/>
            <filter val="ALVARADO"/>
            <filter val="ALVAREZ"/>
            <filter val="AMADOR"/>
            <filter val="AMAYA"/>
            <filter val="ANACLETO"/>
            <filter val="ANASTACIO"/>
            <filter val="ANDRADE"/>
            <filter val="ANDRES"/>
            <filter val="ANGULO"/>
            <filter val="ANTUNEZ"/>
            <filter val="APARICIO"/>
            <filter val="APASEO"/>
            <filter val="APOLINAR"/>
            <filter val="ARAGON"/>
            <filter val="ARANDA"/>
            <filter val="ARCIGA"/>
            <filter val="ARCOS"/>
            <filter val="AREAS"/>
            <filter val="ARELLANES"/>
            <filter val="ARELLANO"/>
            <filter val="ARENAS"/>
            <filter val="ARGUIJO"/>
            <filter val="ARIAS"/>
            <filter val="ARIZPE"/>
            <filter val="ARREDONDO"/>
            <filter val="ARREOLA"/>
            <filter val="ARRIAGA"/>
            <filter val="ARROYO"/>
            <filter val="ATANACIO"/>
            <filter val="AVALOS"/>
            <filter val="AVENDAÑO"/>
            <filter val="AVILA"/>
            <filter val="AVILES"/>
            <filter val="AYALA"/>
            <filter val="BABINES"/>
            <filter val="BADILLO"/>
            <filter val="BAENA"/>
            <filter val="BAEZ"/>
            <filter val="BALDERRAMA"/>
            <filter val="BANDA"/>
            <filter val="BANDALA"/>
            <filter val="BANUET"/>
            <filter val="BARAHONA"/>
            <filter val="BARAJAS"/>
            <filter val="BARRON"/>
            <filter val="BARTOLO"/>
            <filter val="BASILIO"/>
            <filter val="BASTIDA"/>
            <filter val="BAUTISTA"/>
            <filter val="BECERRA"/>
            <filter val="BELMAN"/>
            <filter val="BERNABE"/>
            <filter val="BERNAL"/>
            <filter val="BETANCOURT"/>
            <filter val="BETANZOS"/>
            <filter val="BLANCO"/>
            <filter val="BOLAÑOS"/>
            <filter val="BONILLA"/>
            <filter val="BOYZO"/>
            <filter val="BRIONES"/>
            <filter val="BRRERA"/>
            <filter val="BUCIO"/>
            <filter val="CABRERA"/>
            <filter val="CAHUE"/>
            <filter val="CALDERON"/>
            <filter val="CALVILLO"/>
            <filter val="CAMACHO"/>
            <filter val="CAMARILLO"/>
            <filter val="CAMPOS"/>
            <filter val="CANO"/>
            <filter val="CANTON"/>
            <filter val="CAPULTITLA"/>
            <filter val="CARBAJAL"/>
            <filter val="CARDENAS"/>
            <filter val="CARDOSO"/>
            <filter val="CARMONA"/>
            <filter val="CARRANZA"/>
            <filter val="CARREOLA"/>
            <filter val="CARRILLO"/>
            <filter val="CASAS"/>
            <filter val="CASIMIRO"/>
            <filter val="CASTAÑEDA"/>
            <filter val="CASTILLO"/>
            <filter val="CASTRO"/>
            <filter val="CAZARES"/>
            <filter val="CEBRERO"/>
            <filter val="CEDEÑO"/>
            <filter val="CEDILLO"/>
            <filter val="CERON"/>
            <filter val="CERRILLO"/>
            <filter val="CERVANTES"/>
            <filter val="CHAPARRO"/>
            <filter val="CHAVERO"/>
            <filter val="CHAVEZ"/>
            <filter val="CHAVIRA"/>
            <filter val="CID"/>
            <filter val="CISNEROS"/>
            <filter val="CITALAN"/>
            <filter val="COCOLETZI"/>
            <filter val="COLIN"/>
            <filter val="CONDE"/>
            <filter val="CONTRERAS"/>
            <filter val="COROY"/>
            <filter val="CORREA"/>
            <filter val="CORTES"/>
            <filter val="CORTEZ"/>
            <filter val="COYOTL"/>
            <filter val="CRESPO"/>
            <filter val="CRISANTO"/>
            <filter val="CRUZ"/>
            <filter val="CUACHITL"/>
            <filter val="CUENCA"/>
            <filter val="CUESTA"/>
            <filter val="CUEVAS"/>
            <filter val="CURIEL"/>
            <filter val="DAVILA"/>
            <filter val="DE AQUINO"/>
            <filter val="DE FERMIN"/>
            <filter val="DE JESUS"/>
            <filter val="DE LA CRUZ"/>
            <filter val="DE LA LUZ"/>
            <filter val="DE LA TORRE"/>
            <filter val="DE OLMOS"/>
            <filter val="DEGANTE"/>
            <filter val="DELGADO"/>
            <filter val="DIAZ"/>
            <filter val="DOMINGUEZ"/>
            <filter val="DUEÑAS"/>
            <filter val="DURAN"/>
            <filter val="ELIZALDE"/>
            <filter val="ENCARNACION"/>
            <filter val="ENCISO"/>
            <filter val="ENRIQUEZ"/>
            <filter val="EROSA"/>
            <filter val="ESCALANTE"/>
            <filter val="ESCOBAR"/>
            <filter val="ESCORZA"/>
            <filter val="ESLAVA"/>
            <filter val="ESPARRAGOZA"/>
            <filter val="ESPINO"/>
            <filter val="ESPINOSA"/>
            <filter val="ESPINOZA"/>
            <filter val="ESQUIVEL"/>
            <filter val="ESTRADA"/>
            <filter val="EUSEBIO"/>
            <filter val="FABIAN"/>
            <filter val="FAJARDO"/>
            <filter val="FARIAS"/>
            <filter val="FEDERICO"/>
            <filter val="FERIA"/>
            <filter val="FERMIN"/>
            <filter val="FERNANDEZ"/>
            <filter val="FLORES"/>
            <filter val="FONSECA"/>
            <filter val="FORTIZ"/>
            <filter val="FRAGOSO"/>
            <filter val="FRANCO"/>
            <filter val="FRIAS"/>
            <filter val="FUENTES"/>
            <filter val="FUENTES."/>
            <filter val="GALARZA"/>
            <filter val="GALDAMEZ"/>
            <filter val="GALICIA"/>
            <filter val="GALLEGOS"/>
            <filter val="GALVAN"/>
            <filter val="GALVEZ"/>
            <filter val="GAMA"/>
            <filter val="GAMBOA"/>
            <filter val="GAMIÑO"/>
            <filter val="GARAY"/>
            <filter val="GARCIA"/>
            <filter val="GARDUÑO"/>
            <filter val="GARRIDO"/>
            <filter val="GASPAR"/>
            <filter val="GAYOSSO"/>
            <filter val="GOMEZ"/>
            <filter val="GONZALEZ"/>
            <filter val="GORGONIO"/>
            <filter val="GOYTORTUA"/>
            <filter val="GRACIDA"/>
            <filter val="GRANADOS"/>
            <filter val="GUARNEROS"/>
            <filter val="GUERRA"/>
            <filter val="GUERRERO"/>
            <filter val="GUEVARA"/>
            <filter val="GUTIERREZ"/>
            <filter val="GUZMAN"/>
            <filter val="HERRERA"/>
            <filter val="HUERTA"/>
            <filter val="IBARRA"/>
            <filter val="ISLAS"/>
            <filter val="JACINTO"/>
            <filter val="JARAMILLO"/>
            <filter val="JARQUIN"/>
            <filter val="JERONIMO"/>
            <filter val="JIEMENEZ"/>
            <filter val="JIMENEZ"/>
            <filter val="JOAQUIN"/>
            <filter val="JUAREZ"/>
            <filter val="JULIAN"/>
            <filter val="LAMADRID"/>
            <filter val="LAMARCA"/>
            <filter val="LARA"/>
            <filter val="LASCURAIN"/>
            <filter val="LEGASPI"/>
            <filter val="LEON"/>
            <filter val="LEYVA"/>
            <filter val="LIMA"/>
            <filter val="LIRA"/>
            <filter val="LOBATO"/>
            <filter val="LOPEZ"/>
            <filter val="LORETO"/>
            <filter val="LOVERA"/>
            <filter val="LOYOLA"/>
            <filter val="LOZA"/>
            <filter val="LOZANO"/>
            <filter val="LUCAS"/>
            <filter val="LUGO"/>
            <filter val="MACHORRO"/>
            <filter val="MACIAS"/>
            <filter val="MADRIGAL"/>
            <filter val="MAGALLANES"/>
            <filter val="MAGAÑA"/>
            <filter val="MALDDONADO"/>
            <filter val="MALDONADO"/>
            <filter val="MALVAEZ"/>
            <filter val="MANRIQUE"/>
            <filter val="MANRIQUEZ"/>
            <filter val="MARCIAL"/>
            <filter val="MARILES"/>
            <filter val="MARQUEZ"/>
            <filter val="MASCOTA"/>
            <filter val="MATA"/>
            <filter val="MAYA"/>
            <filter val="MAYORGA"/>
            <filter val="MEDELLIN"/>
            <filter val="MEDINA"/>
            <filter val="MEDRANO"/>
            <filter val="MELENDEZ"/>
            <filter val="MELGOZA"/>
            <filter val="MELO"/>
            <filter val="MENA"/>
            <filter val="MENDEZ"/>
            <filter val="MENDOZA"/>
            <filter val="MERAZ"/>
            <filter val="MERLOS"/>
            <filter val="MEZA"/>
            <filter val="MILLAN"/>
            <filter val="MIRANDA"/>
            <filter val="MOLINA"/>
            <filter val="MONDRAGON"/>
            <filter val="MONROY"/>
            <filter val="MONTER"/>
            <filter val="MONTERO"/>
            <filter val="MONTESINOS"/>
            <filter val="MONTOYA"/>
            <filter val="MORALES"/>
            <filter val="MORENO"/>
            <filter val="MOSCO"/>
            <filter val="MUNGUIA"/>
            <filter val="MUÑOZ"/>
            <filter val="NAPOLEON"/>
            <filter val="NAVA"/>
            <filter val="NAVARRETE"/>
            <filter val="NAVARRO"/>
            <filter val="NEGRETE"/>
            <filter val="NERI"/>
            <filter val="NIETO"/>
            <filter val="NIEVES"/>
            <filter val="NOLASCO"/>
            <filter val="NOYOLA"/>
            <filter val="NUEVO"/>
            <filter val="NUÑEZ"/>
            <filter val="OCAMPO"/>
            <filter val="OCAÑA"/>
            <filter val="OCARANZA"/>
            <filter val="OCEGUERA"/>
            <filter val="OCHOA"/>
            <filter val="OCTAVIANO"/>
            <filter val="OJEDA"/>
            <filter val="OLGUIN"/>
            <filter val="OLIVA"/>
            <filter val="OLIVARES"/>
            <filter val="OLIVAS"/>
            <filter val="OLIVERA"/>
            <filter val="OLIVO"/>
            <filter val="OLIVOS"/>
            <filter val="OLMOS"/>
            <filter val="OLVERA"/>
            <filter val="ORDAZ"/>
            <filter val="OREA"/>
            <filter val="ORTEGA"/>
            <filter val="ORTIZ"/>
            <filter val="OSORIO"/>
            <filter val="OTAÑEZ"/>
            <filter val="OVIEDO"/>
            <filter val="PABLO"/>
            <filter val="PACHECO"/>
            <filter val="PADILLA"/>
            <filter val="PAEZ"/>
            <filter val="PALLARES"/>
            <filter val="PALMA"/>
            <filter val="PALOMINO"/>
            <filter val="PANTALEON"/>
            <filter val="PANTOJA"/>
            <filter val="PASCUAL"/>
            <filter val="PATIÑO"/>
            <filter val="PEÑA"/>
            <filter val="PERALTA"/>
            <filter val="PEREA"/>
            <filter val="PEREYRA"/>
            <filter val="PEREZ"/>
            <filter val="PERFECTO"/>
            <filter val="PINAL"/>
            <filter val="PINEDA"/>
            <filter val="PINTOR"/>
            <filter val="PIÑA"/>
            <filter val="PIZANO"/>
            <filter val="PLATA"/>
            <filter val="PLIEGO"/>
            <filter val="PONCIANO"/>
            <filter val="POSADAS"/>
            <filter val="POZOS"/>
            <filter val="PRADO"/>
            <filter val="PRESTADO"/>
            <filter val="PRUBA"/>
            <filter val="QUIJADA"/>
            <filter val="QUIJANO"/>
            <filter val="QUIÑONES"/>
            <filter val="QUIROZ"/>
            <filter val="QUITERIO"/>
            <filter val="RABADAN"/>
            <filter val="RAFAEL"/>
            <filter val="RAMIREZ"/>
            <filter val="RAMIRO"/>
            <filter val="RAMOS"/>
            <filter val="RANGEL"/>
            <filter val="REGINO"/>
            <filter val="RESENDIZ"/>
            <filter val="REYNOSO"/>
            <filter val="RICO"/>
            <filter val="RIVAS"/>
            <filter val="RIVERA"/>
            <filter val="RIVERO"/>
            <filter val="ROBLES"/>
            <filter val="ROCHA"/>
            <filter val="RODALES"/>
            <filter val="RODRIGUEZ"/>
            <filter val="ROJAS"/>
            <filter val="ROLDAN"/>
            <filter val="ROMAN"/>
            <filter val="ROMERO"/>
            <filter val="RONCES"/>
            <filter val="ROSALES"/>
            <filter val="ROSAS"/>
            <filter val="RUBIO"/>
            <filter val="RUEDA"/>
            <filter val="RUEDAS"/>
            <filter val="RUIZ"/>
            <filter val="SAAVEDRA"/>
            <filter val="SAINZ"/>
            <filter val="SALAS"/>
            <filter val="SALAZAR"/>
            <filter val="SALCEDO"/>
            <filter val="SALGADO"/>
            <filter val="SALINAS"/>
            <filter val="SAMPEDRO"/>
            <filter val="SAN JUAN"/>
            <filter val="SANCHEZ"/>
            <filter val="SANDOVAL"/>
            <filter val="SANTANA"/>
            <filter val="SANTANDER"/>
            <filter val="SANTES"/>
            <filter val="SANTIAGO"/>
            <filter val="SANTILLAN"/>
            <filter val="SANTOS"/>
            <filter val="SARMIENTO"/>
            <filter val="SAUCEDO"/>
            <filter val="SAVALZA"/>
            <filter val="SEBASTIAN"/>
            <filter val="SEGUNDO"/>
            <filter val="SEGURA"/>
            <filter val="SERENO"/>
            <filter val="SERNA"/>
            <filter val="SERRANO"/>
            <filter val="SERRATO"/>
            <filter val="SERVIN"/>
            <filter val="SIERRA"/>
            <filter val="SILVA"/>
            <filter val="SOLEDAD"/>
            <filter val="SOLIS"/>
            <filter val="SOREQUE"/>
            <filter val="SORIANO"/>
            <filter val="SOTO"/>
            <filter val="SUAREZ"/>
            <filter val="TAPIA"/>
            <filter val="TEHOZOL"/>
            <filter val="TEHUACANERO"/>
            <filter val="TEJEDA"/>
            <filter val="TEJOCOTE"/>
            <filter val="TELLEZ"/>
            <filter val="TERRAZAS"/>
            <filter val="TIBURCIO"/>
            <filter val="TIERRABLANCA"/>
            <filter val="TINOCO"/>
            <filter val="TLAPECHCO"/>
            <filter val="TOLEDO"/>
            <filter val="TORRES"/>
            <filter val="TREJO"/>
            <filter val="TRIFUNDIO"/>
            <filter val="TRUJILLO"/>
            <filter val="UBALDO"/>
            <filter val="URIOSTEGUI"/>
            <filter val="USCANGA"/>
            <filter val="VACA"/>
            <filter val="VALDEZ"/>
            <filter val="VALDIVIA"/>
            <filter val="VALLE"/>
            <filter val="VALVERDE"/>
            <filter val="VARGAS"/>
            <filter val="VASQUEZ"/>
            <filter val="VAZQUEZ"/>
            <filter val="VEGA"/>
            <filter val="VELASCO"/>
            <filter val="VELAZQUEZ"/>
            <filter val="VENCES"/>
            <filter val="VENTURA"/>
            <filter val="VERA"/>
            <filter val="VERDE"/>
            <filter val="VERTIZ"/>
            <filter val="VIDAL"/>
            <filter val="VILCHIS"/>
            <filter val="VILLA"/>
            <filter val="VILLALOBOS"/>
            <filter val="VILLANUEVA"/>
            <filter val="VILLEGAS"/>
            <filter val="VITAL"/>
            <filter val="VITELA"/>
            <filter val="YAHUTENTZI"/>
            <filter val="YAÑEZ"/>
            <filter val="ZAMORA"/>
            <filter val="ZARAGOZA"/>
            <filter val="ZEMPOALTECA"/>
            <filter val="ZOSAYAS"/>
          </filters>
        </filterColumn>
      </autoFilter>
    </customSheetView>
    <customSheetView guid="{22F47939-08A3-4C93-BE4B-FAE9791D0864}" filter="1" showAutoFilter="1">
      <pageMargins left="0.7" right="0.7" top="0.75" bottom="0.75" header="0.3" footer="0.3"/>
      <autoFilter ref="A1:CR1330" xr:uid="{38BF2797-691D-4209-B950-08ECAC8BD1C5}"/>
    </customSheetView>
    <customSheetView guid="{F45CB351-C596-47DA-9935-B65C4725C8D2}" filter="1" showAutoFilter="1">
      <pageMargins left="0.7" right="0.7" top="0.75" bottom="0.75" header="0.3" footer="0.3"/>
      <autoFilter ref="F1327:F1329" xr:uid="{00EA6ED6-CC1C-4157-95B4-9207A76F9DF7}"/>
    </customSheetView>
    <customSheetView guid="{3C6E18E5-6B8A-4C72-A1BB-D834D1CFF007}" filter="1" showAutoFilter="1">
      <pageMargins left="0.7" right="0.7" top="0.75" bottom="0.75" header="0.3" footer="0.3"/>
      <autoFilter ref="A1:GL1417" xr:uid="{E6D299D4-A719-41EE-B4B9-83F6C64A1DBB}">
        <filterColumn colId="2">
          <filters>
            <filter val="ACOSTA"/>
            <filter val="AMBROCIO"/>
            <filter val="ATLATENCO"/>
            <filter val="CERECERO"/>
            <filter val="DIAZ GONZALEZ"/>
            <filter val="ESTRELLA"/>
            <filter val="FABELA"/>
            <filter val="FERIA"/>
            <filter val="HINOJOSA"/>
            <filter val="IPATZI"/>
            <filter val="LUIS"/>
            <filter val="MANZANO"/>
            <filter val="MATIAS"/>
            <filter val="MOLGADO"/>
            <filter val="MONTER"/>
            <filter val="NATERA"/>
            <filter val="NIEVES"/>
            <filter val="PELAEZ"/>
            <filter val="PERALES"/>
            <filter val="TIMOTEO"/>
            <filter val="TORRES"/>
            <filter val="VALLEJO"/>
            <filter val="XOLALPA"/>
          </filters>
        </filterColumn>
        <filterColumn colId="3">
          <filters blank="1">
            <filter val="ACOSTA"/>
            <filter val="ACUAPAN"/>
            <filter val="ACUAUTLA"/>
            <filter val="ADRIAN"/>
            <filter val="AGAMA"/>
            <filter val="AGUDO"/>
            <filter val="AGUILA"/>
            <filter val="AGUIÑAGA"/>
            <filter val="AGUIRRE"/>
            <filter val="ALAMEDA"/>
            <filter val="ALARCON"/>
            <filter val="ALBA"/>
            <filter val="ALBARRAN"/>
            <filter val="ALCANTAR"/>
            <filter val="ALCANTARA"/>
            <filter val="ALDIVAR"/>
            <filter val="ALGOMEDA"/>
            <filter val="ALONSO"/>
            <filter val="ALVARADO"/>
            <filter val="AMADOR"/>
            <filter val="AMAYA"/>
            <filter val="ANACLETO"/>
            <filter val="ANASTACIO"/>
            <filter val="ANDRADE"/>
            <filter val="ANDRES"/>
            <filter val="ANGULO"/>
            <filter val="ANTUNEZ"/>
            <filter val="APARICIO"/>
            <filter val="APASEO"/>
            <filter val="APOLINAR"/>
            <filter val="ARAGON"/>
            <filter val="ARANDA"/>
            <filter val="ARCIGA"/>
            <filter val="ARCOS"/>
            <filter val="AREAS"/>
            <filter val="ARELLANES"/>
            <filter val="ARELLANO"/>
            <filter val="ARENAS"/>
            <filter val="ARGUIJO"/>
            <filter val="ARIAS"/>
            <filter val="ARIZPE"/>
            <filter val="ARREDONDO"/>
            <filter val="ARREOLA"/>
            <filter val="ARRIAGA"/>
            <filter val="ARROYO"/>
            <filter val="ATANACIO"/>
            <filter val="AVALOS"/>
            <filter val="AVENDAÑO"/>
            <filter val="AVILES"/>
            <filter val="AYALA"/>
            <filter val="BABINES"/>
            <filter val="BADILLO"/>
            <filter val="BAENA"/>
            <filter val="BAEZ"/>
            <filter val="BALDERRAMA"/>
            <filter val="BANDA"/>
            <filter val="BANDALA"/>
            <filter val="BANUET"/>
            <filter val="BARAHONA"/>
            <filter val="BARAJAS"/>
            <filter val="BARRON"/>
            <filter val="BASILIO"/>
            <filter val="BASTIDA"/>
            <filter val="BAUTISTA"/>
            <filter val="BECERRA"/>
            <filter val="BELMAN"/>
            <filter val="BERNABE"/>
            <filter val="BERNAL"/>
            <filter val="BETANCOURT"/>
            <filter val="BETANZOS"/>
            <filter val="BLANCO"/>
            <filter val="BOLAÑOS"/>
            <filter val="BONILLA"/>
            <filter val="BOYZO"/>
            <filter val="BRAVO"/>
            <filter val="BRIONES"/>
            <filter val="BRRERA"/>
            <filter val="BUCIO"/>
            <filter val="CABALLERO"/>
            <filter val="CAHUE"/>
            <filter val="CALVILLO"/>
            <filter val="CAMACHO"/>
            <filter val="CAMARILLO"/>
            <filter val="CAMPOS"/>
            <filter val="CAMPUZANO"/>
            <filter val="CANO"/>
            <filter val="CANTON"/>
            <filter val="CAPULTITLA"/>
            <filter val="CARBAJAL"/>
            <filter val="CARDENAS"/>
            <filter val="CARDOSO"/>
            <filter val="CARMONA"/>
            <filter val="CARRANZA"/>
            <filter val="CARREOLA"/>
            <filter val="CARRILLO"/>
            <filter val="CASAS"/>
            <filter val="CASIMIRO"/>
            <filter val="CASTAÑEDA"/>
            <filter val="CASTRO"/>
            <filter val="CAZARES"/>
            <filter val="CEDEÑO"/>
            <filter val="CEDILLO"/>
            <filter val="CERON"/>
            <filter val="CERRILLO"/>
            <filter val="CHAPARRO"/>
            <filter val="CHAVEZ"/>
            <filter val="CHAVIRA"/>
            <filter val="CID"/>
            <filter val="CISNEROS"/>
            <filter val="CITALAN"/>
            <filter val="COCOLETZI"/>
            <filter val="COLIN"/>
            <filter val="CONDE"/>
            <filter val="CONTRERAS"/>
            <filter val="COROY"/>
            <filter val="CORTEZ"/>
            <filter val="COYOTL"/>
            <filter val="CRESPO"/>
            <filter val="CRISANTO"/>
            <filter val="CUACHITL"/>
            <filter val="CUENCA"/>
            <filter val="CUESTA"/>
            <filter val="CUEVAS"/>
            <filter val="CURIEL"/>
            <filter val="DAVILA"/>
            <filter val="DE AQUINO"/>
            <filter val="DE FERMIN"/>
            <filter val="DE JESUS"/>
            <filter val="DE LA CRUZ"/>
            <filter val="DE LA TORRE"/>
            <filter val="DE OLMOS"/>
            <filter val="DEGANTE"/>
            <filter val="DIAZ"/>
            <filter val="DOMINGUEZ"/>
            <filter val="DUEÑAS"/>
            <filter val="DURAN"/>
            <filter val="ELIZALDE"/>
            <filter val="ENCARNACION"/>
            <filter val="ENCISO"/>
            <filter val="ENRIQUEZ"/>
            <filter val="EROSA"/>
            <filter val="ESCALANTE"/>
            <filter val="ESCOBAR"/>
            <filter val="ESCORZA"/>
            <filter val="ESLAVA"/>
            <filter val="ESPARRAGOZA"/>
            <filter val="ESPINO"/>
            <filter val="ESPINOSA"/>
            <filter val="ESPINOZA"/>
            <filter val="ESQUIVEL"/>
            <filter val="ESTRADA"/>
            <filter val="EUSEBIO"/>
            <filter val="FABIAN"/>
            <filter val="FAJARDO"/>
            <filter val="FARIAS"/>
            <filter val="FEDERICO"/>
            <filter val="FERIA"/>
            <filter val="FERMIN"/>
            <filter val="FERNANDEZ"/>
            <filter val="FIGUEROA"/>
            <filter val="FLORES"/>
            <filter val="FONSECA"/>
            <filter val="FORTIZ"/>
            <filter val="FRAGOSO"/>
            <filter val="FRANCO"/>
            <filter val="FRIAS"/>
            <filter val="FUENTES"/>
            <filter val="FUENTES."/>
            <filter val="GALARZA"/>
            <filter val="GALDAMEZ"/>
            <filter val="GALICIA"/>
            <filter val="GALLEGOS"/>
            <filter val="GALVAN"/>
            <filter val="GALVEZ"/>
            <filter val="GAMA"/>
            <filter val="GAMBOA"/>
            <filter val="GAMIÑO"/>
            <filter val="GARAY"/>
            <filter val="GARCIA"/>
            <filter val="GARDUÑO"/>
            <filter val="GARRIDO"/>
            <filter val="GASPAR"/>
            <filter val="GAYOSSO"/>
            <filter val="GOMEZ"/>
            <filter val="GORGONIO"/>
            <filter val="GOYTORTUA"/>
            <filter val="GRACIDA"/>
            <filter val="GRANADOS"/>
            <filter val="GUARNEROS"/>
            <filter val="GUERRA"/>
            <filter val="GUERRERO"/>
            <filter val="GUEVARA"/>
            <filter val="GUZMAN"/>
            <filter val="HUERTA"/>
            <filter val="IBARRA"/>
            <filter val="ISLAS"/>
            <filter val="JACINTO"/>
            <filter val="JARAMILLO"/>
            <filter val="JARQUIN"/>
            <filter val="JERONIMO"/>
            <filter val="JIEMENEZ"/>
            <filter val="JOAQUIN"/>
            <filter val="JULIAN"/>
            <filter val="LAMARCA"/>
            <filter val="LARA"/>
            <filter val="LASCURAIN"/>
            <filter val="LEGASPI"/>
            <filter val="LEON"/>
            <filter val="LEYVA"/>
            <filter val="LIMA"/>
            <filter val="LIRA"/>
            <filter val="LOBATO"/>
            <filter val="LOVERA"/>
            <filter val="LOYOLA"/>
            <filter val="LOZA"/>
            <filter val="LOZANO"/>
            <filter val="LUCAS"/>
            <filter val="LUCIO"/>
            <filter val="LUNA"/>
            <filter val="MACHORRO"/>
            <filter val="MACIAS"/>
            <filter val="MADRIGAL"/>
            <filter val="MAGALLANES"/>
            <filter val="MAGAÑA"/>
            <filter val="MALDDONADO"/>
            <filter val="MALDONADO"/>
            <filter val="MALVAEZ"/>
            <filter val="MANRIQUE"/>
            <filter val="MANRIQUEZ"/>
            <filter val="MARCIAL"/>
            <filter val="MARILES"/>
            <filter val="MARQUEZ"/>
            <filter val="MASCOTA"/>
            <filter val="MATA"/>
            <filter val="MAYA"/>
            <filter val="MAYORGA"/>
            <filter val="MEDELLIN"/>
            <filter val="MEDRANO"/>
            <filter val="MEJIA"/>
            <filter val="MELENDEZ"/>
            <filter val="MELGOZA"/>
            <filter val="MELO"/>
            <filter val="MENA"/>
            <filter val="MENDOZA"/>
            <filter val="MERAZ"/>
            <filter val="MERLOS"/>
            <filter val="MEZA"/>
            <filter val="MILLAN"/>
            <filter val="MIRANDA"/>
            <filter val="MOLINA"/>
            <filter val="MONDRAGON"/>
            <filter val="MONROY"/>
            <filter val="MONTER"/>
            <filter val="MONTERO"/>
            <filter val="MONTESINOS"/>
            <filter val="MONTOYA"/>
            <filter val="MORA"/>
            <filter val="MORALES"/>
            <filter val="MORENO"/>
            <filter val="MOSCO"/>
            <filter val="MUNGUIA"/>
            <filter val="MUÑOZ"/>
            <filter val="NAPOLEON"/>
            <filter val="NAVA"/>
            <filter val="NAVARRETE"/>
            <filter val="NAVARRO"/>
            <filter val="NEGRETE"/>
            <filter val="NERI"/>
            <filter val="NIETO"/>
            <filter val="NIEVES"/>
            <filter val="NOLASCO"/>
            <filter val="NOYOLA"/>
            <filter val="NUEVO"/>
            <filter val="NUÑEZ"/>
            <filter val="OCAMPO"/>
            <filter val="OCAÑA"/>
            <filter val="OCARANZA"/>
            <filter val="OCEGUERA"/>
            <filter val="OCHOA"/>
            <filter val="OCTAVIANO"/>
            <filter val="OJEDA"/>
            <filter val="OLGUIN"/>
            <filter val="OLIVA"/>
            <filter val="OLIVARES"/>
            <filter val="OLIVAS"/>
            <filter val="OLIVERA"/>
            <filter val="OLIVO"/>
            <filter val="OLIVOS"/>
            <filter val="OLVERA"/>
            <filter val="ORDAZ"/>
            <filter val="OREA"/>
            <filter val="ORTEGA"/>
            <filter val="ORTIZ"/>
            <filter val="OSORIO"/>
            <filter val="OVIEDO"/>
            <filter val="PABLO"/>
            <filter val="PACHECO"/>
            <filter val="PADILLA"/>
            <filter val="PAEZ"/>
            <filter val="PALACIOS"/>
            <filter val="PALLARES"/>
            <filter val="PALOMINO"/>
            <filter val="PANTALEON"/>
            <filter val="PANTOJA"/>
            <filter val="PAREDES"/>
            <filter val="PASCUAL"/>
            <filter val="PATIÑO"/>
            <filter val="PERALTA"/>
            <filter val="PEREA"/>
            <filter val="PEREYRA"/>
            <filter val="PERFECTO"/>
            <filter val="PINAL"/>
            <filter val="PINEDA"/>
            <filter val="PINTOR"/>
            <filter val="PIÑA"/>
            <filter val="PIZANO"/>
            <filter val="PLATA"/>
            <filter val="PLIEGO"/>
            <filter val="PONCIANO"/>
            <filter val="POSADAS"/>
            <filter val="POZOS"/>
            <filter val="PRADO"/>
            <filter val="PRESTADO"/>
            <filter val="PRIETO"/>
            <filter val="PRUBA"/>
            <filter val="QUIJADA"/>
            <filter val="QUIJANO"/>
            <filter val="QUINTERO"/>
            <filter val="QUIÑONES"/>
            <filter val="QUIROZ"/>
            <filter val="QUITERIO"/>
            <filter val="RABADAN"/>
            <filter val="RAFAEL"/>
            <filter val="RAMIRO"/>
            <filter val="RAMOS"/>
            <filter val="RANGEL"/>
            <filter val="REGINO"/>
            <filter val="RESENDIZ"/>
            <filter val="REYES"/>
            <filter val="REYNOSO"/>
            <filter val="RICO"/>
            <filter val="RIVERA"/>
            <filter val="RIVERO"/>
            <filter val="ROBLES"/>
            <filter val="RODALES"/>
            <filter val="ROLDAN"/>
            <filter val="ROMAN"/>
            <filter val="ROMERO"/>
            <filter val="RONCES"/>
            <filter val="ROSALES"/>
            <filter val="ROSAS"/>
            <filter val="RUBIO"/>
            <filter val="RUEDA"/>
            <filter val="RUEDAS"/>
            <filter val="SAAVEDRA"/>
            <filter val="SAINZ"/>
            <filter val="SALAS"/>
            <filter val="SALAZAR"/>
            <filter val="SALCEDO"/>
            <filter val="SALGADO"/>
            <filter val="SAMANO"/>
            <filter val="SAMPEDRO"/>
            <filter val="SANDOVAL"/>
            <filter val="SANTANA"/>
            <filter val="SANTANDER"/>
            <filter val="SANTES"/>
            <filter val="SANTILLAN"/>
            <filter val="SANTOS"/>
            <filter val="SARMIENTO"/>
            <filter val="SAUCEDO"/>
            <filter val="SAVALZA"/>
            <filter val="SEBASTIAN"/>
            <filter val="SEGUNDO"/>
            <filter val="SEGURA"/>
            <filter val="SERNA"/>
            <filter val="SERRANO"/>
            <filter val="SERRATO"/>
            <filter val="SERVIN"/>
            <filter val="SEVERIANO"/>
            <filter val="SIERRA"/>
            <filter val="SILVA"/>
            <filter val="SOLEDAD"/>
            <filter val="SOLIS"/>
            <filter val="SOREQUE"/>
            <filter val="SORIANO"/>
            <filter val="SOTO"/>
            <filter val="SUAREZ"/>
            <filter val="TAPIA"/>
            <filter val="TEHOZOL"/>
            <filter val="TEHUACANERO"/>
            <filter val="TEJEDA"/>
            <filter val="TEJOCOTE"/>
            <filter val="TERRAZAS"/>
            <filter val="TIERRABLANCA"/>
            <filter val="TINOCO"/>
            <filter val="TLAPECHCO"/>
            <filter val="TOLEDO"/>
            <filter val="TREJO"/>
            <filter val="TRIFUNDIO"/>
            <filter val="TRUJILLO"/>
            <filter val="UBALDO"/>
            <filter val="URIOSTEGUI"/>
            <filter val="USCANGA"/>
            <filter val="VACA"/>
            <filter val="VALDEZ"/>
            <filter val="VALDIVIA"/>
            <filter val="VALLE"/>
            <filter val="VALVERDE"/>
            <filter val="VARGAS"/>
            <filter val="VASQUEZ"/>
            <filter val="VEGA"/>
            <filter val="VELASCO"/>
            <filter val="VELAZQUEZ"/>
            <filter val="VENCES"/>
            <filter val="VERA"/>
            <filter val="VERDE"/>
            <filter val="VERTIZ"/>
            <filter val="VIDAL"/>
            <filter val="VILCHIS"/>
            <filter val="VILLA"/>
            <filter val="VILLALOBOS"/>
            <filter val="VILLANUEVA"/>
            <filter val="VILLEGAS"/>
            <filter val="VITAL"/>
            <filter val="VITELA"/>
            <filter val="YAHUTENTZI"/>
            <filter val="YAÑEZ"/>
            <filter val="ZAMORA"/>
            <filter val="ZARAGOZA"/>
            <filter val="ZARATE"/>
            <filter val="ZEMPOALTECA"/>
            <filter val="ZOSAYAS"/>
          </filters>
        </filterColumn>
        <filterColumn colId="36">
          <filters blank="1">
            <filter val="04gutierrezgmarisol@gmail.com"/>
            <filter val="18090415j@gmail.com"/>
            <filter val="1829bobsponja@gmail.con"/>
            <filter val="1d.ss501.susi@gmail.com"/>
            <filter val="20-sanchezjimenez.angelaldahir@cetis57.edu.mx"/>
            <filter val="21-fatimaceleste.torressalgado@cetis57.edu.mx"/>
            <filter val="26fgarciae@gmail.com"/>
            <filter val="3110fresita@gmail.com"/>
            <filter val="5512815581l@gmail.com"/>
            <filter val="5581535162jm@gmail.com"/>
            <filter val="72735363e@gmail.com"/>
            <filter val="a.a11430@outlook.com"/>
            <filter val="a.ahuert@gmail.com"/>
            <filter val="aangeldaniela090206a@gmail.com"/>
            <filter val="aaronalexisdana@gmail.com"/>
            <filter val="aboncerosa72@gmail.com"/>
            <filter val="abraham1htic@gmail.com"/>
            <filter val="abrahamramirezgonzalez@hotmail.com"/>
            <filter val="aby691303@gmail.com"/>
            <filter val="abyosornio972@gmail.com"/>
            <filter val="ad2991489@gmail.com"/>
            <filter val="ada.lpz701@gmail.com"/>
            <filter val="adan2019@hotmail.com"/>
            <filter val="adeptused209@gmail.com"/>
            <filter val="adrianalascurain7@gmail.com"/>
            <filter val="adris1967saucedo@gmail.com"/>
            <filter val="adynuez9@gmail.com"/>
            <filter val="ages05.j@gmail.com"/>
            <filter val="agripinaolvera6o@gmail.com"/>
            <filter val="aguilaangelica269@gmail.com"/>
            <filter val="aguilarmariana444@gmail.con"/>
            <filter val="AH05111983@GMAIL.COM"/>
            <filter val="aile.enfermera@gmail.com"/>
            <filter val="ailynocaranza2313a@gmail.com"/>
            <filter val="ailynytadeo@gmail.com"/>
            <filter val="ajiapa19785@gmail.com"/>
            <filter val="akire_acd@hotmail.com"/>
            <filter val="akirechvezrobles@gmail.com"/>
            <filter val="alba.quijano.ronquillo@gmail.com"/>
            <filter val="albejom@gmail.com"/>
            <filter val="alcazarmeili189@gmail.com"/>
            <filter val="ale_galiciamedina@hotmail.com"/>
            <filter val="alejandrafrancomartinez2020@gmail.com"/>
            <filter val="alejandragallegos5519@gmail.com"/>
            <filter val="ALEJANDRAGUILAR419@GMAIL.COM"/>
            <filter val="alejandramartinezclemente203@gmail.com"/>
            <filter val="alejandro.se760717@gmail.com"/>
            <filter val="ALEJANDROGOMEZOV@GMAIL.COM"/>
            <filter val="alejandropantoja709@gmail.com"/>
            <filter val="alejime_71ramirez@gmail.com"/>
            <filter val="alemunekita.mami@gmail.com"/>
            <filter val="alequiroz0409@gmail.com"/>
            <filter val="alex.253.alexander@gmail.com"/>
            <filter val="alexander.1989@live.com.mx"/>
            <filter val="alexandralopc@gmail.com"/>
            <filter val="alfonsobaeza@gmail.com"/>
            <filter val="alhernandezz09@gmail.com"/>
            <filter val="alisonailinaguilar180207@gmail.com"/>
            <filter val="alissor72@gmail.com"/>
            <filter val="alita5517@gmail.com"/>
            <filter val="alitasdeavestruz@gmail.com"/>
            <filter val="almabc_13@hotmail.com"/>
            <filter val="almadelia6590@gmail.com"/>
            <filter val="almaegc17@gmail.com"/>
            <filter val="almajimenezp31@gmail.com"/>
            <filter val="almaju77@outlook.com"/>
            <filter val="almyzul.flax@gmail.com"/>
            <filter val="alon202010@hotmail.com"/>
            <filter val="alondrateopanican78@gmail.com"/>
            <filter val="alonmartz@outlook.com"/>
            <filter val="ALPEX15@HOTMAIL.COM"/>
            <filter val="alvaevelyn620@gmail.com"/>
            <filter val="alvarezalejandrayazmin@gmail.com"/>
            <filter val="alvarin.2073@gmail.com"/>
            <filter val="alyncam.ach@gmail.com"/>
            <filter val="amadolopezcom85647@gmail.com"/>
            <filter val="amador_1606@hotmail.com"/>
            <filter val="amaliamagsan@gmail.com"/>
            <filter val="amariana505@gmail.com"/>
            <filter val="americaimss3@gmail.com"/>
            <filter val="americaruedalugo@hotmail.com"/>
            <filter val="amerikcruz07@gmail.com"/>
            <filter val="amorcito2882@gmail.com"/>
            <filter val="amyzalvatore36@gmail.com"/>
            <filter val="an3621036@gmail.com"/>
            <filter val="ana.ramos24o88@gmail.com"/>
            <filter val="anabel170483@gmail.com"/>
            <filter val="anacalderon8802@gmail.com"/>
            <filter val="anaceronjimenez@gmail.com"/>
            <filter val="anafanyjuana@gmail.com"/>
            <filter val="anafausto12345@gmail.com"/>
            <filter val="anahi15her@gmail.com"/>
            <filter val="analatog14@gmail.com"/>
            <filter val="analiliavale1311@gmail.com"/>
            <filter val="anamdz108@gmail.com"/>
            <filter val="anami_3shaky@hotmail.com"/>
            <filter val="anamrodriguez580@gmail.com"/>
            <filter val="anapatriciajoaquinsantiago@gmail.com"/>
            <filter val="anayelideaquinosilvestres@gmail.com"/>
            <filter val="andoryjuca@gmail.com"/>
            <filter val="andreaangelito85@gmail.com"/>
            <filter val="andy120perez@gmail.com"/>
            <filter val="andyshaparrita724@gmail.com"/>
            <filter val="anel.michel.oledo.cruz@gmail.com"/>
            <filter val="anelcedillo3@gmail.com"/>
            <filter val="angel910.mx@gmail.com"/>
            <filter val="angeldamian3211@gmail.com"/>
            <filter val="angeles.rosas10@gmail.com"/>
            <filter val="angelica.aipt@gmail.com"/>
            <filter val="angelica.lopezgimenez@gmail.com"/>
            <filter val="angelicamirandamejia@gmail.com"/>
            <filter val="angelicapizano38@gmail.com"/>
            <filter val="angelkevintemoxtle@gmail.com"/>
            <filter val="angellizears12@gmail.com"/>
            <filter val="angie1125esp@gmail.com"/>
            <filter val="angie301085@gmail.com"/>
            <filter val="angii81011@gmail.com"/>
            <filter val="angy@gmail.com"/>
            <filter val="angy-wiwi110606@hotmail.com"/>
            <filter val="ANIGG041077@GMAIL.COM"/>
            <filter val="anita.lopez1492@gmail.com"/>
            <filter val="anllyfonseca44@gmail.com"/>
            <filter val="antoniosilvagomez2482@gmail.com"/>
            <filter val="ar1650927@gmail.com"/>
            <filter val="ara.chirrin@gmail.com"/>
            <filter val="araceliantu814@gmail.com"/>
            <filter val="aracelironcesvilla40@gmail.com"/>
            <filter val="aracelisaldana2003@gmail.com"/>
            <filter val="araherjim21@gmail.com"/>
            <filter val="arathready1@icloud.com"/>
            <filter val="araventura13@yahoo.com"/>
            <filter val="arenasarenas2826@gmail.com"/>
            <filter val="aris0323aris@gmail.com"/>
            <filter val="aritzumia@gmail.com"/>
            <filter val="arletfernandez4@hotmail.com"/>
            <filter val="Arletsh15vd@gmail.com"/>
            <filter val="armandomartinez1783@gmail.com"/>
            <filter val="armandomendoza1208@gmail.com"/>
            <filter val="arreolasandra62@gmail.com"/>
            <filter val="arturogracian73@gnail.com"/>
            <filter val="aryasera.amr@gmail.com"/>
            <filter val="asasinnangel@gmail.com"/>
            <filter val="ashleyaranzacarbajalmunoz@gmail.com"/>
            <filter val="athanyojance@gmail.com"/>
            <filter val="auguzmaldonado@gmail.com"/>
            <filter val="aureliopaty1978@gmail.com"/>
            <filter val="aurorapacheco.guz@gmail.com"/>
            <filter val="ausenciaherrera63@gmail.com"/>
            <filter val="Avilaguadalupe259@gmail.com"/>
            <filter val="avilesangelica15@gmail.com"/>
            <filter val="avisalibrenda@gmail.com"/>
            <filter val="Avismate@gmail.com"/>
            <filter val="axelbahena7@gmail.com"/>
            <filter val="axelinsanti@gmail.com"/>
            <filter val="azafra83@gmail.com"/>
            <filter val="Azulzoe33@gmail.com"/>
            <filter val="ballesterosfanny30@gmail.com"/>
            <filter val="baltazar_adolfo@yahoo.com.mx"/>
            <filter val="baneyruiz.08@gmail.com"/>
            <filter val="barrerajessyca@gmail.com"/>
            <filter val="bbthyr@gmail.com"/>
            <filter val="beatriz.gama.009988@gmail.com"/>
            <filter val="beatrizgarcialozano786@gmail.com"/>
            <filter val="beccaduran17@gmail.com"/>
            <filter val="belmanperezk@gmail.com"/>
            <filter val="berenicehernandezpalma@gmail.com"/>
            <filter val="berna.pasindo@gmail.com"/>
            <filter val="berthaalice76@gmail.com"/>
            <filter val="bhzel378@gmail.com"/>
            <filter val="bialitron2.0@gmail.com"/>
            <filter val="Biggonly@gmail.com"/>
            <filter val="blancagonzalezcamcho@gmail.com"/>
            <filter val="blancagraciela388@gmail.com"/>
            <filter val="blancanora220@gmail.com"/>
            <filter val="blancarojas310770@gmail.com"/>
            <filter val="blancasolagil@gmail.com"/>
            <filter val="blancavega529.bv@gmail.com"/>
            <filter val="blancavitela9@gmail.com"/>
            <filter val="blancka.roldan16@gmail.com"/>
            <filter val="bloodyshak1@hotmail.com"/>
            <filter val="borutoshipuden485@gmail.com"/>
            <filter val="boxingtai30@gmail.com"/>
            <filter val="bren100388@hotmail.com"/>
            <filter val="brendatenda34@gmail.com"/>
            <filter val="brendi20002@outlook.com"/>
            <filter val="brianalexandersosacarrillo@gmail.com"/>
            <filter val="britany2006bb@gmail.com"/>
            <filter val="britanyolvera1506@hotmail.com"/>
            <filter val="bryancafeemir@gmail.com"/>
            <filter val="burbuja2410@gmail.com"/>
            <filter val="burbusozo.2104@gmail.com"/>
            <filter val="BV0813457@GMAIL.COM"/>
            <filter val="bzrcm53@gmail.com"/>
            <filter val="CABALLERORAMIRO859@GMAIL.COM"/>
            <filter val="cachi_2910@hotmail.com.mx"/>
            <filter val="callejaalberto@hotmail.com"/>
            <filter val="calvillo0704@gmail.com"/>
            <filter val="camachopaty831@gmail.com"/>
            <filter val="camargopaula156@gmail.com"/>
            <filter val="cameespinorodri20@gmail.com"/>
            <filter val="camila064@gmail.com"/>
            <filter val="camposandra113@gmail.com"/>
            <filter val="candyfajardop88@gmail.com"/>
            <filter val="canopatty013@gmail.com"/>
            <filter val="carc48694@gmail.com"/>
            <filter val="carlaxpalas@gmail.com"/>
            <filter val="carmen1977lara@gmail.com"/>
            <filter val="carmen88olivera@gmail.com"/>
            <filter val="carmenherreratorres74@gmail.com"/>
            <filter val="carmenmt69@gmail.com"/>
            <filter val="carohh1210@gmail.com"/>
            <filter val="carolinaaguilar361@gmail.com"/>
            <filter val="carolinalh_89@hotmail.com"/>
            <filter val="casta2904@hotmail.com"/>
            <filter val="castillo_sarahi@yahoo.com"/>
            <filter val="catanedapablo@gmai.com"/>
            <filter val="cazaresmaricruz90@gmail.com"/>
            <filter val="cecyslove36@gmail.com"/>
            <filter val="cesarcervantesccc1979@gimail.com"/>
            <filter val="cesarmatamoros593@gmail.com"/>
            <filter val="chalomolinero67@gmail.com"/>
            <filter val="charlyfolks@hormail.com"/>
            <filter val="chayo1990@gmail.com"/>
            <filter val="checotopcars@gmail.com"/>
            <filter val="chekovalle1987@outlook.com"/>
            <filter val="cheliyaar12@gmail.com"/>
            <filter val="chiquisimelda@gmail.com"/>
            <filter val="chispscapri95@gmail.com"/>
            <filter val="chivis.jlg@gmail.com"/>
            <filter val="cinthya26c@gmail.com"/>
            <filter val="CINTIRRIS112@HOTMAIL.COM"/>
            <filter val="cirocmarin@gmail.com"/>
            <filter val="citlalyg83@gamail.com"/>
            <filter val="clasg96@gmail.com"/>
            <filter val="clau.dunas27@gmail.com"/>
            <filter val="claudia.sercas.84@hotmail.com"/>
            <filter val="claudiaabarca1982@gmail.com"/>
            <filter val="claudialimapuebla@gmail.com"/>
            <filter val="claudialpzsrz@gmail.com"/>
            <filter val="claudialvarezf28@gmail.com"/>
            <filter val="claudiamartinezdejesus3@gmail.com"/>
            <filter val="claudiaperezsanchez213@gmail.com"/>
            <filter val="claudia-s85@hotmail.com"/>
            <filter val="claudiia195y67@hotmail.com"/>
            <filter val="claudios9@hotmail.com"/>
            <filter val="claudyaygordon@gmail.com"/>
            <filter val="claugaspar000@gmail.com"/>
            <filter val="clauguevara.008@gmail.com"/>
            <filter val="claus30sol@gmail.com"/>
            <filter val="clausaguila19@gmail.com"/>
            <filter val="clauyayita86@gmail.com"/>
            <filter val="cmarthaitzel@gmail.com"/>
            <filter val="cmonroymartinez00@hotmail.com"/>
            <filter val="cocoipatzi@gmail.com"/>
            <filter val="cocuyas_amor10@hotmail.com"/>
            <filter val="consueloolveraromero@gmail.com"/>
            <filter val="consuelopereztapia80@gmail.com"/>
            <filter val="contrerasmarinnancimatilde@gmail.com"/>
            <filter val="coronaviviana6@gmail.com"/>
            <filter val="Creacion_nortena2011@hotmail.com"/>
            <filter val="crescenciaortegadiaz@gmail.com"/>
            <filter val="crisolvera2212@gmail.com"/>
            <filter val="CRISOSTOMOVANESS12@GMAIL.COM"/>
            <filter val="cristinasparza8@gmail.com"/>
            <filter val="croak4ever@gmail.com"/>
            <filter val="cruz.860502@gmail.com"/>
            <filter val="CRUZCELESTEPATRICIA@GMAIL.COM"/>
            <filter val="cruzcruznormanormag@gmail.com"/>
            <filter val="cruzmariateresa707@gmail.com"/>
            <filter val="cruznap25@gmail.com"/>
            <filter val="cuevasnohemi69@gmail.com"/>
            <filter val="dalilas404@gmail.com"/>
            <filter val="damarisvalencia.2112@gmail.com"/>
            <filter val="Danaeferia92@gmail.com"/>
            <filter val="danaestrellacruzflores@gmail.com"/>
            <filter val="danajael777@gmail.com"/>
            <filter val="danielangoa@gmail.com"/>
            <filter val="danielbetomal@gmail.com"/>
            <filter val="danielisaac97141@gmail.com"/>
            <filter val="dannylozanocano09@gmail.com"/>
            <filter val="darynkaguzguz@gmail.com"/>
            <filter val="davidalarconvl@gmail.com"/>
            <filter val="davidibarramonreal@gmail.com"/>
            <filter val="dayanasolano1230@gmail.com"/>
            <filter val="ddeimary690@gmail.com"/>
            <filter val="DDG8702@GMAIL.COM"/>
            <filter val="dee_dee_oggy@hotmail.com"/>
            <filter val="dejesuscoyotljaqueline3c@gmail.com"/>
            <filter val="DENISEANDREA0314@GMAIL.COM"/>
            <filter val="Denissetaro@gmail.com"/>
            <filter val="dentaferbola@hormail.com"/>
            <filter val="diamanteprim@gmail.com"/>
            <filter val="diana.lopez.glez@gmail.com"/>
            <filter val="dianaestela.1980@gmail.com"/>
            <filter val="dianaV4@gmail.com"/>
            <filter val="dianiss.camila21@gmail.com"/>
            <filter val="diasgonsaleshernandesmiguel@gmail.com"/>
            <filter val="diazpeques@gmail.com"/>
            <filter val="diego.olivares0403@gmail.com"/>
            <filter val="DIOSA2302@YAHOO.COM.MX"/>
            <filter val="disneygarnierdulce@hotmail.com"/>
            <filter val="dominguezpereyralorena@gmail.com"/>
            <filter val="doroteoisis44@gmail.com"/>
            <filter val="dpinalhernandez@gmail.com"/>
            <filter val="driveroca007@hotmail.com"/>
            <filter val="dulceanallelit@gmail.com"/>
            <filter val="e_garciacruz@yahoo.com.mx"/>
            <filter val="e_vargs@hotmail.com"/>
            <filter val="ebyjam12@gmail.com"/>
            <filter val="edgar.rodriguezosornio@yahoo.com.mx"/>
            <filter val="edit2849@gmail.com"/>
            <filter val="edith.191981@gmail.com"/>
            <filter val="Edith03021976@gmail.com"/>
            <filter val="edithferny07@gmail.com"/>
            <filter val="edithpeve82@gmail.com"/>
            <filter val="ediyosnah03@gmail.com"/>
            <filter val="edwiin.gonzalez3613@gmail.com"/>
            <filter val="edyrouse2107@gmail.com"/>
            <filter val="eh841223@gmail.com"/>
            <filter val="elbasanchezmora@gmail.com"/>
            <filter val="eleni_garcia1807@hotmail.com"/>
            <filter val="eli.diaz.hernandez@gmail.com"/>
            <filter val="eli7411024897hernandez@gmail.com"/>
            <filter val="elic2611@hotmail.com"/>
            <filter val="elicarrillo017@gmail.com"/>
            <filter val="elicitalop@gmail.com"/>
            <filter val="elisalascruz13@gmail.com"/>
            <filter val="elisase.47@gmail.com"/>
            <filter val="eliza.aparicio_mtz2@hotmail.com"/>
            <filter val="elizabeth.ef690@gmail.com"/>
            <filter val="elizabeth203m040@gmail.com"/>
            <filter val="elizabethced9@gmail.com"/>
            <filter val="elizanden.71@gmail.com"/>
            <filter val="elodiacastillolopez@gmail.com"/>
            <filter val="elrydexpro@protonmail.com"/>
            <filter val="elva256@gmail.com"/>
            <filter val="elvirocse49@gmail.com"/>
            <filter val="elzabn@gmail.com"/>
            <filter val="em1692325@gmail.com"/>
            <filter val="emahdz27@gmail.com"/>
            <filter val="emilinieto77@gmail.com"/>
            <filter val="emmaguzlozada@gmail.com"/>
            <filter val="emmaibarradelarosa@gmail.com"/>
            <filter val="enadithh@gmail.com"/>
            <filter val="eneri190483@gmail.com"/>
            <filter val="enriquetaandresramirez@gmail.com"/>
            <filter val="eojana3@gmail.com"/>
            <filter val="epo267taniacarreonvezper2do@gmail.com"/>
            <filter val="erendiramarin192@gmail.com"/>
            <filter val="ERICKA16101999@GMAIL.COM"/>
            <filter val="erickreyes606@yahoo.com"/>
            <filter val="erickrobertolozanobetancourt@gmail.com"/>
            <filter val="erika.faro0206@yahoo.com.mx"/>
            <filter val="ERIKA_RHDEZ@HOTMAIL.COM"/>
            <filter val="erika_trigotenco@hotmail.com"/>
            <filter val="erika75hf@hotmail.com"/>
            <filter val="erikaalcant123@gmail.com"/>
            <filter val="erikaalvarado448@gmail.com"/>
            <filter val="erikamendez643@gmail.com"/>
            <filter val="erikaplatfrit@gmail.com"/>
            <filter val="erikareyes10@gmail.com"/>
            <filter val="erikaromeroalonso@gmail.com"/>
            <filter val="erikasaavedragarcia1980@gmail.com"/>
            <filter val="erikatrifuu@hotmail.com"/>
            <filter val="erinoh31@gmail.com"/>
            <filter val="ernesto06ha@hotmail.com"/>
            <filter val="erycecybaezduran@gmail.com"/>
            <filter val="es4122196@gmail.com"/>
            <filter val="esbetza521@gmail.com"/>
            <filter val="escalanteenedina9@gmail.com"/>
            <filter val="escobarmarilu236@gmail.com"/>
            <filter val="esmeraldacampos985@gmail.com"/>
            <filter val="esparragozavegacarmen@gmail.com"/>
            <filter val="esperanza_mm@live.com.mx"/>
            <filter val="espiriacuatico131@gmail.com"/>
            <filter val="estelanolasco574@gmail.com"/>
            <filter val="estradaalamillaclaudia@gmail.com"/>
            <filter val="estrellanaomiatenea1xd@gmail.com"/>
            <filter val="eusebioalejandra86@gmail.com"/>
            <filter val="eva.padilla.1979@gmail.com"/>
            <filter val="evameloreyes@gmail.com"/>
            <filter val="eve181836@gmail.com"/>
            <filter val="evecampitos@gmail.com"/>
            <filter val="evelinava08@gmail.com"/>
            <filter val="evelynmartnez13@gmail.com"/>
            <filter val="evelynreyes3inc@gmail.com"/>
            <filter val="evered_21@hotmail.com"/>
            <filter val="everomero1463@gmail.com"/>
            <filter val="fabi0n5al3582@icloud.com"/>
            <filter val="fabimelzap@gmail.com"/>
            <filter val="fabiolagranadosvidal@gmail.com"/>
            <filter val="fabiruaguirre10@gmail.com"/>
            <filter val="faby221188@gmail.com"/>
            <filter val="Fabyalvarezm.30@gmail.com"/>
            <filter val="fabypgstar@gmail.com"/>
            <filter val="fabyr1974@gmail.com"/>
            <filter val="fanny.monterb@gmail.com"/>
            <filter val="fanny15go@gmail.com"/>
            <filter val="fanyruizr161722@gmail.com"/>
            <filter val="fatidory2205@gmail.com"/>
            <filter val="fer.lam97@hotmail.com"/>
            <filter val="FERANECHAVEZ0507@GMAIL.COM"/>
            <filter val="ferbarradas07@gmail.com"/>
            <filter val="ferchis240887@gmail.com"/>
            <filter val="FERGA2222@HOTMAIL.COM"/>
            <filter val="fermtzacosta@gmail.com"/>
            <filter val="fernandezlopezsilvia6@gmail.com"/>
            <filter val="fernandorg262@gmail.com"/>
            <filter val="fespinosagodines@gmail.com"/>
            <filter val="FHSAHARA@GMAIL.COM"/>
            <filter val="flaquitatorres84@gmail.com"/>
            <filter val="floresayerim160@gmail.com"/>
            <filter val="floresyolita290@gmail.com"/>
            <filter val="fmascota@gmail.com"/>
            <filter val="franceliambriz24@gmail.com"/>
            <filter val="frankdvd@hotmail.com"/>
            <filter val="frankojovana@gmail.com"/>
            <filter val="fridamitch05@gmail.com"/>
            <filter val="fushoko24@gmail.com"/>
            <filter val="gabicita1909@gmail.com"/>
            <filter val="gabriela.alvarezr@gmail.com"/>
            <filter val="gabriela111276@gamil.com"/>
            <filter val="gabrielajacobo010@gmail.com"/>
            <filter val="gabrielamalme@gmail.com"/>
            <filter val="gabrielamolina76664@gmail.com"/>
            <filter val="gabrielarojasolivera@gmail.com"/>
            <filter val="gabrielarosas49030@gmail.com"/>
            <filter val="gabrieldiaz240370@gmail.com"/>
            <filter val="GABRIELF10RESF06@GMAIL.COM"/>
            <filter val="gabrielvazquez@cetis57.edu.mx"/>
            <filter val="gaby4hdza@gmail.com"/>
            <filter val="gabycd0203@gmail.com"/>
            <filter val="gabyfro4@gmail.com"/>
            <filter val="gabygarcia2689@gmail.com"/>
            <filter val="gabygdlc17@gmail.com"/>
            <filter val="gabyglez1704@gmail.com"/>
            <filter val="galan_16@live.com"/>
            <filter val="galdo7998@gmail.com"/>
            <filter val="galeanariveraroman@gmail.com"/>
            <filter val="ganiex10@gmail.com"/>
            <filter val="garciagloria726@gmail.com"/>
            <filter val="garciatorresp7@gmail.com"/>
            <filter val="gatuzamix69@gmail.com"/>
            <filter val="gemma01loyola@gmail.com"/>
            <filter val="gendelors@yahoo.com.mx"/>
            <filter val="geraldine130685@gmail.com"/>
            <filter val="gerson20081@gmail.com"/>
            <filter val="gillechapa0706@gmail.com"/>
            <filter val="GIOMARIHERNANDEZ68@GMAIL.COM"/>
            <filter val="gisellebaltazar19@gmail.com"/>
            <filter val="gizehrojas@gmail.com"/>
            <filter val="gladyyssanchez.sl@hotmail.com"/>
            <filter val="gloriamata520@gmail.com"/>
            <filter val="glupeperez84@gmail.com"/>
            <filter val="gocamporamos26@gmail.com"/>
            <filter val="gogueta3456@gmail.com"/>
            <filter val="goma160903@gmail.col"/>
            <filter val="gomamroc@gmail.com"/>
            <filter val="GOMEZGALINDOPABLO1979@GMAIL.COM"/>
            <filter val="gomzsarmientoomar175@gmail.com"/>
            <filter val="gonzalezelizabeth466@gmail.com"/>
            <filter val="gonzalezreynita0406@gmail.com"/>
            <filter val="gpoindmaya@gmail.com"/>
            <filter val="gracielasanchez7121@gmail.com"/>
            <filter val="griceldacruzcastanon@gmail.com"/>
            <filter val="griseldauu@hotmail.com"/>
            <filter val="griselleon@lunches.mx"/>
            <filter val="griss.hernandez@outlook.com"/>
            <filter val="griss03mm03@gmail.com"/>
            <filter val="grisss1995@gmail.com"/>
            <filter val="gtr.nle@gmail.com"/>
            <filter val="guadalupe1977lopez@hotmail.com"/>
            <filter val="guadalupe934567@gmail.com"/>
            <filter val="guadalupeacuautlaromero@gmail.com"/>
            <filter val="guadalupevilchiscarmona@gmail.com"/>
            <filter val="guadalupevillegas969@gmail.com"/>
            <filter val="guerreroz2066@gmail.com"/>
            <filter val="guillerminapalma91@gmail.com"/>
            <filter val="guillermojuarez110268@gmail.com"/>
            <filter val="guillermorodrigez78@gmail.com"/>
            <filter val="gustavo.rios.gonzalez@hotmail.com"/>
            <filter val="gv4922465@gmail.com"/>
            <filter val="hanahernandez158@gmail.com"/>
            <filter val="haurora682@gmail.com"/>
            <filter val="haydeemedinacasasola@gmail.com"/>
            <filter val="haydeerojas089@gmail.com"/>
            <filter val="hderek207@gmail.com"/>
            <filter val="helenmen1313@gmail.com"/>
            <filter val="henri10@live.com.mx"/>
            <filter val="hergonxd@gmail.com"/>
            <filter val="HERNANDEZ06ELENA@GMAIL.COM"/>
            <filter val="hernandezalbanancy434@gmail.com"/>
            <filter val="hernandezmariana766@gmail.com"/>
            <filter val="hernandezreyesaidefatima05@gmail.com"/>
            <filter val="hernanmonlet@gmail.com"/>
            <filter val="herreramarian75@gmail.com"/>
            <filter val="herreranaomi889@gmail.com"/>
            <filter val="hg_caballero@hotmail.com"/>
            <filter val="hibertt_79@outlook.com"/>
            <filter val="hilda.calvillo.3@gmail.com"/>
            <filter val="hlozadaangeles@gmail.com"/>
            <filter val="honli-21@hotmail.com"/>
            <filter val="hrgiz_140669@gmail.com"/>
            <filter val="huertadannapaola0@gmail.com"/>
            <filter val="HUMBERTO65CUENTA@GMAIL.COM"/>
            <filter val="ibarramaetzi@gmail.com"/>
            <filter val="Ig6198235@gmail.com"/>
            <filter val="ignaro31@gmail.com"/>
            <filter val="inesenriquez021@gmail.com"/>
            <filter val="Ing.galiciaortega@gmail.com"/>
            <filter val="ire29nov14@gmail.com"/>
            <filter val="irenenoriega@gmail.com"/>
            <filter val="irismarg81@gmail.com"/>
            <filter val="irmagallardo335@gmail.com"/>
            <filter val="isaacantonino380@gmail.com"/>
            <filter val="isabel.anastacio.flores@gmail.com"/>
            <filter val="isabel.sanflores.1918@gmail.com"/>
            <filter val="isabelmr021971@gmail.con"/>
            <filter val="ISABELSANTES36@GMAIL.COM"/>
            <filter val="isabelsoto871@gmail.com"/>
            <filter val="isdomy@hotmail.com"/>
            <filter val="isibelleza@gmail.com"/>
            <filter val="islaszury@gmail.com"/>
            <filter val="ismercedespa@gmail.com"/>
            <filter val="israelpadilla_22@hotmail.com"/>
            <filter val="israelreyes24arellanes@gmail.com"/>
            <filter val="Isrra.rivera.5575@gmail.com"/>
            <filter val="itbere-15@hotmail.com"/>
            <filter val="itzari32box@gmail.com"/>
            <filter val="itzelcastro2105@gmail.com"/>
            <filter val="ITZYMONSERRAT@GMAIL.COM"/>
            <filter val="ivanuchiha99999@gmail.com"/>
            <filter val="ivasaul@gmail.com"/>
            <filter val="ivetharanzazu28@gmail.com"/>
            <filter val="ivett01beforflower@gmail.com"/>
            <filter val="ivonneduran88@gmail.com"/>
            <filter val="ivonnegamboacuellar@gmail.com"/>
            <filter val="ixchelchaparro05@gmail.com"/>
            <filter val="jackrex47@gmail.com"/>
            <filter val="jackyherrera16@yahoo.com"/>
            <filter val="jaimewero4@gmail.com"/>
            <filter val="jair_rckhe@yahoo.com.mx"/>
            <filter val="jam_quo@hotmail.com"/>
            <filter val="janesgnuevo@gmail.com"/>
            <filter val="janetharmando@hotmail.com"/>
            <filter val="janetsalazar047@gmail.com"/>
            <filter val="janette5052@hotmail.com"/>
            <filter val="jannethcruzheras@gmail.com"/>
            <filter val="janse100986@gmail.com"/>
            <filter val="japoglu39@gmail.com"/>
            <filter val="jaquelinerojasorea@gmail.com"/>
            <filter val="jaquelinlovera646@gmail.com"/>
            <filter val="jaquelinzaragoza443@gmail.com"/>
            <filter val="jarmartinez1985@hotmail.com"/>
            <filter val="jassoolivasonia268@gmail.com"/>
            <filter val="javismartinez4833@gmail.com"/>
            <filter val="jazmin.venegas@jenner.com.mx"/>
            <filter val="jazminam014@gmail.com"/>
            <filter val="jazminyahutentzi1@gmail.com"/>
            <filter val="jazpak260415@gmail.com"/>
            <filter val="jazzzzjs2613@gmail.com"/>
            <filter val="jb.tuli1981@gmail.com"/>
            <filter val="jcfeliciano181@gmail.com"/>
            <filter val="jcwa290909@gmail.com"/>
            <filter val="jennifervirgil29@gmail.com"/>
            <filter val="jessi.mtz.calderon@gmail.com"/>
            <filter val="jessicatrujillo127@gmail.com"/>
            <filter val="jessy0416@hotmail.com"/>
            <filter val="jg7734082@gmail.com"/>
            <filter val="JGD111S@HOTMAIL.COM"/>
            <filter val="jgsh7@hotmail.com"/>
            <filter val="jhoncopasw@gmail.com"/>
            <filter val="jibril1234lel@gmail.com"/>
            <filter val="jimasherhlm@gmail.com"/>
            <filter val="jimenezerika614@gmail.com"/>
            <filter val="jimenezgonzalezisrael.@gmail.com"/>
            <filter val="joelssjunu@gmail.com"/>
            <filter val="johanadomi82@gmail.com"/>
            <filter val="jokis-17@hotmail.com"/>
            <filter val="Jordanyescas77@hotmail.com"/>
            <filter val="jorgefmr790510@yahoo.com.mx"/>
            <filter val="jorgemc2207@hotmail.com"/>
            <filter val="jose.losi715@gmail.com"/>
            <filter val="josefina0978@gmail.com"/>
            <filter val="josefinacuachitl@gmail.com"/>
            <filter val="josefinagracida1987@gmail.com"/>
            <filter val="josegonzalez211160008@gmail.com"/>
            <filter val="josejuanrosado@gmail.com"/>
            <filter val="joshua.o.avila@gmail.com"/>
            <filter val="jossg561@gmail.com"/>
            <filter val="jovanitakb27@gmail.com"/>
            <filter val="jr2367137@gmail.com"/>
            <filter val="jr3909751@gmail.com"/>
            <filter val="juana77garcia13@gmail.com"/>
            <filter val="juanahurtado292@gmail.com"/>
            <filter val="juanam8208866@gmail.com"/>
            <filter val="juanamun@gmail.com"/>
            <filter val="juanayadirapinedalima@gmail.com"/>
            <filter val="juanedgarcarranza9@gmail.com"/>
            <filter val="juangayosso28@gmail.com"/>
            <filter val="Juarezdiana1057@gmail.com"/>
            <filter val="juarezuresty@gmail.com"/>
            <filter val="juarezvalerde@gmail.com"/>
            <filter val="juliamartinezmedina270@gmail.com"/>
            <filter val="juliosernamadrid@gmail.com"/>
            <filter val="kal060206@hotmail.com"/>
            <filter val="kandysgrimal357@gmail.com"/>
            <filter val="kanosack@gmail.com"/>
            <filter val="karcruz@gmail.com"/>
            <filter val="karelanaitcruz@gmail.com"/>
            <filter val="karemj1484@gmail.com"/>
            <filter val="karenjhade@hotmail.com"/>
            <filter val="karenpruiz4@gmail.con"/>
            <filter val="kari17edd140619@gmail.com"/>
            <filter val="karina18luna@gmail.com"/>
            <filter val="karinaalcantara180788@gmail.com"/>
            <filter val="Kariph13@hotmail.com"/>
            <filter val="Karla_anahi93@hotmail.com"/>
            <filter val="karlafajardoarriaga@gmail.com"/>
            <filter val="karlamanriquez07@gmail.com"/>
            <filter val="karlaolivosmerlan@gmail.com"/>
            <filter val="karlatlapechco@gmail.com"/>
            <filter val="karlegaspi81@gmail.com"/>
            <filter val="karlitaagama04@gmail.com"/>
            <filter val="karmem1982@gmail.com"/>
            <filter val="karomgarcia1511@gmail.com"/>
            <filter val="katara.angela13@gmail.com"/>
            <filter val="katydiaz2008@hotmail.es"/>
            <filter val="keniabautista57450411@gmail.com"/>
            <filter val="kickasandoval@gmail.com"/>
            <filter val="KRMNSANTTIAGO@GMAIL.COM"/>
            <filter val="laaura.sola18@gmail.com"/>
            <filter val="ladycardenasdg@gmail.com"/>
            <filter val="laliz221213@gmail.com"/>
            <filter val="lalo.cruz.frias@gmail.com"/>
            <filter val="lalo17224@gmail.com"/>
            <filter val="laramonse536@gmail.com"/>
            <filter val="laranorma885@gmail.com"/>
            <filter val="lauba7930@gmail.cim"/>
            <filter val="lauracru1576@gmail.com"/>
            <filter val="laurajan1980@hotmail.com"/>
            <filter val="laurapatriciacastromarim@gmail.com"/>
            <filter val="laurarosaandradecruz12345@gmail.com"/>
            <filter val="lausjulian@live.com"/>
            <filter val="lavanesarubio@gmail.com"/>
            <filter val="ldelacruzsustaita@gmail.com"/>
            <filter val="Leoncorona702@gmail.com"/>
            <filter val="leonxvero@gmail.com"/>
            <filter val="les13171322@gmail.com"/>
            <filter val="leslyemtz73@gmail.com"/>
            <filter val="leticia.medinau12@gmail.com"/>
            <filter val="leticia197430@gmail.com"/>
            <filter val="leticiamanrique01@gmail.com"/>
            <filter val="leticiamorenamore@gmail.com"/>
            <filter val="leticiarosales.1410@gmail.com"/>
            <filter val="Letihuitron15@gmail.com"/>
            <filter val="letyciamorales290783@gmail.com"/>
            <filter val="lewis_314@hotmail.com"/>
            <filter val="ley.diazme09@gmail.com"/>
            <filter val="lg8795136@gmail.com"/>
            <filter val="lgarcia121505@gmail.com"/>
            <filter val="lic.marocio@hotmail.com"/>
            <filter val="liconaarreolateresa@gmail.com"/>
            <filter val="lila07j@gmail.com"/>
            <filter val="liliajimenez685@gmail.com"/>
            <filter val="liliana.mondragonrivera@gmail.com"/>
            <filter val="liliananelar@gmail.com"/>
            <filter val="lilianlock27@gmail.com"/>
            <filter val="liliasantiago80@gmail.com"/>
            <filter val="lilinove93@gmail.com"/>
            <filter val="liliortiz524@gmail.com"/>
            <filter val="lilly_starblack@hotmail.com"/>
            <filter val="liracortesolivia@gmail.com"/>
            <filter val="litzelguzman@icloud.com"/>
            <filter val="lizbessitayala@gmail.com"/>
            <filter val="lizbethluis474@gmail.com"/>
            <filter val="Lizoe2880@gmail.com"/>
            <filter val="lizstar0336@gmail.com"/>
            <filter val="lolitavargln@gmail.com"/>
            <filter val="lopez.p.bertha27@gmail.com"/>
            <filter val="lopezhernandeze167@gmail.com"/>
            <filter val="lopeznancy.0201@gmail.com"/>
            <filter val="lopezsandybel34@gmail.com"/>
            <filter val="lopeztolentino91@gmail.com"/>
            <filter val="loreliloreli08@gmail.com"/>
            <filter val="lorena27.lolo04@gmail.com"/>
            <filter val="lorenaonofre2010@gmail.com"/>
            <filter val="louisvoutton30@gmail.com"/>
            <filter val="lricoj13@gmail.com"/>
            <filter val="lucilahernandez0868@gmail.com"/>
            <filter val="lucytadeo2108@gmail.com"/>
            <filter val="lugoerika571@gmail.com"/>
            <filter val="lui_danz@hotmail.com"/>
            <filter val="luisconfidencial01@hotmail.com"/>
            <filter val="luiscuevasher@gamil.com"/>
            <filter val="luisfrancovela@gmail.com"/>
            <filter val="luisillo198100@gmail.com"/>
            <filter val="luiskta948@gmail.com"/>
            <filter val="luismir090806@gmail.com"/>
            <filter val="luluflaquita@yahoo.com.mx"/>
            <filter val="lulusacervantesgonzalez@gmail.com"/>
            <filter val="lulybucio@gmail.com"/>
            <filter val="luna.cat181@gmail.com"/>
            <filter val="lunaayaladiana@gmail.com"/>
            <filter val="lunablanca250@yahoo.com.mx"/>
            <filter val="lunaelvira190@gmail.com"/>
            <filter val="lunagrinn@gmail.com"/>
            <filter val="lupejime.20soco@gmail.com"/>
            <filter val="lupiscat07@gmail.com"/>
            <filter val="lupita12.romero@gmail.com"/>
            <filter val="lupitaalameda46@gmail.com"/>
            <filter val="lupitacoria32@gmail.com"/>
            <filter val="lupitamaestra7010@gmail.com"/>
            <filter val="lupitas2099@gmail.com"/>
            <filter val="lupitasalazar899@gmail.com"/>
            <filter val="luz198723@hotmail.com"/>
            <filter val="luzAlma153@gmail.com"/>
            <filter val="luzgomcam201071@gmail.com"/>
            <filter val="luzlagarza26@gmail.com"/>
            <filter val="luzmasegura6@gmail.com"/>
            <filter val="luzsandoval326@gmail.com"/>
            <filter val="m2578@ry.hotmail.com"/>
            <filter val="mabame84@gmail.com"/>
            <filter val="macdillan777@hotmail.com"/>
            <filter val="mackplayps479@gmail.com"/>
            <filter val="macs234@gmail.com"/>
            <filter val="maesther9478@gmail.com"/>
            <filter val="maevadocente@gmail.com"/>
            <filter val="mafer060618@outlook.com"/>
            <filter val="magdalenadeleon071@gmail.com"/>
            <filter val="magdalenapintor5@gmail.com"/>
            <filter val="magililopez354@gmail.com"/>
            <filter val="magobasques@gmail.com"/>
            <filter val="maguadalupejuarezventura@gmail.com"/>
            <filter val="maniperro4@gmail.com"/>
            <filter val="manuelamartinez482@gmail.com"/>
            <filter val="mar.pa.pe76@gmail.com"/>
            <filter val="mar_121997@hotmail.com"/>
            <filter val="mar_2725@yahoo.com.mx"/>
            <filter val="marcelinaruizjimenez@gmail.com"/>
            <filter val="marcialrosy477@gmail.com"/>
            <filter val="marcopadt@yahoo.com.mx"/>
            <filter val="MARCOSKB8@HOTMAIL.COM"/>
            <filter val="marcospacma@hotmail.com"/>
            <filter val="mareasbastida@gmail.com"/>
            <filter val="marenalbert270481@gmail.com"/>
            <filter val="marfloalcala27@gmail.com"/>
            <filter val="margaritajimenezacosta043@gmail.com"/>
            <filter val="mariaaliciacruz123@gmail.com"/>
            <filter val="mariaalvarezvazquez45@gmail.com"/>
            <filter val="mariacristinaespinoza4@gmail.com"/>
            <filter val="mariadelcarmenlopez.gutierrez@gmail.com"/>
            <filter val="mariadelosangeles150@gmail.com"/>
            <filter val="mariaeugeniaramirorolon18@gmail.com"/>
            <filter val="marialuciamontesinosfabian@gmail.com"/>
            <filter val="marianalopezcastillo485@gmail.com"/>
            <filter val="mariaperezvega22@gmail.com"/>
            <filter val="mariaruiz2708@gmail.com"/>
            <filter val="maribelarizpe5@gmail.com"/>
            <filter val="maribelpa8024@gmail.com"/>
            <filter val="maribelriverav130487@gmail.com"/>
            <filter val="maribelrosas1319@gmail.com"/>
            <filter val="maricampu17@gmail.com"/>
            <filter val="maricarmen.yr26@gmail.com"/>
            <filter val="maricelahm1972@gmail.com"/>
            <filter val="maricruzcobarrubias0@gmail.com"/>
            <filter val="maricruzgutierrezhernandez@gmail.com"/>
            <filter val="marifer.cabrera.arellano@gmail.com"/>
            <filter val="marigololinet@gmail.com"/>
            <filter val="marillo3912@gmail.com"/>
            <filter val="mariluperalta1983@gmail.com"/>
            <filter val="mariocastilloduran36@gmail.com"/>
            <filter val="mariselairigoyen414@gmail.com"/>
            <filter val="marisol.degolladoo@gmail.com"/>
            <filter val="marisol10021977@gmail.com"/>
            <filter val="marisolh.silva@gmail.com"/>
            <filter val="marisolpalacios952@gmail.com"/>
            <filter val="marisortega.mos@gmail.com"/>
            <filter val="marizsoto1987@gmail.com"/>
            <filter val="marlaperaroldan@gmail.com"/>
            <filter val="marlenesanchez87@yahoo.com"/>
            <filter val="marlenm6178@gmail.com.mx"/>
            <filter val="marlenperez58@outlook.com"/>
            <filter val="martha.mm98@gmail.com"/>
            <filter val="martinapena318@gmail.com"/>
            <filter val="martinez.estela67@yahoo.com"/>
            <filter val="martinez.juarez.ayde@gmail.com"/>
            <filter val="martinezhernandezlilianaletici@gmail.com"/>
            <filter val="martinezluisfernando578@gmail.com"/>
            <filter val="martinezmyrna714@gmail.com"/>
            <filter val="mary_gonzalezz@hotmail.com"/>
            <filter val="mary10680@gmail.com"/>
            <filter val="MARYFRIAS527@GMAIL.COM"/>
            <filter val="maryjimenez.77@hotmail.com"/>
            <filter val="marysol_evol@hotmail.com"/>
            <filter val="marytaire77@gmail.com"/>
            <filter val="maximinapozosbarrera@gmail.com"/>
            <filter val="maybe0952@gmail.com"/>
            <filter val="mayeyi_01_08@hotmail.com"/>
            <filter val="maykibaomi@gmail.com"/>
            <filter val="mayrajudith351@gmail.com"/>
            <filter val="MCOV78@GMAIL.COM"/>
            <filter val="medina.jorge.08.10@gmail.com"/>
            <filter val="medinagela80@gmail.com"/>
            <filter val="medinajatziri29@gmail.com"/>
            <filter val="medinanora1@gmail.com"/>
            <filter val="melaniemargarito2134@gmail.com"/>
            <filter val="melany0505.alvarez@gmail.com"/>
            <filter val="melisasantanderjimenez@gmail.com"/>
            <filter val="mendezm75@hotmail.com"/>
            <filter val="mendiolaelizabeth299@gmail.com"/>
            <filter val="mercedeslopez240986@gmail.com"/>
            <filter val="mercedessh72@gmail.com"/>
            <filter val="meredithmayen@gmail.com"/>
            <filter val="meridalopez095@gmail.com"/>
            <filter val="meriyeidominguezensm@gmail.com"/>
            <filter val="meryorange40@gmail.com"/>
            <filter val="meryrem@yahoo.com.mx"/>
            <filter val="mezuki666@gmail.com"/>
            <filter val="mgarciameza271@gmail.com"/>
            <filter val="mhalgomeda.2430@gmail.com"/>
            <filter val="mhberenice84@gmail.com"/>
            <filter val="michel.09048@gmail.com"/>
            <filter val="michelleevelynd17@gmail.com"/>
            <filter val="migueljarquin1959@gmail.com"/>
            <filter val="MIKEGNR01@GMAIL.COM"/>
            <filter val="mildredvans03@gmail.com"/>
            <filter val="minervapalma270@gmail.com"/>
            <filter val="miniromo809@gmail.com"/>
            <filter val="MIRAFA85@GMAIL.COM"/>
            <filter val="mireyaamorperris@gmail.com"/>
            <filter val="mireyaarciga@hotmail.com"/>
            <filter val="mireyarom28@gmail.com"/>
            <filter val="mirnasulema.perezalv@gmail.com"/>
            <filter val="mizaelangel@gmail.com"/>
            <filter val="miztlimiky12@gmail.com"/>
            <filter val="ml9454814@gmail.com"/>
            <filter val="mmarri3.mg@gmail.com"/>
            <filter val="mmirey62@gmail.com"/>
            <filter val="mnse870427@gmail.com"/>
            <filter val="mon01mini@gmail.com"/>
            <filter val="monica.13579cs@gmail.com"/>
            <filter val="monkisierra@gmail.com"/>
            <filter val="monmonluisa@gmail.com"/>
            <filter val="monpariv@gmail.com"/>
            <filter val="monse100say@gmail.com"/>
            <filter val="Monse15rojasramos@gmail.com"/>
            <filter val="monseestrada88@gmail.com"/>
            <filter val="monserratmunozortega53@gmail.com"/>
            <filter val="montsesantosg1607@gmail.com"/>
            <filter val="MONYGRIS14@YAHOO.COM.MX"/>
            <filter val="moralesromeroadriana8@gmail.com"/>
            <filter val="more_log@hotmail.com"/>
            <filter val="morenoselene388@gmail.com"/>
            <filter val="moriadelosangelesfaviolav@gmail.com"/>
            <filter val="mpereacortez@gmail.com"/>
            <filter val="mr2562828@gmail.com"/>
            <filter val="mr8065213@gmail.com"/>
            <filter val="mrita_ml@hotmail.com"/>
            <filter val="mtoor@live.com.mx"/>
            <filter val="mtsgvazsan@gmail.com"/>
            <filter val="mujercita_mem@hotmail.com"/>
            <filter val="mukevin3@gmail.com"/>
            <filter val="munguiarosa785@gmail.com"/>
            <filter val="musica1754@gmail.com"/>
            <filter val="nahosketch@gmail.com"/>
            <filter val="nancylurace@gmail.com"/>
            <filter val="nancyordana0210@gmail.com"/>
            <filter val="naogarcia5@gmail.com"/>
            <filter val="naomissaraijuarez21@gmail.com.mx"/>
            <filter val="nashveroni09@gmail.com"/>
            <filter val="nataliacarranza342@gmail.com"/>
            <filter val="nayeazael1984@gmail.com"/>
            <filter val="nayeli.zaratediaz@gmail.com"/>
            <filter val="nayeli2473@gmail.com"/>
            <filter val="nayeliesvi1985@gmail.com"/>
            <filter val="nellycruznatividad@gmail.com"/>
            <filter val="nena120809@gmail.com"/>
            <filter val="neria.luis.1bv@gmail.com"/>
            <filter val="neriangelgonzalez@gmail.com"/>
            <filter val="nf1684379@gmail.com"/>
            <filter val="ninisegun@gmail.com"/>
            <filter val="nodlee23@gmail.com"/>
            <filter val="nohemi_08@yahoo.com.mx"/>
            <filter val="normachinto15@gmail.com"/>
            <filter val="nt1039188@gmail.com"/>
            <filter val="oceguerarocio7@gmail.com"/>
            <filter val="octaviocarrillo926@gmail.com"/>
            <filter val="octaviopacheco404@gmail.com"/>
            <filter val="ofe_fave85@gmail.com"/>
            <filter val="ofeliae725@gmail.com"/>
            <filter val="ofis83r2@gmail.com"/>
            <filter val="olgadiazz3010@gmail.com"/>
            <filter val="olgamino_80@outlook.com"/>
            <filter val="olgavh46@gmail.com"/>
            <filter val="Oli6674@hotmail.com"/>
            <filter val="olverasalvador1983@gmail.com"/>
            <filter val="ordazyes31@gmail.com"/>
            <filter val="ortegasanchezmae@gmail.com"/>
            <filter val="oscar_g2subse@hotmail.com"/>
            <filter val="oscartys38@gmail.com"/>
            <filter val="oscaryaelo@gmail.com"/>
            <filter val="oskar_and_me@hotmail.com"/>
            <filter val="oso.osmar20@gmail.com"/>
            <filter val="pablogarsa76@hotmail.com"/>
            <filter val="pachequita23@gmail.com"/>
            <filter val="pacoeze33@hotmail.com"/>
            <filter val="pagusa01@gmail.com"/>
            <filter val="pamguzcis03@gmail.com"/>
            <filter val="paoc2672@hotmail.com"/>
            <filter val="paolacameron.26@gmail.com"/>
            <filter val="papeleria.fresita@gmail.com"/>
            <filter val="parraisabel90@gmail.com"/>
            <filter val="patatin2501@hotmail.com"/>
            <filter val="patgua75ram@gmail.com"/>
            <filter val="pati74avila@gmail.com"/>
            <filter val="patitopatino08291@gmail.com"/>
            <filter val="patricia.lucio05@gmail.com"/>
            <filter val="Patriciadelaluz@gmail.com"/>
            <filter val="pattypadilla303@gmail.com"/>
            <filter val="paum20427@gmail.com"/>
            <filter val="pedro70hg@gmail.com"/>
            <filter val="peguerodylanalan@gmail.com"/>
            <filter val="pepito_maya@hotmail.com"/>
            <filter val="peqmel18@gmail.com"/>
            <filter val="pequepao13@gmail.com"/>
            <filter val="perezyarumi@gmail.cm"/>
            <filter val="perezyarumi@gmail.com"/>
            <filter val="perita1234.cabre@gmail.com"/>
            <filter val="perla_isis23@hotmail.com"/>
            <filter val="perla1990@hotmail.com"/>
            <filter val="perlagonzalessancez@gmail.com"/>
            <filter val="perlarvg@yahoo.com"/>
            <filter val="pilarcortesh@gmail.com"/>
            <filter val="pilarmontero81@gmail.com"/>
            <filter val="pimkligh@hotmail.com"/>
            <filter val="plohino98@gmail.com"/>
            <filter val="podologacoroy@gmail.com"/>
            <filter val="ponki8704@gmail.com"/>
            <filter val="prispalmerin@gmail.com"/>
            <filter val="proferamon62@yahoo.com"/>
            <filter val="psicgest@hotmail.com"/>
            <filter val="pumita26.love@gmail.com"/>
            <filter val="rachel_25@live.com.mx"/>
            <filter val="RAMOSMIGUELANGEL71@GMAIL.COM"/>
            <filter val="ranayelisdj1899@gmail.com"/>
            <filter val="raquelgonzalez@gmail.com"/>
            <filter val="raymundorico1980@gmail.com"/>
            <filter val="rbkletibarron226@gamil.com"/>
            <filter val="RBRASS44@HOTMAIL.CON"/>
            <filter val="rc4adriana@gmail.com"/>
            <filter val="rceciliogomez@gmail.com"/>
            <filter val="regittobon90@gmail.com"/>
            <filter val="reyna.20101972.avila@gmail.com"/>
            <filter val="reynosolucia371@gmail.com"/>
            <filter val="rh790315@gmail.com"/>
            <filter val="ricardo_casimiro@outlook.es"/>
            <filter val="ricardoivan67@hotmail.com"/>
            <filter val="rick423_1921@hotmail.com"/>
            <filter val="rijen73@gmail.com"/>
            <filter val="rm1184372@gmail.com"/>
            <filter val="rmariadelcarmen59@gmail.com"/>
            <filter val="rmoralesp5@hotmail.com"/>
            <filter val="rob3rt456@outlook.com"/>
            <filter val="rociocm1207@gmail.com"/>
            <filter val="rociodanae65@gmail.com"/>
            <filter val="rocio-pd@hotmail.com"/>
            <filter val="rocioromerosaldana04@gmail.com"/>
            <filter val="rocioruiz1903@gmail.com"/>
            <filter val="rockari3@live.com.mx"/>
            <filter val="roclyss@gmail.com"/>
            <filter val="Rodalesv8@gmail.com"/>
            <filter val="rodrigogonzalezsuarez6@gmail.com"/>
            <filter val="rodriguez_n51@hotmail.com"/>
            <filter val="rodriguezjuaquin232@gmail.com"/>
            <filter val="rodriguezmunguiam@yahoo.com"/>
            <filter val="rojaslilia85@gmail.com"/>
            <filter val="rokmary0@gmail.com"/>
            <filter val="romeromarina827@gmail.com"/>
            <filter val="romi_mena@hotmail.com"/>
            <filter val="rosaalondrac@gmail.com"/>
            <filter val="rosaarredondo386@gmail.com"/>
            <filter val="rosalbaaguilar5@gmail.com"/>
            <filter val="rosalesanaid497@gmail.com"/>
            <filter val="rosaliaaguilarpe123@gmail.com"/>
            <filter val="rosariogn2376@gmail.com"/>
            <filter val="rosdanemi97@gmail.com"/>
            <filter val="ROSSEMAR197706@GMAIL.COM"/>
            <filter val="rosyavigarcia020186@gmail.com"/>
            <filter val="rosyboo67@gmail.com"/>
            <filter val="rous.gomez1612@gmail.com"/>
            <filter val="rous594260@gmail.com"/>
            <filter val="rousselozan@gmail.com"/>
            <filter val="roxannthms@gmail.com"/>
            <filter val="rp235712@gmail.com"/>
            <filter val="rubicelp589@gmail.com"/>
            <filter val="rubimcl99@hotmail.com"/>
            <filter val="rubysytag4@gmail.com"/>
            <filter val="ruizcris371204@gmail.com"/>
            <filter val="ruizlizbeth075@gmail.com"/>
            <filter val="sadinoel82@hotmail.com"/>
            <filter val="saf_gu@outlook.com"/>
            <filter val="sailormoonguti@gmail.com"/>
            <filter val="salasgarciaveronica0@gmail.com"/>
            <filter val="salazarjennyferdejesus@gmail.com"/>
            <filter val="salgadobonillaa162@gmail.com"/>
            <filter val="samajeride@gmail.com"/>
            <filter val="samanthanaomi05@gmail.com"/>
            <filter val="samuel.gomezpereyra@gmail.com"/>
            <filter val="SANBECHI72@GMAIL.COM"/>
            <filter val="sanbre.3@gmail.com"/>
            <filter val="sanchezfrancis698@gmail.com"/>
            <filter val="sanchezmara788@gmail.com"/>
            <filter val="sancheznunezvalentina52@gmail.com"/>
            <filter val="sandra.barajasbald12@gmail.com"/>
            <filter val="sandragongora79@gmail.com"/>
            <filter val="sandraocaranza90@gmail.com"/>
            <filter val="sandy.martinez@com.mx"/>
            <filter val="sandyacosta0722@gmail.com"/>
            <filter val="sandydv85@gmail.com"/>
            <filter val="sannclau@gmail.com"/>
            <filter val="santiago23juana71@gmail.com"/>
            <filter val="Santosirineo@outlook.com"/>
            <filter val="sara2304vaz@gmail.com"/>
            <filter val="saraetoile4567.com@gmail.com"/>
            <filter val="sarah2018@hotmail.com"/>
            <filter val="saraiojedaacosta1974@gmail.com"/>
            <filter val="saramartinez@gmail.com"/>
            <filter val="sarasantosalegria@gmail.com"/>
            <filter val="sarayperezcalderon@gmail.com"/>
            <filter val="savalzavictoria81@gmail.com"/>
            <filter val="sayurilunarivera@gmail.com"/>
            <filter val="sebascid.319@gmail.com"/>
            <filter val="serchs.17@hotmail.com"/>
            <filter val="sergiocid1122@gmail.com"/>
            <filter val="sergioconejoblass@gmail.com"/>
            <filter val="serranoperaltalindapolet@gmail.com"/>
            <filter val="serseslava@gmail.com"/>
            <filter val="SERVICIOS-GMM@OUTLOOK.ES"/>
            <filter val="Sherlinfernandez950@gmail.com"/>
            <filter val="shoktactic7@gmail.com"/>
            <filter val="silvaalcantaraanny@gmail.com"/>
            <filter val="silvia_guzpe@hotmail.com"/>
            <filter val="silviarosas.emsa@gmail.com"/>
            <filter val="SMALONDRA@GMAIL.COM"/>
            <filter val="sofiagarcia301106@gmail.com"/>
            <filter val="sofireyes820@gmail.com"/>
            <filter val="soltierrayluna2015@gmail.com"/>
            <filter val="soniacaballeroramirezqfb@gmail.com"/>
            <filter val="soniacram3@gmail.com"/>
            <filter val="soniardgz24@gmail.com"/>
            <filter val="sorianoabigail309@gmail.com"/>
            <filter val="sp2963875@gmail.com"/>
            <filter val="spcgg31276@gmail.com"/>
            <filter val="ssantosmontiel@gmail.com"/>
            <filter val="start.yanet@hotmail.com"/>
            <filter val="statusjhon18@gmail.com"/>
            <filter val="Stephanie.goc@gmail.com"/>
            <filter val="suefarias2020@gmail.com"/>
            <filter val="suhail_dpl@hotmail.com"/>
            <filter val="susaram285@gmail.com"/>
            <filter val="susivelaiz1185@gmail.com"/>
            <filter val="susumillan25@gmail.com"/>
            <filter val="taiihermosa1322@hotmail.es"/>
            <filter val="taniae780@gmail.com"/>
            <filter val="tanys2422@gmail.com"/>
            <filter val="tapiaestela94@gmail.com"/>
            <filter val="tellezclaudia937@gmail.com"/>
            <filter val="Tere_83hernandez@hotmail.com"/>
            <filter val="teresalopezrosas.15733@gmail.com"/>
            <filter val="teresamendez3224@gmail.com"/>
            <filter val="teresamv48@gmail.com"/>
            <filter val="tete3042@hotmail.com"/>
            <filter val="ticooo513@gmail.com"/>
            <filter val="tierra1223@hotmail.com"/>
            <filter val="timoteo@gmail.com"/>
            <filter val="tinocofarfias7503@gmail.com"/>
            <filter val="tonygarcia_ipn@outlook.com"/>
            <filter val="torresjanet306@gmail.com"/>
            <filter val="trejoperezm@gmail.com"/>
            <filter val="trinidadvaleria24@gmail.com"/>
            <filter val="trinie225@gmail.com"/>
            <filter val="twrenavarro@gmail.com"/>
            <filter val="uldankar24@gmail.com"/>
            <filter val="uriairam14048783citlali@gmail.com"/>
            <filter val="vacamendoza2014@gmail.com"/>
            <filter val="valeeesita1616@gmail.com"/>
            <filter val="Valeria.gissel.hern.guarne@gmail.com"/>
            <filter val="valisson0613@gmail.com"/>
            <filter val="vanessagarciarangel120704@gmal.com"/>
            <filter val="vasquezcervantesaida4@gmail.com"/>
            <filter val="vazquezdayane2bsec238@gmail.com"/>
            <filter val="vazquezhaydee03@gmail.com"/>
            <filter val="veitli04@hotmail.com"/>
            <filter val="velazquezchavezgabriela4@gmail.com"/>
            <filter val="venlunar@gmail.com"/>
            <filter val="VERA_NICCE@HOTMAIL.COM"/>
            <filter val="verenyce2590@gmail.com"/>
            <filter val="verolopez1603@gmail.com"/>
            <filter val="vianeyarguijo01@gmail.com"/>
            <filter val="vickyrockera.35@gmail.com"/>
            <filter val="victorfabians@yahoo.com"/>
            <filter val="victoriamora2528@gmail.com.mx"/>
            <filter val="victoriaviky467@gmail.com"/>
            <filter val="vikgl20@gmail.com"/>
            <filter val="viky2016sajor@gmail.com"/>
            <filter val="viridiana.ruelaslopezzz@gmail.com"/>
            <filter val="viridianaaldivar3@gmail.com"/>
            <filter val="viridianaestefaniapalomomartin@gmail.com"/>
            <filter val="virixa06@gmail.com"/>
            <filter val="VIRY.WASHU@GMAIL.COM"/>
            <filter val="vivianaitzellopezgarcia@gmail.com"/>
            <filter val="viviscruzmtz@gmail.com"/>
            <filter val="vonhogenlogen6@gmail.com"/>
            <filter val="vr3059211@gmail.com"/>
            <filter val="vronikruzamora@gmail.com"/>
            <filter val="xammz@hotmail.com"/>
            <filter val="ximealfaro13@gmail.com"/>
            <filter val="ximenin88@gmail.com"/>
            <filter val="xishe1705@hotmail.com"/>
            <filter val="xpelcastre7@gmail.com"/>
            <filter val="yadirapgr@gmail.com"/>
            <filter val="YAELARTEAGA52@GMAIL.COM"/>
            <filter val="yaelmiranda44@gmail.com"/>
            <filter val="yamilicastillo399@gmail.com"/>
            <filter val="Yaninenavarro-88@gmail.com"/>
            <filter val="yannthvela5@gmail.com"/>
            <filter val="yare.rosita2011@gmail.com"/>
            <filter val="YAZETH.MORA@GMAIL.COM"/>
            <filter val="Yazmincabrerra@icloud.com"/>
            <filter val="yazz15092122@gmail.com"/>
            <filter val="yazzzml@gmail.com"/>
            <filter val="YEDIDORTEGA53@GMAIL.COM"/>
            <filter val="yeimimoflo@gmail.com"/>
            <filter val="yennigom.ygyg.17@gmail.com"/>
            <filter val="yesigonza1982@gmail.com"/>
            <filter val="YESIORTEGAROMANO@GMAIL.COM"/>
            <filter val="yess1984@gmail.com"/>
            <filter val="ymauri3318@gmail.com"/>
            <filter val="yocesram@gmail.com"/>
            <filter val="yolandalchm@gmail.com"/>
            <filter val="yoldulisa@gmail.com"/>
            <filter val="yovanimosco69@gmail.com"/>
            <filter val="yoyis772011@gamil.com"/>
            <filter val="yulyderosas@gmail.com"/>
            <filter val="zacariasjudit0@gmail.com"/>
            <filter val="zagaby9687@gmail.com"/>
            <filter val="zairaalejandralopezgonzalez@gmail.com"/>
            <filter val="zarayanez1@gmail.com"/>
            <filter val="zinniafuentes004@gmail.com"/>
            <filter val="zolzalaz.89@gmail.com"/>
            <filter val="zulamaysol@gmail.com"/>
            <filter val="zurirojass07@gmail.com"/>
            <filter val="zyanyapanchovilla@gmail.com"/>
          </filters>
        </filterColumn>
      </autoFilter>
    </customSheetView>
    <customSheetView guid="{7A23FF19-05F6-4BE3-B8EC-89592834B7EE}" filter="1" showAutoFilter="1">
      <pageMargins left="0.7" right="0.7" top="0.75" bottom="0.75" header="0.3" footer="0.3"/>
      <autoFilter ref="A1:GL1330" xr:uid="{8C3EAEAC-75C4-4903-B6DE-DD84D6A3A4CF}">
        <filterColumn colId="2">
          <filters>
            <filter val="SANCHEZ"/>
            <filter val="MANZANO"/>
          </filters>
        </filterColumn>
      </autoFilter>
    </customSheetView>
    <customSheetView guid="{8F9BF7BF-A384-435E-A174-D05BA794CCAA}" filter="1" showAutoFilter="1">
      <pageMargins left="0.7" right="0.7" top="0.75" bottom="0.75" header="0.3" footer="0.3"/>
      <autoFilter ref="A1:GL1417" xr:uid="{94364672-4D89-46B9-A7C2-2DCA6BCC9FDA}">
        <filterColumn colId="110">
          <filters>
            <filter val="Tu reinscripción ha sido autorizada"/>
          </filters>
        </filterColumn>
        <filterColumn colId="184">
          <filters blank="1">
            <filter val="ANGELES  ROMERO  ISABEL NAOMI Formato de reinscripción y pago 2022-2"/>
            <filter val="AZAMAR  CUESTA  LIS INGRID Formato de reinscripción y pago 2022-2"/>
            <filter val="BONILLA  CAZARES MARIANA  Formato de reinscripción y pago 2022-2"/>
            <filter val="CARRASCO GARRIDO SOFIA ITZAMARA Formato de reinscripción y pago 2022-2"/>
            <filter val="CARRILLO CASTRO DAVID ALEJANDRO  Formato de reinscripción y pago 2022-2"/>
            <filter val="CASTILLO  RODRIGUEZ  MIA ELIZAMA  Formato de reinscripción y pago 2022-2"/>
            <filter val="CEDILLO RODRIGUEZ   MARIANA LISSET Formato de reinscripción y pago 2022-2"/>
            <filter val="CRUZ GALVAN EMILIANO Formato de reinscripción y pago 2022-2"/>
            <filter val="CRUZ HERNANDEZ NESTOR EMMANUEL  Formato de reinscripción y pago 2022-2"/>
            <filter val="DIAZ DIAZ AXEL YAEL  Formato de reinscripción y pago 2022-2"/>
            <filter val="DIAZ GONZALEZ HERNANDEZ MIGUEL Formato de reinscripción y pago 2022-2"/>
            <filter val="FIGUEROA ROMERO REGINA Formato de reinscripción y pago 2022-2"/>
            <filter val="GONZALEZ  CRUZ  MIGUEL ANGEL Formato de reinscripción y pago 2022-2"/>
            <filter val="GONZALEZ  SANTIAGO  VALERY MONSERRAT  Formato de reinscripción y pago 2022-2"/>
            <filter val="JUAREZ LOZA CAMILA VALERIA Formato de reinscripción y pago 2022-2"/>
            <filter val="LUIS ANACLETO  LIZBETH  Formato de reinscripción y pago 2022-2"/>
            <filter val="MACIEL SANTIAGO  JUAN CARLOS Formato de reinscripción y pago 2022-2"/>
            <filter val="MARTINEZ  PALOMINO  EVELYN YAEL  Formato de reinscripción y pago 2022-2"/>
            <filter val="MATIAS JIMENEZ YESSICA MARISOL Formato de reinscripción y pago 2022-2"/>
            <filter val="MORA GARCIA NOEMI Formato de reinscripción y pago 2022-2"/>
            <filter val="NATERA  MEDELLIN  LESLIE MARIANA  Formato de reinscripción y pago 2022-2"/>
            <filter val="ORTIZ  MASCOTA PAOLA FERNANDA Formato de reinscripción y pago 2022-2"/>
            <filter val="PADILLA  RODRIGUEZ  MARIA FERNANDA  Formato de reinscripción y pago 2022-2"/>
            <filter val="RAMIREZ SALINAS RENATA REBECA  Formato de reinscripción y pago 2022-2"/>
            <filter val="RANGEL  ORDAZ REBECA SARAHI  Formato de reinscripción y pago 2022-2"/>
            <filter val="ROBLES CORTES JOSUE AGUSTIN  Formato de reinscripción y pago 2022-2"/>
            <filter val="SANCHEZ GARCIA MARIO ALEJANDRO  Formato de reinscripción y pago 2022-2"/>
            <filter val="SANCHEZ GOYTORTUA AUDRICK DASAETH Formato de reinscripción y pago 2022-2"/>
            <filter val="SANDOVAL ACOSTA EVELYN ABIGAIL Formato de reinscripción y pago 2022-2"/>
            <filter val="SOTO LOPEZ IRVING MAURICIO Formato de reinscripción y pago 2022-2"/>
            <filter val="TORRES CRUZ VALERIA GISELLE Formato de reinscripción y pago 2022-2"/>
            <filter val="VALLEJO TRIFUNDIO  GAEL Formato de reinscripción y pago 2022-2"/>
            <filter val="VEGA ALVAREZ MELANY MONSERRAT  Formato de reinscripción y pago 2022-2"/>
            <filter val="VILLALOBOS  RUIZ ADRIANA NICOLE Formato de reinscripción y pago 2022-2"/>
          </filters>
        </filterColumn>
      </autoFilter>
    </customSheetView>
    <customSheetView guid="{844A36BB-F498-4B01-9727-53AD9F6DBBEC}" filter="1" showAutoFilter="1">
      <pageMargins left="0.7" right="0.7" top="0.75" bottom="0.75" header="0.3" footer="0.3"/>
      <autoFilter ref="A1:CR1330" xr:uid="{6959B0B0-2453-4F18-B9B7-4951F2ED58CB}">
        <filterColumn colId="4">
          <filters blank="1">
            <filter val="ADRIANA MINELLI"/>
            <filter val="ALEJANDRO DANIEL"/>
            <filter val="ALEXIS NOE"/>
            <filter val="ALONDRA JUDITH"/>
            <filter val="AMERICA MONSERRAT"/>
            <filter val="AMERICA RUBI"/>
            <filter val="ARANZA ELIZABETH"/>
            <filter val="ASHLEY ARANZA"/>
            <filter val="AXEL URIEL"/>
            <filter val="BRENDA JACQUELIN"/>
            <filter val="BRIAN ISAI"/>
            <filter val="DAISUKE DANIEL"/>
            <filter val="DAVID ALEJANDRO"/>
            <filter val="DENISSE ITZEL"/>
            <filter val="DIEGO ALEXIS"/>
            <filter val="DOMINICK"/>
            <filter val="EDGAR"/>
            <filter val="EDWIN ANDREI"/>
            <filter val="EVELYN YAEL"/>
            <filter val="FATIMA ALINE"/>
            <filter val="GALA ALIZEE"/>
            <filter val="GEOVANNY ISRAEL"/>
            <filter val="GLADIS GUADALUPE"/>
            <filter val="ISAAC HABACUC"/>
            <filter val="ISABEL NAOMI"/>
            <filter val="IVETT YARELI"/>
            <filter val="IVETTE AHTZIRI"/>
            <filter val="JASON"/>
            <filter val="JESSICA GABRIELA"/>
            <filter val="JOSE DE JESUS"/>
            <filter val="KARLA BERENICE"/>
            <filter val="KARLA MICHELLE"/>
            <filter val="LAURA LIZETTE"/>
            <filter val="LEILANY MARIA FERNANDA"/>
            <filter val="LESLIE MARIANA"/>
            <filter val="LILIAN OYUKI"/>
            <filter val="LILIANA ABIGAIL"/>
            <filter val="LIS INGRID"/>
            <filter val="LUIS YAFTE"/>
            <filter val="MAGDALENA"/>
            <filter val="MARIA DEL ROSARIO"/>
            <filter val="MARIA ROCIO"/>
            <filter val="MARIA VIRGINIA"/>
            <filter val="MARIANA"/>
            <filter val="MARIANA LISSET"/>
            <filter val="MARIO ALEJANDRO"/>
            <filter val="MELANY MONSERRAT"/>
            <filter val="MIA ELIZAMA"/>
            <filter val="MICHEL GUADALUPE"/>
            <filter val="NESTOR EMMANUEL"/>
            <filter val="REBECA SARAHI"/>
            <filter val="SALVADOR"/>
            <filter val="SANDRA PAOLA"/>
            <filter val="SHAKTTY ENAILY"/>
            <filter val="SHECCID MALILLANY"/>
            <filter val="SIOMARA"/>
            <filter val="SOFIA ITZAMARA"/>
            <filter val="SOFIA NELLY"/>
            <filter val="STEFANIE"/>
            <filter val="TERESA"/>
            <filter val="VALERY MONSERRAT"/>
            <filter val="VIRIDIANA ESTEFANIA"/>
            <filter val="WILLIAM"/>
            <filter val="YESSICA MARISOL"/>
            <filter val="ZOE CAROLINA"/>
          </filters>
        </filterColumn>
      </autoFilter>
    </customSheetView>
    <customSheetView guid="{89AE6F83-CE18-481C-9993-531587F83684}" filter="1" showAutoFilter="1">
      <pageMargins left="0.7" right="0.7" top="0.75" bottom="0.75" header="0.3" footer="0.3"/>
      <autoFilter ref="A1:GL1330" xr:uid="{E053938A-19A9-43FD-98DD-8E6DFA791C95}">
        <filterColumn colId="2">
          <filters blank="1">
            <filter val="ACOSTA"/>
            <filter val="CERECERO"/>
            <filter val="DIAZ GONZALEZ"/>
            <filter val="FERIA"/>
            <filter val="HINOJOSA"/>
            <filter val="LUIS"/>
            <filter val="MANZANO"/>
            <filter val="MATIAS"/>
            <filter val="NATERA"/>
            <filter val="VALLEJO"/>
          </filters>
        </filterColumn>
      </autoFilter>
    </customSheetView>
    <customSheetView guid="{89BAC1B4-75D9-4093-8283-FBF8093882B1}" filter="1" showAutoFilter="1">
      <pageMargins left="0.7" right="0.7" top="0.75" bottom="0.75" header="0.3" footer="0.3"/>
      <autoFilter ref="A1:GL1330" xr:uid="{5EE0D0B6-132F-44DB-A93C-9BD888324447}">
        <filterColumn colId="3">
          <filters blank="1">
            <filter val="ABONCE"/>
            <filter val="ACOSTA"/>
            <filter val="ACUAPAN"/>
            <filter val="ACUAUTLA"/>
            <filter val="ADRIAN"/>
            <filter val="AGAMA"/>
            <filter val="AGUDO"/>
            <filter val="AGUILA"/>
            <filter val="AGUILAR"/>
            <filter val="AGUIÑAGA"/>
            <filter val="AGUIRRE"/>
            <filter val="ALAMEDA"/>
            <filter val="ALARCON"/>
            <filter val="ALBA"/>
            <filter val="ALBARRAN"/>
            <filter val="ALCANTAR"/>
            <filter val="ALCANTARA"/>
            <filter val="ALONSO"/>
            <filter val="ALVAREZ"/>
            <filter val="AMADOR"/>
            <filter val="AMAYA"/>
            <filter val="ANACLETO"/>
            <filter val="ANASTACIO"/>
            <filter val="ANDRADE"/>
            <filter val="ANGULO"/>
            <filter val="ANTUNEZ"/>
            <filter val="APARICIO"/>
            <filter val="APASEO"/>
            <filter val="APOLINAR"/>
            <filter val="ARAGON"/>
            <filter val="ARANDA"/>
            <filter val="ARCIGA"/>
            <filter val="ARCOS"/>
            <filter val="AREAS"/>
            <filter val="ARELLANES"/>
            <filter val="ARELLANO"/>
            <filter val="ARENAS"/>
            <filter val="ARGUIJO"/>
            <filter val="ARIAS"/>
            <filter val="ARIZPE"/>
            <filter val="ARREDONDO"/>
            <filter val="ARREOLA"/>
            <filter val="ARRIAGA"/>
            <filter val="ARROYO"/>
            <filter val="ATANACIO"/>
            <filter val="AVALOS"/>
            <filter val="AVENDAÑO"/>
            <filter val="AVILA"/>
            <filter val="AVILES"/>
            <filter val="AYALA"/>
            <filter val="BABINES"/>
            <filter val="BADILLO"/>
            <filter val="BAENA"/>
            <filter val="BALDERRAMA"/>
            <filter val="BANDA"/>
            <filter val="BANDALA"/>
            <filter val="BANUET"/>
            <filter val="BARAHONA"/>
            <filter val="BARAJAS"/>
            <filter val="BARRON"/>
            <filter val="BARTOLO"/>
            <filter val="BASILIO"/>
            <filter val="BASTIDA"/>
            <filter val="BAUTISTA"/>
            <filter val="BECERRA"/>
            <filter val="BELMAN"/>
            <filter val="BERNABE"/>
            <filter val="BERNAL"/>
            <filter val="BETANCOURT"/>
            <filter val="BETANZOS"/>
            <filter val="BLANCO"/>
            <filter val="BOLAÑOS"/>
            <filter val="BONILLA"/>
            <filter val="BOYZO"/>
            <filter val="BRAVO"/>
            <filter val="BRIONES"/>
            <filter val="BRRERA"/>
            <filter val="BUCIO"/>
            <filter val="CABALLERO"/>
            <filter val="CABRERA"/>
            <filter val="CAHUE"/>
            <filter val="CALDERON"/>
            <filter val="CALVILLO"/>
            <filter val="CAMACHO"/>
            <filter val="CAMARILLO"/>
            <filter val="CAMPOS"/>
            <filter val="CAMPUZANO"/>
            <filter val="CANO"/>
            <filter val="CANTON"/>
            <filter val="CAPULTITLA"/>
            <filter val="CARBAJAL"/>
            <filter val="CARDENAS"/>
            <filter val="CARDOSO"/>
            <filter val="CARMONA"/>
            <filter val="CARRANZA"/>
            <filter val="CARREOLA"/>
            <filter val="CARRILLO"/>
            <filter val="CASAS"/>
            <filter val="CASIMIRO"/>
            <filter val="CASTAÑEDA"/>
            <filter val="CASTILLO"/>
            <filter val="CASTRO"/>
            <filter val="CAZARES"/>
            <filter val="CEBRERO"/>
            <filter val="CEDEÑO"/>
            <filter val="CEDILLO"/>
            <filter val="CERON"/>
            <filter val="CERRILLO"/>
            <filter val="CERVANTES"/>
            <filter val="CHAPARRO"/>
            <filter val="CHAVERO"/>
            <filter val="CHAVEZ"/>
            <filter val="CID"/>
            <filter val="CITALAN"/>
            <filter val="COCOLETZI"/>
            <filter val="COLIN"/>
            <filter val="CONDE"/>
            <filter val="CONTRERAS"/>
            <filter val="COROY"/>
            <filter val="CORREA"/>
            <filter val="CORTEZ"/>
            <filter val="COYOTL"/>
            <filter val="CRESPO"/>
            <filter val="CRISANTO"/>
            <filter val="CUACHITL"/>
            <filter val="CUENCA"/>
            <filter val="CUESTA"/>
            <filter val="CUEVAS"/>
            <filter val="CURIEL"/>
            <filter val="DAVILA"/>
            <filter val="DE AQUINO"/>
            <filter val="DE FERMIN"/>
            <filter val="DE JESUS"/>
            <filter val="DE LA CRUZ"/>
            <filter val="DE LA LUZ"/>
            <filter val="DE LA TORRE"/>
            <filter val="DE OLMOS"/>
            <filter val="DEGANTE"/>
            <filter val="DELGADO"/>
            <filter val="DIAZ"/>
            <filter val="DUEÑAS"/>
            <filter val="DURAN"/>
            <filter val="ELIZALDE"/>
            <filter val="ENCARNACION"/>
            <filter val="ENCISO"/>
            <filter val="ENRIQUEZ"/>
            <filter val="EROSA"/>
            <filter val="ESCALANTE"/>
            <filter val="ESCORZA"/>
            <filter val="ESLAVA"/>
            <filter val="ESPINO"/>
            <filter val="ESPINOSA"/>
            <filter val="ESPINOZA"/>
            <filter val="ESQUIVEL"/>
            <filter val="ESTRADA"/>
            <filter val="EUSEBIO"/>
            <filter val="FABIAN"/>
            <filter val="FAJARDO"/>
            <filter val="FARIAS"/>
            <filter val="FEDERICO"/>
            <filter val="FERIA"/>
            <filter val="FERMIN"/>
            <filter val="FERNANDEZ"/>
            <filter val="FIGUEROA"/>
            <filter val="FLORES"/>
            <filter val="FONSECA"/>
            <filter val="FORTIZ"/>
            <filter val="FRAGOSO"/>
            <filter val="FRANCO"/>
            <filter val="FUENTES"/>
            <filter val="FUENTES."/>
            <filter val="GALARZA"/>
            <filter val="GALDAMEZ"/>
            <filter val="GALICIA"/>
            <filter val="GALLEGOS"/>
            <filter val="GALVAN"/>
            <filter val="GALVEZ"/>
            <filter val="GAMA"/>
            <filter val="GAMBOA"/>
            <filter val="GAMIÑO"/>
            <filter val="GARAY"/>
            <filter val="GARDUÑO"/>
            <filter val="GARRIDO"/>
            <filter val="GASPAR"/>
            <filter val="GAYOSSO"/>
            <filter val="GOMEZ"/>
            <filter val="GORGONIO"/>
            <filter val="GOYTORTUA"/>
            <filter val="GRACIDA"/>
            <filter val="GRANADOS"/>
            <filter val="GUARNEROS"/>
            <filter val="GUERRA"/>
            <filter val="GUERRERO"/>
            <filter val="GUEVARA"/>
            <filter val="GUTIERREZ"/>
            <filter val="GUZMAN"/>
            <filter val="HUERTA"/>
            <filter val="IBARRA"/>
            <filter val="ISLAS"/>
            <filter val="JACINTO"/>
            <filter val="JARAMILLO"/>
            <filter val="JARQUIN"/>
            <filter val="JERONIMO"/>
            <filter val="JIEMENEZ"/>
            <filter val="JIMENEZ"/>
            <filter val="JOAQUIN"/>
            <filter val="JUAREZ"/>
            <filter val="JULIAN"/>
            <filter val="LAMADRID"/>
            <filter val="LAMARCA"/>
            <filter val="LARA"/>
            <filter val="LASCURAIN"/>
            <filter val="LEGASPI"/>
            <filter val="LEON"/>
            <filter val="LEYVA"/>
            <filter val="LIMA"/>
            <filter val="LIRA"/>
            <filter val="LOBATO"/>
            <filter val="LORETO"/>
            <filter val="LOVERA"/>
            <filter val="LOYOLA"/>
            <filter val="LOZA"/>
            <filter val="LOZANO"/>
            <filter val="LUCAS"/>
            <filter val="LUCIO"/>
            <filter val="LUGO"/>
            <filter val="MACHORRO"/>
            <filter val="MACIAS"/>
            <filter val="MADRIGAL"/>
            <filter val="MAGALLANES"/>
            <filter val="MAGAÑA"/>
            <filter val="MALDDONADO"/>
            <filter val="MALDONADO"/>
            <filter val="MALVAEZ"/>
            <filter val="MANRIQUE"/>
            <filter val="MANRIQUEZ"/>
            <filter val="MARCIAL"/>
            <filter val="MARILES"/>
            <filter val="MARQUEZ"/>
            <filter val="MASCOTA"/>
            <filter val="MATA"/>
            <filter val="MAYA"/>
            <filter val="MAYORGA"/>
            <filter val="MEDELLIN"/>
            <filter val="MEDINA"/>
            <filter val="MEDRANO"/>
            <filter val="MEJIA"/>
            <filter val="MELENDEZ"/>
            <filter val="MELGOZA"/>
            <filter val="MELO"/>
            <filter val="MENA"/>
            <filter val="MENDEZ"/>
            <filter val="MENDOZA"/>
            <filter val="MERAZ"/>
            <filter val="MERLOS"/>
            <filter val="MEZA"/>
            <filter val="MILLAN"/>
            <filter val="MIRANDA"/>
            <filter val="MOLINA"/>
            <filter val="MONDRAGON"/>
            <filter val="MONROY"/>
            <filter val="MONTER"/>
            <filter val="MONTERO"/>
            <filter val="MONTOYA"/>
            <filter val="MORA"/>
            <filter val="MORALES"/>
            <filter val="MORENO"/>
            <filter val="MOSCO"/>
            <filter val="MUNGUIA"/>
            <filter val="MUÑOZ"/>
            <filter val="NAPOLEON"/>
            <filter val="NAVA"/>
            <filter val="NAVARRO"/>
            <filter val="NEGRETE"/>
            <filter val="NERI"/>
            <filter val="NIETO"/>
            <filter val="NIEVES"/>
            <filter val="NOLASCO"/>
            <filter val="NOYOLA"/>
            <filter val="NUEVO"/>
            <filter val="NUÑEZ"/>
            <filter val="OCAMPO"/>
            <filter val="OCAÑA"/>
            <filter val="OCARANZA"/>
            <filter val="OCEGUERA"/>
            <filter val="OCHOA"/>
            <filter val="OCTAVIANO"/>
            <filter val="OJEDA"/>
            <filter val="OLGUIN"/>
            <filter val="OLIVA"/>
            <filter val="OLIVARES"/>
            <filter val="OLIVAS"/>
            <filter val="OLIVERA"/>
            <filter val="OLIVO"/>
            <filter val="OLIVOS"/>
            <filter val="OLMOS"/>
            <filter val="ORDAZ"/>
            <filter val="OREA"/>
            <filter val="ORTEGA"/>
            <filter val="ORTIZ"/>
            <filter val="OSORIO"/>
            <filter val="OTAÑEZ"/>
            <filter val="OVIEDO"/>
            <filter val="PABLO"/>
            <filter val="PACHECO"/>
            <filter val="PADILLA"/>
            <filter val="PAEZ"/>
            <filter val="PALACIOS"/>
            <filter val="PALLARES"/>
            <filter val="PALMA"/>
            <filter val="PALOMINO"/>
            <filter val="PANTALEON"/>
            <filter val="PANTOJA"/>
            <filter val="PAREDES"/>
            <filter val="PASCUAL"/>
            <filter val="PATIÑO"/>
            <filter val="PEÑA"/>
            <filter val="PERALTA"/>
            <filter val="PEREA"/>
            <filter val="PEREYRA"/>
            <filter val="PERFECTO"/>
            <filter val="PINAL"/>
            <filter val="PINTOR"/>
            <filter val="PIÑA"/>
            <filter val="PIZANO"/>
            <filter val="PLATA"/>
            <filter val="PLIEGO"/>
            <filter val="PONCIANO"/>
            <filter val="POSADAS"/>
            <filter val="POZOS"/>
            <filter val="PRADO"/>
            <filter val="PRESTADO"/>
            <filter val="PRIETO"/>
            <filter val="PRUBA"/>
            <filter val="QUIJADA"/>
            <filter val="QUIJANO"/>
            <filter val="QUINTERO"/>
            <filter val="QUIÑONES"/>
            <filter val="QUIROZ"/>
            <filter val="QUITERIO"/>
            <filter val="RABADAN"/>
            <filter val="RAFAEL"/>
            <filter val="RAMIREZ"/>
            <filter val="RAMIRO"/>
            <filter val="RAMOS"/>
            <filter val="RANGEL"/>
            <filter val="REGINO"/>
            <filter val="RESENDIZ"/>
            <filter val="REYES"/>
            <filter val="REYNOSO"/>
            <filter val="RICO"/>
            <filter val="RIVAS"/>
            <filter val="RIVERA"/>
            <filter val="RIVERO"/>
            <filter val="ROBLES"/>
            <filter val="RODALES"/>
            <filter val="RODRIGUEZ"/>
            <filter val="ROJAS"/>
            <filter val="ROLDAN"/>
            <filter val="ROMAN"/>
            <filter val="ROMERO"/>
            <filter val="RONCES"/>
            <filter val="ROSALES"/>
            <filter val="ROSAS"/>
            <filter val="RUBIO"/>
            <filter val="RUEDA"/>
            <filter val="RUEDAS"/>
            <filter val="RUIZ"/>
            <filter val="SAAVEDRA"/>
            <filter val="SAINZ"/>
            <filter val="SALAS"/>
            <filter val="SALAZAR"/>
            <filter val="SALCEDO"/>
            <filter val="SALINAS"/>
            <filter val="SAMANO"/>
            <filter val="SAMPEDRO"/>
            <filter val="SAN JUAN"/>
            <filter val="SANDOVAL"/>
            <filter val="SANTANA"/>
            <filter val="SANTANDER"/>
            <filter val="SANTES"/>
            <filter val="SANTIAGO"/>
            <filter val="SANTILLAN"/>
            <filter val="SARMIENTO"/>
            <filter val="SAUCEDO"/>
            <filter val="SAVALZA"/>
            <filter val="SEGUNDO"/>
            <filter val="SEGURA"/>
            <filter val="SERENO"/>
            <filter val="SERNA"/>
            <filter val="SERRANO"/>
            <filter val="SERRATO"/>
            <filter val="SERVIN"/>
            <filter val="SEVERIANO"/>
            <filter val="SILVA"/>
            <filter val="SOLANO"/>
            <filter val="SOLEDAD"/>
            <filter val="SOLIS"/>
            <filter val="SOREQUE"/>
            <filter val="SORIANO"/>
            <filter val="SOTO"/>
            <filter val="SUAREZ"/>
            <filter val="TAPIA"/>
            <filter val="TEHOZOL"/>
            <filter val="TEHUACANERO"/>
            <filter val="TEJEDA"/>
            <filter val="TEJOCOTE"/>
            <filter val="TELLEZ"/>
            <filter val="TIBURCIO"/>
            <filter val="TIERRABLANCA"/>
            <filter val="TINOCO"/>
            <filter val="TLAPECHCO"/>
            <filter val="TOLEDO"/>
            <filter val="TREJO"/>
            <filter val="TRIFUNDIO"/>
            <filter val="TRUJILLO"/>
            <filter val="UBALDO"/>
            <filter val="USCANGA"/>
            <filter val="VACA"/>
            <filter val="VALDEZ"/>
            <filter val="VALDIVIA"/>
            <filter val="VALLE"/>
            <filter val="VALVERDE"/>
            <filter val="VARGAS"/>
            <filter val="VASQUEZ"/>
            <filter val="VAZQUEZ"/>
            <filter val="VEGA"/>
            <filter val="VELASCO"/>
            <filter val="VELAZQUEZ"/>
            <filter val="VENCES"/>
            <filter val="VENTURA"/>
            <filter val="VERA"/>
            <filter val="VERDE"/>
            <filter val="VERTIZ"/>
            <filter val="VIDAL"/>
            <filter val="VILCHIS"/>
            <filter val="VILLA"/>
            <filter val="VILLALOBOS"/>
            <filter val="VILLANUEVA"/>
            <filter val="VILLEGAS"/>
            <filter val="VITAL"/>
            <filter val="VITELA"/>
            <filter val="YAHUTENTZI"/>
            <filter val="YAÑEZ"/>
            <filter val="ZAMORA"/>
            <filter val="ZARAGOZA"/>
            <filter val="ZARATE"/>
            <filter val="ZEMPOALTECA"/>
            <filter val="ZOSAYAS"/>
          </filters>
        </filterColumn>
        <filterColumn colId="185">
          <filters>
            <filter val="Document successfully created; Document successfully merged; PDF created; !!Error Sending Emails: Límite excedido: Tamaño total de los archivos adjuntos del correo electrónico.; Manually run by cgvaz@cetis57.edu.mx; Timestamp: Aug 3 2023 11:55 AM"/>
            <filter val="Document successfully created; Document successfully merged; PDF created; Emails Sent: [To: 19-bonillamendez.elizabethguadalupe@cetis57.edu.mx]; Manually run by cgvaz@cetis57.edu.mx; Timestamp: Aug 3 2023 12:05 PM"/>
            <filter val="Document successfully created; Document successfully merged; PDF created; Emails Sent: [To: 19-padronrodriguez.diego@cetis57.edu.mx]; Run via form trigger as gabrielvazquez@cetis57.edu.mx; Timestamp: Aug 3 2023 7:50 PM"/>
            <filter val="Document successfully created; Document successfully merged; PDF created; Emails Sent: [To: 20-barreraalvarado.perlaximena@cetis57.edu.mx; no-reply: true]; Run via form trigger as gabrielvazquez@cetis57.edu.mx; Timestamp: Aug 3 2023 1:14 AM"/>
            <filter val="Document successfully created; Document successfully merged; PDF created; Emails Sent: [To: 20-brunorivera.marypoulette@cetis57.edu.mx]; Manually run by cgvaz@cetis57.edu.mx; Timestamp: Aug 3 2023 12:15 PM"/>
            <filter val="Document successfully created; Document successfully merged; PDF created; Emails Sent: [To: 20-caballerojuarez.luisramiro@cetis57.edu.mx]; Manually run by cgvaz@cetis57.edu.mx; Timestamp: Aug 3 2023 12:01 PM"/>
            <filter val="Document successfully created; Document successfully merged; PDF created; Emails Sent: [To: 20-delvallecocoletzi.jenniferestrella@cetis57.edu.mx]; Run via form trigger as gabrielvazquez@cetis57.edu.mx; Timestamp: Aug 3 2023 6:20 PM"/>
            <filter val="Document successfully created; Document successfully merged; PDF created; Emails Sent: [To: 20-floresrodriguez.zoelizett@cetis57.edu.mx]; Manually run by cgvaz@cetis57.edu.mx; Timestamp: Aug 3 2023 12:13 PM"/>
            <filter val="Document successfully created; Document successfully merged; PDF created; Emails Sent: [To: 20-hernandeznavarrete.jesusefrain@cetis57.edu.mx; no-reply: true]; Run via form trigger as gabrielvazquez@cetis57.edu.mx; Timestamp: Aug 2 2023 1:29 AM"/>
            <filter val="Document successfully created; Document successfully merged; PDF created; Emails Sent: [To: 20-hernandezsanchez.victor@cetis57.edu.mx; no-reply: true]; Manually run by joseeduardo.torresl@cetis57.edu.mx; Timestamp: Aug 3 2023 4:14 AM"/>
            <filter val="Document successfully created; Document successfully merged; PDF created; Emails Sent: [To: 20-lemussanchez.omaralexis@cetis57.edu.mx; no-reply: true]; Run via form trigger as gabrielvazquez@cetis57.edu.mx; Timestamp: Aug 2 2023 10:47 PM"/>
            <filter val="Document successfully created; Document successfully merged; PDF created; Emails Sent: [To: 20-martinezlopez.julioalberto@cetis57.edu.mx; no-reply: true]; Run via form trigger as gabrielvazquez@cetis57.edu.mx; Timestamp: Aug 2 2023 5:48 PM"/>
            <filter val="Document successfully created; Document successfully merged; PDF created; Emails Sent: [To: 20-medinaherrera.angelgabriel@cetis57.edu.mx; no-reply: true]; Run via form trigger as gabrielvazquez@cetis57.edu.mx; Timestamp: Aug 3 2023 3:56 AM"/>
            <filter val="Document successfully created; Document successfully merged; PDF created; Emails Sent: [To: 20-sanchezjimenez.angelaldahir@cetis57.edu.mx]; Manually run by cgvaz@cetis57.edu.mx; Timestamp: Aug 3 2023 10:27 AM"/>
            <filter val="Document successfully created; Document successfully merged; PDF created; Emails Sent: [To: 21-adanlopez.sandra@cetis57.edu.mx; no-reply: true]; Run via form trigger as gabrielvazquez@cetis57.edu.mx; Timestamp: Aug 2 2023 3:11 AM"/>
            <filter val="Document successfully created; Document successfully merged; PDF created; Emails Sent: [To: 21-aguilarcortes.naomi@cetis57.edu.mx]; Manually run by cgvaz@cetis57.edu.mx; Timestamp: Aug 3 2023 12:18 PM"/>
            <filter val="Document successfully created; Document successfully merged; PDF created; Emails Sent: [To: 21-aguilarlopez.ricardo@cetis57.edu.mx; no-reply: true]; Manually run by joseeduardo.torresl@cetis57.edu.mx; Timestamp: Aug 3 2023 5:01 AM"/>
            <filter val="Document successfully created; Document successfully merged; PDF created; Emails Sent: [To: 21-aguilarmartinez.itzeljimena@cetis57.edu.mx; no-reply: true]; Run via form trigger as gabrielvazquez@cetis57.edu.mx; Timestamp: Aug 3 2023 12:50 AM"/>
            <filter val="Document successfully created; Document successfully merged; PDF created; Emails Sent: [To: 21-aguilarsampedro.ivettyareli@cetis57.edu.mx]; Run via form trigger as gabrielvazquez@cetis57.edu.mx; Timestamp: Aug 3 2023 1:36 PM"/>
            <filter val="Document successfully created; Document successfully merged; PDF created; Emails Sent: [To: 21-aguirrelopez.hectorarturo@cetis57.edu.mx]; Run via form trigger as gabrielvazquez@cetis57.edu.mx; Timestamp: Aug 3 2023 6:42 PM"/>
            <filter val="Document successfully created; Document successfully merged; PDF created; Emails Sent: [To: 21-aguirremartinez.keylinleylani@cetis57.edu.mx; no-reply: true]; Run via form trigger as gabrielvazquez@cetis57.edu.mx; Timestamp: Aug 2 2023 10:18 PM"/>
            <filter val="Document successfully created; Document successfully merged; PDF created; Emails Sent: [To: 21-allendemartinez.paublina@cetis57.edu.mx; no-reply: true]; Manually run by joseeduardo.torresl@cetis57.edu.mx; Timestamp: Aug 3 2023 4:13 AM"/>
            <filter val="Document successfully created; Document successfully merged; PDF created; Emails Sent: [To: 21-alvaradoflores.lucero@cetis57.edu.mx]; Run via form trigger as gabrielvazquez@cetis57.edu.mx; Timestamp: Aug 3 2023 8:26 PM"/>
            <filter val="Document successfully created; Document successfully merged; PDF created; Emails Sent: [To: 21-alvarezperez.josue@cetis57.edu.mx; no-reply: true]; Run via form trigger as gabrielvazquez@cetis57.edu.mx; Timestamp: Aug 2 2023 8:22 PM"/>
            <filter val="Document successfully created; Document successfully merged; PDF created; Emails Sent: [To: 21-alvarezperez.lizethjacqueline@cetis57.edu.mx; no-reply: true]; Run via form trigger as gabrielvazquez@cetis57.edu.mx; Timestamp: Aug 2 2023 6:57 PM"/>
            <filter val="Document successfully created; Document successfully merged; PDF created; Emails Sent: [To: 21-alvareztorres.magali@cetis57.edu.mx; no-reply: true]; Run via form trigger as gabrielvazquez@cetis57.edu.mx; Timestamp: Aug 2 2023 3:13 AM"/>
            <filter val="Document successfully created; Document successfully merged; PDF created; Emails Sent: [To: 21-anayagarcia.itzelamayrani@cetis57.edu.mx; no-reply: true]; Run via form trigger as gabrielvazquez@cetis57.edu.mx; Timestamp: Aug 3 2023 12:04 AM"/>
            <filter val="Document successfully created; Document successfully merged; PDF created; Emails Sent: [To: 21-angelolguin.miranda@cetis57.edu.mx]; Run via form trigger as gabrielvazquez@cetis57.edu.mx; Timestamp: Aug 3 2023 5:54 PM"/>
            <filter val="Document successfully created; Document successfully merged; PDF created; Emails Sent: [To: 21-antoninoapolinar.diana@cetis57.edu.mx]; Manually run by cgvaz@cetis57.edu.mx; Timestamp: Aug 3 2023 9:14 PM"/>
            <filter val="Document successfully created; Document successfully merged; PDF created; Emails Sent: [To: 21-antoninoapolinar.isaac@cetis57.edu.mx]; Run via form trigger as gabrielvazquez@cetis57.edu.mx; Timestamp: Aug 3 2023 8:26 PM"/>
            <filter val="Document successfully created; Document successfully merged; PDF created; Emails Sent: [To: 21-aprezaparedes.luisangel@cetis57.edu.mx]; Manually run by cgvaz@cetis57.edu.mx; Timestamp: Aug 3 2023 11:11 AM"/>
            <filter val="Document successfully created; Document successfully merged; PDF created; Emails Sent: [To: 21-arenashernandez.viridiana@cetis57.edu.mx; no-reply: true]; Run via form trigger as gabrielvazquez@cetis57.edu.mx; Timestamp: Aug 2 2023 2:25 AM"/>
            <filter val="Document successfully created; Document successfully merged; PDF created; Emails Sent: [To: 21-arriagapineda.wendypaola@cetis57.edu.mx]; Manually run by cgvaz@cetis57.edu.mx; Timestamp: Aug 3 2023 11:53 AM"/>
            <filter val="Document successfully created; Document successfully merged; PDF created; Emails Sent: [To: 21-arroyoescobar.karinaivonne@cetis57.edu.mx; no-reply: true]; Run via form trigger as gabrielvazquez@cetis57.edu.mx; Timestamp: Aug 3 2023 12:27 AM"/>
            <filter val="Document successfully created; Document successfully merged; PDF created; Emails Sent: [To: 21-arroyomartinez.kimberlynatasha@cetis57.edu.mx; no-reply: true]; Manually run by joseeduardo.torresl@cetis57.edu.mx; Timestamp: Aug 3 2023 1:53 AM"/>
            <filter val="Document successfully created; Document successfully merged; PDF created; Emails Sent: [To: 21-avilacruz.karlaberenice@cetis57.edu.mx]; Run via form trigger as gabrielvazquez@cetis57.edu.mx; Timestamp: Aug 3 2023 3:24 PM"/>
            <filter val="Document successfully created; Document successfully merged; PDF created; Emails Sent: [To: 21-avilesortega.zuryamerica@cetis57.edu.mx]; Run via form trigger as gabrielvazquez@cetis57.edu.mx; Timestamp: Aug 3 2023 7:35 PM"/>
            <filter val="Document successfully created; Document successfully merged; PDF created; Emails Sent: [To: 21-ayalatorres.karoljozef@cetis57.edu.mx; no-reply: true]; Run via form trigger as gabrielvazquez@cetis57.edu.mx; Timestamp: Aug 2 2023 12:12 PM"/>
            <filter val="Document successfully created; Document successfully merged; PDF created; Emails Sent: [To: 21-baltazarhernandez.dylanadolfo@cetis57.edu.mx; no-reply: true]; Run via form trigger as gabrielvazquez@cetis57.edu.mx; Timestamp: Aug 2 2023 12:55 PM"/>
            <filter val="Document successfully created; Document successfully merged; PDF created; Emails Sent: [To: 21-barcolopez.melany@cetis57.edu.mx; no-reply: true]; Run via form trigger as gabrielvazquez@cetis57.edu.mx; Timestamp: Aug 2 2023 2:02 AM"/>
            <filter val="Document successfully created; Document successfully merged; PDF created; Emails Sent: [To: 21-barretorubio.jostyndavid@cetis57.edu.mx]; Manually run by cgvaz@cetis57.edu.mx; Timestamp: Aug 3 2023 11:12 AM"/>
            <filter val="Document successfully created; Document successfully merged; PDF created; Emails Sent: [To: 21-bautistapena.ericamireth@cetis57.edu.mx]; Manually run by cgvaz@cetis57.edu.mx; Timestamp: Aug 3 2023 1:47 PM"/>
            <filter val="Document successfully created; Document successfully merged; PDF created; Emails Sent: [To: 21-becerrilgallegos.karenjaqueline@cetis57.edu.mx]; Manually run by cgvaz@cetis57.edu.mx; Timestamp: Aug 3 2023 12:17 PM"/>
            <filter val="Document successfully created; Document successfully merged; PDF created; Emails Sent: [To: 21-becerrilhernandez.mildredamairany@cetis57.edu.mx; no-reply: true]; Run via form trigger as gabrielvazquez@cetis57.edu.mx; Timestamp: Aug 2 2023 11:00 PM"/>
            <filter val="Document successfully created; Document successfully merged; PDF created; Emails Sent: [To: 21-bonillaarellano.magdalena@cetis57.edu.mx]; Run via form trigger as gabrielvazquez@cetis57.edu.mx; Timestamp: Aug 3 2023 12:53 PM"/>
            <filter val="Document successfully created; Document successfully merged; PDF created; Emails Sent: [To: 21-brassluna.rasheedaldebran@cetis57.edu.mx; no-reply: true]; Manually run by joseeduardo.torresl@cetis57.edu.mx; Timestamp: Aug 3 2023 3:40 AM"/>
            <filter val="Document successfully created; Document successfully merged; PDF created; Emails Sent: [To: 21-brisenodominguez.susanaregina@cetis57.edu.mx; no-reply: true]; Run via form trigger as gabrielvazquez@cetis57.edu.mx; Timestamp: Aug 3 2023 2:21 AM"/>
            <filter val="Document successfully created; Document successfully merged; PDF created; Emails Sent: [To: 21-camposgarcia.axel@cetis57.edu.mx]; Run via form trigger as gabrielvazquez@cetis57.edu.mx; Timestamp: Aug 3 2023 7:07 PM"/>
            <filter val="Document successfully created; Document successfully merged; PDF created; Emails Sent: [To: 21-carbajalmunoz.ashleyaranza@cetis57.edu.mx]; Run via form trigger as gabrielvazquez@cetis57.edu.mx; Timestamp: Aug 3 2023 5:57 PM"/>
            <filter val="Document successfully created; Document successfully merged; PDF created; Emails Sent: [To: 21-cardososanchez.cinthiasaray@cetis57.edu.mx; no-reply: true]; Run via form trigger as gabrielvazquez@cetis57.edu.mx; Timestamp: Aug 2 2023 4:10 PM"/>
            <filter val="Document successfully created; Document successfully merged; PDF created; Emails Sent: [To: 21-carmenmartinez.liliana@cetis57.edu.mx; no-reply: true]; Run via form trigger as gabrielvazquez@cetis57.edu.mx; Timestamp: Aug 3 2023 1:01 AM"/>
            <filter val="Document successfully created; Document successfully merged; PDF created; Emails Sent: [To: 21-carranzaflores.fatimanatalia@cetis57.edu.mx]; Manually run by cgvaz@cetis57.edu.mx; Timestamp: Aug 3 2023 1:53 PM"/>
            <filter val="Document successfully created; Document successfully merged; PDF created; Emails Sent: [To: 21-carrillocastro.davidalejandro@cetis57.edu.mx]; Run via form trigger as gabrielvazquez@cetis57.edu.mx; Timestamp: Aug 8 2023 10:04 PM"/>
            <filter val="Document successfully created; Document successfully merged; PDF created; Emails Sent: [To: 21-castilloaguilar.jesusdaniel@cetis57.edu.mx]; Run via form trigger as gabrielvazquez@cetis57.edu.mx; Timestamp: Aug 3 2023 2:15 PM"/>
            <filter val="Document successfully created; Document successfully merged; PDF created; Emails Sent: [To: 21-castilloantunez.americarubi@cetis57.edu.mx]; Manually run by cgvaz@cetis57.edu.mx; Timestamp: Aug 3 2023 1:55 PM"/>
            <filter val="Document successfully created; Document successfully merged; PDF created; Emails Sent: [To: 21-castrohernandez.guadalupemarisol@cetis57.edu.mx; no-reply: true]; Run via form trigger as gabrielvazquez@cetis57.edu.mx; Timestamp: Aug 2 2023 10:53 PM"/>
            <filter val="Document successfully created; Document successfully merged; PDF created; Emails Sent: [To: 21-cesarmartinez.bryan@cetis57.edu.mx; no-reply: true]; Run via form trigger as gabrielvazquez@cetis57.edu.mx; Timestamp: Aug 2 2023 11:01 PM"/>
            <filter val="Document successfully created; Document successfully merged; PDF created; Emails Sent: [To: 21-chavezmartinez.renataodet@cetis57.edu.mx; no-reply: true]; Run via form trigger as gabrielvazquez@cetis57.edu.mx; Timestamp: Aug 3 2023 12:46 AM"/>
            <filter val="Document successfully created; Document successfully merged; PDF created; Emails Sent: [To: 21-cisneroshuerta.dannapaola@cetis57.edu.mx]; Manually run by cgvaz@cetis57.edu.mx; Timestamp: Aug 3 2023 11:01 AM"/>
            <filter val="Document successfully created; Document successfully merged; PDF created; Emails Sent: [To: 21-coloradolopez.mariaguadalupe@cetis57.edu.mx; no-reply: true]; Run via form trigger as gabrielvazquez@cetis57.edu.mx; Timestamp: Aug 2 2023 5:48 PM"/>
            <filter val="Document successfully created; Document successfully merged; PDF created; Emails Sent: [To: 21-contreraslopez.taniayesenia@cetis57.edu.mx; no-reply: true]; Run via form trigger as gabrielvazquez@cetis57.edu.mx; Timestamp: Aug 3 2023 12:25 AM"/>
            <filter val="Document successfully created; Document successfully merged; PDF created; Emails Sent: [To: 21-cordovaperez.karlabelen@cetis57.edu.mx; no-reply: true]; Run via form trigger as gabrielvazquez@cetis57.edu.mx; Timestamp: Aug 2 2023 6:54 PM"/>
            <filter val="Document successfully created; Document successfully merged; PDF created; Emails Sent: [To: 21-correaposadas.joselin@cetis57.edu.mx]; Manually run by cgvaz@cetis57.edu.mx; Timestamp: Aug 3 2023 10:32 AM"/>
            <filter val="Document successfully created; Document successfully merged; PDF created; Emails Sent: [To: 21-cortesgarcia.belen@cetis57.edu.mx; no-reply: true]; Run via form trigger as gabrielvazquez@cetis57.edu.mx; Timestamp: Aug 2 2023 1:51 AM"/>
            <filter val="Document successfully created; Document successfully merged; PDF created; Emails Sent: [To: 21-cortesperez.michel@cetis57.edu.mx; no-reply: true]; Run via form trigger as gabrielvazquez@cetis57.edu.mx; Timestamp: Aug 2 2023 10:58 PM"/>
            <filter val="Document successfully created; Document successfully merged; PDF created; Emails Sent: [To: 21-cortestorres.daniela@cetis57.edu.mx; no-reply: true]; Run via form trigger as gabrielvazquez@cetis57.edu.mx; Timestamp: Aug 2 2023 2:04 AM"/>
            <filter val="Document successfully created; Document successfully merged; PDF created; Emails Sent: [To: 21-costenogarcia.elizbeth@cetis57.edu.mx; no-reply: true]; Run via form trigger as gabrielvazquez@cetis57.edu.mx; Timestamp: Aug 2 2023 6:48 PM"/>
            <filter val="Document successfully created; Document successfully merged; PDF created; Emails Sent: [To: 21-crisostomosanchez.fernando@cetis57.edu.mx; no-reply: true]; Run via form trigger as gabrielvazquez@cetis57.edu.mx; Timestamp: Aug 3 2023 1:03 AM"/>
            <filter val="Document successfully created; Document successfully merged; PDF created; Emails Sent: [To: 21-cruzgonzalez.americakarina@cetis57.edu.mx; no-reply: true]; Run via form trigger as gabrielvazquez@cetis57.edu.mx; Timestamp: Aug 2 2023 11:12 PM"/>
            <filter val="Document successfully created; Document successfully merged; PDF created; Emails Sent: [To: 21-cruzhernandez.liliana@cetis57.edu.mx; no-reply: true]; Run via form trigger as gabrielvazquez@cetis57.edu.mx; Timestamp: Aug 2 2023 12:07 PM"/>
            <filter val="Document successfully created; Document successfully merged; PDF created; Emails Sent: [To: 21-cruzsanchez.aaron@cetis57.edu.mx; no-reply: true]; Manually run by joseeduardo.torresl@cetis57.edu.mx; Timestamp: Aug 3 2023 4:53 AM"/>
            <filter val="Document successfully created; Document successfully merged; PDF created; Emails Sent: [To: 21-deferminalcantar.angela@cetis57.edu.mx]; Manually run by cgvaz@cetis57.edu.mx; Timestamp: Aug 3 2023 10:56 AM"/>
            <filter val="Document successfully created; Document successfully merged; PDF created; Emails Sent: [To: 21-delacruzrodriguez.ailynitzel@cetis57.edu.mx]; Manually run by cgvaz@cetis57.edu.mx; Timestamp: Aug 3 2023 10:56 AM"/>
            <filter val="Document successfully created; Document successfully merged; PDF created; Emails Sent: [To: 21-delmazogutierrez.genesisstefania@cetis57.edu.mx]; Run via form trigger as gabrielvazquez@cetis57.edu.mx; Timestamp: Aug 3 2023 7:53 PM"/>
            <filter val="Document successfully created; Document successfully merged; PDF created; Emails Sent: [To: 21-diazaguilar.diegoyair@cetis57.edu.mx]; Manually run by cgvaz@cetis57.edu.mx; Timestamp: Aug 3 2023 12:15 PM"/>
            <filter val="Document successfully created; Document successfully merged; PDF created; Emails Sent: [To: 21-diazcruz.valeriaabigail@cetis57.edu.mx; no-reply: true]; Run via form trigger as gabrielvazquez@cetis57.edu.mx; Timestamp: Aug 3 2023 1:01 AM"/>
            <filter val="Document successfully created; Document successfully merged; PDF created; Emails Sent: [To: 21-diazhernandez.andreaaraceli@cetis57.edu.mx; no-reply: true]; Run via form trigger as gabrielvazquez@cetis57.edu.mx; Timestamp: Aug 2 2023 1:39 AM"/>
            <filter val="Document successfully created; Document successfully merged; PDF created; Emails Sent: [To: 21-diazsanchez.aylinestrella@cetis57.edu.mx]; Manually run by cgvaz@cetis57.edu.mx; Timestamp: Aug 3 2023 10:43 AM"/>
            <filter val="Document successfully created; Document successfully merged; PDF created; Emails Sent: [To: 21-dioniciomoreno.andrea@cetis57.edu.mx]; Run via form trigger as gabrielvazquez@cetis57.edu.mx; Timestamp: Aug 3 2023 8:00 PM"/>
            <filter val="Document successfully created; Document successfully merged; PDF created; Emails Sent: [To: 21-dominguezperez.andridvladimir@cetis57.edu.mx; no-reply: true]; Manually run by joseeduardo.torresl@cetis57.edu.mx; Timestamp: Aug 3 2023 4:03 AM"/>
            <filter val="Document successfully created; Document successfully merged; PDF created; Emails Sent: [To: 21-elizondomartinez.emilyamairiany@cetis57.edu.mx; no-reply: true]; Run via form trigger as gabrielvazquez@cetis57.edu.mx; Timestamp: Aug 2 2023 6:48 PM"/>
            <filter val="Document successfully created; Document successfully merged; PDF created; Emails Sent: [To: 21-escobarsantos.luisafernanda@cetis57.edu.mx; no-reply: true]; Run via form trigger as gabrielvazquez@cetis57.edu.mx; Timestamp: Aug 2 2023 6:15 PM"/>
            <filter val="Document successfully created; Document successfully merged; PDF created; Emails Sent: [To: 21-espinosahernandez.luceroguadalupe@cetis57.edu.mx; no-reply: true]; Manually run by joseeduardo.torresl@cetis57.edu.mx; Timestamp: Aug 3 2023 3:35 AM"/>
            <filter val="Document successfully created; Document successfully merged; PDF created; Emails Sent: [To: 21-espinosasanchez.camila@cetis57.edu.mx; no-reply: true]; Run via form trigger as gabrielvazquez@cetis57.edu.mx; Timestamp: Aug 2 2023 2:44 AM"/>
            <filter val="Document successfully created; Document successfully merged; PDF created; Emails Sent: [To: 21-esquivelcruz.anayanssialexandra@cetis57.edu.mx; no-reply: true]; Run via form trigger as gabrielvazquez@cetis57.edu.mx; Timestamp: Aug 3 2023 5:11 AM"/>
            <filter val="Document successfully created; Document successfully merged; PDF created; Emails Sent: [To: 21-estradagarcia.joseenrique@cetis57.edu.mx; no-reply: true]; Run via form trigger as gabrielvazquez@cetis57.edu.mx; Timestamp: Aug 2 2023 7:37 PM"/>
            <filter val="Document successfully created; Document successfully merged; PDF created; Emails Sent: [To: 21-fernandezlopez.lauraabigail@cetis57.edu.mx; no-reply: true]; Manually run by gabrielvazquez@cetis57.edu.mx; Timestamp: Aug 3 2023 9:33 AM"/>
            <filter val="Document successfully created; Document successfully merged; PDF created; Emails Sent: [To: 21-fernandezmartinez.gaeluri@cetis57.edu.mx; no-reply: true]; Run via form trigger as gabrielvazquez@cetis57.edu.mx; Timestamp: Aug 3 2023 12:47 AM"/>
            <filter val="Document successfully created; Document successfully merged; PDF created; Emails Sent: [To: 21-floresgarcia.xochitlyamile@cetis57.edu.mx]; Manually run by cgvaz@cetis57.edu.mx; Timestamp: Aug 3 2023 11:42 AM"/>
            <filter val="Document successfully created; Document successfully merged; PDF created; Emails Sent: [To: 21-floreshernandez.jimenamayrin@cetis57.edu.mx; no-reply: true]; Run via form trigger as gabrielvazquez@cetis57.edu.mx; Timestamp: Aug 2 2023 3:15 AM"/>
            <filter val="Document successfully created; Document successfully merged; PDF created; Emails Sent: [To: 21-francomartinez.ximena@cetis57.edu.mx]; Manually run by cgvaz@cetis57.edu.mx; Timestamp: Aug 3 2023 1:53 PM"/>
            <filter val="Document successfully created; Document successfully merged; PDF created; Emails Sent: [To: 21-galanmartinez.fernanda@cetis57.edu.mx; no-reply: true]; Run via form trigger as gabrielvazquez@cetis57.edu.mx; Timestamp: Aug 2 2023 12:20 PM"/>
            <filter val="Document successfully created; Document successfully merged; PDF created; Emails Sent: [To: 21-galindohernandez.heidicristal@cetis57.edu.mx; no-reply: true]; Run via form trigger as gabrielvazquez@cetis57.edu.mx; Timestamp: Aug 2 2023 1:09 AM"/>
            <filter val="Document successfully created; Document successfully merged; PDF created; Emails Sent: [To: 21-garciacortes.evelynstefania@cetis57.edu.mx; no-reply: true]; Run via form trigger as gabrielvazquez@cetis57.edu.mx; Timestamp: Aug 2 2023 7:42 PM"/>
            <filter val="Document successfully created; Document successfully merged; PDF created; Emails Sent: [To: 21-garciagarcia.marthanorely@cetis57.edu.mx; no-reply: true]; Manually run by joseeduardo.torresl@cetis57.edu.mx; Timestamp: Aug 3 2023 4:26 AM"/>
            <filter val="Document successfully created; Document successfully merged; PDF created; Emails Sent: [To: 21-garciaguzman.franciscosalvador@cetis57.edu.mx]; Run via form trigger as gabrielvazquez@cetis57.edu.mx; Timestamp: Aug 3 2023 3:09 PM"/>
            <filter val="Document successfully created; Document successfully merged; PDF created; Emails Sent: [To: 21-garcialopez.joanaisabel@cetis57.edu.mx; no-reply: true]; Manually run by joseeduardo.torresl@cetis57.edu.mx; Timestamp: Aug 3 2023 4:55 AM"/>
            <filter val="Document successfully created; Document successfully merged; PDF created; Emails Sent: [To: 21-garciasanchez.samanthazoe@cetis57.edu.mx; no-reply: true]; Run via form trigger as gabrielvazquez@cetis57.edu.mx; Timestamp: Aug 2 2023 12:06 PM"/>
            <filter val="Document successfully created; Document successfully merged; PDF created; Emails Sent: [To: 21-garciatorres.victoreduardo@cetis57.edu.mx; no-reply: true]; Run via form trigger as gabrielvazquez@cetis57.edu.mx; Timestamp: Aug 2 2023 11:47 PM"/>
            <filter val="Document successfully created; Document successfully merged; PDF created; Emails Sent: [To: 21-garridomontero.daniel@cetis57.edu.mx]; Manually run by cgvaz@cetis57.edu.mx; Timestamp: Aug 3 2023 12:06 PM"/>
            <filter val="Document successfully created; Document successfully merged; PDF created; Emails Sent: [To: 21-geronimogonzalez.arelisarai@cetis57.edu.mx; no-reply: true]; Run via form trigger as gabrielvazquez@cetis57.edu.mx; Timestamp: Aug 3 2023 1:29 AM"/>
            <filter val="Document successfully created; Document successfully merged; PDF created; Emails Sent: [To: 21-gomezcisneros.britanyjaqueline@cetis57.edu.mx; no-reply: true]; Run via form trigger as gabrielvazquez@cetis57.edu.mx; Timestamp: Aug 2 2023 4:35 PM"/>
            <filter val="Document successfully created; Document successfully merged; PDF created; Emails Sent: [To: 21-gomezolvera.daniela@cetis57.edu.mx; no-reply: true]; Run via form trigger as gabrielvazquez@cetis57.edu.mx; Timestamp: Aug 2 2023 11:51 PM"/>
            <filter val="Document successfully created; Document successfully merged; PDF created; Emails Sent: [To: 21-gonzalezcruz.magalyazenett@cetis57.edu.mx; no-reply: true]; Run via form trigger as gabrielvazquez@cetis57.edu.mx; Timestamp: Aug 2 2023 2:06 AM"/>
            <filter val="Document successfully created; Document successfully merged; PDF created; Emails Sent: [To: 21-gonzalezcruz.miguelangel@cetis57.edu.mx]; Manually run by gabrielvazquez@cetis57.edu.mx; Timestamp: Aug 4 2023 7:37 PM"/>
            <filter val="Document successfully created; Document successfully merged; PDF created; Emails Sent: [To: 21-gonzalezescalante.mariavirginia@cetis57.edu.mx]; Run via form trigger as gabrielvazquez@cetis57.edu.mx; Timestamp: Aug 3 2023 9:39 PM"/>
            <filter val="Document successfully created; Document successfully merged; PDF created; Emails Sent: [To: 21-gonzalezsantiago.valerymonserrat@cetis57.edu.mx]; Run via form trigger as gabrielvazquez@cetis57.edu.mx; Timestamp: Aug 7 2023 7:15 PM"/>
            <filter val="Document successfully created; Document successfully merged; PDF created; Emails Sent: [To: 21-granadoscampos.danapaola@cetis57.edu.mx]; Manually run by cgvaz@cetis57.edu.mx; Timestamp: Aug 3 2023 12:14 PM"/>
            <filter val="Document successfully created; Document successfully merged; PDF created; Emails Sent: [To: 21-guazohernandez.atziri@cetis57.edu.mx; no-reply: true]; Run via form trigger as gabrielvazquez@cetis57.edu.mx; Timestamp: Aug 2 2023 11:49 PM"/>
            <filter val="Document successfully created; Document successfully merged; PDF created; Emails Sent: [To: 21-guerrerohernandez.daniela@cetis57.edu.mx; no-reply: true]; Manually run by joseeduardo.torresl@cetis57.edu.mx; Timestamp: Aug 3 2023 2:58 AM"/>
            <filter val="Document successfully created; Document successfully merged; PDF created; Emails Sent: [To: 21-gutierrezmartinez.jimena@cetis57.edu.mx; no-reply: true]; Run via form trigger as gabrielvazquez@cetis57.edu.mx; Timestamp: Aug 3 2023 12:15 AM"/>
            <filter val="Document successfully created; Document successfully merged; PDF created; Emails Sent: [To: 21-guzmanperez.dafneterecita@cetis57.edu.mx]; Manually run by cgvaz@cetis57.edu.mx; Timestamp: Aug 3 2023 10:54 AM"/>
            <filter val="Document successfully created; Document successfully merged; PDF created; Emails Sent: [To: 21-guzmanperez.lauraitzel@cetis57.edu.mx; no-reply: true]; Manually run by joseeduardo.torresl@cetis57.edu.mx; Timestamp: Aug 3 2023 2:58 AM"/>
            <filter val="Document successfully created; Document successfully merged; PDF created; Emails Sent: [To: 21-hernadezmartinez.michelle@cetis57.edu.mx; no-reply: true]; Run via form trigger as gabrielvazquez@cetis57.edu.mx; Timestamp: Aug 2 2023 10:59 PM"/>
            <filter val="Document successfully created; Document successfully merged; PDF created; Emails Sent: [To: 21-hernandezarias.ianyael@cetis57.edu.mx]; Manually run by cgvaz@cetis57.edu.mx; Timestamp: Aug 3 2023 10:29 AM"/>
            <filter val="Document successfully created; Document successfully merged; PDF created; Emails Sent: [To: 21-hernandezbaez.wendymichelle@cetis57.edu.mx; no-reply: true]; Run via form trigger as gabrielvazquez@cetis57.edu.mx; Timestamp: Aug 2 2023 3:35 PM"/>
            <filter val="Document successfully created; Document successfully merged; PDF created; Emails Sent: [To: 21-hernandezcamacho.jason@cetis57.edu.mx]; Run via form trigger as gabrielvazquez@cetis57.edu.mx; Timestamp: Aug 3 2023 7:27 PM"/>
            <filter val="Document successfully created; Document successfully merged; PDF created; Emails Sent: [To: 21-hernandezchavira.david@cetis57.edu.mx; no-reply: true]; Run via form trigger as gabrielvazquez@cetis57.edu.mx; Timestamp: Aug 2 2023 1:50 AM"/>
            <filter val="Document successfully created; Document successfully merged; PDF created; Emails Sent: [To: 21-hernandezcruz.heidianai@cetis57.edu.mx; no-reply: true]; Manually run by joseeduardo.torresl@cetis57.edu.mx; Timestamp: Aug 3 2023 4:18 AM"/>
            <filter val="Document successfully created; Document successfully merged; PDF created; Emails Sent: [To: 21-hernandezdominguez.padmeelizabeth@cetis57.edu.mx; no-reply: true]; Manually run by joseeduardo.torresl@cetis57.edu.mx; Timestamp: Aug 3 2023 2:02 AM"/>
            <filter val="Document successfully created; Document successfully merged; PDF created; Emails Sent: [To: 21-hernandezescobar.karellyjalil@cetis57.edu.mx; no-reply: true]; Run via form trigger as gabrielvazquez@cetis57.edu.mx; Timestamp: Aug 3 2023 12:43 AM"/>
            <filter val="Document successfully created; Document successfully merged; PDF created; Emails Sent: [To: 21-hernandezfederico.fernandacristina@cetis57.edu.mx]; Manually run by cgvaz@cetis57.edu.mx; Timestamp: Aug 3 2023 10:31 AM"/>
            <filter val="Document successfully created; Document successfully merged; PDF created; Emails Sent: [To: 21-hernandezgonzalez.marthaconcepcion@cetis57.edu.mx; no-reply: true]; Run via form trigger as gabrielvazquez@cetis57.edu.mx; Timestamp: Aug 2 2023 6:05 PM"/>
            <filter val="Document successfully created; Document successfully merged; PDF created; Emails Sent: [To: 21-hernandezhernandez.alondranaarai@cetis57.edu.mx; no-reply: true]; Manually run by joseeduardo.torresl@cetis57.edu.mx; Timestamp: Aug 3 2023 5:10 AM"/>
            <filter val="Document successfully created; Document successfully merged; PDF created; Emails Sent: [To: 21-hernandezhernandez.susana@cetis57.edu.mx; no-reply: true]; Run via form trigger as gabrielvazquez@cetis57.edu.mx; Timestamp: Aug 2 2023 12:50 AM"/>
            <filter val="Document successfully created; Document successfully merged; PDF created; Emails Sent: [To: 21-hernandezherrera.naomi@cetis57.edu.mx; no-reply: true]; Run via form trigger as gabrielvazquez@cetis57.edu.mx; Timestamp: Aug 3 2023 1:15 AM"/>
            <filter val="Document successfully created; Document successfully merged; PDF created; Emails Sent: [To: 21-hernandezlopez.elizabeth@cetis57.edu.mx; no-reply: true]; Run via form trigger as gabrielvazquez@cetis57.edu.mx; Timestamp: Aug 2 2023 10:46 PM"/>
            <filter val="Document successfully created; Document successfully merged; PDF created; Emails Sent: [To: 21-hernandezlopez.litzyrosalba@cetis57.edu.mx; no-reply: true]; Run via form trigger as gabrielvazquez@cetis57.edu.mx; Timestamp: Aug 2 2023 1:42 AM"/>
            <filter val="Document successfully created; Document successfully merged; PDF created; Emails Sent: [To: 21-hernandezlopez.yareli@cetis57.edu.mx; no-reply: true]; Run via form trigger as gabrielvazquez@cetis57.edu.mx; Timestamp: Aug 2 2023 3:12 AM"/>
            <filter val="Document successfully created; Document successfully merged; PDF created; Emails Sent: [To: 21-hernandezluna.lilianaangelica@cetis57.edu.mx; no-reply: true]; Manually run by joseeduardo.torresl@cetis57.edu.mx; Timestamp: Aug 3 2023 3:10 AM"/>
            <filter val="Document successfully created; Document successfully merged; PDF created; Emails Sent: [To: 21-hernandezmartinez.dariana@cetis57.edu.mx; no-reply: true]; Run via form trigger as gabrielvazquez@cetis57.edu.mx; Timestamp: Aug 2 2023 11:02 AM"/>
            <filter val="Document successfully created; Document successfully merged; PDF created; Emails Sent: [To: 21-hernandezmartinez.dianakaren@cetis57.edu.mx; no-reply: true]; Manually run by joseeduardo.torresl@cetis57.edu.mx; Timestamp: Aug 3 2023 2:40 AM"/>
            <filter val="Document successfully created; Document successfully merged; PDF created; Emails Sent: [To: 21-hernandezmontesinos.franciscouriel@cetis57.edu.mx; no-reply: true]; Run via form trigger as gabrielvazquez@cetis57.edu.mx; Timestamp: Aug 2 2023 3:11 AM"/>
            <filter val="Document successfully created; Document successfully merged; PDF created; Emails Sent: [To: 21-hernandezolvera.ivan@cetis57.edu.mx; no-reply: true]; Run via form trigger as gabrielvazquez@cetis57.edu.mx; Timestamp: Aug 2 2023 3:48 AM"/>
            <filter val="Document successfully created; Document successfully merged; PDF created; Emails Sent: [To: 21-hernandezperez.sergioisaac@cetis57.edu.mx; no-reply: true]; Run via form trigger as gabrielvazquez@cetis57.edu.mx; Timestamp: Aug 2 2023 12:54 AM"/>
            <filter val="Document successfully created; Document successfully merged; PDF created; Emails Sent: [To: 21-hernandezrocha.augustonahu@cetis57.edu.mx; no-reply: true]; Run via form trigger as gabrielvazquez@cetis57.edu.mx; Timestamp: Aug 2 2023 6:04 PM"/>
            <filter val="Document successfully created; Document successfully merged; PDF created; Emails Sent: [To: 21-hernandezsalgado.cynthiaitzel@cetis57.edu.mx; no-reply: true]; Run via form trigger as gabrielvazquez@cetis57.edu.mx; Timestamp: Aug 2 2023 1:32 AM"/>
            <filter val="Document successfully created; Document successfully merged; PDF created; Emails Sent: [To: 21-hernandezsebastian.braulio@cetis57.edu.mx; no-reply: true]; Run via form trigger as gabrielvazquez@cetis57.edu.mx; Timestamp: Aug 3 2023 12:44 AM"/>
            <filter val="Document successfully created; Document successfully merged; PDF created; Emails Sent: [To: 21-hernandezterrazas.naomiaolani@cetis57.edu.mx; no-reply: true]; Run via form trigger as gabrielvazquez@cetis57.edu.mx; Timestamp: Aug 2 2023 4:12 AM"/>
            <filter val="Document successfully created; Document successfully merged; PDF created; Emails Sent: [To: 21-hernandeztoledo.daisukedaniel@cetis57.edu.mx]; Run via form trigger as gabrielvazquez@cetis57.edu.mx; Timestamp: Aug 3 2023 3:10 PM"/>
            <filter val="Document successfully created; Document successfully merged; PDF created; Emails Sent: [To: 21-hernandezuriostegui.aidameredith@cetis57.edu.mx; no-reply: true]; Run via form trigger as gabrielvazquez@cetis57.edu.mx; Timestamp: Aug 2 2023 9:05 PM"/>
            <filter val="Document successfully created; Document successfully merged; PDF created; Emails Sent: [To: 21-herreratorres.anapaulina@cetis57.edu.mx; no-reply: true]; Run via form trigger as gabrielvazquez@cetis57.edu.mx; Timestamp: Aug 2 2023 1:33 PM"/>
            <filter val="Document successfully created; Document successfully merged; PDF created; Emails Sent: [To: 21-hiberttcisneros.joseraul@cetis57.edu.mx]; Run via form trigger as gabrielvazquez@cetis57.edu.mx; Timestamp: Aug 3 2023 8:23 PM"/>
            <filter val="Document successfully created; Document successfully merged; PDF created; Emails Sent: [To: 21-huertagarcia.isabella@cetis57.edu.mx; no-reply: true]; Run via form trigger as gabrielvazquez@cetis57.edu.mx; Timestamp: Aug 2 2023 4:11 PM"/>
            <filter val="Document successfully created; Document successfully merged; PDF created; Emails Sent: [To: 21-ipatzihernandez.fatimaaline@cetis57.edu.mx]; Run via form trigger as gabrielvazquez@cetis57.edu.mx; Timestamp: Aug 3 2023 6:01 PM"/>
            <filter val="Document successfully created; Document successfully merged; PDF created; Emails Sent: [To: 21-islasgarcia.angelariel@cetis57.edu.mx]; Run via form trigger as gabrielvazquez@cetis57.edu.mx; Timestamp: Aug 3 2023 5:39 PM"/>
            <filter val="Document successfully created; Document successfully merged; PDF created; Emails Sent: [To: 21-jaimesgonzalez.alanisrael@cetis57.edu.mx; no-reply: true]; Run via form trigger as gabrielvazquez@cetis57.edu.mx; Timestamp: Aug 3 2023 12:11 AM"/>
            <filter val="Document successfully created; Document successfully merged; PDF created; Emails Sent: [To: 21-jarquinsanchez.yosefindruscila@cetis57.edu.mx; no-reply: true]; Manually run by joseeduardo.torresl@cetis57.edu.mx; Timestamp: Aug 3 2023 3:24 AM"/>
            <filter val="Document successfully created; Document successfully merged; PDF created; Emails Sent: [To: 21-jassoespinosa.zoecamila@cetis57.edu.mx]; Manually run by cgvaz@cetis57.edu.mx; Timestamp: Aug 3 2023 1:48 PM"/>
            <filter val="Document successfully created; Document successfully merged; PDF created; Emails Sent: [To: 21-jimenezolvera.vivian@cetis57.edu.mx; no-reply: true]; Run via form trigger as gabrielvazquez@cetis57.edu.mx; Timestamp: Aug 2 2023 8:14 PM"/>
            <filter val="Document successfully created; Document successfully merged; PDF created; Emails Sent: [To: 21-juarezmartinez.joselinealexa@cetis57.edu.mx; no-reply: true]; Manually run by joseeduardo.torresl@cetis57.edu.mx; Timestamp: Aug 3 2023 4:16 AM"/>
            <filter val="Document successfully created; Document successfully merged; PDF created; Emails Sent: [To: 21-leonmartinez.karladennis@cetis57.edu.mx]; Manually run by cgvaz@cetis57.edu.mx; Timestamp: Aug 3 2023 10:47 AM"/>
            <filter val="Document successfully created; Document successfully merged; PDF created; Emails Sent: [To: 21-liraavila.jimenacossett@cetis57.edu.mx]; Run via form trigger as gabrielvazquez@cetis57.edu.mx; Timestamp: Aug 3 2023 3:59 PM"/>
            <filter val="Document successfully created; Document successfully merged; PDF created; Emails Sent: [To: 21-lopezbartolo.ximena@cetis57.edu.mx]; Manually run by cgvaz@cetis57.edu.mx; Timestamp: Aug 3 2023 12:20 PM"/>
            <filter val="Document successfully created; Document successfully merged; PDF created; Emails Sent: [To: 21-lopezgarcia.geraldinemonserrath@cetis57.edu.mx; no-reply: true]; Run via form trigger as gabrielvazquez@cetis57.edu.mx; Timestamp: Aug 2 2023 5:49 PM"/>
            <filter val="Document successfully created; Document successfully merged; PDF created; Emails Sent: [To: 21-lopezgarcia.oscarmanuel@cetis57.edu.mx]; Manually run by cgvaz@cetis57.edu.mx; Timestamp: Aug 3 2023 10:40 AM"/>
            <filter val="Document successfully created; Document successfully merged; PDF created; Emails Sent: [To: 21-lopezgonzalez.paulinasharline@cetis57.edu.mx]; Manually run by cgvaz@cetis57.edu.mx; Timestamp: Aug 3 2023 12:00 PM"/>
            <filter val="Document successfully created; Document successfully merged; PDF created; Emails Sent: [To: 21-lopezhernandez.fatimayamileth@cetis57.edu.mx; no-reply: true]; Run via form trigger as gabrielvazquez@cetis57.edu.mx; Timestamp: Aug 2 2023 1:08 AM"/>
            <filter val="Document successfully created; Document successfully merged; PDF created; Emails Sent: [To: 21-lopezmartinez.max@cetis57.edu.mx; no-reply: true]; Run via form trigger as gabrielvazquez@cetis57.edu.mx; Timestamp: Aug 2 2023 12:53 AM"/>
            <filter val="Document successfully created; Document successfully merged; PDF created; Emails Sent: [To: 21-lopezrodriguez.cesargael@cetis57.edu.mx]; Manually run by cgvaz@cetis57.edu.mx; Timestamp: Aug 3 2023 11:10 AM"/>
            <filter val="Document successfully created; Document successfully merged; PDF created; Emails Sent: [To: 21-lopezsantiago.jocelyn@cetis57.edu.mx]; Manually run by cgvaz@cetis57.edu.mx; Timestamp: Aug 3 2023 11:43 AM"/>
            <filter val="Document successfully created; Document successfully merged; PDF created; Emails Sent: [To: 21-lorenzocruz.jazmin@cetis57.edu.mx; no-reply: true]; Run via form trigger as gabrielvazquez@cetis57.edu.mx; Timestamp: Aug 2 2023 3:03 AM"/>
            <filter val="Document successfully created; Document successfully merged; PDF created; Emails Sent: [To: 21-lozadagonzalez.natalydaniela@cetis57.edu.mx; no-reply: true]; Run via form trigger as gabrielvazquez@cetis57.edu.mx; Timestamp: Aug 2 2023 11:25 PM"/>
            <filter val="Document successfully created; Document successfully merged; PDF created; Emails Sent: [To: 21-lozanobetancourt.karlafernanda@cetis57.edu.mx]; Manually run by cgvaz@cetis57.edu.mx; Timestamp: Aug 3 2023 11:56 AM"/>
            <filter val="Document successfully created; Document successfully merged; PDF created; Emails Sent: [To: 21-lozanocano.daniela@cetis57.edu.mx]; Run via form trigger as gabrielvazquez@cetis57.edu.mx; Timestamp: Aug 3 2023 5:13 PM"/>
            <filter val="Document successfully created; Document successfully merged; PDF created; Emails Sent: [To: 21-lozanolopez.alondra@cetis57.edu.mx; no-reply: true]; Run via form trigger as gabrielvazquez@cetis57.edu.mx; Timestamp: Aug 2 2023 12:33 AM"/>
            <filter val="Document successfully created; Document successfully merged; PDF created; Emails Sent: [To: 21-lucianomartinez.humberto@cetis57.edu.mx; no-reply: true]; Run via form trigger as gabrielvazquez@cetis57.edu.mx; Timestamp: Aug 3 2023 12:49 AM"/>
            <filter val="Document successfully created; Document successfully merged; PDF created; Emails Sent: [To: 21-luisanacleto.lizbeth@cetis57.edu.mx]; Run via form trigger as gabrielvazquez@cetis57.edu.mx; Timestamp: Aug 4 2023 5:06 PM"/>
            <filter val="Document successfully created; Document successfully merged; PDF created; Emails Sent: [To: 21-lunagonzalez.ximenavaleria@cetis57.edu.mx; no-reply: true]; Run via form trigger as gabrielvazquez@cetis57.edu.mx; Timestamp: Aug 2 2023 5:52 AM"/>
            <filter val="Document successfully created; Document successfully merged; PDF created; Emails Sent: [To: 21-maldonadolopez.jimena@cetis57.edu.mx; no-reply: true]; Run via form trigger as gabrielvazquez@cetis57.edu.mx; Timestamp: Aug 2 2023 12:30 AM"/>
            <filter val="Document successfully created; Document successfully merged; PDF created; Emails Sent: [To: 21-marinmendoza.didier@cetis57.edu.mx]; Manually run by cgvaz@cetis57.edu.mx; Timestamp: Aug 3 2023 11:58 AM"/>
            <filter val="Document successfully created; Document successfully merged; PDF created; Emails Sent: [To: 21-martinezgarcia.dannaruth@cetis57.edu.mx; no-reply: true]; Run via form trigger as gabrielvazquez@cetis57.edu.mx; Timestamp: Aug 2 2023 6:17 PM"/>
            <filter val="Document successfully created; Document successfully merged; PDF created; Emails Sent: [To: 21-martinezgarcia.melanyefernanda@cetis57.edu.mx; no-reply: true]; Run via form trigger as gabrielvazquez@cetis57.edu.mx; Timestamp: Aug 2 2023 3:02 PM"/>
            <filter val="Document successfully created; Document successfully merged; PDF created; Emails Sent: [To: 21-martinezgonzalez.fidelricardo@cetis57.edu.mx; no-reply: true]; Run via form trigger as gabrielvazquez@cetis57.edu.mx; Timestamp: Aug 2 2023 1:41 AM"/>
            <filter val="Document successfully created; Document successfully merged; PDF created; Emails Sent: [To: 21-martinezhernadez.emiliano@cetis57.edu.mx; no-reply: true]; Manually run by joseeduardo.torresl@cetis57.edu.mx; Timestamp: Aug 3 2023 3:37 AM"/>
            <filter val="Document successfully created; Document successfully merged; PDF created; Emails Sent: [To: 21-martinezhernandez.diego@cetis57.edu.mx; no-reply: true]; Run via form trigger as gabrielvazquez@cetis57.edu.mx; Timestamp: Aug 2 2023 7:21 PM"/>
            <filter val="Document successfully created; Document successfully merged; PDF created; Emails Sent: [To: 21-martinezherrera.angelarmando@cetis57.edu.mx; no-reply: true]; Run via form trigger as gabrielvazquez@cetis57.edu.mx; Timestamp: Aug 2 2023 2:30 PM"/>
            <filter val="Document successfully created; Document successfully merged; PDF created; Emails Sent: [To: 21-martinezpalomino.evelynyael@cetis57.edu.mx]; Run via form trigger as gabrielvazquez@cetis57.edu.mx; Timestamp: Aug 4 2023 1:29 AM"/>
            <filter val="Document successfully created; Document successfully merged; PDF created; Emails Sent: [To: 21-martinezrodriguez.lilianaabigail@cetis57.edu.mx]; Run via form trigger as gabrielvazquez@cetis57.edu.mx; Timestamp: Aug 3 2023 5:30 PM"/>
            <filter val="Document successfully created; Document successfully merged; PDF created; Emails Sent: [To: 21-martinezsantiago.heidimartina@cetis57.edu.mx]; Manually run by cgvaz@cetis57.edu.mx; Timestamp: Aug 3 2023 9:13 PM"/>
            <filter val="Document successfully created; Document successfully merged; PDF created; Emails Sent: [To: 21-mayapina.dianavictoria@cetis57.edu.mx]; Manually run by cgvaz@cetis57.edu.mx; Timestamp: Aug 3 2023 11:41 AM"/>
            <filter val="Document successfully created; Document successfully merged; PDF created; Emails Sent: [To: 21-medellinlopez.cinthyanallely@cetis57.edu.mx; no-reply: true]; Run via form trigger as gabrielvazquez@cetis57.edu.mx; Timestamp: Aug 2 2023 12:05 PM"/>
            <filter val="Document successfully created; Document successfully merged; PDF created; Emails Sent: [To: 21-mejiacampos.sandramonica@cetis57.edu.mx]; Run via form trigger as gabrielvazquez@cetis57.edu.mx; Timestamp: Aug 3 2023 8:49 PM"/>
            <filter val="Document successfully created; Document successfully merged; PDF created; Emails Sent: [To: 21-mendezsanchez.rosaitzel@cetis57.edu.mx; no-reply: true]; Run via form trigger as gabrielvazquez@cetis57.edu.mx; Timestamp: Aug 3 2023 1:21 AM"/>
            <filter val="Document successfully created; Document successfully merged; PDF created; Emails Sent: [To: 21-mendozaatanacio.luisangel@cetis57.edu.mx]; Manually run by cgvaz@cetis57.edu.mx; Timestamp: Aug 3 2023 12:10 PM"/>
            <filter val="Document successfully created; Document successfully merged; PDF created; Emails Sent: [To: 21-mendozagaray.jaqueline@cetis57.edu.mx]; Manually run by cgvaz@cetis57.edu.mx; Timestamp: Aug 3 2023 10:26 AM"/>
            <filter val="Document successfully created; Document successfully merged; PDF created; Emails Sent: [To: 21-merinoconde.melanie@cetis57.edu.mx]; Run via form trigger as gabrielvazquez@cetis57.edu.mx; Timestamp: Aug 3 2023 8:57 PM"/>
            <filter val="Document successfully created; Document successfully merged; PDF created; Emails Sent: [To: 21-miguelgonzalez.cynthiajacqueline@cetis57.edu.mx; no-reply: true]; Run via form trigger as gabrielvazquez@cetis57.edu.mx; Timestamp: Aug 2 2023 2:21 PM"/>
            <filter val="Document successfully created; Document successfully merged; PDF created; Emails Sent: [To: 21-monterotorres.arletyosune@cetis57.edu.mx; no-reply: true]; Run via form trigger as gabrielvazquez@cetis57.edu.mx; Timestamp: Aug 2 2023 11:26 PM"/>
            <filter val="Document successfully created; Document successfully merged; PDF created; Emails Sent: [To: 21-montielsantos.samantha@cetis57.edu.mx; no-reply: true]; Manually run by joseeduardo.torresl@cetis57.edu.mx; Timestamp: Aug 3 2023 4:52 AM"/>
            <filter val="Document successfully created; Document successfully merged; PDF created; Emails Sent: [To: 21-monzoncardoso.ayarierandi@cetis57.edu.mx]; Manually run by cgvaz@cetis57.edu.mx; Timestamp: Aug 3 2023 11:40 AM"/>
            <filter val="Document successfully created; Document successfully merged; PDF created; Emails Sent: [To: 21-moralesenciso.angelandres@cetis57.edu.mx]; Manually run by cgvaz@cetis57.edu.mx; Timestamp: Aug 3 2023 10:41 AM"/>
            <filter val="Document successfully created; Document successfully merged; PDF created; Emails Sent: [To: 21-moralesmartinez.victorantonio@cetis57.edu.mx; no-reply: true]; Manually run by joseeduardo.torresl@cetis57.edu.mx; Timestamp: Aug 3 2023 2:01 AM"/>
            <filter val="Document successfully created; Document successfully merged; PDF created; Emails Sent: [To: 21-moralessalgado.ityaliamairani@cetis57.edu.mx; no-reply: true]; Run via form trigger as gabrielvazquez@cetis57.edu.mx; Timestamp: Aug 3 2023 12:33 AM"/>
            <filter val="Document successfully created; Document successfully merged; PDF created; Emails Sent: [To: 21-moralestorres.melaniebelara@cetis57.edu.mx; no-reply: true]; Run via form trigger as gabrielvazquez@cetis57.edu.mx; Timestamp: Aug 2 2023 2:24 PM"/>
            <filter val="Document successfully created; Document successfully merged; PDF created; Emails Sent: [To: 21-moranmeraz.angelaximena@cetis57.edu.mx]; Manually run by cgvaz@cetis57.edu.mx; Timestamp: Aug 3 2023 11:45 AM"/>
            <filter val="Document successfully created; Document successfully merged; PDF created; Emails Sent: [To: 21-morenogonzalez.luisalejandro@cetis57.edu.mx; no-reply: true]; Manually run by joseeduardo.torresl@cetis57.edu.mx; Timestamp: Aug 3 2023 4:18 AM"/>
            <filter val="Document successfully created; Document successfully merged; PDF created; Emails Sent: [To: 21-morenoperez.evelynalondra@cetis57.edu.mx; no-reply: true]; Run via form trigger as gabrielvazquez@cetis57.edu.mx; Timestamp: Aug 2 2023 6:00 PM"/>
            <filter val="Document successfully created; Document successfully merged; PDF created; Emails Sent: [To: 21-mosquedagonzalez.ximenayamile@cetis57.edu.mx; no-reply: true]; Run via form trigger as gabrielvazquez@cetis57.edu.mx; Timestamp: Aug 2 2023 2:29 AM"/>
            <filter val="Document successfully created; Document successfully merged; PDF created; Emails Sent: [To: 21-mozogarcia.lizmineli@cetis57.edu.mx; no-reply: true]; Run via form trigger as gabrielvazquez@cetis57.edu.mx; Timestamp: Aug 2 2023 10:54 PM"/>
            <filter val="Document successfully created; Document successfully merged; PDF created; Emails Sent: [To: 21-munguiaperez.miguel@cetis57.edu.mx; no-reply: true]; Manually run by joseeduardo.torresl@cetis57.edu.mx; Timestamp: Aug 3 2023 1:55 AM"/>
            <filter val="Document successfully created; Document successfully merged; PDF created; Emails Sent: [To: 21-munozherrera.dianalaura@cetis57.edu.mx; no-reply: true]; Run via form trigger as gabrielvazquez@cetis57.edu.mx; Timestamp: Aug 2 2023 7:41 PM"/>
            <filter val="Document successfully created; Document successfully merged; PDF created; Emails Sent: [To: 21-munoztejeda.mariadejesus@cetis57.edu.mx]; Run via form trigger as gabrielvazquez@cetis57.edu.mx; Timestamp: Aug 4 2023 3:50 PM"/>
            <filter val="Document successfully created; Document successfully merged; PDF created; Emails Sent: [To: 21-najerasantillan.erikaisabel@cetis57.edu.mx]; Run via form trigger as gabrielvazquez@cetis57.edu.mx; Timestamp: Aug 3 2023 8:02 PM"/>
            <filter val="Document successfully created; Document successfully merged; PDF created; Emails Sent: [To: 21-nateramedellin.lesliemariana@cetis57.edu.mx]; Run via form trigger as gabrielvazquez@cetis57.edu.mx; Timestamp: Aug 4 2023 7:12 PM"/>
            <filter val="Document successfully created; Document successfully merged; PDF created; Emails Sent: [To: 21-navarrosantos.dayanayocelyn@cetis57.edu.mx; no-reply: true]; Run via form trigger as gabrielvazquez@cetis57.edu.mx; Timestamp: Aug 3 2023 3:44 AM"/>
            <filter val="Document successfully created; Document successfully merged; PDF created; Emails Sent: [To: 21-neriacruz.melanyyamilet@cetis57.edu.mx; no-reply: true]; Run via form trigger as gabrielvazquez@cetis57.edu.mx; Timestamp: Aug 2 2023 2:04 AM"/>
            <filter val="Document successfully created; Document successfully merged; PDF created; Emails Sent: [To: 21-oledocruz.daniela@cetis57.edu.mx; no-reply: true]; Run via form trigger as gabrielvazquez@cetis57.edu.mx; Timestamp: Aug 2 2023 1:32 PM"/>
            <filter val="Document successfully created; Document successfully merged; PDF created; Emails Sent: [To: 21-olivaresramirez.angelricardo@cetis57.edu.mx]; Run via form trigger as gabrielvazquez@cetis57.edu.mx; Timestamp: Aug 3 2023 6:41 PM"/>
            <filter val="Document successfully created; Document successfully merged; PDF created; Emails Sent: [To: 21-olveralopez.esmeraldamichelle@cetis57.edu.mx]; Manually run by cgvaz@cetis57.edu.mx; Timestamp: Aug 3 2023 9:15 PM"/>
            <filter val="Document successfully created; Document successfully merged; PDF created; Emails Sent: [To: 21-ortegasanchez.marcelynemely@cetis57.edu.mx; no-reply: true]; Manually run by joseeduardo.torresl@cetis57.edu.mx; Timestamp: Aug 3 2023 4:56 AM"/>
            <filter val="Document successfully created; Document successfully merged; PDF created; Emails Sent: [To: 21-ortizcortes.fernandaisabel@cetis57.edu.mx; no-reply: true]; Run via form trigger as gabrielvazquez@cetis57.edu.mx; Timestamp: Aug 2 2023 4:12 PM"/>
            <filter val="Document successfully created; Document successfully merged; PDF created; Emails Sent: [To: 21-osorniovences.gabrielaabigail@cetis57.edu.mx]; Manually run by cgvaz@cetis57.edu.mx; Timestamp: Aug 3 2023 10:38 AM"/>
            <filter val="Document successfully created; Document successfully merged; PDF created; Emails Sent: [To: 21-pachecodominguez.mariarocio@cetis57.edu.mx]; Run via form trigger as gabrielvazquez@cetis57.edu.mx; Timestamp: Aug 3 2023 10:35 PM"/>
            <filter val="Document successfully created; Document successfully merged; PDF created; Emails Sent: [To: 21-palaciosgonzalez.fatimajazmin@cetis57.edu.mx; no-reply: true]; Manually run by joseeduardo.torresl@cetis57.edu.mx; Timestamp: Aug 3 2023 3:23 AM"/>
            <filter val="Document successfully created; Document successfully merged; PDF created; Emails Sent: [To: 21-paredesgonzalez.camiladannae@cetis57.edu.mx]; Manually run by cgvaz@cetis57.edu.mx; Timestamp: Aug 3 2023 11:46 AM"/>
            <filter val="Document successfully created; Document successfully merged; PDF created; Emails Sent: [To: 21-paulinlopez.karlabelen@cetis57.edu.mx; no-reply: true]; Run via form trigger as gabrielvazquez@cetis57.edu.mx; Timestamp: Aug 2 2023 1:17 AM"/>
            <filter val="Document successfully created; Document successfully merged; PDF created; Emails Sent: [To: 21-pelcastresanchez.ximenaguadalupe@cetis57.edu.mx; no-reply: true]; Run via form trigger as gabrielvazquez@cetis57.edu.mx; Timestamp: Aug 3 2023 12:32 AM"/>
            <filter val="Document successfully created; Document successfully merged; PDF created; Emails Sent: [To: 21-perezbravo.jorgealejandro@cetis57.edu.mx]; Manually run by cgvaz@cetis57.edu.mx; Timestamp: Aug 3 2023 10:25 AM"/>
            <filter val="Document successfully created; Document successfully merged; PDF created; Emails Sent: [To: 21-perezluna.andreajocelyn@cetis57.edu.mx; no-reply: true]; Run via form trigger as gabrielvazquez@cetis57.edu.mx; Timestamp: Aug 2 2023 1:45 AM"/>
            <filter val="Document successfully created; Document successfully merged; PDF created; Emails Sent: [To: 21-perezmartinez.alejandro@cetis57.edu.mx; no-reply: true]; Manually run by joseeduardo.torresl@cetis57.edu.mx; Timestamp: Aug 3 2023 1:47 AM"/>
            <filter val="Document successfully created; Document successfully merged; PDF created; Emails Sent: [To: 21-pimentelhernandez.josefrancisco@cetis57.edu.mx; no-reply: true]; Run via form trigger as gabrielvazquez@cetis57.edu.mx; Timestamp: Aug 3 2023 8:12 AM"/>
            <filter val="Document successfully created; Document successfully merged; PDF created; Emails Sent: [To: 21-pinacruz.josuekaleb@cetis57.edu.mx; no-reply: true]; Manually run by joseeduardo.torresl@cetis57.edu.mx; Timestamp: Aug 3 2023 4:24 AM"/>
            <filter val="Document successfully created; Document successfully merged; PDF created; Emails Sent: [To: 21-quintanahernandez.danasarai@cetis57.edu.mx]; Manually run by cgvaz@cetis57.edu.mx; Timestamp: Aug 3 2023 10:34 AM"/>
            <filter val="Document successfully created; Document successfully merged; PDF created; Emails Sent: [To: 21-ramirezcruz.israel@cetis57.edu.mx; no-reply: true]; Manually run by joseeduardo.torresl@cetis57.edu.mx; Timestamp: Aug 3 2023 2:58 AM"/>
            <filter val="Document successfully created; Document successfully merged; PDF created; Emails Sent: [To: 21-ramirezguzman.sofiadarynka@cetis57.edu.mx]; Manually run by cgvaz@cetis57.edu.mx; Timestamp: Aug 3 2023 10:33 AM"/>
            <filter val="Document successfully created; Document successfully merged; PDF created; Emails Sent: [To: 21-ramirezhernandez.monserrathazul@cetis57.edu.mx; no-reply: true]; Manually run by joseeduardo.torresl@cetis57.edu.mx; Timestamp: Aug 3 2023 4:54 AM"/>
            <filter val="Document successfully created; Document successfully merged; PDF created; Emails Sent: [To: 21-ramirezmartinez.eyrarubi@cetis57.edu.mx]; Run via form trigger as gabrielvazquez@cetis57.edu.mx; Timestamp: Aug 3 2023 5:53 PM"/>
            <filter val="Document successfully created; Document successfully merged; PDF created; Emails Sent: [To: 21-ramirezmartinez.eyrarubi@cetis57.edu.mx]; Run via form trigger as gabrielvazquez@cetis57.edu.mx; Timestamp: Aug 3 2023 5:56 PM"/>
            <filter val="Document successfully created; Document successfully merged; PDF created; Emails Sent: [To: 21-ramirezmartinez.josealfredo@cetis57.edu.mx; no-reply: true]; Run via form trigger as gabrielvazquez@cetis57.edu.mx; Timestamp: Aug 2 2023 6:02 PM"/>
            <filter val="Document successfully created; Document successfully merged; PDF created; Emails Sent: [To: 21-ramosperez.ximenaalejandra@cetis57.edu.mx; no-reply: true]; Run via form trigger as gabrielvazquez@cetis57.edu.mx; Timestamp: Aug 2 2023 2:23 PM"/>
            <filter val="Document successfully created; Document successfully merged; PDF created; Emails Sent: [To: 21-rangelordaz.rebecasarahi@cetis57.edu.mx]; Run via form trigger as gabrielvazquez@cetis57.edu.mx; Timestamp: Aug 4 2023 5:26 PM"/>
            <filter val="Document successfully created; Document successfully merged; PDF created; Emails Sent: [To: 21-rangelsanchez.dulcemaria@cetis57.edu.mx; no-reply: true]; Run via form trigger as gabrielvazquez@cetis57.edu.mx; Timestamp: Aug 2 2023 9:46 PM"/>
            <filter val="Document successfully created; Document successfully merged; PDF created; Emails Sent: [To: 21-rebollarduran.valeriayamiled@cetis57.edu.mx]; Manually run by cgvaz@cetis57.edu.mx; Timestamp: Aug 3 2023 11:47 AM"/>
            <filter val="Document successfully created; Document successfully merged; PDF created; Emails Sent: [To: 21-reducindopalma.karenmonzerrat@cetis57.edu.mx]; Manually run by cgvaz@cetis57.edu.mx; Timestamp: Aug 3 2023 12:22 PM"/>
            <filter val="Document successfully created; Document successfully merged; PDF created; Emails Sent: [To: 21-reyescalderon.jonathanisaac@cetis57.edu.mx]; Manually run by cgvaz@cetis57.edu.mx; Timestamp: Aug 3 2023 12:22 PM"/>
            <filter val="Document successfully created; Document successfully merged; PDF created; Emails Sent: [To: 21-reyeshernandez.melanygabriela@cetis57.edu.mx; no-reply: true]; Run via form trigger as gabrielvazquez@cetis57.edu.mx; Timestamp: Aug 2 2023 5:55 AM"/>
            <filter val="Document successfully created; Document successfully merged; PDF created; Emails Sent: [To: 21-riosgarcia.mayrinafefeire@cetis57.edu.mx; no-reply: true]; Run via form trigger as gabrielvazquez@cetis57.edu.mx; Timestamp: Aug 3 2023 2:27 AM"/>
            <filter val="Document successfully created; Document successfully merged; PDF created; Emails Sent: [To: 21-riosgonzalez.marciajocelyn@cetis57.edu.mx; no-reply: true]; Run via form trigger as gabrielvazquez@cetis57.edu.mx; Timestamp: Aug 2 2023 11:04 AM"/>
            <filter val="Document successfully created; Document successfully merged; PDF created; Emails Sent: [To: 21-riveraavila.joshuaoswaldo@cetis57.edu.mx]; Manually run by cgvaz@cetis57.edu.mx; Timestamp: Aug 3 2023 9:14 PM"/>
            <filter val="Document successfully created; Document successfully merged; PDF created; Emails Sent: [To: 21-riveragarcia.camilagisselle@cetis57.edu.mx; no-reply: true]; Run via form trigger as gabrielvazquez@cetis57.edu.mx; Timestamp: Aug 2 2023 4:24 PM"/>
            <filter val="Document successfully created; Document successfully merged; PDF created; Emails Sent: [To: 21-riveralopez.dairaangelica@cetis57.edu.mx; no-reply: true]; Manually run by joseeduardo.torresl@cetis57.edu.mx; Timestamp: Aug 3 2023 3:57 AM"/>
            <filter val="Document successfully created; Document successfully merged; PDF created; Emails Sent: [To: 21-rodriguezgarcia.rodrigoivan@cetis57.edu.mx; no-reply: true]; Run via form trigger as gabrielvazquez@cetis57.edu.mx; Timestamp: Aug 2 2023 2:27 AM"/>
            <filter val="Document successfully created; Document successfully merged; PDF created; Emails Sent: [To: 21-rodriguezluna.andreaivonne@cetis57.edu.mx; no-reply: true]; Run via form trigger as gabrielvazquez@cetis57.edu.mx; Timestamp: Aug 2 2023 1:41 AM"/>
            <filter val="Document successfully created; Document successfully merged; PDF created; Emails Sent: [To: 21-rojasdominguez.ashleyevelin@cetis57.edu.mx; no-reply: true]; Run via form trigger as gabrielvazquez@cetis57.edu.mx; Timestamp: Aug 3 2023 2:48 AM"/>
            <filter val="Document successfully created; Document successfully merged; PDF created; Emails Sent: [To: 21-rojasorea.jaqueline@cetis57.edu.mx]; Run via form trigger as gabrielvazquez@cetis57.edu.mx; Timestamp: Aug 3 2023 9:06 PM"/>
            <filter val="Document successfully created; Document successfully merged; PDF created; Emails Sent: [To: 21-romeroagudo.inakihazel@cetis57.edu.mx]; Run via form trigger as gabrielvazquez@cetis57.edu.mx; Timestamp: Aug 3 2023 7:52 PM"/>
            <filter val="Document successfully created; Document successfully merged; PDF created; Emails Sent: [To: 21-romerotorres.eliasvladimir@cetis57.edu.mx; no-reply: true]; Run via form trigger as gabrielvazquez@cetis57.edu.mx; Timestamp: Aug 3 2023 12:59 AM"/>
            <filter val="Document successfully created; Document successfully merged; PDF created; Emails Sent: [To: 21-romoramirez.amanda@cetis57.edu.mx]; Run via form trigger as gabrielvazquez@cetis57.edu.mx; Timestamp: Aug 3 2023 6:20 PM"/>
            <filter val="Document successfully created; Document successfully merged; PDF created; Emails Sent: [To: 21-rubiogarcia.alejandro@cetis57.edu.mx; no-reply: true]; Run via form trigger as gabrielvazquez@cetis57.edu.mx; Timestamp: Aug 2 2023 11:18 PM"/>
            <filter val="Document successfully created; Document successfully merged; PDF created; Emails Sent: [To: 21-ruedafajardo.helennmassiel@cetis57.edu.mx]; Run via form trigger as gabrielvazquez@cetis57.edu.mx; Timestamp: Aug 3 2023 5:59 PM"/>
            <filter val="Document successfully created; Document successfully merged; PDF created; Emails Sent: [To: 21-ruizhernandez.itzelanahi@cetis57.edu.mx; no-reply: true]; Manually run by joseeduardo.torresl@cetis57.edu.mx; Timestamp: Aug 3 2023 1:59 AM"/>
            <filter val="Document successfully created; Document successfully merged; PDF created; Emails Sent: [To: 21-sanchezgoytortua.audrickdasaeth@cetis57.edu.mx]; Manually run by gabrielvazquez@cetis57.edu.mx; Timestamp: Aug 4 2023 4:57 PM"/>
            <filter val="Document successfully created; Document successfully merged; PDF created; Emails Sent: [To: 21-santiagohernandez.dafnecitlalli@cetis57.edu.mx; no-reply: true]; Run via form trigger as gabrielvazquez@cetis57.edu.mx; Timestamp: Aug 2 2023 3:23 AM"/>
            <filter val="Document successfully created; Document successfully merged; PDF created; Emails Sent: [To: 21-suarezcortes.hector@cetis57.edu.mx; no-reply: true]; Run via form trigger as gabrielvazquez@cetis57.edu.mx; Timestamp: Aug 3 2023 12:15 AM"/>
            <filter val="Document successfully created; Document successfully merged; PDF created; Emails Sent: [To: 21-suarezhernandez.gabrielalizbeth@cetis57.edu.mx; no-reply: true]; Run via form trigger as gabrielvazquez@cetis57.edu.mx; Timestamp: Aug 2 2023 1:44 AM"/>
            <filter val="Document successfully created; Document successfully merged; PDF created; Emails Sent: [To: 21-timoteoguerrero.alexisnoe@cetis57.edu.mx]; Manually run by cgvaz@cetis57.edu.mx; Timestamp: Aug 3 2023 1:55 PM"/>
            <filter val="Document successfully created; Document successfully merged; PDF created; Emails Sent: [To: 21-tobongarcia.reginamaite@cetis57.edu.mx; no-reply: true]; Manually run by joseeduardo.torresl@cetis57.edu.mx; Timestamp: Aug 3 2023 4:40 AM"/>
            <filter val="Document successfully created; Document successfully merged; PDF created; Emails Sent: [To: 21-valdezchavez.leonardoisaac@cetis57.edu.mx]; Manually run by cgvaz@cetis57.edu.mx; Timestamp: Aug 3 2023 12:10 PM"/>
            <filter val="Document successfully created; Document successfully merged; PDF created; Emails Sent: [To: 21-vanegasgonzalez.yamiletjoselin@cetis57.edu.mx]; Run via form trigger as gabrielvazquez@cetis57.edu.mx; Timestamp: Aug 3 2023 8:39 PM"/>
            <filter val="Document successfully created; Document successfully merged; PDF created; Emails Sent: [To: 21-vargashernandez.miaalexandra@cetis57.edu.mx; no-reply: true]; Run via form trigger as gabrielvazquez@cetis57.edu.mx; Timestamp: Aug 2 2023 9:57 PM"/>
            <filter val="Document successfully created; Document successfully merged; PDF created; Emails Sent: [To: 21-vazquezlopez.danaosiris@cetis57.edu.mx; no-reply: true]; Manually run by joseeduardo.torresl@cetis57.edu.mx; Timestamp: Aug 3 2023 1:55 AM"/>
            <filter val="Document successfully created; Document successfully merged; PDF created; Emails Sent: [To: 21-vazquezmartinez.gael@cetis57.edu.mx]; Manually run by cgvaz@cetis57.edu.mx; Timestamp: Aug 3 2023 11:40 AM"/>
            <filter val="Document successfully created; Document successfully merged; PDF created; Emails Sent: [To: 21-velazquezlopez.jenyvaleria@cetis57.edu.mx; no-reply: true]; Run via form trigger as gabrielvazquez@cetis57.edu.mx; Timestamp: Aug 2 2023 1:20 AM"/>
            <filter val="Document successfully created; Document successfully merged; PDF created; Emails Sent: [To: 21-venegaspereyra.abdiel@cetis57.edu.mx]; Run via form trigger as gabrielvazquez@cetis57.edu.mx; Timestamp: Aug 3 2023 6:27 PM"/>
            <filter val="Document successfully created; Document successfully merged; PDF created; Emails Sent: [To: 21-vergaraduenas.andreavaleria@cetis57.edu.mx]; Manually run by cgvaz@cetis57.edu.mx; Timestamp: Aug 3 2023 11:42 AM"/>
            <filter val="Document successfully created; Document successfully merged; PDF created; Emails Sent: [To: 21-villanuevagarcia.almaceleste@cetis57.edu.mx; no-reply: true]; Run via form trigger as gabrielvazquez@cetis57.edu.mx; Timestamp: Aug 2 2023 12:38 AM"/>
            <filter val="Document successfully created; Document successfully merged; PDF created; Emails Sent: [To: 21-zamudiocruz.heli@cetis57.edu.mx; no-reply: true]; Manually run by joseeduardo.torresl@cetis57.edu.mx; Timestamp: Aug 3 2023 3:30 AM"/>
            <filter val="Document successfully created; Document successfully merged; PDF created; Emails Sent: [To: 21-zunigacarbajal.galiaalizee@cetis57.edu.mx]; Run via form trigger as gabrielvazquez@cetis57.edu.mx; Timestamp: Aug 3 2023 2:30 PM"/>
            <filter val="Document successfully created; Document successfully merged; PDF created; Emails Sent: [To: 22-aburtosanchez.anastephanielizett@cetis57.edu.mx; no-reply: true]; Manually run by joseeduardo.torresl@cetis57.edu.mx; Timestamp: Aug 3 2023 2:47 AM"/>
            <filter val="Document successfully created; Document successfully merged; PDF created; Emails Sent: [To: 22-aguilararizpe.brendajacquelin@cetis57.edu.mx]; Run via form trigger as gabrielvazquez@cetis57.edu.mx; Timestamp: Aug 3 2023 6:00 PM"/>
            <filter val="Document successfully created; Document successfully merged; PDF created; Emails Sent: [To: 22-aguilarcerrillo.leilanymariafernanda@cetis57.edu.mx]; Run via form trigger as gabrielvazquez@cetis57.edu.mx; Timestamp: Aug 3 2023 4:33 PM"/>
            <filter val="Document successfully created; Document successfully merged; PDF created; Emails Sent: [To: 22-aguilarsolis.melanyatziri@cetis57.edu.mx]; Manually run by cgvaz@cetis57.edu.mx; Timestamp: Aug 3 2023 11:53 AM"/>
            <filter val="Document successfully created; Document successfully merged; PDF created; Emails Sent: [To: 22-albertohernandez.elean@cetis57.edu.mx; no-reply: true]; Run via form trigger as gabrielvazquez@cetis57.edu.mx; Timestamp: Aug 2 2023 3:35 PM"/>
            <filter val="Document successfully created; Document successfully merged; PDF created; Emails Sent: [To: 22-alcazargonzalez.vivianajocelyn@cetis57.edu.mx; no-reply: true]; Manually run by joseeduardo.torresl@cetis57.edu.mx; Timestamp: Aug 3 2023 4:02 AM"/>
            <filter val="Document successfully created; Document successfully merged; PDF created; Emails Sent: [To: 22-algarasanchez.sherlynaremi@cetis57.edu.mx; no-reply: true]; Run via form trigger as gabrielvazquez@cetis57.edu.mx; Timestamp: Aug 2 2023 1:34 AM"/>
            <filter val="Document successfully created; Document successfully merged; PDF created; Emails Sent: [To: 22-alvajimenez.evelynjacqueline@cetis57.edu.mx]; Manually run by cgvaz@cetis57.edu.mx; Timestamp: Aug 3 2023 12:09 PM"/>
            <filter val="Document successfully created; Document successfully merged; PDF created; Emails Sent: [To: 22-alvaradodominguez.erikamariel@cetis57.edu.mx; no-reply: true]; Manually run by joseeduardo.torresl@cetis57.edu.mx; Timestamp: Aug 3 2023 2:47 AM"/>
            <filter val="Document successfully created; Document successfully merged; PDF created; Emails Sent: [To: 22-alzuaoceguera.jesusalejandro@cetis57.edu.mx]; Manually run by cgvaz@cetis57.edu.mx; Timestamp: Aug 3 2023 12:24 PM"/>
            <filter val="Document successfully created; Document successfully merged; PDF created; Emails Sent: [To: 22-amadorgarcia.jatzirijenel@cetis57.edu.mx; no-reply: true]; Manually run by joseeduardo.torresl@cetis57.edu.mx; Timestamp: Aug 3 2023 2:57 AM"/>
            <filter val="Document successfully created; Document successfully merged; PDF created; Emails Sent: [To: 22-ambrociodiaz.william@cetis57.edu.mx]; Run via form trigger as gabrielvazquez@cetis57.edu.mx; Timestamp: Aug 3 2023 6:00 PM"/>
            <filter val="Document successfully created; Document successfully merged; PDF created; Emails Sent: [To: 22-andradehernandez.cristofer@cetis57.edu.mx; no-reply: true]; Run via form trigger as gabrielvazquez@cetis57.edu.mx; Timestamp: Aug 2 2023 2:30 PM"/>
            <filter val="Document successfully created; Document successfully merged; PDF created; Emails Sent: [To: 22-angelesromero.isabelnaomi@cetis57.edu.mx]; Run via form trigger as gabrielvazquez@cetis57.edu.mx; Timestamp: Aug 3 2023 11:14 PM"/>
            <filter val="Document successfully created; Document successfully merged; PDF created; Emails Sent: [To: 22-angoamarquez.diegoalejandro@cetis57.edu.mx]; Run via form trigger as gabrielvazquez@cetis57.edu.mx; Timestamp: Aug 3 2023 12:53 PM"/>
            <filter val="Document successfully created; Document successfully merged; PDF created; Emails Sent: [To: 22-arellanohernandez.christopherdavid@cetis57.edu.mx; no-reply: true]; Run via form trigger as gabrielvazquez@cetis57.edu.mx; Timestamp: Aug 3 2023 12:03 AM"/>
            <filter val="Document successfully created; Document successfully merged; PDF created; Emails Sent: [To: 22-ariasgarcia.alondradesire@cetis57.edu.mx]; Manually run by cgvaz@cetis57.edu.mx; Timestamp: Aug 3 2023 11:45 AM"/>
            <filter val="Document successfully created; Document successfully merged; PDF created; Emails Sent: [To: 22-ariasmartinez.fatimaailin@cetis57.edu.mx; no-reply: true]; Run via form trigger as gabrielvazquez@cetis57.edu.mx; Timestamp: Aug 3 2023 2:23 AM"/>
            <filter val="Document successfully created; Document successfully merged; PDF created; Emails Sent: [To: 22-arrazolajarquin.yahiralberto@cetis57.edu.mx]; Manually run by cgvaz@cetis57.edu.mx; Timestamp: Aug 3 2023 10:46 AM"/>
            <filter val="Document successfully created; Document successfully merged; PDF created; Emails Sent: [To: 22-avilamartinez.sandranayeli@cetis57.edu.mx; no-reply: true]; Run via form trigger as gabrielvazquez@cetis57.edu.mx; Timestamp: Aug 2 2023 10:53 AM"/>
            <filter val="Document successfully created; Document successfully merged; PDF created; Emails Sent: [To: 22-avilatoledo.brianisai@cetis57.edu.mx]; Run via form trigger as gabrielvazquez@cetis57.edu.mx; Timestamp: Aug 3 2023 3:20 PM"/>
            <filter val="Document successfully created; Document successfully merged; PDF created; Emails Sent: [To: 22-bahenaespinosa.axel@cetis57.edu.mx]; Manually run by cgvaz@cetis57.edu.mx; Timestamp: Aug 3 2023 1:52 PM"/>
            <filter val="Document successfully created; Document successfully merged; PDF created; Emails Sent: [To: 22-barajasbalderrama.juandedios@cetis57.edu.mx]; Manually run by cgvaz@cetis57.edu.mx; Timestamp: Aug 3 2023 10:40 AM"/>
            <filter val="Document successfully created; Document successfully merged; PDF created; Emails Sent: [To: 22-bautistaalvarado.loanajazmin@cetis57.edu.mx; no-reply: true]; Run via form trigger as gabrielvazquez@cetis57.edu.mx; Timestamp: Aug 2 2023 12:23 PM"/>
            <filter val="Document successfully created; Document successfully merged; PDF created; Emails Sent: [To: 22-beniteshernandez.roselynyamilet@cetis57.edu.mx; no-reply: true]; Run via form trigger as gabrielvazquez@cetis57.edu.mx; Timestamp: Aug 2 2023 3:04 PM"/>
            <filter val="Document successfully created; Document successfully merged; PDF created; Emails Sent: [To: 22-bonillacazares.mariana@cetis57.edu.mx]; Run via form trigger as gabrielvazquez@cetis57.edu.mx; Timestamp: Aug 10 2023 5:09 PM"/>
            <filter val="Document successfully created; Document successfully merged; PDF created; Emails Sent: [To: 22-cadenagarcia.janetabigail@cetis57.edu.mx]; Manually run by cgvaz@cetis57.edu.mx; Timestamp: Aug 3 2023 11:38 AM"/>
            <filter val="Document successfully created; Document successfully merged; PDF created; Emails Sent: [To: 22-calderonsalgado.fatima@cetis57.edu.mx; no-reply: true]; Run via form trigger as gabrielvazquez@cetis57.edu.mx; Timestamp: Aug 2 2023 3:03 PM"/>
            <filter val="Document successfully created; Document successfully merged; PDF created; Emails Sent: [To: 22-calvohernandez.emanuel@cetis57.edu.mx; no-reply: true]; Run via form trigger as gabrielvazquez@cetis57.edu.mx; Timestamp: Aug 2 2023 1:14 AM"/>
            <filter val="Document successfully created; Document successfully merged; PDF created; Emails Sent: [To: 22-camacholopez.mariadelrosario@cetis57.edu.mx; no-reply: true]; Run via form trigger as gabrielvazquez@cetis57.edu.mx; Timestamp: Aug 2 2023 3:34 AM"/>
            <filter val="Document successfully created; Document successfully merged; PDF created; Emails Sent: [To: 22-camachomartinez.america@cetis57.edu.mx; no-reply: true]; Manually run by joseeduardo.torresl@cetis57.edu.mx; Timestamp: Aug 3 2023 4:35 AM"/>
            <filter val="Document successfully created; Document successfully merged; PDF created; Emails Sent: [To: 22-camarillocastro.iararomina@cetis57.edu.mx]; Manually run by cgvaz@cetis57.edu.mx; Timestamp: Aug 3 2023 11:08 AM"/>
            <filter val="Document successfully created; Document successfully merged; PDF created; Emails Sent: [To: 22-canogarcia.marcoalessandro@cetis57.edu.mx; no-reply: true]; Manually run by joseeduardo.torresl@cetis57.edu.mx; Timestamp: Aug 3 2023 1:56 AM"/>
            <filter val="Document successfully created; Document successfully merged; PDF created; Emails Sent: [To: 22-canogarduno.stefanie@cetis57.edu.mx]; Run via form trigger as gabrielvazquez@cetis57.edu.mx; Timestamp: Aug 3 2023 5:57 PM"/>
            <filter val="Document successfully created; Document successfully merged; PDF created; Emails Sent: [To: 22-carmonagarcia.ricardo@cetis57.edu.mx; no-reply: true]; Manually run by joseeduardo.torresl@cetis57.edu.mx; Timestamp: Aug 3 2023 4:29 AM"/>
            <filter val="Document successfully created; Document successfully merged; PDF created; Emails Sent: [To: 22-carmonamendez.ximena@cetis57.edu.mx]; Manually run by cgvaz@cetis57.edu.mx; Timestamp: Aug 3 2023 11:12 AM"/>
            <filter val="Document successfully created; Document successfully merged; PDF created; Emails Sent: [To: 22-carrascogarrido.sofiaitzamara@cetis57.edu.mx]; Run via form trigger as gabrielvazquez@cetis57.edu.mx; Timestamp: Aug 10 2023 10:02 PM"/>
            <filter val="Document successfully created; Document successfully merged; PDF created; Emails Sent: [To: 22-carrascolopez.luisedwin@cetis57.edu.mx; no-reply: true]; Run via form trigger as gabrielvazquez@cetis57.edu.mx; Timestamp: Aug 2 2023 9:16 PM"/>
            <filter val="Document successfully created; Document successfully merged; PDF created; Emails Sent: [To: 22-carreonmartinez.adelitamayte@cetis57.edu.mx; no-reply: true]; Run via form trigger as gabrielvazquez@cetis57.edu.mx; Timestamp: Aug 2 2023 1:33 AM"/>
            <filter val="Document successfully created; Document successfully merged; PDF created; Emails Sent: [To: 22-castanedagonzalez.alexander@cetis57.edu.mx; no-reply: true]; Run via form trigger as gabrielvazquez@cetis57.edu.mx; Timestamp: Aug 2 2023 9:16 PM"/>
            <filter val="Document successfully created; Document successfully merged; PDF created; Emails Sent: [To: 22-castanedasantiago.siomara@cetis57.edu.mx]; Run via form trigger as gabrielvazquez@cetis57.edu.mx; Timestamp: Aug 3 2023 4:00 PM"/>
            <filter val="Document successfully created; Document successfully merged; PDF created; Emails Sent: [To: 22-castillocruz.sebastianmauricio@cetis57.edu.mx; no-reply: true]; Run via form trigger as gabrielvazquez@cetis57.edu.mx; Timestamp: Aug 2 2023 2:08 AM"/>
            <filter val="Document successfully created; Document successfully merged; PDF created; Emails Sent: [To: 22-castillorodriguez.miaelizama@cetis57.edu.mx]; Run via form trigger as gabrielvazquez@cetis57.edu.mx; Timestamp: Aug 4 2023 11:54 PM"/>
            <filter val="Document successfully created; Document successfully merged; PDF created; Emails Sent: [To: 22-castillovazquez.perlasofia@cetis57.edu.mx]; Run via form trigger as gabrielvazquez@cetis57.edu.mx; Timestamp: Aug 3 2023 1:15 PM"/>
            <filter val="Document successfully created; Document successfully merged; PDF created; Emails Sent: [To: 22-ceciliohernandez.dafnejoana@cetis57.edu.mx; no-reply: true]; Run via form trigger as gabrielvazquez@cetis57.edu.mx; Timestamp: Aug 2 2023 2:15 PM"/>
            <filter val="Document successfully created; Document successfully merged; PDF created; Emails Sent: [To: 22-cedillolopez.amyabiud@cetis57.edu.mx]; Manually run by carlos.palma@cetis57.edu.mx; Timestamp: Aug 3 2023 9:57 AM"/>
            <filter val="Document successfully created; Document successfully merged; PDF created; Emails Sent: [To: 22-cedillolopez.myaariadna@cetis57.edu.mx]; Manually run by cgvaz@cetis57.edu.mx; Timestamp: Aug 3 2023 10:39 AM"/>
            <filter val="Document successfully created; Document successfully merged; PDF created; Emails Sent: [To: 22-cedillorodriguez.marianalisset@cetis57.edu.mx]; Run via form trigger as gabrielvazquez@cetis57.edu.mx; Timestamp: Aug 4 2023 10:14 PM"/>
            <filter val="Document successfully created; Document successfully merged; PDF created; Emails Sent: [To: 22-cervantessanchez.regina@cetis57.edu.mx; no-reply: true]; Run via form trigger as gabrielvazquez@cetis57.edu.mx; Timestamp: Aug 2 2023 1:40 AM"/>
            <filter val="Document successfully created; Document successfully merged; PDF created; Emails Sent: [To: 22-chavezbarron.vanessaivonne@cetis57.edu.mx]; Run via form trigger as gabrielvazquez@cetis57.edu.mx; Timestamp: Aug 3 2023 7:19 PM"/>
            <filter val="Document successfully created; Document successfully merged; PDF created; Emails Sent: [To: 22-chavezmartinez.aneliz@cetis57.edu.mx; no-reply: true]; Run via form trigger as gabrielvazquez@cetis57.edu.mx; Timestamp: Aug 2 2023 1:35 AM"/>
            <filter val="Document successfully created; Document successfully merged; PDF created; Emails Sent: [To: 22-chavezperez.adrianamariel@cetis57.edu.mx; no-reply: true]; Run via form trigger as gabrielvazquez@cetis57.edu.mx; Timestamp: Aug 2 2023 12:53 PM"/>
            <filter val="Document successfully created; Document successfully merged; PDF created; Emails Sent: [To: 22-cheliuscruz.adrianacamila@cetis57.edu.mx; no-reply: true]; Manually run by joseeduardo.torresl@cetis57.edu.mx; Timestamp: Aug 3 2023 3:45 AM"/>
            <filter val="Document successfully created; Document successfully merged; PDF created; Emails Sent: [To: 22-cidcruz.diegoaxel@cetis57.edu.mx; no-reply: true]; Run via form trigger as gabrielvazquez@cetis57.edu.mx; Timestamp: Aug 2 2023 10:51 AM"/>
            <filter val="Document successfully created; Document successfully merged; PDF created; Emails Sent: [To: 22-cirilojoaquin.yaramijocelyn@cetis57.edu.mx]; Run via form trigger as gabrielvazquez@cetis57.edu.mx; Timestamp: Aug 3 2023 7:04 PM"/>
            <filter val="Document successfully created; Document successfully merged; PDF created; Emails Sent: [To: 22-cisnerosrivera.vitalyanduany@cetis57.edu.mx]; Manually run by cgvaz@cetis57.edu.mx; Timestamp: Aug 3 2023 10:59 AM"/>
            <filter val="Document successfully created; Document successfully merged; PDF created; Emails Sent: [To: 22-cocoletzihernandez.yazmin@cetis57.edu.mx; no-reply: true]; Run via form trigger as gabrielvazquez@cetis57.edu.mx; Timestamp: Aug 2 2023 1:16 AM"/>
            <filter val="Document successfully created; Document successfully merged; PDF created; Emails Sent: [To: 22-contrerassalas.pamelafatima@cetis57.edu.mx]; Manually run by cgvaz@cetis57.edu.mx; Timestamp: Aug 3 2023 10:49 AM"/>
            <filter val="Document successfully created; Document successfully merged; PDF created; Emails Sent: [To: 22-coronaluna.samantajudith@cetis57.edu.mx; no-reply: true]; Run via form trigger as gabrielvazquez@cetis57.edu.mx; Timestamp: Aug 2 2023 10:59 PM"/>
            <filter val="Document successfully created; Document successfully merged; PDF created; Emails Sent: [To: 22-cruzarriaga.danapaola@cetis57.edu.mx]; Manually run by carlos.palma@cetis57.edu.mx; Timestamp: Aug 3 2023 10:04 AM"/>
            <filter val="Document successfully created; Document successfully merged; PDF created; Emails Sent: [To: 22-cruzgalvan.emiliano@cetis57.edu.mx]; Run via form trigger as gabrielvazquez@cetis57.edu.mx; Timestamp: Aug 4 2023 8:31 PM"/>
            <filter val="Document successfully created; Document successfully merged; PDF created; Emails Sent: [To: 22-cruzgarcia.gerardo@cetis57.edu.mx; no-reply: true]; Run via form trigger as gabrielvazquez@cetis57.edu.mx; Timestamp: Aug 2 2023 10:04 PM"/>
            <filter val="Document successfully created; Document successfully merged; PDF created; Emails Sent: [To: 22-cruzgonzalez.fridanaomi@cetis57.edu.mx; no-reply: true]; Run via form trigger as gabrielvazquez@cetis57.edu.mx; Timestamp: Aug 2 2023 1:33 AM"/>
            <filter val="Document successfully created; Document successfully merged; PDF created; Emails Sent: [To: 22-cruzhernandez.eileen@cetis57.edu.mx]; Run via form trigger as gabrielvazquez@cetis57.edu.mx; Timestamp: Aug 3 2023 2:45 PM"/>
            <filter val="Document successfully created; Document successfully merged; PDF created; Emails Sent: [To: 22-cruzhernandez.nestoremmanuel@cetis57.edu.mx]; Run via form trigger as gabrielvazquez@cetis57.edu.mx; Timestamp: Aug 8 2023 4:56 PM"/>
            <filter val="Document successfully created; Document successfully merged; PDF created; Emails Sent: [To: 22-cruzperez.jenniferidali@cetis57.edu.mx; no-reply: true]; Run via form trigger as gabrielvazquez@cetis57.edu.mx; Timestamp: Aug 2 2023 1:26 AM"/>
            <filter val="Document successfully created; Document successfully merged; PDF created; Emails Sent: [To: 22-cruzperez.victoriaabril@cetis57.edu.mx; no-reply: true]; Run via form trigger as gabrielvazquez@cetis57.edu.mx; Timestamp: Aug 2 2023 10:33 AM"/>
            <filter val="Document successfully created; Document successfully merged; PDF created; Emails Sent: [To: 22-cuevasgarcia.josuerodrigo@cetis57.edu.mx; no-reply: true]; Manually run by joseeduardo.torresl@cetis57.edu.mx; Timestamp: Aug 3 2023 4:47 AM"/>
            <filter val="Document successfully created; Document successfully merged; PDF created; Emails Sent: [To: 22-cuevasromero.valery@cetis57.edu.mx]; Manually run by cgvaz@cetis57.edu.mx; Timestamp: Aug 3 2023 11:09 AM"/>
            <filter val="Document successfully created; Document successfully merged; PDF created; Emails Sent: [To: 22-davilaperez.leonidas@cetis57.edu.mx; no-reply: true]; Manually run by joseeduardo.torresl@cetis57.edu.mx; Timestamp: Aug 3 2023 2:57 AM"/>
            <filter val="Document successfully created; Document successfully merged; PDF created; Emails Sent: [To: 22-deandasanchez.ximenavalentina@cetis57.edu.mx]; Manually run by cgvaz@cetis57.edu.mx; Timestamp: Aug 3 2023 10:42 AM"/>
            <filter val="Document successfully created; Document successfully merged; PDF created; Emails Sent: [To: 22-dejesuslopez.shekinahlibet@cetis57.edu.mx]; Manually run by cgvaz@cetis57.edu.mx; Timestamp: Aug 3 2023 10:50 AM"/>
            <filter val="Document successfully created; Document successfully merged; PDF created; Emails Sent: [To: 22-delarosahernandez.dianapaola@cetis57.edu.mx; no-reply: true]; Run via form trigger as gabrielvazquez@cetis57.edu.mx; Timestamp: Aug 2 2023 4:00 PM"/>
            <filter val="Document successfully created; Document successfully merged; PDF created; Emails Sent: [To: 22-delarosaluna.hugodavid@cetis57.edu.mx]; Manually run by cgvaz@cetis57.edu.mx; Timestamp: Aug 3 2023 1:49 PM"/>
            <filter val="Document successfully created; Document successfully merged; PDF created; Emails Sent: [To: 22-delgadoruiz.wendymaite@cetis57.edu.mx]; Manually run by carlos.palma@cetis57.edu.mx; Timestamp: Aug 3 2023 10:02 AM"/>
            <filter val="Document successfully created; Document successfully merged; PDF created; Emails Sent: [To: 22-diazdiaz.axelyael@cetis57.edu.mx]; Run via form trigger as gabrielvazquez@cetis57.edu.mx; Timestamp: Aug 7 2023 7:44 AM"/>
            <filter val="Document successfully created; Document successfully merged; PDF created; Emails Sent: [To: 22-diazgarcia.fernandaedith@cetis57.edu.mx; no-reply: true]; Run via form trigger as gabrielvazquez@cetis57.edu.mx; Timestamp: Aug 2 2023 2:19 AM"/>
            <filter val="Document successfully created; Document successfully merged; PDF created; Emails Sent: [To: 22-diazgonzalezhernandez.miguel@cetis57.edu.mx]; Run via form trigger as gabrielvazquez@cetis57.edu.mx; Timestamp: Aug 4 2023 3:51 PM"/>
            <filter val="Document successfully created; Document successfully merged; PDF created; Emails Sent: [To: 22-diazguerrero.landon@cetis57.edu.mx]; Run via form trigger as gabrielvazquez@cetis57.edu.mx; Timestamp: Aug 3 2023 5:55 PM"/>
            <filter val="Document successfully created; Document successfully merged; PDF created; Emails Sent: [To: 22-diazmacias.brunodaniel@cetis57.edu.mx]; Manually run by cgvaz@cetis57.edu.mx; Timestamp: Aug 3 2023 10:55 AM"/>
            <filter val="Document successfully created; Document successfully merged; PDF created; Emails Sent: [To: 22-doroteonuevo.isis@cetis57.edu.mx]; Manually run by cgvaz@cetis57.edu.mx; Timestamp: Aug 3 2023 12:09 PM"/>
            <filter val="Document successfully created; Document successfully merged; PDF created; Emails Sent: [To: 22-escuderogutierrez.cesarmanuel@cetis57.edu.mx]; Manually run by cgvaz@cetis57.edu.mx; Timestamp: Aug 3 2023 11:52 AM"/>
            <filter val="Document successfully created; Document successfully merged; PDF created; Emails Sent: [To: 22-espinosahernandez.kenelyalexa@cetis57.edu.mx]; Run via form trigger as gabrielvazquez@cetis57.edu.mx; Timestamp: Aug 3 2023 12:51 PM"/>
            <filter val="Document successfully created; Document successfully merged; PDF created; Emails Sent: [To: 22-estradacruz.fatimabelen@cetis57.edu.mx; no-reply: true]; Manually run by joseeduardo.torresl@cetis57.edu.mx; Timestamp: Aug 3 2023 2:55 AM"/>
            <filter val="Document successfully created; Document successfully merged; PDF created; Emails Sent: [To: 22-estrellavilla.julieta@cetis57.edu.mx]; Manually run by cgvaz@cetis57.edu.mx; Timestamp: Aug 3 2023 9:19 PM"/>
            <filter val="Document successfully created; Document successfully merged; PDF created; Emails Sent: [To: 22-fabelagarcia.monserrat@cetis57.edu.mx; no-reply: true]; Manually run by joseeduardo.torresl@cetis57.edu.mx; Timestamp: Aug 3 2023 4:51 AM"/>
            <filter val="Document successfully created; Document successfully merged; PDF created; Emails Sent: [To: 22-faustinoshernandez.juliocesar@cetis57.edu.mx]; Run via form trigger as gabrielvazquez@cetis57.edu.mx; Timestamp: Aug 3 2023 7:53 PM"/>
            <filter val="Document successfully created; Document successfully merged; PDF created; Emails Sent: [To: 22-feriaalba.mariadejesus@cetis57.edu.mx]; Run via form trigger as gabrielvazquez@cetis57.edu.mx; Timestamp: Aug 3 2023 10:36 PM"/>
            <filter val="Document successfully created; Document successfully merged; PDF created; Emails Sent: [To: 22-fernandezolvera.giovannimanuel@cetis57.edu.mx; no-reply: true]; Run via form trigger as gabrielvazquez@cetis57.edu.mx; Timestamp: Aug 2 2023 3:36 PM"/>
            <filter val="Document successfully created; Document successfully merged; PDF created; Emails Sent: [To: 22-florescruz.paulaestefania@cetis57.edu.mx; no-reply: true]; Run via form trigger as gabrielvazquez@cetis57.edu.mx; Timestamp: Aug 2 2023 10:48 PM"/>
            <filter val="Document successfully created; Document successfully merged; PDF created; Emails Sent: [To: 22-floresgonzalez.angeluriel@cetis57.edu.mx; no-reply: true]; Manually run by joseeduardo.torresl@cetis57.edu.mx; Timestamp: Aug 3 2023 5:13 AM"/>
            <filter val="Document successfully created; Document successfully merged; PDF created; Emails Sent: [To: 22-floressalgado.hazielali@cetis57.edu.mx; no-reply: true]; Manually run by joseeduardo.torresl@cetis57.edu.mx; Timestamp: Aug 3 2023 4:59 AM"/>
            <filter val="Document successfully created; Document successfully merged; PDF created; Emails Sent: [To: 22-franciscopineda.alissonguadalupe@cetis57.edu.mx; no-reply: true]; Manually run by joseeduardo.torresl@cetis57.edu.mx; Timestamp: Aug 3 2023 3:04 AM"/>
            <filter val="Document successfully created; Document successfully merged; PDF created; Emails Sent: [To: 22-francoguevara.victorjosue@cetis57.edu.mx]; Manually run by gabrielvazquez@cetis57.edu.mx; Timestamp: Aug 4 2023 7:38 PM"/>
            <filter val="Document successfully created; Document successfully merged; PDF created; Emails Sent: [To: 22-fuenteshernandez.gabriel@cetis57.edu.mx]; Manually run by cgvaz@cetis57.edu.mx; Timestamp: Aug 3 2023 11:41 AM"/>
            <filter val="Document successfully created; Document successfully merged; PDF created; Emails Sent: [To: 22-fuentesmolina.valentina@cetis57.edu.mx]; Manually run by cgvaz@cetis57.edu.mx; Timestamp: Aug 3 2023 11:57 AM"/>
            <filter val="Document successfully created; Document successfully merged; PDF created; Emails Sent: [To: 22-galiciagarcia.metzi@cetis57.edu.mx; no-reply: true]; Run via form trigger as gabrielvazquez@cetis57.edu.mx; Timestamp: Aug 2 2023 4:18 PM"/>
            <filter val="Document successfully created; Document successfully merged; PDF created; Emails Sent: [To: 22-garciacruz.dorian@cetis57.edu.mx; no-reply: true]; Run via form trigger as gabrielvazquez@cetis57.edu.mx; Timestamp: Aug 2 2023 2:02 AM"/>
            <filter val="Document successfully created; Document successfully merged; PDF created; Emails Sent: [To: 22-garciagonzalez.athanalfonzo@cetis57.edu.mx; no-reply: true]; Manually run by joseeduardo.torresl@cetis57.edu.mx; Timestamp: Aug 3 2023 2:51 AM"/>
            <filter val="Document successfully created; Document successfully merged; PDF created; Emails Sent: [To: 22-garciahernandez.dominicjosafhat@cetis57.edu.mx]; Manually run by cgvaz@cetis57.edu.mx; Timestamp: Aug 3 2023 11:07 AM"/>
            <filter val="Document successfully created; Document successfully merged; PDF created; Emails Sent: [To: 22-garciajimenez.gerardoyahel@cetis57.edu.mx]; Manually run by cgvaz@cetis57.edu.mx; Timestamp: Aug 3 2023 10:29 AM"/>
            <filter val="Document successfully created; Document successfully merged; PDF created; Emails Sent: [To: 22-garciaperez.malillanyyamilet@cetis57.edu.mx; no-reply: true]; Run via form trigger as gabrielvazquez@cetis57.edu.mx; Timestamp: Aug 2 2023 3:38 PM"/>
            <filter val="Document successfully created; Document successfully merged; PDF created; Emails Sent: [To: 22-garfiasmartinez.melaniejatzel@cetis57.edu.mx; no-reply: true]; Run via form trigger as gabrielvazquez@cetis57.edu.mx; Timestamp: Aug 2 2023 4:11 PM"/>
            <filter val="Document successfully created; Document successfully merged; PDF created; Emails Sent: [To: 22-godoyhernandez.irvinfernando@cetis57.edu.mx; no-reply: true]; Manually run by joseeduardo.torresl@cetis57.edu.mx; Timestamp: Aug 3 2023 2:49 AM"/>
            <filter val="Document successfully created; Document successfully merged; PDF created; Emails Sent: [To: 22-gomezgarcia.jesuseduardo@cetis57.edu.mx; no-reply: true]; Run via form trigger as gabrielvazquez@cetis57.edu.mx; Timestamp: Aug 3 2023 1:21 AM"/>
            <filter val="Document successfully created; Document successfully merged; PDF created; Emails Sent: [To: 22-gomezmartinez.estrellajudith@cetis57.edu.mx; no-reply: true]; Manually run by joseeduardo.torresl@cetis57.edu.mx; Timestamp: Aug 3 2023 3:59 AM"/>
            <filter val="Document successfully created; Document successfully merged; PDF created; Emails Sent: [To: 22-gonzalezcitalan.yoalilitzai@cetis57.edu.mx]; Run via form trigger as gabrielvazquez@cetis57.edu.mx; Timestamp: Aug 3 2023 8:24 PM"/>
            <filter val="Document successfully created; Document successfully merged; PDF created; Emails Sent: [To: 22-gonzalezcruz.luisangel@cetis57.edu.mx]; Run via form trigger as gabrielvazquez@cetis57.edu.mx; Timestamp: Aug 3 2023 2:58 PM"/>
            <filter val="Document successfully created; Document successfully merged; PDF created; Emails Sent: [To: 22-gonzalezcruz.ricardoalberto@cetis57.edu.mx]; Manually run by gabrielvazquez@cetis57.edu.mx; Timestamp: Aug 4 2023 7:38 PM"/>
            <filter val="Document successfully created; Document successfully merged; PDF created; Emails Sent: [To: 22-gonzalezgama.mauricio@cetis57.edu.mx]; Manually run by cgvaz@cetis57.edu.mx; Timestamp: Aug 3 2023 10:57 AM"/>
            <filter val="Document successfully created; Document successfully merged; PDF created; Emails Sent: [To: 22-gonzalezgonzalez.fatimavaleria@cetis57.edu.mx; no-reply: true]; Run via form trigger as gabrielvazquez@cetis57.edu.mx; Timestamp: Aug 2 2023 1:23 AM"/>
            <filter val="Document successfully created; Document successfully merged; PDF created; Emails Sent: [To: 22-gonzalezhernndez.karolnicol@cetis57.edu.mx]; Manually run by cgvaz@cetis57.edu.mx; Timestamp: Aug 3 2023 12:17 PM"/>
            <filter val="Document successfully created; Document successfully merged; PDF created; Emails Sent: [To: 22-gonzalezmorales.angeleduardo@cetis57.edu.mx]; Manually run by cgvaz@cetis57.edu.mx; Timestamp: Aug 3 2023 12:21 PM"/>
            <filter val="Document successfully created; Document successfully merged; PDF created; Emails Sent: [To: 22-gonzalezquiterio.dianacamila@cetis57.edu.mx]; Run via form trigger as gabrielvazquez@cetis57.edu.mx; Timestamp: Aug 3 2023 6:50 PM"/>
            <filter val="Document successfully created; Document successfully merged; PDF created; Emails Sent: [To: 22-gonzalezsantos.sarafabiola@cetis57.edu.mx; no-reply: true]; Run via form trigger as gabrielvazquez@cetis57.edu.mx; Timestamp: Aug 2 2023 1:17 AM"/>
            <filter val="Document successfully created; Document successfully merged; PDF created; Emails Sent: [To: 22-granadosgonzalez.luisarmando@cetis57.edu.mx; no-reply: true]; Run via form trigger as gabrielvazquez@cetis57.edu.mx; Timestamp: Aug 2 2023 1:55 AM"/>
            <filter val="Document successfully created; Document successfully merged; PDF created; Emails Sent: [To: 22-guerreromartinez.sandra@cetis57.edu.mx; no-reply: true]; Run via form trigger as gabrielvazquez@cetis57.edu.mx; Timestamp: Aug 2 2023 12:48 AM"/>
            <filter val="Document successfully created; Document successfully merged; PDF created; Emails Sent: [To: 22-gutierrezescobar.zoecarolina@cetis57.edu.mx]; Run via form trigger as gabrielvazquez@cetis57.edu.mx; Timestamp: Aug 3 2023 5:06 PM"/>
            <filter val="Document successfully created; Document successfully merged; PDF created; Emails Sent: [To: 22-gutierrezhernandez.pablojosue@cetis57.edu.mx; no-reply: true]; Run via form trigger as gabrielvazquez@cetis57.edu.mx; Timestamp: Aug 2 2023 8:30 PM"/>
            <filter val="Document successfully created; Document successfully merged; PDF created; Emails Sent: [To: 22-gutierrezlopez.saramichel@cetis57.edu.mx; no-reply: true]; Run via form trigger as gabrielvazquez@cetis57.edu.mx; Timestamp: Aug 2 2023 2:17 AM"/>
            <filter val="Document successfully created; Document successfully merged; PDF created; Emails Sent: [To: 22-hernandezadrian.joana@cetis57.edu.mx]; Manually run by cgvaz@cetis57.edu.mx; Timestamp: Aug 3 2023 10:51 AM"/>
            <filter val="Document successfully created; Document successfully merged; PDF created; Emails Sent: [To: 22-hernandezaldivar.melanynaomi@cetis57.edu.mx; no-reply: true]; Run via form trigger as gabrielvazquez@cetis57.edu.mx; Timestamp: Aug 2 2023 12:55 AM"/>
            <filter val="Document successfully created; Document successfully merged; PDF created; Emails Sent: [To: 22-hernandezalgomeda.miriamangela@cetis57.edu.mx; no-reply: true]; Manually run by joseeduardo.torresl@cetis57.edu.mx; Timestamp: Aug 3 2023 1:56 AM"/>
            <filter val="Document successfully created; Document successfully merged; PDF created; Emails Sent: [To: 22-hernandezalvarado.susana@cetis57.edu.mx; no-reply: true]; Run via form trigger as gabrielvazquez@cetis57.edu.mx; Timestamp: Aug 2 2023 1:43 AM"/>
            <filter val="Document successfully created; Document successfully merged; PDF created; Emails Sent: [To: 22-hernandezandres.kevinsaul@cetis57.edu.mx; no-reply: true]; Run via form trigger as gabrielvazquez@cetis57.edu.mx; Timestamp: Aug 3 2023 2:59 AM"/>
            <filter val="Document successfully created; Document successfully merged; PDF created; Emails Sent: [To: 22-hernandezcisneros.brendapaola@cetis57.edu.mx; no-reply: true]; Run via form trigger as gabrielvazquez@cetis57.edu.mx; Timestamp: Aug 2 2023 12:29 PM"/>
            <filter val="Document successfully created; Document successfully merged; PDF created; Emails Sent: [To: 22-hernandezcortes.guadalupeyareli@cetis57.edu.mx; no-reply: true]; Run via form trigger as gabrielvazquez@cetis57.edu.mx; Timestamp: Aug 2 2023 1:33 AM"/>
            <filter val="Document successfully created; Document successfully merged; PDF created; Emails Sent: [To: 22-hernandezcruz.paola@cetis57.edu.mx]; Manually run by cgvaz@cetis57.edu.mx; Timestamp: Aug 3 2023 10:48 AM"/>
            <filter val="Document successfully created; Document successfully merged; PDF created; Emails Sent: [To: 22-hernandezesparragoza.valeria@cetis57.edu.mx; no-reply: true]; Run via form trigger as gabrielvazquez@cetis57.edu.mx; Timestamp: Aug 2 2023 1:30 AM"/>
            <filter val="Document successfully created; Document successfully merged; PDF created; Emails Sent: [To: 22-hernandezfrias.jannetmaribel@cetis57.edu.mx; no-reply: true]; Run via form trigger as gabrielvazquez@cetis57.edu.mx; Timestamp: Aug 2 2023 2:29 AM"/>
            <filter val="Document successfully created; Document successfully merged; PDF created; Emails Sent: [To: 22-hernandezgarcia.evelyn@cetis57.edu.mx; no-reply: true]; Run via form trigger as gabrielvazquez@cetis57.edu.mx; Timestamp: Aug 2 2023 1:23 AM"/>
            <filter val="Document successfully created; Document successfully merged; PDF created; Emails Sent: [To: 22-hernandezgonzalez.daniel@cetis57.edu.mx; no-reply: true]; Run via form trigger as gabrielvazquez@cetis57.edu.mx; Timestamp: Aug 3 2023 8:11 AM"/>
            <filter val="Document successfully created; Document successfully merged; PDF created; Emails Sent: [To: 22-hernandezgonzalez.davidamiel@cetis57.edu.mx; no-reply: true]; Run via form trigger as gabrielvazquez@cetis57.edu.mx; Timestamp: Aug 2 2023 1:42 AM"/>
            <filter val="Document successfully created; Document successfully merged; PDF created; Emails Sent: [To: 22-hernandezguarneros.valeriagissel@cetis57.edu.mx]; Manually run by cgvaz@cetis57.edu.mx; Timestamp: Aug 3 2023 12:12 PM"/>
            <filter val="Document successfully created; Document successfully merged; PDF created; Emails Sent: [To: 22-hernandezhernandez.daniel@cetis57.edu.mx; no-reply: true]; Run via form trigger as gabrielvazquez@cetis57.edu.mx; Timestamp: Aug 2 2023 3:44 AM"/>
            <filter val="Document successfully created; Document successfully merged; PDF created; Emails Sent: [To: 22-hernandezluna.renata@cetis57.edu.mx]; Manually run by carlos.palma@cetis57.edu.mx; Timestamp: Aug 3 2023 9:56 AM"/>
            <filter val="Document successfully created; Document successfully merged; PDF created; Emails Sent: [To: 22-hernandezmoreno.pablo@cetis57.edu.mx]; Manually run by cgvaz@cetis57.edu.mx; Timestamp: Aug 3 2023 1:48 PM"/>
            <filter val="Document successfully created; Document successfully merged; PDF created; Emails Sent: [To: 22-hernandezmunguia.nahimaamairani@cetis57.edu.mx]; Manually run by cgvaz@cetis57.edu.mx; Timestamp: Aug 3 2023 11:04 AM"/>
            <filter val="Document successfully created; Document successfully merged; PDF created; Emails Sent: [To: 22-hernandezpineda.mildredsofia@cetis57.edu.mx; no-reply: true]; Run via form trigger as gabrielvazquez@cetis57.edu.mx; Timestamp: Aug 2 2023 10:33 AM"/>
            <filter val="Document successfully created; Document successfully merged; PDF created; Emails Sent: [To: 22-hernandezsanchez.barbararenata@cetis57.edu.mx; no-reply: true]; Run via form trigger as gabrielvazquez@cetis57.edu.mx; Timestamp: Aug 2 2023 12:14 PM"/>
            <filter val="Document successfully created; Document successfully merged; PDF created; Emails Sent: [To: 22-hernandezsanchez.pedro@cetis57.edu.mx]; Manually run by cgvaz@cetis57.edu.mx; Timestamp: Aug 3 2023 11:00 AM"/>
            <filter val="Document successfully created; Document successfully merged; PDF created; Emails Sent: [To: 22-hernandezsantos.yuvianaomi@cetis57.edu.mx; no-reply: true]; Manually run by joseeduardo.torresl@cetis57.edu.mx; Timestamp: Aug 3 2023 3:35 AM"/>
            <filter val="Document successfully created; Document successfully merged; PDF created; Emails Sent: [To: 22-hernandezsierra.mariadelsol@cetis57.edu.mx; no-reply: true]; Run via form trigger as gabrielvazquez@cetis57.edu.mx; Timestamp: Aug 2 2023 2:03 AM"/>
            <filter val="Document successfully created; Document successfully merged; PDF created; Emails Sent: [To: 22-hernandeztorres.camilapaola@cetis57.edu.mx; no-reply: true]; Run via form trigger as gabrielvazquez@cetis57.edu.mx; Timestamp: Aug 3 2023 1:27 AM"/>
            <filter val="Document successfully created; Document successfully merged; PDF created; Emails Sent: [To: 22-ibanezhernandez.fanelyyaretzy@cetis57.edu.mx; no-reply: true]; Run via form trigger as gabrielvazquez@cetis57.edu.mx; Timestamp: Aug 2 2023 12:43 PM"/>
            <filter val="Document successfully created; Document successfully merged; PDF created; Emails Sent: [To: 22-irineomartinez.amairany@cetis57.edu.mx; no-reply: true]; Run via form trigger as gabrielvazquez@cetis57.edu.mx; Timestamp: Aug 2 2023 9:54 PM"/>
            <filter val="Document successfully created; Document successfully merged; PDF created; Emails Sent: [To: 22-islassanchez.salvador@cetis57.edu.mx]; Run via form trigger as gabrielvazquez@cetis57.edu.mx; Timestamp: Aug 3 2023 8:49 PM"/>
            <filter val="Document successfully created; Document successfully merged; PDF created; Emails Sent: [To: 22-jacintohernandez.carloscaleb@cetis57.edu.mx; no-reply: true]; Run via form trigger as gabrielvazquez@cetis57.edu.mx; Timestamp: Aug 2 2023 3:12 AM"/>
            <filter val="Document successfully created; Document successfully merged; PDF created; Emails Sent: [To: 22-jacobotellez.darinkapaola@cetis57.edu.mx]; Manually run by cgvaz@cetis57.edu.mx; Timestamp: Aug 3 2023 12:16 PM"/>
            <filter val="Document successfully created; Document successfully merged; PDF created; Emails Sent: [To: 22-jimenezgarcia.ximenabrissey@cetis57.edu.mx; no-reply: true]; Run via form trigger as gabrielvazquez@cetis57.edu.mx; Timestamp: Aug 2 2023 12:55 PM"/>
            <filter val="Document successfully created; Document successfully merged; PDF created; Emails Sent: [To: 22-jimenezhernandez.edwinbrandon@cetis57.edu.mx; no-reply: true]; Manually run by joseeduardo.torresl@cetis57.edu.mx; Timestamp: Aug 3 2023 3:25 AM"/>
            <filter val="Document successfully created; Document successfully merged; PDF created; Emails Sent: [To: 22-juarezgarcia.jaimeeduardo@cetis57.edu.mx; no-reply: true]; Run via form trigger as gabrielvazquez@cetis57.edu.mx; Timestamp: Aug 2 2023 1:08 AM"/>
            <filter val="Document successfully created; Document successfully merged; PDF created; Emails Sent: [To: 22-leonsanchez.carlosfrancisco@cetis57.edu.mx]; Manually run by cgvaz@cetis57.edu.mx; Timestamp: Aug 3 2023 10:44 AM"/>
            <filter val="Document successfully created; Document successfully merged; PDF created; Emails Sent: [To: 22-limafranco.jocelynalejandra@cetis57.edu.mx]; Run via form trigger as gabrielvazquez@cetis57.edu.mx; Timestamp: Aug 3 2023 6:29 PM"/>
            <filter val="Document successfully created; Document successfully merged; PDF created; Emails Sent: [To: 22-lopezandrade.lauralizette@cetis57.edu.mx]; Run via form trigger as gabrielvazquez@cetis57.edu.mx; Timestamp: Aug 3 2023 10:36 PM"/>
            <filter val="Document successfully created; Document successfully merged; PDF created; Emails Sent: [To: 22-lopezcruz.laurayoseline@cetis57.edu.mx; no-reply: true]; Run via form trigger as gabrielvazquez@cetis57.edu.mx; Timestamp: Aug 2 2023 12:40 AM"/>
            <filter val="Document successfully created; Document successfully merged; PDF created; Emails Sent: [To: 22-lopezgarcia.eslijosie@cetis57.edu.mx; no-reply: true]; Run via form trigger as gabrielvazquez@cetis57.edu.mx; Timestamp: Aug 3 2023 1:28 AM"/>
            <filter val="Document successfully created; Document successfully merged; PDF created; Emails Sent: [To: 22-lopezgarcia.luzadriana@cetis57.edu.mx]; Run via form trigger as gabrielvazquez@cetis57.edu.mx; Timestamp: Aug 3 2023 7:04 PM"/>
            <filter val="Document successfully created; Document successfully merged; PDF created; Emails Sent: [To: 22-lopezhernandez.juliocesar@cetis57.edu.mx; no-reply: true]; Manually run by joseeduardo.torresl@cetis57.edu.mx; Timestamp: Aug 3 2023 2:49 AM"/>
            <filter val="Document successfully created; Document successfully merged; PDF created; Emails Sent: [To: 22-lopezherrera.wendyalejandra@cetis57.edu.mx]; Manually run by cgvaz@cetis57.edu.mx; Timestamp: Aug 3 2023 11:54 AM"/>
            <filter val="Document successfully created; Document successfully merged; PDF created; Emails Sent: [To: 22-lopezmartinez.alanalejandro@cetis57.edu.mx; no-reply: true]; Run via form trigger as gabrielvazquez@cetis57.edu.mx; Timestamp: Aug 3 2023 4:41 AM"/>
            <filter val="Document successfully created; Document successfully merged; PDF created; Emails Sent: [To: 22-lopezperez.angelasaray@cetis57.edu.mx; no-reply: true]; Run via form trigger as gabrielvazquez@cetis57.edu.mx; Timestamp: Aug 2 2023 1:06 AM"/>
            <filter val="Document successfully created; Document successfully merged; PDF created; Emails Sent: [To: 22-lopezsalinas.michelguadalupe@cetis57.edu.mx]; Manually run by cgvaz@cetis57.edu.mx; Timestamp: Aug 3 2023 9:12 PM"/>
            <filter val="Document successfully created; Document successfully merged; PDF created; Emails Sent: [To: 22-lopezsanchez.dianalaura@cetis57.edu.mx; no-reply: true]; Run via form trigger as gabrielvazquez@cetis57.edu.mx; Timestamp: Aug 2 2023 2:48 PM"/>
            <filter val="Document successfully created; Document successfully merged; PDF created; Emails Sent: [To: 22-lopeztellez.evayeraldine@cetis57.edu.mx]; Manually run by cgvaz@cetis57.edu.mx; Timestamp: Aug 3 2023 11:13 AM"/>
            <filter val="Document successfully created; Document successfully merged; PDF created; Emails Sent: [To: 22-lopeztorres.cristianantony@cetis57.edu.mx; no-reply: true]; Run via form trigger as gabrielvazquez@cetis57.edu.mx; Timestamp: Aug 2 2023 2:15 AM"/>
            <filter val="Document successfully created; Document successfully merged; PDF created; Emails Sent: [To: 22-lunaalvarado.jesusarmando@cetis57.edu.mx; no-reply: true]; Run via form trigger as gabrielvazquez@cetis57.edu.mx; Timestamp: Aug 2 2023 2:36 AM"/>
            <filter val="Document successfully created; Document successfully merged; PDF created; Emails Sent: [To: 22-lunaperez.yazminesmeralda@cetis57.edu.mx; no-reply: true]; Run via form trigger as gabrielvazquez@cetis57.edu.mx; Timestamp: Aug 2 2023 7:11 PM"/>
            <filter val="Document successfully created; Document successfully merged; PDF created; Emails Sent: [To: 22-macielsantiago.juancarlos@cetis57.edu.mx]; Run via form trigger as gabrielvazquez@cetis57.edu.mx; Timestamp: Aug 4 2023 12:31 AM"/>
            <filter val="Document successfully created; Document successfully merged; PDF created; Emails Sent: [To: 22-macielvillagas.leticializet@cetis57.edu.mx]; Manually run by cgvaz@cetis57.edu.mx; Timestamp: Aug 3 2023 12:19 PM"/>
            <filter val="Document successfully created; Document successfully merged; PDF created; Emails Sent: [To: 22-maldonadofernandez.yareli@cetis57.edu.mx]; Run via form trigger as gabrielvazquez@cetis57.edu.mx; Timestamp: Aug 3 2023 7:18 PM"/>
            <filter val="Document successfully created; Document successfully merged; PDF created; Emails Sent: [To: 22-maldonadogarcia.ikerjorel@cetis57.edu.mx; no-reply: true]; Run via form trigger as gabrielvazquez@cetis57.edu.mx; Timestamp: Aug 2 2023 12:41 AM"/>
            <filter val="Document successfully created; Document successfully merged; PDF created; Emails Sent: [To: 22-marinmartinez.gustavoemiliano@cetis57.edu.mx; no-reply: true]; Run via form trigger as gabrielvazquez@cetis57.edu.mx; Timestamp: Aug 2 2023 1:09 AM"/>
            <filter val="Document successfully created; Document successfully merged; PDF created; Emails Sent: [To: 22-mariscalquiroz.emirethmontserrat@cetis57.edu.mx]; Manually run by cgvaz@cetis57.edu.mx; Timestamp: Aug 3 2023 10:37 AM"/>
            <filter val="Document successfully created; Document successfully merged; PDF created; Emails Sent: [To: 22-marrongonzalez.kimberlyashley@cetis57.edu.mx]; Manually run by carlos.palma@cetis57.edu.mx; Timestamp: Aug 3 2023 10:04 AM"/>
            <filter val="Document successfully created; Document successfully merged; PDF created; Emails Sent: [To: 22-martinezanastacio.jonathan@cetis57.edu.mx]; Run via form trigger as gabrielvazquez@cetis57.edu.mx; Timestamp: Aug 3 2023 12:54 PM"/>
            <filter val="Document successfully created; Document successfully merged; PDF created; Emails Sent: [To: 22-martinezcabrera.marcosmanuel@cetis57.edu.mx]; Manually run by cgvaz@cetis57.edu.mx; Timestamp: Aug 3 2023 11:01 AM"/>
            <filter val="Document successfully created; Document successfully merged; PDF created; Emails Sent: [To: 22-martinezcruz.oscar@cetis57.edu.mx]; Run via form trigger as gabrielvazquez@cetis57.edu.mx; Timestamp: Aug 3 2023 10:34 PM"/>
            <filter val="Document successfully created; Document successfully merged; PDF created; Emails Sent: [To: 22-martinezgarcia.santiago@cetis57.edu.mx; no-reply: true]; Run via form trigger as gabrielvazquez@cetis57.edu.mx; Timestamp: Aug 3 2023 1:46 AM"/>
            <filter val="Document successfully created; Document successfully merged; PDF created; Emails Sent: [To: 22-martinezmartinez.joeldavid@cetis57.edu.mx; no-reply: true]; Run via form trigger as gabrielvazquez@cetis57.edu.mx; Timestamp: Aug 2 2023 1:51 AM"/>
            <filter val="Document successfully created; Document successfully merged; PDF created; Emails Sent: [To: 22-martinezperez.taisdanae@cetis57.edu.mx; no-reply: true]; Run via form trigger as gabrielvazquez@cetis57.edu.mx; Timestamp: Aug 2 2023 1:15 AM"/>
            <filter val="Document successfully created; Document successfully merged; PDF created; Emails Sent: [To: 22-martinezrocha.zoeangelica@cetis57.edu.mx; no-reply: true]; Run via form trigger as gabrielvazquez@cetis57.edu.mx; Timestamp: Aug 2 2023 12:35 AM"/>
            <filter val="Document successfully created; Document successfully merged; PDF created; Emails Sent: [To: 22-martineztorres.alaneduardo@cetis57.edu.mx; no-reply: true]; Run via form trigger as gabrielvazquez@cetis57.edu.mx; Timestamp: Aug 2 2023 12:54 AM"/>
            <filter val="Document successfully created; Document successfully merged; PDF created; Emails Sent: [To: 22-matacruz.hayliemia@cetis57.edu.mx; no-reply: true]; Manually run by gabrielvazquez@cetis57.edu.mx; Timestamp: Aug 3 2023 9:33 AM"/>
            <filter val="Document successfully created; Document successfully merged; PDF created; Emails Sent: [To: 22-matagonzalez.jesusalejandro@cetis57.edu.mx; no-reply: true]; Manually run by joseeduardo.torresl@cetis57.edu.mx; Timestamp: Aug 3 2023 5:02 AM"/>
            <filter val="Document successfully created; Document successfully merged; PDF created; Emails Sent: [To: 22-matiasjimenez.yessicamarisol@cetis57.edu.mx]; Run via form trigger as gabrielvazquez@cetis57.edu.mx; Timestamp: Aug 4 2023 9:54 PM"/>
            <filter val="Document successfully created; Document successfully merged; PDF created; Emails Sent: [To: 22-maurieslopez.anacarolina@cetis57.edu.mx; no-reply: true]; Manually run by joseeduardo.torresl@cetis57.edu.mx; Timestamp: Aug 3 2023 4:28 AM"/>
            <filter val="Document successfully created; Document successfully merged; PDF created; Emails Sent: [To: 22-medinabautista.donovandaniel@cetis57.edu.mx]; Run via form trigger as gabrielvazquez@cetis57.edu.mx; Timestamp: Aug 3 2023 8:58 PM"/>
            <filter val="Document successfully created; Document successfully merged; PDF created; Emails Sent: [To: 22-medinamartinez.valeria@cetis57.edu.mx]; Run via form trigger as gabrielvazquez@cetis57.edu.mx; Timestamp: Aug 3 2023 2:59 PM"/>
            <filter val="Document successfully created; Document successfully merged; PDF created; Emails Sent: [To: 22-medinatorres.cristophereduardo@cetis57.edu.mx; no-reply: true]; Run via form trigger as gabrielvazquez@cetis57.edu.mx; Timestamp: Aug 2 2023 10:19 PM"/>
            <filter val="Document successfully created; Document successfully merged; PDF created; Emails Sent: [To: 22-melladolopez.ivette@cetis57.edu.mx; no-reply: true]; Run via form trigger as gabrielvazquez@cetis57.edu.mx; Timestamp: Aug 2 2023 12:52 PM"/>
            <filter val="Document successfully created; Document successfully merged; PDF created; Emails Sent: [To: 22-mendozacoroy.taniamichelle@cetis57.edu.mx]; Manually run by carlos.palma@cetis57.edu.mx; Timestamp: Aug 3 2023 9:59 AM"/>
            <filter val="Document successfully created; Document successfully merged; PDF created; Emails Sent: [To: 22-mendozamartinez.danielaesmeralda@cetis57.edu.mx; no-reply: true]; Run via form trigger as gabrielvazquez@cetis57.edu.mx; Timestamp: Aug 3 2023 1:32 AM"/>
            <filter val="Document successfully created; Document successfully merged; PDF created; Emails Sent: [To: 22-meridagarcia.evelyn@cetis57.edu.mx; no-reply: true]; Run via form trigger as gabrielvazquez@cetis57.edu.mx; Timestamp: Aug 2 2023 2:32 AM"/>
            <filter val="Document successfully created; Document successfully merged; PDF created; Emails Sent: [To: 22-mezaandrade.luisernesto@cetis57.edu.mx]; Run via form trigger as gabrielvazquez@cetis57.edu.mx; Timestamp: Aug 3 2023 4:32 PM"/>
            <filter val="Document successfully created; Document successfully merged; PDF created; Emails Sent: [To: 22-miguellopez.azulzoe@cetis57.edu.mx; no-reply: true]; Manually run by joseeduardo.torresl@cetis57.edu.mx; Timestamp: Aug 3 2023 2:21 AM"/>
            <filter val="Document successfully created; Document successfully merged; PDF created; Emails Sent: [To: 22-milpaspalacios.yaeladrian@cetis57.edu.mx]; Manually run by cgvaz@cetis57.edu.mx; Timestamp: Aug 3 2023 10:30 AM"/>
            <filter val="Document successfully created; Document successfully merged; PDF created; Emails Sent: [To: 22-moguelmartinez.kerenberenice@cetis57.edu.mx; no-reply: true]; Run via form trigger as gabrielvazquez@cetis57.edu.mx; Timestamp: Aug 2 2023 12:38 AM"/>
            <filter val="Document successfully created; Document successfully merged; PDF created; Emails Sent: [To: 22-molinajacinto.mauricio@cetis57.edu.mx]; Run via form trigger as gabrielvazquez@cetis57.edu.mx; Timestamp: Aug 3 2023 7:26 PM"/>
            <filter val="Document successfully created; Document successfully merged; PDF created; Emails Sent: [To: 22-moragarcia.valeriaitzel@cetis57.edu.mx]; Manually run by gabrielvazquez@cetis57.edu.mx; Timestamp: Aug 4 2023 5:31 PM"/>
            <filter val="Document successfully created; Document successfully merged; PDF created; Emails Sent: [To: 22-moralestejocote.alejandra@cetis57.edu.mx]; Manually run by cgvaz@cetis57.edu.mx; Timestamp: Aug 3 2023 10:52 AM"/>
            <filter val="Document successfully created; Document successfully merged; PDF created; Emails Sent: [To: 22-munozcabrera.sandrabetzabe@cetis57.edu.mx]; Manually run by cgvaz@cetis57.edu.mx; Timestamp: Aug 3 2023 10:48 AM"/>
            <filter val="Document successfully created; Document successfully merged; PDF created; Emails Sent: [To: 22-munozolvera.aaron@cetis57.edu.mx; no-reply: true]; Run via form trigger as gabrielvazquez@cetis57.edu.mx; Timestamp: Aug 2 2023 1:33 AM"/>
            <filter val="Document successfully created; Document successfully merged; PDF created; Emails Sent: [To: 22-nequizmedrano.reginavaleria@cetis57.edu.mx]; Manually run by cgvaz@cetis57.edu.mx; Timestamp: Aug 3 2023 11:46 AM"/>
            <filter val="Document successfully created; Document successfully merged; PDF created; Emails Sent: [To: 22-nievesgalicia.sofianelly@cetis57.edu.mx]; Run via form trigger as gabrielvazquez@cetis57.edu.mx; Timestamp: Aug 3 2023 4:16 PM"/>
            <filter val="Document successfully created; Document successfully merged; PDF created; Emails Sent: [To: 22-ocaranzarivas.ailyn@cetis57.edu.mx]; Manually run by cgvaz@cetis57.edu.mx; Timestamp: Aug 3 2023 10:38 AM"/>
            <filter val="Document successfully created; Document successfully merged; PDF created; Emails Sent: [To: 22-ochoazarate.ashleyyaneisi@cetis57.edu.mx]; Manually run by cgvaz@cetis57.edu.mx; Timestamp: Aug 3 2023 11:02 AM"/>
            <filter val="Document successfully created; Document successfully merged; PDF created; Emails Sent: [To: 22-olivareschaparro.axelhaziel@cetis57.edu.mx]; Manually run by cgvaz@cetis57.edu.mx; Timestamp: Aug 3 2023 10:49 AM"/>
            <filter val="Document successfully created; Document successfully merged; PDF created; Emails Sent: [To: 22-olveranavarro.suleymi@cetis57.edu.mx]; Run via form trigger as gabrielvazquez@cetis57.edu.mx; Timestamp: Aug 3 2023 5:24 PM"/>
            <filter val="Document successfully created; Document successfully merged; PDF created; Emails Sent: [To: 22-osoriolopez.fernandaoddet@cetis57.edu.mx; no-reply: true]; Run via form trigger as gabrielvazquez@cetis57.edu.mx; Timestamp: Aug 2 2023 2:03 AM"/>
            <filter val="Document successfully created; Document successfully merged; PDF created; Emails Sent: [To: 22-ovandogarcia.cecilvaleria@cetis57.edu.mx]; Manually run by cgvaz@cetis57.edu.mx; Timestamp: Aug 3 2023 10:53 AM"/>
            <filter val="Document successfully created; Document successfully merged; PDF created; Emails Sent: [To: 22-pachecolopez.julieta@cetis57.edu.mx; no-reply: true]; Run via form trigger as gabrielvazquez@cetis57.edu.mx; Timestamp: Aug 3 2023 12:59 AM"/>
            <filter val="Document successfully created; Document successfully merged; PDF created; Emails Sent: [To: 22-pachecoocaranza.ariadnabetsabe@cetis57.edu.mx]; Manually run by cgvaz@cetis57.edu.mx; Timestamp: Aug 3 2023 10:36 AM"/>
            <filter val="Document successfully created; Document successfully merged; PDF created; Emails Sent: [To: 22-padillagarcia.ikerbaruk@cetis57.edu.mx; no-reply: true]; Run via form trigger as gabrielvazquez@cetis57.edu.mx; Timestamp: Aug 2 2023 4:16 AM"/>
            <filter val="Document successfully created; Document successfully merged; PDF created; Emails Sent: [To: 22-padillarodriguez.mariafernanda@cetis57.edu.mx]; Run via form trigger as gabrielvazquez@cetis57.edu.mx; Timestamp: Aug 3 2023 11:13 PM"/>
            <filter val="Document successfully created; Document successfully merged; PDF created; Emails Sent: [To: 22-palomomartinez.viridianaestefania@cetis57.edu.mx]; Run via form trigger as gabrielvazquez@cetis57.edu.mx; Timestamp: Aug 3 2023 2:46 PM"/>
            <filter val="Document successfully created; Document successfully merged; PDF created; Emails Sent: [To: 22-penasanchez.yolandafabiola@cetis57.edu.mx]; Manually run by cgvaz@cetis57.edu.mx; Timestamp: Aug 3 2023 10:28 AM"/>
            <filter val="Document successfully created; Document successfully merged; PDF created; Emails Sent: [To: 22-perezhernandez.veronicaitzel@cetis57.edu.mx; no-reply: true]; Run via form trigger as gabrielvazquez@cetis57.edu.mx; Timestamp: Aug 2 2023 1:07 AM"/>
            <filter val="Document successfully created; Document successfully merged; PDF created; Emails Sent: [To: 22-perezmorales.shakttyenaily@cetis57.edu.mx]; Run via form trigger as gabrielvazquez@cetis57.edu.mx; Timestamp: Aug 3 2023 10:06 PM"/>
            <filter val="Document successfully created; Document successfully merged; PDF created; Emails Sent: [To: 22-perezmorales.sheccidmalillany@cetis57.edu.mx]; Run via form trigger as gabrielvazquez@cetis57.edu.mx; Timestamp: Aug 3 2023 10:10 PM"/>
            <filter val="Document successfully created; Document successfully merged; PDF created; Emails Sent: [To: 22-perezpalacios.miguelali@cetis57.edu.mx]; Run via form trigger as gabrielvazquez@cetis57.edu.mx; Timestamp: Aug 3 2023 5:38 PM"/>
            <filter val="Document successfully created; Document successfully merged; PDF created; Emails Sent: [To: 22-perezparedes.ailyn@cetis57.edu.mx]; Run via form trigger as gabrielvazquez@cetis57.edu.mx; Timestamp: Aug 3 2023 7:17 PM"/>
            <filter val="Document successfully created; Document successfully merged; PDF created; Emails Sent: [To: 22-poloesquivel.nerialberto@cetis57.edu.mx]; Run via form trigger as gabrielvazquez@cetis57.edu.mx; Timestamp: Aug 3 2023 7:52 PM"/>
            <filter val="Document successfully created; Document successfully merged; PDF created; Emails Sent: [To: 22-pradohernandez.raulasdriel@cetis57.edu.mx; no-reply: true]; Run via form trigger as gabrielvazquez@cetis57.edu.mx; Timestamp: Aug 2 2023 10:47 PM"/>
            <filter val="Document successfully created; Document successfully merged; PDF created; Emails Sent: [To: 22-quintanillalopez.soanycristal@cetis57.edu.mx; no-reply: true]; Run via form trigger as gabrielvazquez@cetis57.edu.mx; Timestamp: Aug 2 2023 12:51 AM"/>
            <filter val="Document successfully created; Document successfully merged; PDF created; Emails Sent: [To: 22-ramalesmartinez.noeliyamile@cetis57.edu.mx; no-reply: true]; Run via form trigger as gabrielvazquez@cetis57.edu.mx; Timestamp: Aug 2 2023 1:50 AM"/>
            <filter val="Document successfully created; Document successfully merged; PDF created; Emails Sent: [To: 22-ramirezmartinez.gabrielaalejandra@cetis57.edu.mx; no-reply: true]; Manually run by joseeduardo.torresl@cetis57.edu.mx; Timestamp: Aug 3 2023 4:09 AM"/>
            <filter val="Document successfully created; Document successfully merged; PDF created; Emails Sent: [To: 22-ramirezolivares.diego@cetis57.edu.mx]; Manually run by cgvaz@cetis57.edu.mx; Timestamp: Aug 3 2023 12:08 PM"/>
            <filter val="Document successfully created; Document successfully merged; PDF created; Emails Sent: [To: 22-ramirezsalinas.renatarebeca@cetis57.edu.mx]; Run via form trigger as gabrielvazquez@cetis57.edu.mx; Timestamp: Aug 3 2023 11:49 PM"/>
            <filter val="Document successfully created; Document successfully merged; PDF created; Emails Sent: [To: 22-ramireztorres.abraham@cetis57.edu.mx; no-reply: true]; Run via form trigger as gabrielvazquez@cetis57.edu.mx; Timestamp: Aug 2 2023 1:54 AM"/>
            <filter val="Document successfully created; Document successfully merged; PDF created; Emails Sent: [To: 22-ramoshernandez.iangabriel@cetis57.edu.mx; no-reply: true]; Manually run by joseeduardo.torresl@cetis57.edu.mx; Timestamp: Aug 3 2023 4:27 AM"/>
            <filter val="Document successfully created; Document successfully merged; PDF created; Emails Sent: [To: 22-reyesgonzalez.americapaola@cetis57.edu.mx; no-reply: true]; Run via form trigger as gabrielvazquez@cetis57.edu.mx; Timestamp: Aug 2 2023 6:56 PM"/>
            <filter val="Document successfully created; Document successfully merged; PDF created; Emails Sent: [To: 22-reyesgonzalez.iandaniel@cetis57.edu.mx; no-reply: true]; Run via form trigger as gabrielvazquez@cetis57.edu.mx; Timestamp: Aug 3 2023 1:02 AM"/>
            <filter val="Document successfully created; Document successfully merged; PDF created; Emails Sent: [To: 22-reyesmedina.sharondaniela@cetis57.edu.mx]; Manually run by cgvaz@cetis57.edu.mx; Timestamp: Aug 3 2023 12:14 PM"/>
            <filter val="Document successfully created; Document successfully merged; PDF created; Emails Sent: [To: 22-reyesmora.jazminsofia@cetis57.edu.mx]; Manually run by cgvaz@cetis57.edu.mx; Timestamp: Aug 3 2023 12:23 PM"/>
            <filter val="Document successfully created; Document successfully merged; PDF created; Emails Sent: [To: 22-reynaprado.hoshidanae@cetis57.edu.mx]; Manually run by cgvaz@cetis57.edu.mx; Timestamp: Aug 3 2023 11:59 AM"/>
            <filter val="Document successfully created; Document successfully merged; PDF created; Emails Sent: [To: 22-ricoperez.urieltonatiuh@cetis57.edu.mx; no-reply: true]; Run via form trigger as gabrielvazquez@cetis57.edu.mx; Timestamp: Aug 2 2023 4:24 PM"/>
            <filter val="Document successfully created; Document successfully merged; PDF created; Emails Sent: [To: 22-rioscabrera.johanabisai@cetis57.edu.mx]; Manually run by cgvaz@cetis57.edu.mx; Timestamp: Aug 3 2023 9:16 PM"/>
            <filter val="Document successfully created; Document successfully merged; PDF created; Emails Sent: [To: 22-rioshernandez.fatimaarely@cetis57.edu.mx; no-reply: true]; Manually run by gabrielvazquez@cetis57.edu.mx; Timestamp: Aug 3 2023 9:31 AM"/>
            <filter val="Document successfully created; Document successfully merged; PDF created; Emails Sent: [To: 22-riveramartinez.itzelguadalupe@cetis57.edu.mx; no-reply: true]; Manually run by joseeduardo.torresl@cetis57.edu.mx; Timestamp: Aug 3 2023 2:41 AM"/>
            <filter val="Document successfully created; Document successfully merged; PDF created; Emails Sent: [To: 22-roblesayala.andresalejandro@cetis57.edu.mx]; Run via form trigger as gabrielvazquez@cetis57.edu.mx; Timestamp: Aug 3 2023 7:19 PM"/>
            <filter val="Document successfully created; Document successfully merged; PDF created; Emails Sent: [To: 22-rodriguezcruz.ambarlizbeth@cetis57.edu.mx; no-reply: true]; Run via form trigger as gabrielvazquez@cetis57.edu.mx; Timestamp: Aug 2 2023 1:17 AM"/>
            <filter val="Document successfully created; Document successfully merged; PDF created; Emails Sent: [To: 22-rodriguezfragoso.kevin@cetis57.edu.mx]; Run via form trigger as gabrielvazquez@cetis57.edu.mx; Timestamp: Aug 3 2023 7:25 PM"/>
            <filter val="Document successfully created; Document successfully merged; PDF created; Emails Sent: [To: 22-rodriguezgonzalez.valentinaangelin@cetis57.edu.mx; no-reply: true]; Run via form trigger as gabrielvazquez@cetis57.edu.mx; Timestamp: Aug 2 2023 9:13 PM"/>
            <filter val="Document successfully created; Document successfully merged; PDF created; Emails Sent: [To: 22-romerotapia.dianaguadalupe@cetis57.edu.mx]; Run via form trigger as gabrielvazquez@cetis57.edu.mx; Timestamp: Aug 3 2023 1:34 PM"/>
            <filter val="Document successfully created; Document successfully merged; PDF created; Emails Sent: [To: 22-rosaslara.josedejesus@cetis57.edu.mx]; Run via form trigger as gabrielvazquez@cetis57.edu.mx; Timestamp: Aug 3 2023 6:02 PM"/>
            <filter val="Document successfully created; Document successfully merged; PDF created; Emails Sent: [To: 22-rosasperalta.josemanuel@cetis57.edu.mx]; Run via form trigger as gabrielvazquez@cetis57.edu.mx; Timestamp: Aug 3 2023 6:30 PM"/>
            <filter val="Document successfully created; Document successfully merged; PDF created; Emails Sent: [To: 22-ruedaruiz.karlajaneth@cetis57.edu.mx]; Manually run by cgvaz@cetis57.edu.mx; Timestamp: Aug 3 2023 11:49 AM"/>
            <filter val="Document successfully created; Document successfully merged; PDF created; Emails Sent: [To: 22-ruizgarcia.guadalupedelosangeles@cetis57.edu.mx; no-reply: true]; Run via form trigger as gabrielvazquez@cetis57.edu.mx; Timestamp: Aug 2 2023 1:05 AM"/>
            <filter val="Document successfully created; Document successfully merged; PDF created; Emails Sent: [To: 22-saldanasanchez.aurora@cetis57.edu.mx; no-reply: true]; Run via form trigger as gabrielvazquez@cetis57.edu.mx; Timestamp: Aug 3 2023 1:17 AM"/>
            <filter val="Document successfully created; Document successfully merged; PDF created; Emails Sent: [To: 22-salinasreyes.edgar@cetis57.edu.mx]; Run via form trigger as gabrielvazquez@cetis57.edu.mx; Timestamp: Aug 3 2023 6:00 PM"/>
            <filter val="Document successfully created; Document successfully merged; PDF created; Emails Sent: [To: 22-sanchezaranda.joanoswaldo@cetis57.edu.mx]; Manually run by cgvaz@cetis57.edu.mx; Timestamp: Aug 3 2023 11:06 AM"/>
            <filter val="Document successfully created; Document successfully merged; PDF created; Emails Sent: [To: 22-sanchezbecerra.diegoalexis@cetis57.edu.mx]; Run via form trigger as gabrielvazquez@cetis57.edu.mx; Timestamp: Aug 3 2023 8:27 PM"/>
            <filter val="Document successfully created; Document successfully merged; PDF created; Emails Sent: [To: 22-sanchezgarcia.laurajoseline@cetis57.edu.mx; no-reply: true]; Run via form trigger as gabrielvazquez@cetis57.edu.mx; Timestamp: Aug 2 2023 12:51 PM"/>
            <filter val="Document successfully created; Document successfully merged; PDF created; Emails Sent: [To: 22-sanchezgarcia.marioalejandro@cetis57.edu.mx]; Run via form trigger as gabrielvazquez@cetis57.edu.mx; Timestamp: Aug 9 2023 6:05 PM"/>
            <filter val="Document successfully created; Document successfully merged; PDF created; Emails Sent: [To: 22-sanchezhernandez.luisangel@cetis57.edu.mx; no-reply: true]; Run via form trigger as gabrielvazquez@cetis57.edu.mx; Timestamp: Aug 2 2023 1:21 AM"/>
            <filter val="Document successfully created; Document successfully merged; PDF created; Emails Sent: [To: 22-sanchezhernandez.natalyadali@cetis57.edu.mx; no-reply: true]; Run via form trigger as gabrielvazquez@cetis57.edu.mx; Timestamp: Aug 2 2023 1:25 PM"/>
            <filter val="Document successfully created; Document successfully merged; PDF created; Emails Sent: [To: 22-sanchezsanchez.abrildamahe@cetis57.edu.mx]; Manually run by cgvaz@cetis57.edu.mx; Timestamp: Aug 3 2023 10:32 AM"/>
            <filter val="Document successfully created; Document successfully merged; PDF created; Emails Sent: [To: 22-sanchezvelazquez.brandonyubeg@cetis57.edu.mx]; Run via form trigger as gabrielvazquez@cetis57.edu.mx; Timestamp: Aug 3 2023 5:58 PM"/>
            <filter val="Document successfully created; Document successfully merged; PDF created; Emails Sent: [To: 22-sanjuanmanrique.mairaitzel@cetis57.edu.mx]; Manually run by carlos.palma@cetis57.edu.mx; Timestamp: Aug 3 2023 10:03 AM"/>
            <filter val="Document successfully created; Document successfully merged; PDF created; Emails Sent: [To: 22-santiagogarcia.fernandajanette@cetis57.edu.mx; no-reply: true]; Run via form trigger as gabrielvazquez@cetis57.edu.mx; Timestamp: Aug 2 2023 12:58 PM"/>
            <filter val="Document successfully created; Document successfully merged; PDF created; Emails Sent: [To: 22-santibanezperez.axel@cetis57.edu.mx; no-reply: true]; Run via form trigger as gabrielvazquez@cetis57.edu.mx; Timestamp: Aug 2 2023 1:44 AM"/>
            <filter val="Document successfully created; Document successfully merged; PDF created; Emails Sent: [To: 22-santosmonter.alberichricardo@cetis57.edu.mx]; Manually run by cgvaz@cetis57.edu.mx; Timestamp: Aug 3 2023 11:47 AM"/>
            <filter val="Document successfully created; Document successfully merged; PDF created; Emails Sent: [To: 22-seguraluna.andreaalejandra@cetis57.edu.mx; no-reply: true]; Run via form trigger as gabrielvazquez@cetis57.edu.mx; Timestamp: Aug 2 2023 1:40 AM"/>
            <filter val="Document successfully created; Document successfully merged; PDF created; Emails Sent: [To: 22-sierragonzalez.perlafabiola@cetis57.edu.mx; no-reply: true]; Run via form trigger as gabrielvazquez@cetis57.edu.mx; Timestamp: Aug 2 2023 12:37 AM"/>
            <filter val="Document successfully created; Document successfully merged; PDF created; Emails Sent: [To: 22-silvagarcia.dorianlesly@cetis57.edu.mx; no-reply: true]; Run via form trigger as gabrielvazquez@cetis57.edu.mx; Timestamp: Aug 2 2023 10:31 AM"/>
            <filter val="Document successfully created; Document successfully merged; PDF created; Emails Sent: [To: 22-silvamartinez.regina@cetis57.edu.mx; no-reply: true]; Run via form trigger as gabrielvazquez@cetis57.edu.mx; Timestamp: Aug 2 2023 1:26 PM"/>
            <filter val="Document successfully created; Document successfully merged; PDF created; Emails Sent: [To: 22-silvaocampo.erandipaulette@cetis57.edu.mx]; Manually run by cgvaz@cetis57.edu.mx; Timestamp: Aug 3 2023 10:25 AM"/>
            <filter val="Document successfully created; Document successfully merged; PDF created; Emails Sent: [To: 22-sorianoaguilar.williammatthew@cetis57.edu.mx]; Manually run by cgvaz@cetis57.edu.mx; Timestamp: Aug 3 2023 11:02 AM"/>
            <filter val="Document successfully created; Document successfully merged; PDF created; Emails Sent: [To: 22-sosacarrillo.brianalexander@cetis57.edu.mx]; Manually run by cgvaz@cetis57.edu.mx; Timestamp: Aug 3 2023 10:35 AM"/>
            <filter val="Document successfully created; Document successfully merged; PDF created; Emails Sent: [To: 22-sotolopez.irvingmauricio@cetis57.edu.mx]; Manually run by gabrielvazquez@cetis57.edu.mx; Timestamp: Aug 4 2023 7:29 PM"/>
            <filter val="Document successfully created; Document successfully merged; PDF created; Emails Sent: [To: 22-suarezherrera.fatimanaomi@cetis57.edu.mx; no-reply: true]; Manually run by gabrielvazquez@cetis57.edu.mx; Timestamp: Aug 3 2023 9:35 AM"/>
            <filter val="Document successfully created; Document successfully merged; PDF created; Emails Sent: [To: 22-suarezherrera.haslyguadalupe@cetis57.edu.mx]; Manually run by cgvaz@cetis57.edu.mx; Timestamp: Aug 3 2023 9:19 PM"/>
            <filter val="Document successfully created; Document successfully merged; PDF created; Emails Sent: [To: 22-tapiarosas.laurapaola@cetis57.edu.mx]; Run via form trigger as gabrielvazquez@cetis57.edu.mx; Timestamp: Aug 3 2023 7:36 PM"/>
            <filter val="Document successfully created; Document successfully merged; PDF created; Emails Sent: [To: 22-tarindagamboa.mariamagnoliaalondra@cetis57.edu.mx]; Run via form trigger as gabrielvazquez@cetis57.edu.mx; Timestamp: Aug 4 2023 5:19 PM"/>
            <filter val="Document successfully created; Document successfully merged; PDF created; Emails Sent: [To: 22-telleztorres.wendyaislinn@cetis57.edu.mx; no-reply: true]; Manually run by joseeduardo.torresl@cetis57.edu.mx; Timestamp: Aug 3 2023 3:44 AM"/>
            <filter val="Document successfully created; Document successfully merged; PDF created; Emails Sent: [To: 22-tocaolvera.carenalesandra@cetis57.edu.mx; no-reply: true]; Run via form trigger as gabrielvazquez@cetis57.edu.mx; Timestamp: Aug 2 2023 5:17 AM"/>
            <filter val="Document successfully created; Document successfully merged; PDF created; Emails Sent: [To: 22-torrescruz.ingridayarit@cetis57.edu.mx; no-reply: true]; Run via form trigger as gabrielvazquez@cetis57.edu.mx; Timestamp: Aug 2 2023 3:02 AM"/>
            <filter val="Document successfully created; Document successfully merged; PDF created; Emails Sent: [To: 22-torreslopez.nidiavalentina@cetis57.edu.mx; no-reply: true]; Run via form trigger as gabrielvazquez@cetis57.edu.mx; Timestamp: Aug 2 2023 4:00 PM"/>
            <filter val="Document successfully created; Document successfully merged; PDF created; Emails Sent: [To: 22-torresmorales.robertocarlos@cetis57.edu.mx]; Manually run by cgvaz@cetis57.edu.mx; Timestamp: Aug 3 2023 10:59 AM"/>
            <filter val="Document successfully created; Document successfully merged; PDF created; Emails Sent: [To: 22-torresperez.victoriateresa@cetis57.edu.mx; no-reply: true]; Run via form trigger as gabrielvazquez@cetis57.edu.mx; Timestamp: Aug 2 2023 2:31 AM"/>
            <filter val="Document successfully created; Document successfully merged; PDF created; Emails Sent: [To: 22-trejorodriguez.angel@cetis57.edu.mx]; Manually run by cgvaz@cetis57.edu.mx; Timestamp: Aug 3 2023 10:43 AM"/>
            <filter val="Document successfully created; Document successfully merged; PDF created; Emails Sent: [To: 22-trinidadperez.brisiaamayrani@cetis57.edu.mx; no-reply: true]; Manually run by joseeduardo.torresl@cetis57.edu.mx; Timestamp: Aug 3 2023 2:11 AM"/>
            <filter val="Document successfully created; Document successfully merged; PDF created; Emails Sent: [To: 22-trujillocruz.carolina@cetis57.edu.mx; no-reply: true]; Run via form trigger as gabrielvazquez@cetis57.edu.mx; Timestamp: Aug 2 2023 9:43 PM"/>
            <filter val="Document successfully created; Document successfully merged; PDF created; Emails Sent: [To: 22-valdiviaaguilar.valeriaadil@cetis57.edu.mx]; Run via form trigger as gabrielvazquez@cetis57.edu.mx; Timestamp: Aug 3 2023 12:52 PM"/>
            <filter val="Document successfully created; Document successfully merged; PDF created; Emails Sent: [To: 22-vallejotrifundio.donnovangael@cetis57.edu.mx]; Run via form trigger as gabrielvazquez@cetis57.edu.mx; Timestamp: Aug 4 2023 2:31 PM"/>
            <filter val="Document successfully created; Document successfully merged; PDF created; Emails Sent: [To: 22-vasquezservin.joseluis@cetis57.edu.mx]; Manually run by cgvaz@cetis57.edu.mx; Timestamp: Aug 3 2023 12:06 PM"/>
            <filter val="Document successfully created; Document successfully merged; PDF created; Emails Sent: [To: 22-vazquezcruz.sharonazul@cetis57.edu.mx; no-reply: true]; Manually run by joseeduardo.torresl@cetis57.edu.mx; Timestamp: Aug 3 2023 3:40 AM"/>
            <filter val="Document successfully created; Document successfully merged; PDF created; Emails Sent: [To: 22-vazquezmartinez.sandrapaola@cetis57.edu.mx]; Run via form trigger as gabrielvazquez@cetis57.edu.mx; Timestamp: Aug 3 2023 6:30 PM"/>
            <filter val="Document successfully created; Document successfully merged; PDF created; Emails Sent: [To: 22-vazquezromero.alissondayane@cetis57.edu.mx]; Manually run by cgvaz@cetis57.edu.mx; Timestamp: Aug 3 2023 11:11 AM"/>
            <filter val="Document successfully created; Document successfully merged; PDF created; Emails Sent: [To: 22-vegaalvarez.melanymonserrat@cetis57.edu.mx]; Manually run by gabrielvazquez@cetis57.edu.mx; Timestamp: Aug 4 2023 6:28 PM"/>
            <filter val="Document successfully created; Document successfully merged; PDF created; Emails Sent: [To: 22-velazquezfernandez.lilianoyuki@cetis57.edu.mx]; Manually run by cgvaz@cetis57.edu.mx; Timestamp: Aug 3 2023 1:54 PM"/>
            <filter val="Document successfully created; Document successfully merged; PDF created; Emails Sent: [To: 22-velazquezmartinez.agness@cetis57.edu.mx]; Manually run by cgvaz@cetis57.edu.mx; Timestamp: Aug 3 2023 12:11 PM"/>
            <filter val="Document successfully created; Document successfully merged; PDF created; Emails Sent: [To: 22-villalobosruiz.adriananicole@cetis57.edu.mx]; Run via form trigger as gabrielvazquez@cetis57.edu.mx; Timestamp: Aug 4 2023 5:25 PM"/>
            <filter val="Document successfully created; Document successfully merged; PDF created; Emails Sent: [To: 22-villaluna.margarita@cetis57.edu.mx; no-reply: true]; Run via form trigger as gabrielvazquez@cetis57.edu.mx; Timestamp: Aug 2 2023 1:16 PM"/>
            <filter val="Document successfully created; Document successfully merged; PDF created; Emails Sent: [To: 22-xolalparico.denisseitzel@cetis57.edu.mx]; Run via form trigger as gabrielvazquez@cetis57.edu.mx; Timestamp: Aug 3 2023 5:58 PM"/>
            <filter val="Document successfully created; Document successfully merged; PDF created; Emails Sent: [To: 22-xolalparico.ivetteahtziri@cetis57.edu.mx]; Run via form trigger as gabrielvazquez@cetis57.edu.mx; Timestamp: Aug 3 2023 7:08 PM"/>
            <filter val="Document successfully created; Document successfully merged; PDF created; Emails Sent: [To: 22-zaframartinez.mairenyxanica@cetis57.edu.mx; no-reply: true]; Run via form trigger as gabrielvazquez@cetis57.edu.mx; Timestamp: Aug 2 2023 5:48 PM"/>
            <filter val="Document successfully created; Document successfully merged; PDF created; Emails Sent: [To: 22-zepedalopez.fridavalentina@cetis57.edu.mx; no-reply: true]; Run via form trigger as gabrielvazquez@cetis57.edu.mx; Timestamp: Aug 2 2023 12:36 AM"/>
          </filters>
        </filterColumn>
      </autoFilter>
    </customSheetView>
    <customSheetView guid="{E7637C07-4202-40B6-9946-7FB8847B7D64}" filter="1" showAutoFilter="1">
      <pageMargins left="0.7" right="0.7" top="0.75" bottom="0.75" header="0.3" footer="0.3"/>
      <autoFilter ref="A1:CR1330" xr:uid="{9628C4FA-EF23-47DB-86BC-8E4A9726C153}">
        <filterColumn colId="2">
          <filters blank="1">
            <filter val="ABELLEYRA"/>
            <filter val="ABURTO"/>
            <filter val="ACOSTA"/>
            <filter val="ADAN"/>
            <filter val="AGUILA"/>
            <filter val="AGUILAR"/>
            <filter val="AGUIRRE"/>
            <filter val="AGUSTIN"/>
            <filter val="ALANIS"/>
            <filter val="ALARCON"/>
            <filter val="ALBERTO"/>
            <filter val="ALCALA"/>
            <filter val="ALCANTARA"/>
            <filter val="ALCAZAR"/>
            <filter val="ALFARO"/>
            <filter val="ALGARA"/>
            <filter val="ALLENDE"/>
            <filter val="ALONSO"/>
            <filter val="ALVA"/>
            <filter val="ALVARADO"/>
            <filter val="ALVAREZ"/>
            <filter val="ALZUA"/>
            <filter val="AMADOR"/>
            <filter val="AMBRIZ"/>
            <filter val="AMBROCIO"/>
            <filter val="AMORES"/>
            <filter val="ANASTASIO"/>
            <filter val="ANAYA"/>
            <filter val="ANDRADE"/>
            <filter val="ANDRES"/>
            <filter val="ANGEL"/>
            <filter val="ANGELES"/>
            <filter val="ANGELINO"/>
            <filter val="ANGELITO"/>
            <filter val="ANGOA"/>
            <filter val="ANGULO"/>
            <filter val="ANTONINO"/>
            <filter val="ANTONIO"/>
            <filter val="APREZA"/>
            <filter val="AQUINO"/>
            <filter val="ARAN"/>
            <filter val="ARCINIEGA"/>
            <filter val="ARELLANO"/>
            <filter val="ARENAS"/>
            <filter val="ARIAS"/>
            <filter val="ARMIJO"/>
            <filter val="ARRAZOLA"/>
            <filter val="ARREDONDO"/>
            <filter val="ARREOLA"/>
            <filter val="ARRIAGA"/>
            <filter val="ARROYO"/>
            <filter val="ARTEAGA"/>
            <filter val="ATLATENCO"/>
            <filter val="AVILA"/>
            <filter val="AVILES"/>
            <filter val="AYALA"/>
            <filter val="AZAMAR"/>
            <filter val="BADILLO"/>
            <filter val="BAEZ"/>
            <filter val="BAEZA"/>
            <filter val="BAHENA"/>
            <filter val="BALDERAS"/>
            <filter val="BALLESTEROS"/>
            <filter val="BALTAZAR"/>
            <filter val="BARAJAS"/>
            <filter val="BARCO"/>
            <filter val="BARRADAS"/>
            <filter val="BARRERA"/>
            <filter val="BARRETO"/>
            <filter val="BAUTISTA"/>
            <filter val="BAZA"/>
            <filter val="BECERRIL"/>
            <filter val="BECERRIL."/>
            <filter val="BENAVIDES"/>
            <filter val="BENITES"/>
            <filter val="BERNAL"/>
            <filter val="BLANCO"/>
            <filter val="BOHORQUEZ"/>
            <filter val="BOLAÑOS"/>
            <filter val="BONILLA"/>
            <filter val="BRASS"/>
            <filter val="BRISEÑO"/>
            <filter val="BRUNO"/>
            <filter val="BUENDIA"/>
            <filter val="BUSTAMANTE"/>
            <filter val="CABALLERO"/>
            <filter val="CABRERA"/>
            <filter val="CABRIADA"/>
            <filter val="CADENA"/>
            <filter val="CALDERON"/>
            <filter val="CALIXTO"/>
            <filter val="CALVO"/>
            <filter val="CALZADA"/>
            <filter val="CAMACHO"/>
            <filter val="CAMARGO"/>
            <filter val="CAMARILLO"/>
            <filter val="CAMILO"/>
            <filter val="CAMPOS"/>
            <filter val="CANO"/>
            <filter val="CAPISTRAN"/>
            <filter val="CARABEZ"/>
            <filter val="CARBAJAL"/>
            <filter val="CARDOSO"/>
            <filter val="CARDOZO"/>
            <filter val="CARIÑO"/>
            <filter val="CARLOS"/>
            <filter val="CARMEN"/>
            <filter val="CARMONA"/>
            <filter val="CARRANZA"/>
            <filter val="CARRASCO"/>
            <filter val="CARREON"/>
            <filter val="CARRILLO"/>
            <filter val="CASIMIRO"/>
            <filter val="CASTAÑEDA"/>
            <filter val="CASTELLANOS"/>
            <filter val="CASTILLO"/>
            <filter val="CASTORELA"/>
            <filter val="CASTRO"/>
            <filter val="CECILIO"/>
            <filter val="CEDILLO"/>
            <filter val="CERECERO"/>
            <filter val="CERVANTES"/>
            <filter val="CESAR"/>
            <filter val="CESAREO"/>
            <filter val="CHAPARRO"/>
            <filter val="CHAVEZ"/>
            <filter val="CHELIUS"/>
            <filter val="CHINO"/>
            <filter val="CID"/>
            <filter val="CIRILO"/>
            <filter val="CISNEROS"/>
            <filter val="COCOLETZI"/>
            <filter val="COLIN"/>
            <filter val="COLORADO"/>
            <filter val="COLULA"/>
            <filter val="CONTRERAS"/>
            <filter val="CORDOVA"/>
            <filter val="CORIA"/>
            <filter val="CORONA"/>
            <filter val="CORREA"/>
            <filter val="CORTES"/>
            <filter val="CORTEZ"/>
            <filter val="COSTEÑO"/>
            <filter val="COSTILLA"/>
            <filter val="CRISOSTOMO"/>
            <filter val="CRUZ"/>
            <filter val="CUEVAS"/>
            <filter val="DAMAS"/>
            <filter val="DAVILA"/>
            <filter val="DAZA"/>
            <filter val="DE ANDA"/>
            <filter val="DE FERMIN"/>
            <filter val="DE JESUS"/>
            <filter val="DE LA CRUZ"/>
            <filter val="DE LA LUZ"/>
            <filter val="DE LA ROSA"/>
            <filter val="DE LA TORRE"/>
            <filter val="DEGOLLADO"/>
            <filter val="DEJESUS"/>
            <filter val="DEL ANGEL"/>
            <filter val="DEL MAZO"/>
            <filter val="DEL VALLE"/>
            <filter val="DELGADO"/>
            <filter val="DIAZ"/>
            <filter val="DIAZ GONZALEZ"/>
            <filter val="DIMAS"/>
            <filter val="DIONICIO"/>
            <filter val="DIOSDADO"/>
            <filter val="DOMINGUEZ"/>
            <filter val="DORIA"/>
            <filter val="DOROTEO"/>
            <filter val="DURAN"/>
            <filter val="EDUARDO"/>
            <filter val="ELIAS"/>
            <filter val="ELIZONDO"/>
            <filter val="ESCALANTE"/>
            <filter val="ESCAMILLA"/>
            <filter val="ESCOBAR"/>
            <filter val="ESCUDERO"/>
            <filter val="ESPINOSA"/>
            <filter val="ESPINOZA"/>
            <filter val="ESQUIVEL"/>
            <filter val="ESTEBAN"/>
            <filter val="ESTEVEZ"/>
            <filter val="ESTRADA"/>
            <filter val="ESTRELLA"/>
            <filter val="EUSEBIO"/>
            <filter val="FABELA"/>
            <filter val="FABIAN"/>
            <filter val="FAUSTINOS"/>
            <filter val="FERIA"/>
            <filter val="FERNANDEZ"/>
            <filter val="FIGUEROA"/>
            <filter val="FILIO"/>
            <filter val="FLORES"/>
            <filter val="FRAGOSO"/>
            <filter val="FRANCISCO"/>
            <filter val="FRANCO"/>
            <filter val="FUENTES"/>
            <filter val="GALAN"/>
            <filter val="GALAVIZ"/>
            <filter val="GALICIA"/>
            <filter val="GALINDO"/>
            <filter val="GALLARDO"/>
            <filter val="GALLEGOS"/>
            <filter val="GALVEZ"/>
            <filter val="GAMBOA"/>
            <filter val="GARCES"/>
            <filter val="GARCIA"/>
            <filter val="GARFIAS"/>
            <filter val="GARMENDIA"/>
            <filter val="GARRIDO"/>
            <filter val="GASPAR"/>
            <filter val="GAYTAN"/>
            <filter val="GENARO"/>
            <filter val="GERONIMO"/>
            <filter val="GIL"/>
            <filter val="GODINEZ"/>
            <filter val="GODOY"/>
            <filter val="GOMEZ"/>
            <filter val="GONZALEZ"/>
            <filter val="GRACIAN"/>
            <filter val="GRANADOS"/>
            <filter val="GUADALUPE"/>
            <filter val="GUADARRAMA"/>
            <filter val="GUARDIOLA"/>
            <filter val="GUAZO"/>
            <filter val="GUERRERO"/>
            <filter val="GUTIERREZ"/>
            <filter val="GUZMAN"/>
            <filter val="HAM"/>
            <filter val="HERNANDEZ"/>
            <filter val="HERRERA"/>
            <filter val="HIBERTT"/>
            <filter val="HILARIO"/>
            <filter val="HINOJOSA"/>
            <filter val="HUERTA"/>
            <filter val="HURTADO"/>
            <filter val="IBAÑEZ"/>
            <filter val="IBARRA"/>
            <filter val="INFANTE"/>
            <filter val="IPATZI"/>
            <filter val="IRINEO"/>
            <filter val="ISLAS"/>
            <filter val="JACINTO"/>
            <filter val="JACOBO"/>
            <filter val="JACOME"/>
            <filter val="JAIMES"/>
            <filter val="JARAMILLO"/>
            <filter val="JARDON"/>
            <filter val="JARQUIN"/>
            <filter val="JASSO"/>
            <filter val="JAUREGUI"/>
            <filter val="JIMENEZ"/>
            <filter val="JUAREZ"/>
            <filter val="JULIAN"/>
            <filter val="LAGOS"/>
            <filter val="LAHORRA"/>
            <filter val="LARA"/>
            <filter val="LEMUS"/>
            <filter val="LEOCADIO"/>
            <filter val="LEON"/>
            <filter val="LEZAMA"/>
            <filter val="LIMA"/>
            <filter val="LIRA"/>
            <filter val="LOPEZ"/>
            <filter val="LORENZO"/>
            <filter val="LOZADA"/>
            <filter val="LOZANO"/>
            <filter val="LUCIANO"/>
            <filter val="LUIS"/>
            <filter val="LUNA"/>
            <filter val="MACIAS"/>
            <filter val="MACIEL"/>
            <filter val="MAGARIÑO"/>
            <filter val="MAGOS"/>
            <filter val="MALDONADO"/>
            <filter val="MANZANO"/>
            <filter val="MARCIAL"/>
            <filter val="MARIN"/>
            <filter val="MARISCAL"/>
            <filter val="MARQUEZ"/>
            <filter val="MARRON"/>
            <filter val="MARTINEZ"/>
            <filter val="MARTINEZ MEDINA MARCO GUILLERMO"/>
            <filter val="MATA"/>
            <filter val="MATEOS"/>
            <filter val="MATIAS"/>
            <filter val="MAURIES"/>
            <filter val="MAYA"/>
            <filter val="MAYEN"/>
            <filter val="MAYO"/>
            <filter val="MAYORAL"/>
            <filter val="MEDELLIN"/>
            <filter val="MEDINA"/>
            <filter val="MEDRANO"/>
            <filter val="MEJIA"/>
            <filter val="MELLADO"/>
            <filter val="MELO"/>
            <filter val="MEMETLA"/>
            <filter val="MENDEZ"/>
            <filter val="MENDIZABAL"/>
            <filter val="MENDOZA"/>
            <filter val="MENESES"/>
            <filter val="MERIDA"/>
            <filter val="MERINO"/>
            <filter val="MEZA"/>
            <filter val="MIGUEL"/>
            <filter val="MILPAS"/>
            <filter val="MIMILA"/>
            <filter val="MIRANDA"/>
            <filter val="MOGUEL"/>
            <filter val="MOLGADO"/>
            <filter val="MOLINA"/>
            <filter val="MOLINERO"/>
            <filter val="MONDRAGON"/>
            <filter val="MONROY"/>
            <filter val="MONTAÑEZ"/>
            <filter val="MONTER"/>
            <filter val="MONTERO"/>
            <filter val="MONTES"/>
            <filter val="MONTIEL"/>
            <filter val="MONTOYA"/>
            <filter val="MONZON"/>
            <filter val="MORA"/>
            <filter val="MORALES"/>
            <filter val="MORAN"/>
            <filter val="MORENO"/>
            <filter val="MOSQUEDA"/>
            <filter val="MOZO"/>
            <filter val="MUNGUIA"/>
            <filter val="MUÑOZ"/>
            <filter val="NAJERA"/>
            <filter val="NAMBO"/>
            <filter val="NARVAEZ"/>
            <filter val="NATERA"/>
            <filter val="NAVA"/>
            <filter val="NAVARRO"/>
            <filter val="NEQUIZ"/>
            <filter val="NERI"/>
            <filter val="NERIA"/>
            <filter val="NICIA"/>
            <filter val="NICOLAS"/>
            <filter val="NIETO"/>
            <filter val="NIEVES"/>
            <filter val="NIÑO"/>
            <filter val="NOLASCO"/>
            <filter val="OCAMPO"/>
            <filter val="OCARANZA"/>
            <filter val="OCHOA"/>
            <filter val="OLEDO"/>
            <filter val="OLIVARES"/>
            <filter val="OLMOS"/>
            <filter val="OLVERA"/>
            <filter val="ORDAZ"/>
            <filter val="OREA"/>
            <filter val="OROZCO"/>
            <filter val="ORTEGA"/>
            <filter val="ORTIZ"/>
            <filter val="OSORIO"/>
            <filter val="OSORNIO"/>
            <filter val="OVANDO"/>
            <filter val="PABLO"/>
            <filter val="PACHECO"/>
            <filter val="PACHUCA"/>
            <filter val="PADILLA"/>
            <filter val="PADRON"/>
            <filter val="PALACIOS"/>
            <filter val="PALOMO"/>
            <filter val="PAREDES"/>
            <filter val="PARRA"/>
            <filter val="PASTEN"/>
            <filter val="PAULIN"/>
            <filter val="PEGUERO"/>
            <filter val="PELAEZ"/>
            <filter val="PELCASTRE"/>
            <filter val="PEÑA"/>
            <filter val="PERALES"/>
            <filter val="PEREZ"/>
            <filter val="PICHU"/>
            <filter val="PIMENTEL"/>
            <filter val="PINEDA"/>
            <filter val="PIÑA"/>
            <filter val="POLO"/>
            <filter val="PONCE"/>
            <filter val="PORTILLO"/>
            <filter val="POZOS"/>
            <filter val="PRADO"/>
            <filter val="PRUEBA"/>
            <filter val="PULIDO"/>
            <filter val="QUEZADA"/>
            <filter val="QUINTANA"/>
            <filter val="QUINTANILLA"/>
            <filter val="RAMALES"/>
            <filter val="RAMIREZ"/>
            <filter val="RAMOS"/>
            <filter val="RANGEL"/>
            <filter val="REBOLLAR"/>
            <filter val="REDUCINDO"/>
            <filter val="RETIZ"/>
            <filter val="REVILLA"/>
            <filter val="REYES"/>
            <filter val="REYES MEDINA SHARON DANIELA"/>
            <filter val="REYNA"/>
            <filter val="RICAÑO"/>
            <filter val="RICO"/>
            <filter val="RIOS"/>
            <filter val="RIVAS"/>
            <filter val="RIVERA"/>
            <filter val="RIVERO"/>
            <filter val="ROBLES"/>
            <filter val="ROCHA"/>
            <filter val="RODEA"/>
            <filter val="RODRIGUEZ"/>
            <filter val="ROJAS"/>
            <filter val="ROMERO"/>
            <filter val="ROMO"/>
            <filter val="ROMUALDO"/>
            <filter val="ROSADO"/>
            <filter val="ROSALES"/>
            <filter val="ROSAS"/>
            <filter val="RUANO"/>
            <filter val="RUBIO"/>
            <filter val="RUEDA"/>
            <filter val="RUIZ"/>
            <filter val="SAAVEDRA"/>
            <filter val="SALAZAR"/>
            <filter val="SALDAÑA"/>
            <filter val="SALINAS"/>
            <filter val="SALVADOR"/>
            <filter val="SAMPEDRO"/>
            <filter val="SAN JUAN"/>
            <filter val="SAN MARTIN"/>
            <filter val="SANCHEZ"/>
            <filter val="SANDOVAL"/>
            <filter val="SANTANA"/>
            <filter val="SANTANDER"/>
            <filter val="SANTIAGO"/>
            <filter val="SANTIBAÑEZ"/>
            <filter val="SANTOS"/>
            <filter val="SANTOYO"/>
            <filter val="SECEÑA"/>
            <filter val="SEGUNDO"/>
            <filter val="SEGURA"/>
            <filter val="SERRANO"/>
            <filter val="SIERRA"/>
            <filter val="SILVA"/>
            <filter val="SOL"/>
            <filter val="SOLORZANO"/>
            <filter val="SORIANO"/>
            <filter val="SOSA"/>
            <filter val="SOTO"/>
            <filter val="SUAREZ"/>
            <filter val="TAPIA"/>
            <filter val="TARINDA"/>
            <filter val="TAVARES"/>
            <filter val="TELLEZ"/>
            <filter val="TEMOXTLE"/>
            <filter val="TENORIO"/>
            <filter val="TEOPANICAN"/>
            <filter val="TEPOS"/>
            <filter val="TIMOTEO"/>
            <filter val="TLACOMULCO"/>
            <filter val="TLAPA"/>
            <filter val="TOBON"/>
            <filter val="TOCA"/>
            <filter val="TOLEDO"/>
            <filter val="TOLENTINO"/>
            <filter val="TOMAS"/>
            <filter val="TORICES"/>
            <filter val="TORRES"/>
            <filter val="TREJO"/>
            <filter val="TRINIDAD"/>
            <filter val="TRUEBA"/>
            <filter val="TRUJILLO"/>
            <filter val="UBALLA"/>
            <filter val="URBANO"/>
            <filter val="URBINA"/>
            <filter val="URIAS"/>
            <filter val="VALDESPINO"/>
            <filter val="VALDEZ"/>
            <filter val="VALDIVIA"/>
            <filter val="VALENCIA"/>
            <filter val="VALERIANO"/>
            <filter val="VALLEJO"/>
            <filter val="VALTIERRA"/>
            <filter val="VANEGAS"/>
            <filter val="VARELA"/>
            <filter val="VARGAS"/>
            <filter val="VASQUEZ"/>
            <filter val="VAZQUEZ"/>
            <filter val="VEGA"/>
            <filter val="VELASCO"/>
            <filter val="VELASQUEZ"/>
            <filter val="VELAZQUEZ"/>
            <filter val="VENCES"/>
            <filter val="VENEGAS"/>
            <filter val="VENTURA"/>
            <filter val="VERGARA"/>
            <filter val="VICENTE"/>
            <filter val="VILLA"/>
            <filter val="VILLADA"/>
            <filter val="VILLALOBOS"/>
            <filter val="VILLANUEVA"/>
            <filter val="VIVEROS"/>
            <filter val="XICOTENCATL"/>
            <filter val="XOLALPA"/>
            <filter val="XXX"/>
            <filter val="ZAFRA"/>
            <filter val="ZAMORA"/>
            <filter val="ZAMUDIO"/>
            <filter val="ZARAGOZA"/>
            <filter val="ZARATE"/>
            <filter val="ZARCO"/>
            <filter val="ZAVALA"/>
            <filter val="ZEARS"/>
            <filter val="ZENTENO"/>
            <filter val="ZEPEDA"/>
            <filter val="ZUÑIGA"/>
          </filters>
        </filterColumn>
        <filterColumn colId="4">
          <filters blank="1">
            <filter val="ADRIANA MINELLI"/>
            <filter val="ALEJANDRO DANIEL"/>
            <filter val="ALONDRA JUDITH"/>
            <filter val="ALONDRA NAARAI"/>
            <filter val="AMERICA MONSERRAT"/>
            <filter val="ARANZA ELIZABETH"/>
            <filter val="ASHLEY ARANZA"/>
            <filter val="BRIAN ISAI"/>
            <filter val="DAISUKE DANIEL"/>
            <filter val="DAVID ALEJANDRO"/>
            <filter val="DENISSE ITZEL"/>
            <filter val="DIEGO ALEXIS"/>
            <filter val="DOMINICK"/>
            <filter val="EDGAR"/>
            <filter val="EDWIN ANDREI"/>
            <filter val="EVELYN YAEL"/>
            <filter val="FATIMA ALINE"/>
            <filter val="GEOVANNY ISRAEL"/>
            <filter val="ISABEL NAOMI"/>
            <filter val="IVETTE AHTZIRI"/>
            <filter val="JASON"/>
            <filter val="JESSICA GABRIELA"/>
            <filter val="JOSE DE JESUS"/>
            <filter val="KARLA BERENICE"/>
            <filter val="KARLA MICHELLE"/>
            <filter val="LAURA LIZETTE"/>
            <filter val="LESLIE MARIANA"/>
            <filter val="LILIANA ABIGAIL"/>
            <filter val="LIS INGRID"/>
            <filter val="MARIA ROCIO"/>
            <filter val="MARIA VIRGINIA"/>
            <filter val="MARIANA"/>
            <filter val="MARIANA LISSET"/>
            <filter val="MARIO ALEJANDRO"/>
            <filter val="MIA ELIZAMA"/>
            <filter val="MICHEL GUADALUPE"/>
            <filter val="NESTOR EMMANUEL"/>
            <filter val="REBECA SARAHI"/>
            <filter val="SALVADOR"/>
            <filter val="SANDRA PAOLA"/>
            <filter val="SHAKTTY ENAILY"/>
            <filter val="SHECCID MALILLANY"/>
            <filter val="SIOMARA"/>
            <filter val="SOFIA ITZAMARA"/>
            <filter val="SOFIA NELLY"/>
            <filter val="TERESA"/>
            <filter val="VALERY MONSERRAT"/>
            <filter val="VIRIDIANA ESTEFANIA"/>
            <filter val="WILLIAM"/>
            <filter val="YESSICA MARISOL"/>
            <filter val="ZOE CAROLINA"/>
          </filters>
        </filterColumn>
      </autoFilter>
    </customSheetView>
    <customSheetView guid="{5E4E6FFC-02A2-42A1-A2D8-85052D89FD74}" filter="1" showAutoFilter="1">
      <pageMargins left="0.7" right="0.7" top="0.75" bottom="0.75" header="0.3" footer="0.3"/>
      <autoFilter ref="E6:F1329" xr:uid="{8B925114-2E85-4CDA-90A4-082452338590}"/>
    </customSheetView>
    <customSheetView guid="{B521AC05-2DF6-4F06-A0FF-AA3D2C6FEA22}" filter="1" showAutoFilter="1">
      <pageMargins left="0.7" right="0.7" top="0.75" bottom="0.75" header="0.3" footer="0.3"/>
      <autoFilter ref="A1:CR1330" xr:uid="{5FD9ACBB-9EDE-4802-A868-92EA94FD70EB}"/>
    </customSheetView>
    <customSheetView guid="{9D058F64-5E4A-4A7B-93BB-EB3821B7380A}" filter="1" showAutoFilter="1">
      <pageMargins left="0.7" right="0.7" top="0.75" bottom="0.75" header="0.3" footer="0.3"/>
      <autoFilter ref="A1:GL1330" xr:uid="{39241ED0-538E-4AAE-875B-EE978AF8E44F}"/>
    </customSheetView>
    <customSheetView guid="{72561936-19EC-425D-905E-0FB8029A1D0D}" filter="1" showAutoFilter="1">
      <pageMargins left="0.7" right="0.7" top="0.75" bottom="0.75" header="0.3" footer="0.3"/>
      <autoFilter ref="A1:GD1" xr:uid="{9832317A-4E0D-44DC-ACB4-53BA53A705DF}"/>
    </customSheetView>
    <customSheetView guid="{FAF6EBE3-BFD2-4A72-BD28-DEAF44C498A0}" filter="1" showAutoFilter="1">
      <pageMargins left="0.7" right="0.7" top="0.75" bottom="0.75" header="0.3" footer="0.3"/>
      <autoFilter ref="A1:CR1330" xr:uid="{A62A8C5B-F7ED-4F07-8EBE-B39096D02F40}">
        <filterColumn colId="2">
          <filters>
            <filter val="ACOSTA"/>
            <filter val="HINOJOSA"/>
            <filter val="MANZANO"/>
            <filter val="MATIAS"/>
            <filter val="SOTO"/>
          </filters>
        </filterColumn>
      </autoFilter>
    </customSheetView>
    <customSheetView guid="{F52CB57F-B9EE-4BC6-B873-4675A86942C2}" filter="1" showAutoFilter="1">
      <pageMargins left="0.7" right="0.7" top="0.75" bottom="0.75" header="0.3" footer="0.3"/>
      <autoFilter ref="A1:GL1330" xr:uid="{DD93CC62-AFE7-4A0B-8588-B1F3A69DEBAC}">
        <filterColumn colId="2">
          <filters>
            <filter val="ACOSTA"/>
            <filter val="COLULA"/>
            <filter val="HINOJOSA"/>
            <filter val="MANZANO"/>
            <filter val="MATIAS"/>
            <filter val="NATERA"/>
          </filters>
        </filterColumn>
        <filterColumn colId="49">
          <filters blank="1">
            <filter val="A"/>
            <filter val="ABELLEYRA"/>
            <filter val="ABRIZ"/>
            <filter val="ACOSTA"/>
            <filter val="ACUAPAN"/>
            <filter val="ACUAUTLA"/>
            <filter val="ADAN"/>
            <filter val="ADRIAN"/>
            <filter val="AGUILA"/>
            <filter val="AGUILAR"/>
            <filter val="AGUIÑAGA"/>
            <filter val="AGUIRRE"/>
            <filter val="ALANIS"/>
            <filter val="ALARCON"/>
            <filter val="ALBARRAN"/>
            <filter val="ALBERTO"/>
            <filter val="ALCALA"/>
            <filter val="ALCANTAR"/>
            <filter val="ALCANTARA"/>
            <filter val="ALCAZAR"/>
            <filter val="ALEJANDRA"/>
            <filter val="ALFARO"/>
            <filter val="ALONSO"/>
            <filter val="ALVA"/>
            <filter val="ALVARADO"/>
            <filter val="ALVAREZ"/>
            <filter val="AMADOR"/>
            <filter val="AMAYA"/>
            <filter val="AMBRIZ"/>
            <filter val="ANAYA"/>
            <filter val="ANDRADE"/>
            <filter val="ANDRES"/>
            <filter val="ANGEL"/>
            <filter val="ANGELES"/>
            <filter val="ANGELINO"/>
            <filter val="ANGELITO"/>
            <filter val="ANGOA"/>
            <filter val="ANGULO"/>
            <filter val="ANTONINO"/>
            <filter val="ANTONIO"/>
            <filter val="ANTUNEZ"/>
            <filter val="APASEO"/>
            <filter val="AQUINO"/>
            <filter val="ARAGON"/>
            <filter val="ARAIZA"/>
            <filter val="ARCIGA"/>
            <filter val="ARCOS"/>
            <filter val="AREAS"/>
            <filter val="ARELLANO"/>
            <filter val="ARENAS"/>
            <filter val="ARIAS"/>
            <filter val="ARNULFO"/>
            <filter val="ARREDONDO"/>
            <filter val="ARRIAGA"/>
            <filter val="ARROYO"/>
            <filter val="ARTEAGA"/>
            <filter val="ARVIZU"/>
            <filter val="ATLATENCO"/>
            <filter val="AURELIO"/>
            <filter val="AVENDAÑO"/>
            <filter val="AVILA"/>
            <filter val="AVILES"/>
            <filter val="AYALA"/>
            <filter val="AZAMAR"/>
            <filter val="BAENA"/>
            <filter val="BAEZ"/>
            <filter val="BÁEZ"/>
            <filter val="BAHENA"/>
            <filter val="BALDERAS"/>
            <filter val="BALLESTEROS"/>
            <filter val="BANDALA"/>
            <filter val="BANUET"/>
            <filter val="BARAJAS"/>
            <filter val="BARCO"/>
            <filter val="BARRADAS"/>
            <filter val="BARRAGAN"/>
            <filter val="BARRERA"/>
            <filter val="BARRIENTOS"/>
            <filter val="BAUTISTA"/>
            <filter val="BAZA"/>
            <filter val="BECERRA"/>
            <filter val="BECERRIL"/>
            <filter val="BELLO"/>
            <filter val="BELMAN"/>
            <filter val="BENAVIDES"/>
            <filter val="BERNAL"/>
            <filter val="BETANCOURT"/>
            <filter val="BETANZOS"/>
            <filter val="BLANCO"/>
            <filter val="BOLAÑOS"/>
            <filter val="BONILLA"/>
            <filter val="BRAVO"/>
            <filter val="BRUNO"/>
            <filter val="BUENDIA"/>
            <filter val="BUSTAMANTE"/>
            <filter val="CABALLERO"/>
            <filter val="CABELLO"/>
            <filter val="CABRERA"/>
            <filter val="CABRIADA"/>
            <filter val="CALDERON"/>
            <filter val="CALDERÓN"/>
            <filter val="CALVILLO"/>
            <filter val="CALVO"/>
            <filter val="CAMACHO"/>
            <filter val="CAMILO"/>
            <filter val="CAMPOS"/>
            <filter val="CANO"/>
            <filter val="CAPULIN"/>
            <filter val="CARABEZ"/>
            <filter val="CARBAJAL"/>
            <filter val="CARDENAS"/>
            <filter val="CARDOZO"/>
            <filter val="CARMONA"/>
            <filter val="CARRANZA"/>
            <filter val="CARRASCO"/>
            <filter val="Carreola"/>
            <filter val="CARREON"/>
            <filter val="CARRILLO"/>
            <filter val="CASIMIRO"/>
            <filter val="CASTAÑEDA"/>
            <filter val="CASTILLO"/>
            <filter val="CASTORELA"/>
            <filter val="CASTRO"/>
            <filter val="CAZARES"/>
            <filter val="CEDEÑO"/>
            <filter val="CERECERO"/>
            <filter val="CERRILLO"/>
            <filter val="CESAREO"/>
            <filter val="CESPEDES"/>
            <filter val="CHAVARRIA"/>
            <filter val="CHAVEZ"/>
            <filter val="CHINO"/>
            <filter val="CID"/>
            <filter val="COCOLETZI"/>
            <filter val="COLIN"/>
            <filter val="CONDE"/>
            <filter val="CONTRERAS"/>
            <filter val="CORDOVA"/>
            <filter val="CORIA"/>
            <filter val="CORONA"/>
            <filter val="COROY"/>
            <filter val="CORRALES"/>
            <filter val="CORREA"/>
            <filter val="CORTES"/>
            <filter val="CORTEZ"/>
            <filter val="CRISANTO"/>
            <filter val="CRISOSTOMO"/>
            <filter val="CRUZ"/>
            <filter val="CUELLAR"/>
            <filter val="CUEVAS"/>
            <filter val="DAVILA"/>
            <filter val="DAZA"/>
            <filter val="DE JESUS"/>
            <filter val="DE LA CRUZ"/>
            <filter val="DE LA ROSA"/>
            <filter val="DE LA TORRE"/>
            <filter val="DE OLMOS"/>
            <filter val="DEJESUS"/>
            <filter val="DEL ANGEL"/>
            <filter val="DELGADO"/>
            <filter val="DENA"/>
            <filter val="DIAZ"/>
            <filter val="DIONICIO"/>
            <filter val="DOMINGUEZ"/>
            <filter val="DORANTES"/>
            <filter val="DOROTEO"/>
            <filter val="DURAN"/>
            <filter val="EDUARDO"/>
            <filter val="ELIZALDE"/>
            <filter val="ELIZONDO"/>
            <filter val="ELOISA"/>
            <filter val="ENRIQUEZ"/>
            <filter val="ESCALANTE"/>
            <filter val="ESCAMILLA"/>
            <filter val="ESCOBEDO"/>
            <filter val="ESCORZA"/>
            <filter val="ESPARRAGOZA"/>
            <filter val="ESPIDIO"/>
            <filter val="ESPINOSA"/>
            <filter val="ESPINOZA"/>
            <filter val="ESPUINOZA"/>
            <filter val="ESQUIVEL"/>
            <filter val="ESTRADA"/>
            <filter val="EULALIA"/>
            <filter val="EUSEBIO"/>
            <filter val="FABELA"/>
            <filter val="FABIAN"/>
            <filter val="FARIAS"/>
            <filter val="FARO"/>
            <filter val="FEDERICO"/>
            <filter val="FELIPE"/>
            <filter val="FERIA"/>
            <filter val="FERMIN"/>
            <filter val="FERNANDEZ"/>
            <filter val="FILIO"/>
            <filter val="FLOES"/>
            <filter val="FLORENCIO"/>
            <filter val="FLORES"/>
            <filter val="FONSECA"/>
            <filter val="FORTIZ"/>
            <filter val="FRAGOSO"/>
            <filter val="FRANCISCO"/>
            <filter val="FUENTES"/>
            <filter val="GALAN"/>
            <filter val="GALARZA"/>
            <filter val="GALDAMEZ"/>
            <filter val="GALICIA"/>
            <filter val="GALINDO"/>
            <filter val="GALLARDO"/>
            <filter val="GALVAN"/>
            <filter val="GALVEZ"/>
            <filter val="GAMIÑO"/>
            <filter val="GARCES"/>
            <filter val="Garcia"/>
            <filter val="GARCÍA"/>
            <filter val="GARCIA."/>
            <filter val="GASCA"/>
            <filter val="GASPAR"/>
            <filter val="GAYOSSO"/>
            <filter val="GENARO"/>
            <filter val="GIL"/>
            <filter val="GOCHAR"/>
            <filter val="GODINEZ"/>
            <filter val="GOMEZ"/>
            <filter val="GONZALES"/>
            <filter val="GONZALEZ"/>
            <filter val="GONZÁLEZ"/>
            <filter val="GRACIDA"/>
            <filter val="GRANADOS"/>
            <filter val="GUADALUPE"/>
            <filter val="GUAZO"/>
            <filter val="GUERRERO"/>
            <filter val="GUTIERREZ"/>
            <filter val="GUTIÉRREZ"/>
            <filter val="GUZMAN"/>
            <filter val="HAM"/>
            <filter val="HERNANDEZ"/>
            <filter val="HERNÁNDEZ"/>
            <filter val="HERRERA"/>
            <filter val="HINOJOSA"/>
            <filter val="HUERTA"/>
            <filter val="HURTADO"/>
            <filter val="I"/>
            <filter val="IBAÑEZ"/>
            <filter val="IBARRA"/>
            <filter val="IPATZI"/>
            <filter val="IRINEO"/>
            <filter val="ISLAS"/>
            <filter val="JACINTO"/>
            <filter val="JACOBO"/>
            <filter val="JACOME"/>
            <filter val="JARQUIN"/>
            <filter val="JASSO"/>
            <filter val="JAUREGUI"/>
            <filter val="JIMENEZ"/>
            <filter val="JOSEFINA"/>
            <filter val="JOSELYN RODRIGUEZ MIRANDA"/>
            <filter val="JUANA ADRIANA"/>
            <filter val="JUAREZ"/>
            <filter val="JULIAN"/>
            <filter val="LAGOS"/>
            <filter val="LARA"/>
            <filter val="LASCURAIN"/>
            <filter val="LAZCANO"/>
            <filter val="LEMUS"/>
            <filter val="LEON"/>
            <filter val="LEYVA"/>
            <filter val="LEZAMA"/>
            <filter val="LIMA"/>
            <filter val="LIRA"/>
            <filter val="LOPEZ"/>
            <filter val="López"/>
            <filter val="LORENZO"/>
            <filter val="LORETO"/>
            <filter val="LOVERA"/>
            <filter val="LOZA"/>
            <filter val="LOZADA"/>
            <filter val="LOZANO"/>
            <filter val="LUCIANO"/>
            <filter val="LUGO"/>
            <filter val="LUIS"/>
            <filter val="LUNA"/>
            <filter val="LUPERCIO"/>
            <filter val="MACHORRO"/>
            <filter val="MACIAS"/>
            <filter val="MACIEL"/>
            <filter val="MADRE"/>
            <filter val="MAGALLANES"/>
            <filter val="MAGAÑA"/>
            <filter val="MAGARIÑO"/>
            <filter val="MAGOS"/>
            <filter val="MALDONADO"/>
            <filter val="MALVAES"/>
            <filter val="MANILLA"/>
            <filter val="MANZANO"/>
            <filter val="MARCIAL"/>
            <filter val="MARIA EMMA"/>
            <filter val="MARIBEL RAMIREZ FERRUSCA"/>
            <filter val="MARIN"/>
            <filter val="MARISCAL"/>
            <filter val="MARQUEZ"/>
            <filter val="MARTINES"/>
            <filter val="MARTINEZ"/>
            <filter val="MASCOTA"/>
            <filter val="MATA"/>
            <filter val="MATEOS"/>
            <filter val="MATURANO"/>
            <filter val="MAURIES"/>
            <filter val="MAY"/>
            <filter val="MAYO"/>
            <filter val="MAYORAL"/>
            <filter val="MEDINA"/>
            <filter val="MEJIA"/>
            <filter val="MELANIE"/>
            <filter val="MELGOZA"/>
            <filter val="MELO"/>
            <filter val="MENDEZ"/>
            <filter val="MENDIZABL"/>
            <filter val="MENDOZA"/>
            <filter val="MERAZ"/>
            <filter val="MERIDA"/>
            <filter val="MEZA"/>
            <filter val="MIGUEL"/>
            <filter val="MILLAN"/>
            <filter val="MIMILA"/>
            <filter val="MIRA"/>
            <filter val="MIRANDA"/>
            <filter val="MONCADA"/>
            <filter val="MONDRAGON"/>
            <filter val="MONTER"/>
            <filter val="MONTES"/>
            <filter val="MONTESINOS"/>
            <filter val="MONTIEL"/>
            <filter val="MONTOYA"/>
            <filter val="MONZON"/>
            <filter val="MORA"/>
            <filter val="MORALES"/>
            <filter val="MORAN"/>
            <filter val="MORENO"/>
            <filter val="MUNGUIA"/>
            <filter val="MUÑOZ"/>
            <filter val="NA"/>
            <filter val="NACAR"/>
            <filter val="NADIE"/>
            <filter val="NAGOS"/>
            <filter val="NAJERA"/>
            <filter val="NATERA"/>
            <filter val="NAVARRO"/>
            <filter val="NEGRETE"/>
            <filter val="NEQUIZ"/>
            <filter val="NERI"/>
            <filter val="NERIA"/>
            <filter val="NICIA"/>
            <filter val="NIETO"/>
            <filter val="NIEVES"/>
            <filter val="NINGUNA"/>
            <filter val="Ninguno"/>
            <filter val="NO"/>
            <filter val="NO APLICA"/>
            <filter val="NO HAY"/>
            <filter val="No tengo"/>
            <filter val="NO TENGO OTRO FAMILIAR"/>
            <filter val="NOLASCO"/>
            <filter val="NULO"/>
            <filter val="OBLE"/>
            <filter val="OCAMPO"/>
            <filter val="OCARANZA"/>
            <filter val="OCEGUERA"/>
            <filter val="OCHOA"/>
            <filter val="OLEA"/>
            <filter val="OLEDO"/>
            <filter val="OLIVA"/>
            <filter val="OLIVARES"/>
            <filter val="OLIVOS"/>
            <filter val="OLVERA"/>
            <filter val="ORDAZ"/>
            <filter val="ORDOÑEZ"/>
            <filter val="OROZCO"/>
            <filter val="ORTEGA"/>
            <filter val="ORTIZ"/>
            <filter val="OSORIO"/>
            <filter val="OSORNIO"/>
            <filter val="OVIEDO"/>
            <filter val="PABLO"/>
            <filter val="PACHUCA"/>
            <filter val="PADILLA"/>
            <filter val="PADRON"/>
            <filter val="PAEZ"/>
            <filter val="PAILIN"/>
            <filter val="PALACIOS"/>
            <filter val="PALMA"/>
            <filter val="PALOMINO"/>
            <filter val="PALOMO"/>
            <filter val="PANTALEON"/>
            <filter val="PANTOJA"/>
            <filter val="PAREDES"/>
            <filter val="PASCUAL"/>
            <filter val="PATERNO PRUEBA 3"/>
            <filter val="PEEÑA"/>
            <filter val="PEGUERO"/>
            <filter val="PELAEZ"/>
            <filter val="PEÑA"/>
            <filter val="PERALTA"/>
            <filter val="PEREZ"/>
            <filter val="PEREZ DE LEON"/>
            <filter val="PICHU"/>
            <filter val="PIMENTEL"/>
            <filter val="PINEDA"/>
            <filter val="PINTOR"/>
            <filter val="PIÑA"/>
            <filter val="PLATA"/>
            <filter val="PLIEGO"/>
            <filter val="POSADAS"/>
            <filter val="PRADO"/>
            <filter val="QUIJANO"/>
            <filter val="QUINTANA"/>
            <filter val="QUINTERO"/>
            <filter val="QUIROZ"/>
            <filter val="RAFAEL"/>
            <filter val="RAMIREZ"/>
            <filter val="RAMÍREZ"/>
            <filter val="RAMOS"/>
            <filter val="RANGEL"/>
            <filter val="REAL"/>
            <filter val="REBOLLAR"/>
            <filter val="REDUCINDO"/>
            <filter val="REGINO"/>
            <filter val="RESENDIZ"/>
            <filter val="RETIZ"/>
            <filter val="REYES"/>
            <filter val="RICAÑO"/>
            <filter val="RIOS"/>
            <filter val="RIVAS"/>
            <filter val="RIVERA"/>
            <filter val="ROBLES"/>
            <filter val="ROCHA"/>
            <filter val="RODEA"/>
            <filter val="RODRIGUEZ"/>
            <filter val="ROJAS"/>
            <filter val="ROLDAN"/>
            <filter val="ROMERO"/>
            <filter val="ROSALES"/>
            <filter val="ROSALES."/>
            <filter val="RUBIO"/>
            <filter val="RUEDA"/>
            <filter val="RUIZ"/>
            <filter val="SALAS"/>
            <filter val="SALAZAR"/>
            <filter val="SALDAÑA"/>
            <filter val="SALGADO"/>
            <filter val="SALINAS"/>
            <filter val="SALVADOR"/>
            <filter val="SAMANO"/>
            <filter val="SAMPEDRO"/>
            <filter val="SAN"/>
            <filter val="SAN JUAN"/>
            <filter val="SANCHEZ"/>
            <filter val="SANDOVAL"/>
            <filter val="SANTAMARIA"/>
            <filter val="SANTANA"/>
            <filter val="SANTANDER"/>
            <filter val="SANTIAGO"/>
            <filter val="SANTIBAÑEZ"/>
            <filter val="SANTOS"/>
            <filter val="SARABIA"/>
            <filter val="SEGURA"/>
            <filter val="SERENO"/>
            <filter val="SERRANO"/>
            <filter val="SERRATO"/>
            <filter val="SERVIN RIVERA VIRIDIANA VANESSA"/>
            <filter val="SIERRA"/>
            <filter val="SILVA"/>
            <filter val="SOLANO"/>
            <filter val="SOLEDAD"/>
            <filter val="SOLORZANO"/>
            <filter val="SORIANO"/>
            <filter val="SOSA"/>
            <filter val="SOTO"/>
            <filter val="SUAREZ"/>
            <filter val="TAPIA"/>
            <filter val="TEHOZOL"/>
            <filter val="TEHUACANERO"/>
            <filter val="TELLEZ"/>
            <filter val="TEMOXTLE"/>
            <filter val="TENORIO"/>
            <filter val="TIMOTEO"/>
            <filter val="TINOCO"/>
            <filter val="TLACOMULCO"/>
            <filter val="TLAPECHCO"/>
            <filter val="TOBON"/>
            <filter val="TOCA"/>
            <filter val="TOLEDO"/>
            <filter val="TORICES"/>
            <filter val="TORRES"/>
            <filter val="TOVAR"/>
            <filter val="TREJO"/>
            <filter val="TRINIDAD"/>
            <filter val="TRUJILLO"/>
            <filter val="TUFIÑO"/>
            <filter val="UBALDO"/>
            <filter val="URBINA"/>
            <filter val="URIBE"/>
            <filter val="URIOSTEGUI"/>
            <filter val="VALDEZ"/>
            <filter val="VALDOVINOS"/>
            <filter val="VALLE"/>
            <filter val="VALLEJO"/>
            <filter val="VALTIERRA"/>
            <filter val="VANEGAS"/>
            <filter val="VARELA"/>
            <filter val="VARGAS"/>
            <filter val="VAZQUEZ"/>
            <filter val="VEGA"/>
            <filter val="VELASCO"/>
            <filter val="VELASQUEZ"/>
            <filter val="VELAZQUEZ"/>
            <filter val="VENCES"/>
            <filter val="VENEGAS"/>
            <filter val="VENTURA"/>
            <filter val="VERA"/>
            <filter val="VERGARA"/>
            <filter val="VERTIZ"/>
            <filter val="VICTORIA"/>
            <filter val="VIDAL"/>
            <filter val="VILCHIS"/>
            <filter val="VILLA"/>
            <filter val="VILLALOBOS"/>
            <filter val="VILLEGAS"/>
            <filter val="VILPANDO"/>
            <filter val="VITELA"/>
            <filter val="X"/>
            <filter val="XOCHIPA"/>
            <filter val="XOLALPA"/>
            <filter val="ZAMORA"/>
            <filter val="ZAMUDIO"/>
            <filter val="ZARAGOZA"/>
            <filter val="ZARCO"/>
            <filter val="ZEPEDA"/>
          </filters>
        </filterColumn>
      </autoFilter>
    </customSheetView>
    <customSheetView guid="{8169610F-F779-430B-BD62-89D7AF7B6E4D}" filter="1" showAutoFilter="1">
      <pageMargins left="0.7" right="0.7" top="0.75" bottom="0.75" header="0.3" footer="0.3"/>
      <autoFilter ref="A1:GL1330" xr:uid="{CFB48F26-9BC5-4200-81BB-96661454EA5B}">
        <filterColumn colId="1">
          <filters>
            <filter val="20-arellanodelacruz.alondrajudith@cetis57.edu.mx"/>
            <filter val="20-hinojosaramirez.gabriela@cetis57.edu.mx"/>
            <filter val="21-carrillocastro.davidalejandro@cetis57.edu.mx"/>
            <filter val="21-cerecerolegaspi.michellekarla@cetis57.edu.mx"/>
            <filter val="21-figueroromero.regina@cetis57.edu.mx"/>
            <filter val="21-gonzalezmalvaez.jessicagabriela@cetis57.edu.mx"/>
            <filter val="21-gonzalezsantiago.valerymonserrat@cetis57.edu.mx"/>
            <filter val="21-juarezloza.camilavaleria@cetis57.edu.mx"/>
            <filter val="21-luisanacleto.lizbeth@cetis57.edu.mx"/>
            <filter val="21-martinezpalomino.evelynyael@cetis57.edu.mx"/>
            <filter val="21-nateramedellin.lesliemariana@cetis57.edu.mx"/>
            <filter val="21-rangelordaz.rebecasarahi@cetis57.edu.mx"/>
            <filter val="21-sanchezgoytortua.audrickdasaeth@cetis57.edu.mx"/>
            <filter val="22-acostalopez.adrianaminelli@cetis57.edu.mx"/>
            <filter val="22-angelesromero.isabelnaomi@cetis57.edu.mx"/>
            <filter val="22-azamarcuesta.lisingrid@cetis57.edu.mx"/>
            <filter val="22-bonillacazares.mariana@cetis57.edu.mx"/>
            <filter val="22-carrascogarrido.sofiaitzamara@cetis57.edu.mx"/>
            <filter val="22-castillorodriguez.miaelizama@cetis57.edu.mx"/>
            <filter val="22-cedillorodriguez.marianalisset@cetis57.edu.mx"/>
            <filter val="22-cruzgalvan.emiliano@cetis57.edu.mx"/>
            <filter val="22-cruzhernandez.nestoremmanuel@cetis57.edu.mx"/>
            <filter val="22-diazdiaz.axelyael@cetis57.edu.mx"/>
            <filter val="22-gomezespinoza.teresa@cetis57.edu.mx"/>
            <filter val="22-macielsantiago.juancarlos@cetis57.edu.mx"/>
            <filter val="22-manzanogonzalez.edwinandrei@cetis57.edu.mx"/>
            <filter val="22-matiasjimenez.yessicamarisol@cetis57.edu.mx"/>
            <filter val="22-moragarcia.noemi@cetis57.edu.mx"/>
            <filter val="22-munozortega.americamonserrat@cetis57.edu.mx"/>
            <filter val="22-ortizmascota.paolafernanda@cetis57.edu.mx"/>
            <filter val="22-perezmorales.shakttyenaily@cetis57.edu.mx"/>
            <filter val="22-perezmorales.sheccidmalillany@cetis57.edu.mx"/>
            <filter val="22-sanchezgarcia.marioalejandro@cetis57.edu.mx"/>
            <filter val="22-sandovalacosta.evelynabigail@cetis57.edu.mx"/>
            <filter val="22-santiagobastida.alejandrodaniel@cetis57.edu.mx"/>
            <filter val="22-tellezhernandez.aranzaelizabeth@cetis57.edu.mx"/>
            <filter val="22-vallejotrifundio.donnovangael@cetis57.edu.mx"/>
          </filters>
        </filterColumn>
      </autoFilter>
    </customSheetView>
    <customSheetView guid="{F5BEB84D-33AA-444F-B25C-C6176CBEBD71}" filter="1" showAutoFilter="1">
      <pageMargins left="0.7" right="0.7" top="0.75" bottom="0.75" header="0.3" footer="0.3"/>
      <autoFilter ref="A1:GL1329" xr:uid="{BCAA496E-D680-4B85-AD41-21BB86F4A310}">
        <filterColumn colId="2">
          <filters>
            <filter val="ACOSTA"/>
            <filter val="MANZANO"/>
          </filters>
        </filterColumn>
      </autoFilter>
    </customSheetView>
    <customSheetView guid="{5FE24D15-576F-4767-B626-4441D1B9D6F9}" filter="1" showAutoFilter="1">
      <pageMargins left="0.7" right="0.7" top="0.75" bottom="0.75" header="0.3" footer="0.3"/>
      <autoFilter ref="A1:GL1417" xr:uid="{023589A1-6C1B-4439-9037-9BA5964C2FFB}">
        <filterColumn colId="110">
          <filters>
            <filter val="Tu reinscripción ha sido autorizada"/>
          </filters>
        </filterColumn>
      </autoFilter>
    </customSheetView>
  </customSheetViews>
  <hyperlinks>
    <hyperlink ref="G2" r:id="rId1" xr:uid="{00000000-0004-0000-0300-000000000000}"/>
    <hyperlink ref="AH2" r:id="rId2" xr:uid="{00000000-0004-0000-0300-000001000000}"/>
    <hyperlink ref="AW2" r:id="rId3" xr:uid="{00000000-0004-0000-0300-000002000000}"/>
    <hyperlink ref="BI2" r:id="rId4" xr:uid="{00000000-0004-0000-0300-000003000000}"/>
    <hyperlink ref="CL2" r:id="rId5" xr:uid="{00000000-0004-0000-0300-000004000000}"/>
    <hyperlink ref="G3" r:id="rId6" xr:uid="{00000000-0004-0000-0300-000005000000}"/>
    <hyperlink ref="AH3" r:id="rId7" xr:uid="{00000000-0004-0000-0300-000006000000}"/>
    <hyperlink ref="AW3" r:id="rId8" xr:uid="{00000000-0004-0000-0300-000007000000}"/>
    <hyperlink ref="BI3" r:id="rId9" xr:uid="{00000000-0004-0000-0300-000008000000}"/>
    <hyperlink ref="CL3" r:id="rId10" xr:uid="{00000000-0004-0000-0300-000009000000}"/>
    <hyperlink ref="GB3" r:id="rId11" xr:uid="{00000000-0004-0000-0300-00000A000000}"/>
    <hyperlink ref="GJ3" r:id="rId12" xr:uid="{00000000-0004-0000-0300-00000B000000}"/>
    <hyperlink ref="G4" r:id="rId13" xr:uid="{00000000-0004-0000-0300-00000C000000}"/>
    <hyperlink ref="AH4" r:id="rId14" xr:uid="{00000000-0004-0000-0300-00000D000000}"/>
    <hyperlink ref="AW4" r:id="rId15" xr:uid="{00000000-0004-0000-0300-00000E000000}"/>
    <hyperlink ref="BI4" r:id="rId16" xr:uid="{00000000-0004-0000-0300-00000F000000}"/>
    <hyperlink ref="CL4" r:id="rId17" xr:uid="{00000000-0004-0000-0300-000010000000}"/>
    <hyperlink ref="GB4" r:id="rId18" xr:uid="{00000000-0004-0000-0300-000011000000}"/>
    <hyperlink ref="GJ4" r:id="rId19" xr:uid="{00000000-0004-0000-0300-000012000000}"/>
    <hyperlink ref="G5" r:id="rId20" xr:uid="{00000000-0004-0000-0300-000013000000}"/>
    <hyperlink ref="AH5" r:id="rId21" xr:uid="{00000000-0004-0000-0300-000014000000}"/>
    <hyperlink ref="AW5" r:id="rId22" xr:uid="{00000000-0004-0000-0300-000015000000}"/>
    <hyperlink ref="BI5" r:id="rId23" xr:uid="{00000000-0004-0000-0300-000016000000}"/>
    <hyperlink ref="CL5" r:id="rId24" xr:uid="{00000000-0004-0000-0300-000017000000}"/>
    <hyperlink ref="GB5" r:id="rId25" xr:uid="{00000000-0004-0000-0300-000018000000}"/>
    <hyperlink ref="GJ5" r:id="rId26" xr:uid="{00000000-0004-0000-0300-000019000000}"/>
    <hyperlink ref="G6" r:id="rId27" xr:uid="{00000000-0004-0000-0300-00001A000000}"/>
    <hyperlink ref="AH6" r:id="rId28" xr:uid="{00000000-0004-0000-0300-00001B000000}"/>
    <hyperlink ref="AW6" r:id="rId29" xr:uid="{00000000-0004-0000-0300-00001C000000}"/>
    <hyperlink ref="BI6" r:id="rId30" xr:uid="{00000000-0004-0000-0300-00001D000000}"/>
    <hyperlink ref="CL6" r:id="rId31" xr:uid="{00000000-0004-0000-0300-00001E000000}"/>
    <hyperlink ref="GB6" r:id="rId32" xr:uid="{00000000-0004-0000-0300-00001F000000}"/>
    <hyperlink ref="GJ6" r:id="rId33" xr:uid="{00000000-0004-0000-0300-000020000000}"/>
    <hyperlink ref="G7" r:id="rId34" xr:uid="{00000000-0004-0000-0300-000021000000}"/>
    <hyperlink ref="AH7" r:id="rId35" xr:uid="{00000000-0004-0000-0300-000022000000}"/>
    <hyperlink ref="AW7" r:id="rId36" xr:uid="{00000000-0004-0000-0300-000023000000}"/>
    <hyperlink ref="BI7" r:id="rId37" xr:uid="{00000000-0004-0000-0300-000024000000}"/>
    <hyperlink ref="CL7" r:id="rId38" xr:uid="{00000000-0004-0000-0300-000025000000}"/>
    <hyperlink ref="GB7" r:id="rId39" xr:uid="{00000000-0004-0000-0300-000026000000}"/>
    <hyperlink ref="GJ7" r:id="rId40" xr:uid="{00000000-0004-0000-0300-000027000000}"/>
    <hyperlink ref="G8" r:id="rId41" xr:uid="{00000000-0004-0000-0300-000028000000}"/>
    <hyperlink ref="AH8" r:id="rId42" xr:uid="{00000000-0004-0000-0300-000029000000}"/>
    <hyperlink ref="AW8" r:id="rId43" xr:uid="{00000000-0004-0000-0300-00002A000000}"/>
    <hyperlink ref="BI8" r:id="rId44" xr:uid="{00000000-0004-0000-0300-00002B000000}"/>
    <hyperlink ref="CL8" r:id="rId45" xr:uid="{00000000-0004-0000-0300-00002C000000}"/>
    <hyperlink ref="GB8" r:id="rId46" xr:uid="{00000000-0004-0000-0300-00002D000000}"/>
    <hyperlink ref="GJ8" r:id="rId47" xr:uid="{00000000-0004-0000-0300-00002E000000}"/>
    <hyperlink ref="G9" r:id="rId48" xr:uid="{00000000-0004-0000-0300-00002F000000}"/>
    <hyperlink ref="AH9" r:id="rId49" xr:uid="{00000000-0004-0000-0300-000030000000}"/>
    <hyperlink ref="AW9" r:id="rId50" xr:uid="{00000000-0004-0000-0300-000031000000}"/>
    <hyperlink ref="BI9" r:id="rId51" xr:uid="{00000000-0004-0000-0300-000032000000}"/>
    <hyperlink ref="CL9" r:id="rId52" xr:uid="{00000000-0004-0000-0300-000033000000}"/>
    <hyperlink ref="GB9" r:id="rId53" xr:uid="{00000000-0004-0000-0300-000034000000}"/>
    <hyperlink ref="GJ9" r:id="rId54" xr:uid="{00000000-0004-0000-0300-000035000000}"/>
    <hyperlink ref="G10" r:id="rId55" xr:uid="{00000000-0004-0000-0300-000036000000}"/>
    <hyperlink ref="AH10" r:id="rId56" xr:uid="{00000000-0004-0000-0300-000037000000}"/>
    <hyperlink ref="AW10" r:id="rId57" xr:uid="{00000000-0004-0000-0300-000038000000}"/>
    <hyperlink ref="BI10" r:id="rId58" xr:uid="{00000000-0004-0000-0300-000039000000}"/>
    <hyperlink ref="CL10" r:id="rId59" xr:uid="{00000000-0004-0000-0300-00003A000000}"/>
    <hyperlink ref="GB10" r:id="rId60" xr:uid="{00000000-0004-0000-0300-00003B000000}"/>
    <hyperlink ref="GJ10" r:id="rId61" xr:uid="{00000000-0004-0000-0300-00003C000000}"/>
    <hyperlink ref="G11" r:id="rId62" xr:uid="{00000000-0004-0000-0300-00003D000000}"/>
    <hyperlink ref="AH11" r:id="rId63" xr:uid="{00000000-0004-0000-0300-00003E000000}"/>
    <hyperlink ref="AW11" r:id="rId64" xr:uid="{00000000-0004-0000-0300-00003F000000}"/>
    <hyperlink ref="BI11" r:id="rId65" xr:uid="{00000000-0004-0000-0300-000040000000}"/>
    <hyperlink ref="CL11" r:id="rId66" xr:uid="{00000000-0004-0000-0300-000041000000}"/>
    <hyperlink ref="GB11" r:id="rId67" xr:uid="{00000000-0004-0000-0300-000042000000}"/>
    <hyperlink ref="GJ11" r:id="rId68" xr:uid="{00000000-0004-0000-0300-000043000000}"/>
    <hyperlink ref="G12" r:id="rId69" xr:uid="{00000000-0004-0000-0300-000044000000}"/>
    <hyperlink ref="AH12" r:id="rId70" xr:uid="{00000000-0004-0000-0300-000045000000}"/>
    <hyperlink ref="AW12" r:id="rId71" xr:uid="{00000000-0004-0000-0300-000046000000}"/>
    <hyperlink ref="BI12" r:id="rId72" xr:uid="{00000000-0004-0000-0300-000047000000}"/>
    <hyperlink ref="CL12" r:id="rId73" xr:uid="{00000000-0004-0000-0300-000048000000}"/>
    <hyperlink ref="GB12" r:id="rId74" xr:uid="{00000000-0004-0000-0300-000049000000}"/>
    <hyperlink ref="GJ12" r:id="rId75" xr:uid="{00000000-0004-0000-0300-00004A000000}"/>
    <hyperlink ref="G13" r:id="rId76" xr:uid="{00000000-0004-0000-0300-00004B000000}"/>
    <hyperlink ref="AH13" r:id="rId77" xr:uid="{00000000-0004-0000-0300-00004C000000}"/>
    <hyperlink ref="AW13" r:id="rId78" xr:uid="{00000000-0004-0000-0300-00004D000000}"/>
    <hyperlink ref="BI13" r:id="rId79" xr:uid="{00000000-0004-0000-0300-00004E000000}"/>
    <hyperlink ref="CL13" r:id="rId80" xr:uid="{00000000-0004-0000-0300-00004F000000}"/>
    <hyperlink ref="GB13" r:id="rId81" xr:uid="{00000000-0004-0000-0300-000050000000}"/>
    <hyperlink ref="GJ13" r:id="rId82" xr:uid="{00000000-0004-0000-0300-000051000000}"/>
    <hyperlink ref="G14" r:id="rId83" xr:uid="{00000000-0004-0000-0300-000052000000}"/>
    <hyperlink ref="AH14" r:id="rId84" xr:uid="{00000000-0004-0000-0300-000053000000}"/>
    <hyperlink ref="AW14" r:id="rId85" xr:uid="{00000000-0004-0000-0300-000054000000}"/>
    <hyperlink ref="BI14" r:id="rId86" xr:uid="{00000000-0004-0000-0300-000055000000}"/>
    <hyperlink ref="CL14" r:id="rId87" xr:uid="{00000000-0004-0000-0300-000056000000}"/>
    <hyperlink ref="GB14" r:id="rId88" xr:uid="{00000000-0004-0000-0300-000057000000}"/>
    <hyperlink ref="GJ14" r:id="rId89" xr:uid="{00000000-0004-0000-0300-000058000000}"/>
    <hyperlink ref="G15" r:id="rId90" xr:uid="{00000000-0004-0000-0300-000059000000}"/>
    <hyperlink ref="AH15" r:id="rId91" xr:uid="{00000000-0004-0000-0300-00005A000000}"/>
    <hyperlink ref="AW15" r:id="rId92" xr:uid="{00000000-0004-0000-0300-00005B000000}"/>
    <hyperlink ref="BI15" r:id="rId93" xr:uid="{00000000-0004-0000-0300-00005C000000}"/>
    <hyperlink ref="CL15" r:id="rId94" xr:uid="{00000000-0004-0000-0300-00005D000000}"/>
    <hyperlink ref="GB15" r:id="rId95" xr:uid="{00000000-0004-0000-0300-00005E000000}"/>
    <hyperlink ref="GJ15" r:id="rId96" xr:uid="{00000000-0004-0000-0300-00005F000000}"/>
    <hyperlink ref="G16" r:id="rId97" xr:uid="{00000000-0004-0000-0300-000060000000}"/>
    <hyperlink ref="AH16" r:id="rId98" xr:uid="{00000000-0004-0000-0300-000061000000}"/>
    <hyperlink ref="AW16" r:id="rId99" xr:uid="{00000000-0004-0000-0300-000062000000}"/>
    <hyperlink ref="BI16" r:id="rId100" xr:uid="{00000000-0004-0000-0300-000063000000}"/>
    <hyperlink ref="CL16" r:id="rId101" xr:uid="{00000000-0004-0000-0300-000064000000}"/>
    <hyperlink ref="GB16" r:id="rId102" xr:uid="{00000000-0004-0000-0300-000065000000}"/>
    <hyperlink ref="GJ16" r:id="rId103" xr:uid="{00000000-0004-0000-0300-000066000000}"/>
    <hyperlink ref="G17" r:id="rId104" xr:uid="{00000000-0004-0000-0300-000067000000}"/>
    <hyperlink ref="AH17" r:id="rId105" xr:uid="{00000000-0004-0000-0300-000068000000}"/>
    <hyperlink ref="AW17" r:id="rId106" xr:uid="{00000000-0004-0000-0300-000069000000}"/>
    <hyperlink ref="BI17" r:id="rId107" xr:uid="{00000000-0004-0000-0300-00006A000000}"/>
    <hyperlink ref="CL17" r:id="rId108" xr:uid="{00000000-0004-0000-0300-00006B000000}"/>
    <hyperlink ref="GB17" r:id="rId109" xr:uid="{00000000-0004-0000-0300-00006C000000}"/>
    <hyperlink ref="GJ17" r:id="rId110" xr:uid="{00000000-0004-0000-0300-00006D000000}"/>
    <hyperlink ref="G18" r:id="rId111" xr:uid="{00000000-0004-0000-0300-00006E000000}"/>
    <hyperlink ref="AH18" r:id="rId112" xr:uid="{00000000-0004-0000-0300-00006F000000}"/>
    <hyperlink ref="AW18" r:id="rId113" xr:uid="{00000000-0004-0000-0300-000070000000}"/>
    <hyperlink ref="BI18" r:id="rId114" xr:uid="{00000000-0004-0000-0300-000071000000}"/>
    <hyperlink ref="CL18" r:id="rId115" xr:uid="{00000000-0004-0000-0300-000072000000}"/>
    <hyperlink ref="GB18" r:id="rId116" xr:uid="{00000000-0004-0000-0300-000073000000}"/>
    <hyperlink ref="GJ18" r:id="rId117" xr:uid="{00000000-0004-0000-0300-000074000000}"/>
    <hyperlink ref="G19" r:id="rId118" xr:uid="{00000000-0004-0000-0300-000075000000}"/>
    <hyperlink ref="AH19" r:id="rId119" xr:uid="{00000000-0004-0000-0300-000076000000}"/>
    <hyperlink ref="AW19" r:id="rId120" xr:uid="{00000000-0004-0000-0300-000077000000}"/>
    <hyperlink ref="BI19" r:id="rId121" xr:uid="{00000000-0004-0000-0300-000078000000}"/>
    <hyperlink ref="CL19" r:id="rId122" xr:uid="{00000000-0004-0000-0300-000079000000}"/>
    <hyperlink ref="GB19" r:id="rId123" xr:uid="{00000000-0004-0000-0300-00007A000000}"/>
    <hyperlink ref="GJ19" r:id="rId124" xr:uid="{00000000-0004-0000-0300-00007B000000}"/>
    <hyperlink ref="G20" r:id="rId125" xr:uid="{00000000-0004-0000-0300-00007C000000}"/>
    <hyperlink ref="AH20" r:id="rId126" xr:uid="{00000000-0004-0000-0300-00007D000000}"/>
    <hyperlink ref="AW20" r:id="rId127" xr:uid="{00000000-0004-0000-0300-00007E000000}"/>
    <hyperlink ref="BI20" r:id="rId128" xr:uid="{00000000-0004-0000-0300-00007F000000}"/>
    <hyperlink ref="CL20" r:id="rId129" xr:uid="{00000000-0004-0000-0300-000080000000}"/>
    <hyperlink ref="GB20" r:id="rId130" xr:uid="{00000000-0004-0000-0300-000081000000}"/>
    <hyperlink ref="GJ20" r:id="rId131" xr:uid="{00000000-0004-0000-0300-000082000000}"/>
    <hyperlink ref="G21" r:id="rId132" xr:uid="{00000000-0004-0000-0300-000083000000}"/>
    <hyperlink ref="AH21" r:id="rId133" xr:uid="{00000000-0004-0000-0300-000084000000}"/>
    <hyperlink ref="AW21" r:id="rId134" xr:uid="{00000000-0004-0000-0300-000085000000}"/>
    <hyperlink ref="BI21" r:id="rId135" xr:uid="{00000000-0004-0000-0300-000086000000}"/>
    <hyperlink ref="CL21" r:id="rId136" xr:uid="{00000000-0004-0000-0300-000087000000}"/>
    <hyperlink ref="GB21" r:id="rId137" xr:uid="{00000000-0004-0000-0300-000088000000}"/>
    <hyperlink ref="GJ21" r:id="rId138" xr:uid="{00000000-0004-0000-0300-000089000000}"/>
    <hyperlink ref="G22" r:id="rId139" xr:uid="{00000000-0004-0000-0300-00008A000000}"/>
    <hyperlink ref="AH22" r:id="rId140" xr:uid="{00000000-0004-0000-0300-00008B000000}"/>
    <hyperlink ref="AW22" r:id="rId141" xr:uid="{00000000-0004-0000-0300-00008C000000}"/>
    <hyperlink ref="BI22" r:id="rId142" xr:uid="{00000000-0004-0000-0300-00008D000000}"/>
    <hyperlink ref="CL22" r:id="rId143" xr:uid="{00000000-0004-0000-0300-00008E000000}"/>
    <hyperlink ref="GB22" r:id="rId144" xr:uid="{00000000-0004-0000-0300-00008F000000}"/>
    <hyperlink ref="GJ22" r:id="rId145" xr:uid="{00000000-0004-0000-0300-000090000000}"/>
    <hyperlink ref="G23" r:id="rId146" xr:uid="{00000000-0004-0000-0300-000091000000}"/>
    <hyperlink ref="AH23" r:id="rId147" xr:uid="{00000000-0004-0000-0300-000092000000}"/>
    <hyperlink ref="AW23" r:id="rId148" xr:uid="{00000000-0004-0000-0300-000093000000}"/>
    <hyperlink ref="BI23" r:id="rId149" xr:uid="{00000000-0004-0000-0300-000094000000}"/>
    <hyperlink ref="CL23" r:id="rId150" xr:uid="{00000000-0004-0000-0300-000095000000}"/>
    <hyperlink ref="GB23" r:id="rId151" xr:uid="{00000000-0004-0000-0300-000096000000}"/>
    <hyperlink ref="GJ23" r:id="rId152" xr:uid="{00000000-0004-0000-0300-000097000000}"/>
    <hyperlink ref="G24" r:id="rId153" xr:uid="{00000000-0004-0000-0300-000098000000}"/>
    <hyperlink ref="AH24" r:id="rId154" xr:uid="{00000000-0004-0000-0300-000099000000}"/>
    <hyperlink ref="AW24" r:id="rId155" xr:uid="{00000000-0004-0000-0300-00009A000000}"/>
    <hyperlink ref="BI24" r:id="rId156" xr:uid="{00000000-0004-0000-0300-00009B000000}"/>
    <hyperlink ref="CL24" r:id="rId157" xr:uid="{00000000-0004-0000-0300-00009C000000}"/>
    <hyperlink ref="GB24" r:id="rId158" xr:uid="{00000000-0004-0000-0300-00009D000000}"/>
    <hyperlink ref="GJ24" r:id="rId159" xr:uid="{00000000-0004-0000-0300-00009E000000}"/>
    <hyperlink ref="G25" r:id="rId160" xr:uid="{00000000-0004-0000-0300-00009F000000}"/>
    <hyperlink ref="AH25" r:id="rId161" xr:uid="{00000000-0004-0000-0300-0000A0000000}"/>
    <hyperlink ref="AW25" r:id="rId162" xr:uid="{00000000-0004-0000-0300-0000A1000000}"/>
    <hyperlink ref="BI25" r:id="rId163" xr:uid="{00000000-0004-0000-0300-0000A2000000}"/>
    <hyperlink ref="CL25" r:id="rId164" xr:uid="{00000000-0004-0000-0300-0000A3000000}"/>
    <hyperlink ref="GB25" r:id="rId165" xr:uid="{00000000-0004-0000-0300-0000A4000000}"/>
    <hyperlink ref="GJ25" r:id="rId166" xr:uid="{00000000-0004-0000-0300-0000A5000000}"/>
    <hyperlink ref="G26" r:id="rId167" xr:uid="{00000000-0004-0000-0300-0000A6000000}"/>
    <hyperlink ref="AH26" r:id="rId168" xr:uid="{00000000-0004-0000-0300-0000A7000000}"/>
    <hyperlink ref="AW26" r:id="rId169" xr:uid="{00000000-0004-0000-0300-0000A8000000}"/>
    <hyperlink ref="BI26" r:id="rId170" xr:uid="{00000000-0004-0000-0300-0000A9000000}"/>
    <hyperlink ref="BV26" r:id="rId171" xr:uid="{00000000-0004-0000-0300-0000AA000000}"/>
    <hyperlink ref="CL26" r:id="rId172" xr:uid="{00000000-0004-0000-0300-0000AB000000}"/>
    <hyperlink ref="GB26" r:id="rId173" xr:uid="{00000000-0004-0000-0300-0000AC000000}"/>
    <hyperlink ref="GJ26" r:id="rId174" xr:uid="{00000000-0004-0000-0300-0000AD000000}"/>
    <hyperlink ref="G27" r:id="rId175" xr:uid="{00000000-0004-0000-0300-0000AE000000}"/>
    <hyperlink ref="AH27" r:id="rId176" xr:uid="{00000000-0004-0000-0300-0000AF000000}"/>
    <hyperlink ref="AW27" r:id="rId177" xr:uid="{00000000-0004-0000-0300-0000B0000000}"/>
    <hyperlink ref="BI27" r:id="rId178" xr:uid="{00000000-0004-0000-0300-0000B1000000}"/>
    <hyperlink ref="CL27" r:id="rId179" xr:uid="{00000000-0004-0000-0300-0000B2000000}"/>
    <hyperlink ref="GB27" r:id="rId180" xr:uid="{00000000-0004-0000-0300-0000B3000000}"/>
    <hyperlink ref="GJ27" r:id="rId181" xr:uid="{00000000-0004-0000-0300-0000B4000000}"/>
    <hyperlink ref="G28" r:id="rId182" xr:uid="{00000000-0004-0000-0300-0000B5000000}"/>
    <hyperlink ref="AH28" r:id="rId183" xr:uid="{00000000-0004-0000-0300-0000B6000000}"/>
    <hyperlink ref="AW28" r:id="rId184" xr:uid="{00000000-0004-0000-0300-0000B7000000}"/>
    <hyperlink ref="BI28" r:id="rId185" xr:uid="{00000000-0004-0000-0300-0000B8000000}"/>
    <hyperlink ref="CL28" r:id="rId186" xr:uid="{00000000-0004-0000-0300-0000B9000000}"/>
    <hyperlink ref="GB28" r:id="rId187" xr:uid="{00000000-0004-0000-0300-0000BA000000}"/>
    <hyperlink ref="GJ28" r:id="rId188" xr:uid="{00000000-0004-0000-0300-0000BB000000}"/>
    <hyperlink ref="G29" r:id="rId189" xr:uid="{00000000-0004-0000-0300-0000BC000000}"/>
    <hyperlink ref="AH29" r:id="rId190" xr:uid="{00000000-0004-0000-0300-0000BD000000}"/>
    <hyperlink ref="AW29" r:id="rId191" xr:uid="{00000000-0004-0000-0300-0000BE000000}"/>
    <hyperlink ref="BI29" r:id="rId192" xr:uid="{00000000-0004-0000-0300-0000BF000000}"/>
    <hyperlink ref="CL29" r:id="rId193" xr:uid="{00000000-0004-0000-0300-0000C0000000}"/>
    <hyperlink ref="G30" r:id="rId194" xr:uid="{00000000-0004-0000-0300-0000C1000000}"/>
    <hyperlink ref="AH30" r:id="rId195" xr:uid="{00000000-0004-0000-0300-0000C2000000}"/>
    <hyperlink ref="AW30" r:id="rId196" xr:uid="{00000000-0004-0000-0300-0000C3000000}"/>
    <hyperlink ref="BI30" r:id="rId197" xr:uid="{00000000-0004-0000-0300-0000C4000000}"/>
    <hyperlink ref="CL30" r:id="rId198" xr:uid="{00000000-0004-0000-0300-0000C5000000}"/>
    <hyperlink ref="GB30" r:id="rId199" xr:uid="{00000000-0004-0000-0300-0000C6000000}"/>
    <hyperlink ref="GJ30" r:id="rId200" xr:uid="{00000000-0004-0000-0300-0000C7000000}"/>
    <hyperlink ref="G31" r:id="rId201" xr:uid="{00000000-0004-0000-0300-0000C8000000}"/>
    <hyperlink ref="AH31" r:id="rId202" xr:uid="{00000000-0004-0000-0300-0000C9000000}"/>
    <hyperlink ref="AW31" r:id="rId203" xr:uid="{00000000-0004-0000-0300-0000CA000000}"/>
    <hyperlink ref="BI31" r:id="rId204" xr:uid="{00000000-0004-0000-0300-0000CB000000}"/>
    <hyperlink ref="CL31" r:id="rId205" xr:uid="{00000000-0004-0000-0300-0000CC000000}"/>
    <hyperlink ref="GB31" r:id="rId206" xr:uid="{00000000-0004-0000-0300-0000CD000000}"/>
    <hyperlink ref="GJ31" r:id="rId207" xr:uid="{00000000-0004-0000-0300-0000CE000000}"/>
    <hyperlink ref="G32" r:id="rId208" xr:uid="{00000000-0004-0000-0300-0000CF000000}"/>
    <hyperlink ref="AH32" r:id="rId209" xr:uid="{00000000-0004-0000-0300-0000D0000000}"/>
    <hyperlink ref="AW32" r:id="rId210" xr:uid="{00000000-0004-0000-0300-0000D1000000}"/>
    <hyperlink ref="BI32" r:id="rId211" xr:uid="{00000000-0004-0000-0300-0000D2000000}"/>
    <hyperlink ref="CL32" r:id="rId212" xr:uid="{00000000-0004-0000-0300-0000D3000000}"/>
    <hyperlink ref="GB32" r:id="rId213" xr:uid="{00000000-0004-0000-0300-0000D4000000}"/>
    <hyperlink ref="GJ32" r:id="rId214" xr:uid="{00000000-0004-0000-0300-0000D5000000}"/>
    <hyperlink ref="G33" r:id="rId215" xr:uid="{00000000-0004-0000-0300-0000D6000000}"/>
    <hyperlink ref="AH33" r:id="rId216" xr:uid="{00000000-0004-0000-0300-0000D7000000}"/>
    <hyperlink ref="AW33" r:id="rId217" xr:uid="{00000000-0004-0000-0300-0000D8000000}"/>
    <hyperlink ref="BI33" r:id="rId218" xr:uid="{00000000-0004-0000-0300-0000D9000000}"/>
    <hyperlink ref="CL33" r:id="rId219" xr:uid="{00000000-0004-0000-0300-0000DA000000}"/>
    <hyperlink ref="GB33" r:id="rId220" xr:uid="{00000000-0004-0000-0300-0000DB000000}"/>
    <hyperlink ref="GJ33" r:id="rId221" xr:uid="{00000000-0004-0000-0300-0000DC000000}"/>
    <hyperlink ref="G34" r:id="rId222" xr:uid="{00000000-0004-0000-0300-0000DD000000}"/>
    <hyperlink ref="AH34" r:id="rId223" xr:uid="{00000000-0004-0000-0300-0000DE000000}"/>
    <hyperlink ref="AW34" r:id="rId224" xr:uid="{00000000-0004-0000-0300-0000DF000000}"/>
    <hyperlink ref="BI34" r:id="rId225" xr:uid="{00000000-0004-0000-0300-0000E0000000}"/>
    <hyperlink ref="CL34" r:id="rId226" xr:uid="{00000000-0004-0000-0300-0000E1000000}"/>
    <hyperlink ref="GB34" r:id="rId227" xr:uid="{00000000-0004-0000-0300-0000E2000000}"/>
    <hyperlink ref="GJ34" r:id="rId228" xr:uid="{00000000-0004-0000-0300-0000E3000000}"/>
    <hyperlink ref="G35" r:id="rId229" xr:uid="{00000000-0004-0000-0300-0000E4000000}"/>
    <hyperlink ref="AH35" r:id="rId230" xr:uid="{00000000-0004-0000-0300-0000E5000000}"/>
    <hyperlink ref="AW35" r:id="rId231" xr:uid="{00000000-0004-0000-0300-0000E6000000}"/>
    <hyperlink ref="BI35" r:id="rId232" xr:uid="{00000000-0004-0000-0300-0000E7000000}"/>
    <hyperlink ref="CL35" r:id="rId233" xr:uid="{00000000-0004-0000-0300-0000E8000000}"/>
    <hyperlink ref="GB35" r:id="rId234" xr:uid="{00000000-0004-0000-0300-0000E9000000}"/>
    <hyperlink ref="GJ35" r:id="rId235" xr:uid="{00000000-0004-0000-0300-0000EA000000}"/>
    <hyperlink ref="G36" r:id="rId236" xr:uid="{00000000-0004-0000-0300-0000EB000000}"/>
    <hyperlink ref="AH36" r:id="rId237" xr:uid="{00000000-0004-0000-0300-0000EC000000}"/>
    <hyperlink ref="AW36" r:id="rId238" xr:uid="{00000000-0004-0000-0300-0000ED000000}"/>
    <hyperlink ref="BI36" r:id="rId239" xr:uid="{00000000-0004-0000-0300-0000EE000000}"/>
    <hyperlink ref="CL36" r:id="rId240" xr:uid="{00000000-0004-0000-0300-0000EF000000}"/>
    <hyperlink ref="GB36" r:id="rId241" xr:uid="{00000000-0004-0000-0300-0000F0000000}"/>
    <hyperlink ref="GJ36" r:id="rId242" xr:uid="{00000000-0004-0000-0300-0000F1000000}"/>
    <hyperlink ref="G37" r:id="rId243" xr:uid="{00000000-0004-0000-0300-0000F2000000}"/>
    <hyperlink ref="AH37" r:id="rId244" xr:uid="{00000000-0004-0000-0300-0000F3000000}"/>
    <hyperlink ref="AW37" r:id="rId245" xr:uid="{00000000-0004-0000-0300-0000F4000000}"/>
    <hyperlink ref="BI37" r:id="rId246" xr:uid="{00000000-0004-0000-0300-0000F5000000}"/>
    <hyperlink ref="CL37" r:id="rId247" xr:uid="{00000000-0004-0000-0300-0000F6000000}"/>
    <hyperlink ref="GB37" r:id="rId248" xr:uid="{00000000-0004-0000-0300-0000F7000000}"/>
    <hyperlink ref="GJ37" r:id="rId249" xr:uid="{00000000-0004-0000-0300-0000F8000000}"/>
    <hyperlink ref="G38" r:id="rId250" xr:uid="{00000000-0004-0000-0300-0000F9000000}"/>
    <hyperlink ref="AH38" r:id="rId251" xr:uid="{00000000-0004-0000-0300-0000FA000000}"/>
    <hyperlink ref="AW38" r:id="rId252" xr:uid="{00000000-0004-0000-0300-0000FB000000}"/>
    <hyperlink ref="BI38" r:id="rId253" xr:uid="{00000000-0004-0000-0300-0000FC000000}"/>
    <hyperlink ref="CL38" r:id="rId254" xr:uid="{00000000-0004-0000-0300-0000FD000000}"/>
    <hyperlink ref="GB38" r:id="rId255" xr:uid="{00000000-0004-0000-0300-0000FE000000}"/>
    <hyperlink ref="GJ38" r:id="rId256" xr:uid="{00000000-0004-0000-0300-0000FF000000}"/>
    <hyperlink ref="G39" r:id="rId257" xr:uid="{00000000-0004-0000-0300-000000010000}"/>
    <hyperlink ref="AH39" r:id="rId258" xr:uid="{00000000-0004-0000-0300-000001010000}"/>
    <hyperlink ref="AW39" r:id="rId259" xr:uid="{00000000-0004-0000-0300-000002010000}"/>
    <hyperlink ref="BI39" r:id="rId260" xr:uid="{00000000-0004-0000-0300-000003010000}"/>
    <hyperlink ref="CL39" r:id="rId261" xr:uid="{00000000-0004-0000-0300-000004010000}"/>
    <hyperlink ref="GB39" r:id="rId262" xr:uid="{00000000-0004-0000-0300-000005010000}"/>
    <hyperlink ref="GJ39" r:id="rId263" xr:uid="{00000000-0004-0000-0300-000006010000}"/>
    <hyperlink ref="G40" r:id="rId264" xr:uid="{00000000-0004-0000-0300-000007010000}"/>
    <hyperlink ref="AH40" r:id="rId265" xr:uid="{00000000-0004-0000-0300-000008010000}"/>
    <hyperlink ref="AW40" r:id="rId266" xr:uid="{00000000-0004-0000-0300-000009010000}"/>
    <hyperlink ref="BI40" r:id="rId267" xr:uid="{00000000-0004-0000-0300-00000A010000}"/>
    <hyperlink ref="CL40" r:id="rId268" xr:uid="{00000000-0004-0000-0300-00000B010000}"/>
    <hyperlink ref="GB40" r:id="rId269" xr:uid="{00000000-0004-0000-0300-00000C010000}"/>
    <hyperlink ref="GJ40" r:id="rId270" xr:uid="{00000000-0004-0000-0300-00000D010000}"/>
    <hyperlink ref="G41" r:id="rId271" xr:uid="{00000000-0004-0000-0300-00000E010000}"/>
    <hyperlink ref="AH41" r:id="rId272" xr:uid="{00000000-0004-0000-0300-00000F010000}"/>
    <hyperlink ref="AW41" r:id="rId273" xr:uid="{00000000-0004-0000-0300-000010010000}"/>
    <hyperlink ref="BI41" r:id="rId274" xr:uid="{00000000-0004-0000-0300-000011010000}"/>
    <hyperlink ref="CL41" r:id="rId275" xr:uid="{00000000-0004-0000-0300-000012010000}"/>
    <hyperlink ref="GB41" r:id="rId276" xr:uid="{00000000-0004-0000-0300-000013010000}"/>
    <hyperlink ref="GJ41" r:id="rId277" xr:uid="{00000000-0004-0000-0300-000014010000}"/>
    <hyperlink ref="G42" r:id="rId278" xr:uid="{00000000-0004-0000-0300-000015010000}"/>
    <hyperlink ref="AH42" r:id="rId279" xr:uid="{00000000-0004-0000-0300-000016010000}"/>
    <hyperlink ref="AW42" r:id="rId280" xr:uid="{00000000-0004-0000-0300-000017010000}"/>
    <hyperlink ref="BI42" r:id="rId281" xr:uid="{00000000-0004-0000-0300-000018010000}"/>
    <hyperlink ref="CL42" r:id="rId282" xr:uid="{00000000-0004-0000-0300-000019010000}"/>
    <hyperlink ref="GB42" r:id="rId283" xr:uid="{00000000-0004-0000-0300-00001A010000}"/>
    <hyperlink ref="GJ42" r:id="rId284" xr:uid="{00000000-0004-0000-0300-00001B010000}"/>
    <hyperlink ref="G43" r:id="rId285" xr:uid="{00000000-0004-0000-0300-00001C010000}"/>
    <hyperlink ref="AH43" r:id="rId286" xr:uid="{00000000-0004-0000-0300-00001D010000}"/>
    <hyperlink ref="AW43" r:id="rId287" xr:uid="{00000000-0004-0000-0300-00001E010000}"/>
    <hyperlink ref="BI43" r:id="rId288" xr:uid="{00000000-0004-0000-0300-00001F010000}"/>
    <hyperlink ref="CL43" r:id="rId289" xr:uid="{00000000-0004-0000-0300-000020010000}"/>
    <hyperlink ref="GB43" r:id="rId290" xr:uid="{00000000-0004-0000-0300-000021010000}"/>
    <hyperlink ref="GJ43" r:id="rId291" xr:uid="{00000000-0004-0000-0300-000022010000}"/>
    <hyperlink ref="G44" r:id="rId292" xr:uid="{00000000-0004-0000-0300-000023010000}"/>
    <hyperlink ref="AH44" r:id="rId293" xr:uid="{00000000-0004-0000-0300-000024010000}"/>
    <hyperlink ref="AW44" r:id="rId294" xr:uid="{00000000-0004-0000-0300-000025010000}"/>
    <hyperlink ref="BI44" r:id="rId295" xr:uid="{00000000-0004-0000-0300-000026010000}"/>
    <hyperlink ref="CL44" r:id="rId296" xr:uid="{00000000-0004-0000-0300-000027010000}"/>
    <hyperlink ref="GB44" r:id="rId297" xr:uid="{00000000-0004-0000-0300-000028010000}"/>
    <hyperlink ref="GJ44" r:id="rId298" xr:uid="{00000000-0004-0000-0300-000029010000}"/>
    <hyperlink ref="G45" r:id="rId299" xr:uid="{00000000-0004-0000-0300-00002A010000}"/>
    <hyperlink ref="AH45" r:id="rId300" xr:uid="{00000000-0004-0000-0300-00002B010000}"/>
    <hyperlink ref="AW45" r:id="rId301" xr:uid="{00000000-0004-0000-0300-00002C010000}"/>
    <hyperlink ref="BI45" r:id="rId302" xr:uid="{00000000-0004-0000-0300-00002D010000}"/>
    <hyperlink ref="CL45" r:id="rId303" xr:uid="{00000000-0004-0000-0300-00002E010000}"/>
    <hyperlink ref="GB45" r:id="rId304" xr:uid="{00000000-0004-0000-0300-00002F010000}"/>
    <hyperlink ref="GJ45" r:id="rId305" xr:uid="{00000000-0004-0000-0300-000030010000}"/>
    <hyperlink ref="G46" r:id="rId306" xr:uid="{00000000-0004-0000-0300-000031010000}"/>
    <hyperlink ref="AH46" r:id="rId307" xr:uid="{00000000-0004-0000-0300-000032010000}"/>
    <hyperlink ref="AW46" r:id="rId308" xr:uid="{00000000-0004-0000-0300-000033010000}"/>
    <hyperlink ref="BI46" r:id="rId309" xr:uid="{00000000-0004-0000-0300-000034010000}"/>
    <hyperlink ref="CL46" r:id="rId310" xr:uid="{00000000-0004-0000-0300-000035010000}"/>
    <hyperlink ref="GB46" r:id="rId311" xr:uid="{00000000-0004-0000-0300-000036010000}"/>
    <hyperlink ref="GJ46" r:id="rId312" xr:uid="{00000000-0004-0000-0300-000037010000}"/>
    <hyperlink ref="G47" r:id="rId313" xr:uid="{00000000-0004-0000-0300-000038010000}"/>
    <hyperlink ref="AH47" r:id="rId314" xr:uid="{00000000-0004-0000-0300-000039010000}"/>
    <hyperlink ref="AW47" r:id="rId315" xr:uid="{00000000-0004-0000-0300-00003A010000}"/>
    <hyperlink ref="BI47" r:id="rId316" xr:uid="{00000000-0004-0000-0300-00003B010000}"/>
    <hyperlink ref="CL47" r:id="rId317" xr:uid="{00000000-0004-0000-0300-00003C010000}"/>
    <hyperlink ref="GB47" r:id="rId318" xr:uid="{00000000-0004-0000-0300-00003D010000}"/>
    <hyperlink ref="GJ47" r:id="rId319" xr:uid="{00000000-0004-0000-0300-00003E010000}"/>
    <hyperlink ref="G48" r:id="rId320" xr:uid="{00000000-0004-0000-0300-00003F010000}"/>
    <hyperlink ref="AH48" r:id="rId321" xr:uid="{00000000-0004-0000-0300-000040010000}"/>
    <hyperlink ref="AW48" r:id="rId322" xr:uid="{00000000-0004-0000-0300-000041010000}"/>
    <hyperlink ref="BI48" r:id="rId323" xr:uid="{00000000-0004-0000-0300-000042010000}"/>
    <hyperlink ref="CL48" r:id="rId324" xr:uid="{00000000-0004-0000-0300-000043010000}"/>
    <hyperlink ref="GB48" r:id="rId325" xr:uid="{00000000-0004-0000-0300-000044010000}"/>
    <hyperlink ref="GJ48" r:id="rId326" xr:uid="{00000000-0004-0000-0300-000045010000}"/>
    <hyperlink ref="G49" r:id="rId327" xr:uid="{00000000-0004-0000-0300-000046010000}"/>
    <hyperlink ref="AH49" r:id="rId328" xr:uid="{00000000-0004-0000-0300-000047010000}"/>
    <hyperlink ref="AW49" r:id="rId329" xr:uid="{00000000-0004-0000-0300-000048010000}"/>
    <hyperlink ref="BI49" r:id="rId330" xr:uid="{00000000-0004-0000-0300-000049010000}"/>
    <hyperlink ref="CL49" r:id="rId331" xr:uid="{00000000-0004-0000-0300-00004A010000}"/>
    <hyperlink ref="GB49" r:id="rId332" xr:uid="{00000000-0004-0000-0300-00004B010000}"/>
    <hyperlink ref="GJ49" r:id="rId333" xr:uid="{00000000-0004-0000-0300-00004C010000}"/>
    <hyperlink ref="G50" r:id="rId334" xr:uid="{00000000-0004-0000-0300-00004D010000}"/>
    <hyperlink ref="AH50" r:id="rId335" xr:uid="{00000000-0004-0000-0300-00004E010000}"/>
    <hyperlink ref="AW50" r:id="rId336" xr:uid="{00000000-0004-0000-0300-00004F010000}"/>
    <hyperlink ref="BI50" r:id="rId337" xr:uid="{00000000-0004-0000-0300-000050010000}"/>
    <hyperlink ref="CL50" r:id="rId338" xr:uid="{00000000-0004-0000-0300-000051010000}"/>
    <hyperlink ref="GB50" r:id="rId339" xr:uid="{00000000-0004-0000-0300-000052010000}"/>
    <hyperlink ref="GF50" r:id="rId340" xr:uid="{00000000-0004-0000-0300-000053010000}"/>
    <hyperlink ref="GJ50" r:id="rId341" xr:uid="{00000000-0004-0000-0300-000054010000}"/>
    <hyperlink ref="G51" r:id="rId342" xr:uid="{00000000-0004-0000-0300-000055010000}"/>
    <hyperlink ref="AH51" r:id="rId343" xr:uid="{00000000-0004-0000-0300-000056010000}"/>
    <hyperlink ref="AW51" r:id="rId344" xr:uid="{00000000-0004-0000-0300-000057010000}"/>
    <hyperlink ref="BI51" r:id="rId345" xr:uid="{00000000-0004-0000-0300-000058010000}"/>
    <hyperlink ref="CL51" r:id="rId346" xr:uid="{00000000-0004-0000-0300-000059010000}"/>
    <hyperlink ref="GB51" r:id="rId347" xr:uid="{00000000-0004-0000-0300-00005A010000}"/>
    <hyperlink ref="GJ51" r:id="rId348" xr:uid="{00000000-0004-0000-0300-00005B010000}"/>
    <hyperlink ref="G52" r:id="rId349" xr:uid="{00000000-0004-0000-0300-00005C010000}"/>
    <hyperlink ref="AH52" r:id="rId350" xr:uid="{00000000-0004-0000-0300-00005D010000}"/>
    <hyperlink ref="AW52" r:id="rId351" xr:uid="{00000000-0004-0000-0300-00005E010000}"/>
    <hyperlink ref="BI52" r:id="rId352" xr:uid="{00000000-0004-0000-0300-00005F010000}"/>
    <hyperlink ref="CL52" r:id="rId353" xr:uid="{00000000-0004-0000-0300-000060010000}"/>
    <hyperlink ref="GB52" r:id="rId354" xr:uid="{00000000-0004-0000-0300-000061010000}"/>
    <hyperlink ref="GJ52" r:id="rId355" xr:uid="{00000000-0004-0000-0300-000062010000}"/>
    <hyperlink ref="G53" r:id="rId356" xr:uid="{00000000-0004-0000-0300-000063010000}"/>
    <hyperlink ref="AH53" r:id="rId357" xr:uid="{00000000-0004-0000-0300-000064010000}"/>
    <hyperlink ref="AW53" r:id="rId358" xr:uid="{00000000-0004-0000-0300-000065010000}"/>
    <hyperlink ref="BI53" r:id="rId359" xr:uid="{00000000-0004-0000-0300-000066010000}"/>
    <hyperlink ref="CL53" r:id="rId360" xr:uid="{00000000-0004-0000-0300-000067010000}"/>
    <hyperlink ref="GB53" r:id="rId361" xr:uid="{00000000-0004-0000-0300-000068010000}"/>
    <hyperlink ref="GJ53" r:id="rId362" xr:uid="{00000000-0004-0000-0300-000069010000}"/>
    <hyperlink ref="G54" r:id="rId363" xr:uid="{00000000-0004-0000-0300-00006A010000}"/>
    <hyperlink ref="AH54" r:id="rId364" xr:uid="{00000000-0004-0000-0300-00006B010000}"/>
    <hyperlink ref="AW54" r:id="rId365" xr:uid="{00000000-0004-0000-0300-00006C010000}"/>
    <hyperlink ref="BI54" r:id="rId366" xr:uid="{00000000-0004-0000-0300-00006D010000}"/>
    <hyperlink ref="CL54" r:id="rId367" xr:uid="{00000000-0004-0000-0300-00006E010000}"/>
    <hyperlink ref="GB54" r:id="rId368" xr:uid="{00000000-0004-0000-0300-00006F010000}"/>
    <hyperlink ref="GJ54" r:id="rId369" xr:uid="{00000000-0004-0000-0300-000070010000}"/>
    <hyperlink ref="G55" r:id="rId370" xr:uid="{00000000-0004-0000-0300-000071010000}"/>
    <hyperlink ref="AH55" r:id="rId371" xr:uid="{00000000-0004-0000-0300-000072010000}"/>
    <hyperlink ref="AW55" r:id="rId372" xr:uid="{00000000-0004-0000-0300-000073010000}"/>
    <hyperlink ref="BI55" r:id="rId373" xr:uid="{00000000-0004-0000-0300-000074010000}"/>
    <hyperlink ref="CL55" r:id="rId374" xr:uid="{00000000-0004-0000-0300-000075010000}"/>
    <hyperlink ref="GB55" r:id="rId375" xr:uid="{00000000-0004-0000-0300-000076010000}"/>
    <hyperlink ref="GJ55" r:id="rId376" xr:uid="{00000000-0004-0000-0300-000077010000}"/>
    <hyperlink ref="G56" r:id="rId377" xr:uid="{00000000-0004-0000-0300-000078010000}"/>
    <hyperlink ref="AH56" r:id="rId378" xr:uid="{00000000-0004-0000-0300-000079010000}"/>
    <hyperlink ref="AW56" r:id="rId379" xr:uid="{00000000-0004-0000-0300-00007A010000}"/>
    <hyperlink ref="BI56" r:id="rId380" xr:uid="{00000000-0004-0000-0300-00007B010000}"/>
    <hyperlink ref="CL56" r:id="rId381" xr:uid="{00000000-0004-0000-0300-00007C010000}"/>
    <hyperlink ref="GB56" r:id="rId382" xr:uid="{00000000-0004-0000-0300-00007D010000}"/>
    <hyperlink ref="GJ56" r:id="rId383" xr:uid="{00000000-0004-0000-0300-00007E010000}"/>
    <hyperlink ref="G57" r:id="rId384" xr:uid="{00000000-0004-0000-0300-00007F010000}"/>
    <hyperlink ref="AH57" r:id="rId385" xr:uid="{00000000-0004-0000-0300-000080010000}"/>
    <hyperlink ref="AW57" r:id="rId386" xr:uid="{00000000-0004-0000-0300-000081010000}"/>
    <hyperlink ref="BI57" r:id="rId387" xr:uid="{00000000-0004-0000-0300-000082010000}"/>
    <hyperlink ref="CL57" r:id="rId388" xr:uid="{00000000-0004-0000-0300-000083010000}"/>
    <hyperlink ref="GB57" r:id="rId389" xr:uid="{00000000-0004-0000-0300-000084010000}"/>
    <hyperlink ref="GJ57" r:id="rId390" xr:uid="{00000000-0004-0000-0300-000085010000}"/>
    <hyperlink ref="G58" r:id="rId391" xr:uid="{00000000-0004-0000-0300-000086010000}"/>
    <hyperlink ref="AH58" r:id="rId392" xr:uid="{00000000-0004-0000-0300-000087010000}"/>
    <hyperlink ref="AW58" r:id="rId393" xr:uid="{00000000-0004-0000-0300-000088010000}"/>
    <hyperlink ref="BI58" r:id="rId394" xr:uid="{00000000-0004-0000-0300-000089010000}"/>
    <hyperlink ref="CL58" r:id="rId395" xr:uid="{00000000-0004-0000-0300-00008A010000}"/>
    <hyperlink ref="GB58" r:id="rId396" xr:uid="{00000000-0004-0000-0300-00008B010000}"/>
    <hyperlink ref="GJ58" r:id="rId397" xr:uid="{00000000-0004-0000-0300-00008C010000}"/>
    <hyperlink ref="G59" r:id="rId398" xr:uid="{00000000-0004-0000-0300-00008D010000}"/>
    <hyperlink ref="AH59" r:id="rId399" xr:uid="{00000000-0004-0000-0300-00008E010000}"/>
    <hyperlink ref="AW59" r:id="rId400" xr:uid="{00000000-0004-0000-0300-00008F010000}"/>
    <hyperlink ref="BI59" r:id="rId401" xr:uid="{00000000-0004-0000-0300-000090010000}"/>
    <hyperlink ref="CL59" r:id="rId402" xr:uid="{00000000-0004-0000-0300-000091010000}"/>
    <hyperlink ref="GB59" r:id="rId403" xr:uid="{00000000-0004-0000-0300-000092010000}"/>
    <hyperlink ref="GJ59" r:id="rId404" xr:uid="{00000000-0004-0000-0300-000093010000}"/>
    <hyperlink ref="G60" r:id="rId405" xr:uid="{00000000-0004-0000-0300-000094010000}"/>
    <hyperlink ref="AH60" r:id="rId406" xr:uid="{00000000-0004-0000-0300-000095010000}"/>
    <hyperlink ref="AW60" r:id="rId407" xr:uid="{00000000-0004-0000-0300-000096010000}"/>
    <hyperlink ref="BI60" r:id="rId408" xr:uid="{00000000-0004-0000-0300-000097010000}"/>
    <hyperlink ref="CL60" r:id="rId409" xr:uid="{00000000-0004-0000-0300-000098010000}"/>
    <hyperlink ref="GB60" r:id="rId410" xr:uid="{00000000-0004-0000-0300-000099010000}"/>
    <hyperlink ref="GJ60" r:id="rId411" xr:uid="{00000000-0004-0000-0300-00009A010000}"/>
    <hyperlink ref="G61" r:id="rId412" xr:uid="{00000000-0004-0000-0300-00009B010000}"/>
    <hyperlink ref="AH61" r:id="rId413" xr:uid="{00000000-0004-0000-0300-00009C010000}"/>
    <hyperlink ref="AW61" r:id="rId414" xr:uid="{00000000-0004-0000-0300-00009D010000}"/>
    <hyperlink ref="BI61" r:id="rId415" xr:uid="{00000000-0004-0000-0300-00009E010000}"/>
    <hyperlink ref="CL61" r:id="rId416" xr:uid="{00000000-0004-0000-0300-00009F010000}"/>
    <hyperlink ref="G62" r:id="rId417" xr:uid="{00000000-0004-0000-0300-0000A0010000}"/>
    <hyperlink ref="AH62" r:id="rId418" xr:uid="{00000000-0004-0000-0300-0000A1010000}"/>
    <hyperlink ref="AW62" r:id="rId419" xr:uid="{00000000-0004-0000-0300-0000A2010000}"/>
    <hyperlink ref="BI62" r:id="rId420" xr:uid="{00000000-0004-0000-0300-0000A3010000}"/>
    <hyperlink ref="CL62" r:id="rId421" xr:uid="{00000000-0004-0000-0300-0000A4010000}"/>
    <hyperlink ref="GB62" r:id="rId422" xr:uid="{00000000-0004-0000-0300-0000A5010000}"/>
    <hyperlink ref="GJ62" r:id="rId423" xr:uid="{00000000-0004-0000-0300-0000A6010000}"/>
    <hyperlink ref="G63" r:id="rId424" xr:uid="{00000000-0004-0000-0300-0000A7010000}"/>
    <hyperlink ref="AH63" r:id="rId425" xr:uid="{00000000-0004-0000-0300-0000A8010000}"/>
    <hyperlink ref="AW63" r:id="rId426" xr:uid="{00000000-0004-0000-0300-0000A9010000}"/>
    <hyperlink ref="BI63" r:id="rId427" xr:uid="{00000000-0004-0000-0300-0000AA010000}"/>
    <hyperlink ref="CL63" r:id="rId428" xr:uid="{00000000-0004-0000-0300-0000AB010000}"/>
    <hyperlink ref="GB63" r:id="rId429" xr:uid="{00000000-0004-0000-0300-0000AC010000}"/>
    <hyperlink ref="GJ63" r:id="rId430" xr:uid="{00000000-0004-0000-0300-0000AD010000}"/>
    <hyperlink ref="G64" r:id="rId431" xr:uid="{00000000-0004-0000-0300-0000AE010000}"/>
    <hyperlink ref="AH64" r:id="rId432" xr:uid="{00000000-0004-0000-0300-0000AF010000}"/>
    <hyperlink ref="AW64" r:id="rId433" xr:uid="{00000000-0004-0000-0300-0000B0010000}"/>
    <hyperlink ref="BI64" r:id="rId434" xr:uid="{00000000-0004-0000-0300-0000B1010000}"/>
    <hyperlink ref="CL64" r:id="rId435" xr:uid="{00000000-0004-0000-0300-0000B2010000}"/>
    <hyperlink ref="GB64" r:id="rId436" xr:uid="{00000000-0004-0000-0300-0000B3010000}"/>
    <hyperlink ref="GJ64" r:id="rId437" xr:uid="{00000000-0004-0000-0300-0000B4010000}"/>
    <hyperlink ref="G65" r:id="rId438" xr:uid="{00000000-0004-0000-0300-0000B5010000}"/>
    <hyperlink ref="AH65" r:id="rId439" xr:uid="{00000000-0004-0000-0300-0000B6010000}"/>
    <hyperlink ref="AW65" r:id="rId440" xr:uid="{00000000-0004-0000-0300-0000B7010000}"/>
    <hyperlink ref="BI65" r:id="rId441" xr:uid="{00000000-0004-0000-0300-0000B8010000}"/>
    <hyperlink ref="CL65" r:id="rId442" xr:uid="{00000000-0004-0000-0300-0000B9010000}"/>
    <hyperlink ref="GB65" r:id="rId443" xr:uid="{00000000-0004-0000-0300-0000BA010000}"/>
    <hyperlink ref="GJ65" r:id="rId444" xr:uid="{00000000-0004-0000-0300-0000BB010000}"/>
    <hyperlink ref="G66" r:id="rId445" xr:uid="{00000000-0004-0000-0300-0000BC010000}"/>
    <hyperlink ref="AH66" r:id="rId446" xr:uid="{00000000-0004-0000-0300-0000BD010000}"/>
    <hyperlink ref="AW66" r:id="rId447" xr:uid="{00000000-0004-0000-0300-0000BE010000}"/>
    <hyperlink ref="BI66" r:id="rId448" xr:uid="{00000000-0004-0000-0300-0000BF010000}"/>
    <hyperlink ref="CL66" r:id="rId449" xr:uid="{00000000-0004-0000-0300-0000C0010000}"/>
    <hyperlink ref="GB66" r:id="rId450" xr:uid="{00000000-0004-0000-0300-0000C1010000}"/>
    <hyperlink ref="GJ66" r:id="rId451" xr:uid="{00000000-0004-0000-0300-0000C2010000}"/>
    <hyperlink ref="G67" r:id="rId452" xr:uid="{00000000-0004-0000-0300-0000C3010000}"/>
    <hyperlink ref="AH67" r:id="rId453" xr:uid="{00000000-0004-0000-0300-0000C4010000}"/>
    <hyperlink ref="AW67" r:id="rId454" xr:uid="{00000000-0004-0000-0300-0000C5010000}"/>
    <hyperlink ref="BI67" r:id="rId455" xr:uid="{00000000-0004-0000-0300-0000C6010000}"/>
    <hyperlink ref="CL67" r:id="rId456" xr:uid="{00000000-0004-0000-0300-0000C7010000}"/>
    <hyperlink ref="GB67" r:id="rId457" xr:uid="{00000000-0004-0000-0300-0000C8010000}"/>
    <hyperlink ref="GJ67" r:id="rId458" xr:uid="{00000000-0004-0000-0300-0000C9010000}"/>
    <hyperlink ref="G68" r:id="rId459" xr:uid="{00000000-0004-0000-0300-0000CA010000}"/>
    <hyperlink ref="AH68" r:id="rId460" xr:uid="{00000000-0004-0000-0300-0000CB010000}"/>
    <hyperlink ref="AW68" r:id="rId461" xr:uid="{00000000-0004-0000-0300-0000CC010000}"/>
    <hyperlink ref="BI68" r:id="rId462" xr:uid="{00000000-0004-0000-0300-0000CD010000}"/>
    <hyperlink ref="CL68" r:id="rId463" xr:uid="{00000000-0004-0000-0300-0000CE010000}"/>
    <hyperlink ref="GB68" r:id="rId464" xr:uid="{00000000-0004-0000-0300-0000CF010000}"/>
    <hyperlink ref="GJ68" r:id="rId465" xr:uid="{00000000-0004-0000-0300-0000D0010000}"/>
    <hyperlink ref="G69" r:id="rId466" xr:uid="{00000000-0004-0000-0300-0000D1010000}"/>
    <hyperlink ref="AH69" r:id="rId467" xr:uid="{00000000-0004-0000-0300-0000D2010000}"/>
    <hyperlink ref="AW69" r:id="rId468" xr:uid="{00000000-0004-0000-0300-0000D3010000}"/>
    <hyperlink ref="BI69" r:id="rId469" xr:uid="{00000000-0004-0000-0300-0000D4010000}"/>
    <hyperlink ref="CL69" r:id="rId470" xr:uid="{00000000-0004-0000-0300-0000D5010000}"/>
    <hyperlink ref="GB69" r:id="rId471" xr:uid="{00000000-0004-0000-0300-0000D6010000}"/>
    <hyperlink ref="GJ69" r:id="rId472" xr:uid="{00000000-0004-0000-0300-0000D7010000}"/>
    <hyperlink ref="G70" r:id="rId473" xr:uid="{00000000-0004-0000-0300-0000D8010000}"/>
    <hyperlink ref="AH70" r:id="rId474" xr:uid="{00000000-0004-0000-0300-0000D9010000}"/>
    <hyperlink ref="AW70" r:id="rId475" xr:uid="{00000000-0004-0000-0300-0000DA010000}"/>
    <hyperlink ref="BI70" r:id="rId476" xr:uid="{00000000-0004-0000-0300-0000DB010000}"/>
    <hyperlink ref="CL70" r:id="rId477" xr:uid="{00000000-0004-0000-0300-0000DC010000}"/>
    <hyperlink ref="GB70" r:id="rId478" xr:uid="{00000000-0004-0000-0300-0000DD010000}"/>
    <hyperlink ref="GJ70" r:id="rId479" xr:uid="{00000000-0004-0000-0300-0000DE010000}"/>
    <hyperlink ref="G71" r:id="rId480" xr:uid="{00000000-0004-0000-0300-0000DF010000}"/>
    <hyperlink ref="AH71" r:id="rId481" xr:uid="{00000000-0004-0000-0300-0000E0010000}"/>
    <hyperlink ref="AW71" r:id="rId482" xr:uid="{00000000-0004-0000-0300-0000E1010000}"/>
    <hyperlink ref="BI71" r:id="rId483" xr:uid="{00000000-0004-0000-0300-0000E2010000}"/>
    <hyperlink ref="CL71" r:id="rId484" xr:uid="{00000000-0004-0000-0300-0000E3010000}"/>
    <hyperlink ref="GB71" r:id="rId485" xr:uid="{00000000-0004-0000-0300-0000E4010000}"/>
    <hyperlink ref="GJ71" r:id="rId486" xr:uid="{00000000-0004-0000-0300-0000E5010000}"/>
    <hyperlink ref="G72" r:id="rId487" xr:uid="{00000000-0004-0000-0300-0000E6010000}"/>
    <hyperlink ref="AH72" r:id="rId488" xr:uid="{00000000-0004-0000-0300-0000E7010000}"/>
    <hyperlink ref="AW72" r:id="rId489" xr:uid="{00000000-0004-0000-0300-0000E8010000}"/>
    <hyperlink ref="BI72" r:id="rId490" xr:uid="{00000000-0004-0000-0300-0000E9010000}"/>
    <hyperlink ref="CL72" r:id="rId491" xr:uid="{00000000-0004-0000-0300-0000EA010000}"/>
    <hyperlink ref="GB72" r:id="rId492" xr:uid="{00000000-0004-0000-0300-0000EB010000}"/>
    <hyperlink ref="GJ72" r:id="rId493" xr:uid="{00000000-0004-0000-0300-0000EC010000}"/>
    <hyperlink ref="G73" r:id="rId494" xr:uid="{00000000-0004-0000-0300-0000ED010000}"/>
    <hyperlink ref="AH73" r:id="rId495" xr:uid="{00000000-0004-0000-0300-0000EE010000}"/>
    <hyperlink ref="AW73" r:id="rId496" xr:uid="{00000000-0004-0000-0300-0000EF010000}"/>
    <hyperlink ref="BI73" r:id="rId497" xr:uid="{00000000-0004-0000-0300-0000F0010000}"/>
    <hyperlink ref="CL73" r:id="rId498" xr:uid="{00000000-0004-0000-0300-0000F1010000}"/>
    <hyperlink ref="GB73" r:id="rId499" xr:uid="{00000000-0004-0000-0300-0000F2010000}"/>
    <hyperlink ref="GJ73" r:id="rId500" xr:uid="{00000000-0004-0000-0300-0000F3010000}"/>
    <hyperlink ref="G74" r:id="rId501" xr:uid="{00000000-0004-0000-0300-0000F4010000}"/>
    <hyperlink ref="AH74" r:id="rId502" xr:uid="{00000000-0004-0000-0300-0000F5010000}"/>
    <hyperlink ref="AW74" r:id="rId503" xr:uid="{00000000-0004-0000-0300-0000F6010000}"/>
    <hyperlink ref="BI74" r:id="rId504" xr:uid="{00000000-0004-0000-0300-0000F7010000}"/>
    <hyperlink ref="CL74" r:id="rId505" xr:uid="{00000000-0004-0000-0300-0000F8010000}"/>
    <hyperlink ref="GB74" r:id="rId506" xr:uid="{00000000-0004-0000-0300-0000F9010000}"/>
    <hyperlink ref="GJ74" r:id="rId507" xr:uid="{00000000-0004-0000-0300-0000FA010000}"/>
    <hyperlink ref="G75" r:id="rId508" xr:uid="{00000000-0004-0000-0300-0000FB010000}"/>
    <hyperlink ref="AH75" r:id="rId509" xr:uid="{00000000-0004-0000-0300-0000FC010000}"/>
    <hyperlink ref="AW75" r:id="rId510" xr:uid="{00000000-0004-0000-0300-0000FD010000}"/>
    <hyperlink ref="BI75" r:id="rId511" xr:uid="{00000000-0004-0000-0300-0000FE010000}"/>
    <hyperlink ref="CL75" r:id="rId512" xr:uid="{00000000-0004-0000-0300-0000FF010000}"/>
    <hyperlink ref="GB75" r:id="rId513" xr:uid="{00000000-0004-0000-0300-000000020000}"/>
    <hyperlink ref="GJ75" r:id="rId514" xr:uid="{00000000-0004-0000-0300-000001020000}"/>
    <hyperlink ref="G76" r:id="rId515" xr:uid="{00000000-0004-0000-0300-000002020000}"/>
    <hyperlink ref="AH76" r:id="rId516" xr:uid="{00000000-0004-0000-0300-000003020000}"/>
    <hyperlink ref="AW76" r:id="rId517" xr:uid="{00000000-0004-0000-0300-000004020000}"/>
    <hyperlink ref="BI76" r:id="rId518" xr:uid="{00000000-0004-0000-0300-000005020000}"/>
    <hyperlink ref="CL76" r:id="rId519" xr:uid="{00000000-0004-0000-0300-000006020000}"/>
    <hyperlink ref="GB76" r:id="rId520" xr:uid="{00000000-0004-0000-0300-000007020000}"/>
    <hyperlink ref="GJ76" r:id="rId521" xr:uid="{00000000-0004-0000-0300-000008020000}"/>
    <hyperlink ref="G77" r:id="rId522" xr:uid="{00000000-0004-0000-0300-000009020000}"/>
    <hyperlink ref="AH77" r:id="rId523" xr:uid="{00000000-0004-0000-0300-00000A020000}"/>
    <hyperlink ref="AW77" r:id="rId524" xr:uid="{00000000-0004-0000-0300-00000B020000}"/>
    <hyperlink ref="BI77" r:id="rId525" xr:uid="{00000000-0004-0000-0300-00000C020000}"/>
    <hyperlink ref="CL77" r:id="rId526" xr:uid="{00000000-0004-0000-0300-00000D020000}"/>
    <hyperlink ref="GB77" r:id="rId527" xr:uid="{00000000-0004-0000-0300-00000E020000}"/>
    <hyperlink ref="GJ77" r:id="rId528" xr:uid="{00000000-0004-0000-0300-00000F020000}"/>
    <hyperlink ref="G78" r:id="rId529" xr:uid="{00000000-0004-0000-0300-000010020000}"/>
    <hyperlink ref="AH78" r:id="rId530" xr:uid="{00000000-0004-0000-0300-000011020000}"/>
    <hyperlink ref="AW78" r:id="rId531" xr:uid="{00000000-0004-0000-0300-000012020000}"/>
    <hyperlink ref="BI78" r:id="rId532" xr:uid="{00000000-0004-0000-0300-000013020000}"/>
    <hyperlink ref="CL78" r:id="rId533" xr:uid="{00000000-0004-0000-0300-000014020000}"/>
    <hyperlink ref="GB78" r:id="rId534" xr:uid="{00000000-0004-0000-0300-000015020000}"/>
    <hyperlink ref="GJ78" r:id="rId535" xr:uid="{00000000-0004-0000-0300-000016020000}"/>
    <hyperlink ref="G79" r:id="rId536" xr:uid="{00000000-0004-0000-0300-000017020000}"/>
    <hyperlink ref="AH79" r:id="rId537" xr:uid="{00000000-0004-0000-0300-000018020000}"/>
    <hyperlink ref="AW79" r:id="rId538" xr:uid="{00000000-0004-0000-0300-000019020000}"/>
    <hyperlink ref="BI79" r:id="rId539" xr:uid="{00000000-0004-0000-0300-00001A020000}"/>
    <hyperlink ref="CL79" r:id="rId540" xr:uid="{00000000-0004-0000-0300-00001B020000}"/>
    <hyperlink ref="GB79" r:id="rId541" xr:uid="{00000000-0004-0000-0300-00001C020000}"/>
    <hyperlink ref="GJ79" r:id="rId542" xr:uid="{00000000-0004-0000-0300-00001D020000}"/>
    <hyperlink ref="G80" r:id="rId543" xr:uid="{00000000-0004-0000-0300-00001E020000}"/>
    <hyperlink ref="AH80" r:id="rId544" xr:uid="{00000000-0004-0000-0300-00001F020000}"/>
    <hyperlink ref="AW80" r:id="rId545" xr:uid="{00000000-0004-0000-0300-000020020000}"/>
    <hyperlink ref="BI80" r:id="rId546" xr:uid="{00000000-0004-0000-0300-000021020000}"/>
    <hyperlink ref="CL80" r:id="rId547" xr:uid="{00000000-0004-0000-0300-000022020000}"/>
    <hyperlink ref="GB80" r:id="rId548" xr:uid="{00000000-0004-0000-0300-000023020000}"/>
    <hyperlink ref="GJ80" r:id="rId549" xr:uid="{00000000-0004-0000-0300-000024020000}"/>
    <hyperlink ref="G81" r:id="rId550" xr:uid="{00000000-0004-0000-0300-000025020000}"/>
    <hyperlink ref="AH81" r:id="rId551" xr:uid="{00000000-0004-0000-0300-000026020000}"/>
    <hyperlink ref="AW81" r:id="rId552" xr:uid="{00000000-0004-0000-0300-000027020000}"/>
    <hyperlink ref="BI81" r:id="rId553" xr:uid="{00000000-0004-0000-0300-000028020000}"/>
    <hyperlink ref="CL81" r:id="rId554" xr:uid="{00000000-0004-0000-0300-000029020000}"/>
    <hyperlink ref="GB81" r:id="rId555" xr:uid="{00000000-0004-0000-0300-00002A020000}"/>
    <hyperlink ref="GJ81" r:id="rId556" xr:uid="{00000000-0004-0000-0300-00002B020000}"/>
    <hyperlink ref="G82" r:id="rId557" xr:uid="{00000000-0004-0000-0300-00002C020000}"/>
    <hyperlink ref="AH82" r:id="rId558" xr:uid="{00000000-0004-0000-0300-00002D020000}"/>
    <hyperlink ref="AW82" r:id="rId559" xr:uid="{00000000-0004-0000-0300-00002E020000}"/>
    <hyperlink ref="BI82" r:id="rId560" xr:uid="{00000000-0004-0000-0300-00002F020000}"/>
    <hyperlink ref="CL82" r:id="rId561" xr:uid="{00000000-0004-0000-0300-000030020000}"/>
    <hyperlink ref="GB82" r:id="rId562" xr:uid="{00000000-0004-0000-0300-000031020000}"/>
    <hyperlink ref="GJ82" r:id="rId563" xr:uid="{00000000-0004-0000-0300-000032020000}"/>
    <hyperlink ref="G83" r:id="rId564" xr:uid="{00000000-0004-0000-0300-000033020000}"/>
    <hyperlink ref="AH83" r:id="rId565" xr:uid="{00000000-0004-0000-0300-000034020000}"/>
    <hyperlink ref="AW83" r:id="rId566" xr:uid="{00000000-0004-0000-0300-000035020000}"/>
    <hyperlink ref="BI83" r:id="rId567" xr:uid="{00000000-0004-0000-0300-000036020000}"/>
    <hyperlink ref="CL83" r:id="rId568" xr:uid="{00000000-0004-0000-0300-000037020000}"/>
    <hyperlink ref="GB83" r:id="rId569" xr:uid="{00000000-0004-0000-0300-000038020000}"/>
    <hyperlink ref="GJ83" r:id="rId570" xr:uid="{00000000-0004-0000-0300-000039020000}"/>
    <hyperlink ref="G84" r:id="rId571" xr:uid="{00000000-0004-0000-0300-00003A020000}"/>
    <hyperlink ref="AH84" r:id="rId572" xr:uid="{00000000-0004-0000-0300-00003B020000}"/>
    <hyperlink ref="AW84" r:id="rId573" xr:uid="{00000000-0004-0000-0300-00003C020000}"/>
    <hyperlink ref="BI84" r:id="rId574" xr:uid="{00000000-0004-0000-0300-00003D020000}"/>
    <hyperlink ref="CL84" r:id="rId575" xr:uid="{00000000-0004-0000-0300-00003E020000}"/>
    <hyperlink ref="GB84" r:id="rId576" xr:uid="{00000000-0004-0000-0300-00003F020000}"/>
    <hyperlink ref="GJ84" r:id="rId577" xr:uid="{00000000-0004-0000-0300-000040020000}"/>
    <hyperlink ref="G85" r:id="rId578" xr:uid="{00000000-0004-0000-0300-000041020000}"/>
    <hyperlink ref="AH85" r:id="rId579" xr:uid="{00000000-0004-0000-0300-000042020000}"/>
    <hyperlink ref="AW85" r:id="rId580" xr:uid="{00000000-0004-0000-0300-000043020000}"/>
    <hyperlink ref="BI85" r:id="rId581" xr:uid="{00000000-0004-0000-0300-000044020000}"/>
    <hyperlink ref="CL85" r:id="rId582" xr:uid="{00000000-0004-0000-0300-000045020000}"/>
    <hyperlink ref="GB85" r:id="rId583" xr:uid="{00000000-0004-0000-0300-000046020000}"/>
    <hyperlink ref="GJ85" r:id="rId584" xr:uid="{00000000-0004-0000-0300-000047020000}"/>
    <hyperlink ref="G86" r:id="rId585" xr:uid="{00000000-0004-0000-0300-000048020000}"/>
    <hyperlink ref="AH86" r:id="rId586" xr:uid="{00000000-0004-0000-0300-000049020000}"/>
    <hyperlink ref="AW86" r:id="rId587" xr:uid="{00000000-0004-0000-0300-00004A020000}"/>
    <hyperlink ref="BI86" r:id="rId588" xr:uid="{00000000-0004-0000-0300-00004B020000}"/>
    <hyperlink ref="CL86" r:id="rId589" xr:uid="{00000000-0004-0000-0300-00004C020000}"/>
    <hyperlink ref="GB86" r:id="rId590" xr:uid="{00000000-0004-0000-0300-00004D020000}"/>
    <hyperlink ref="GJ86" r:id="rId591" xr:uid="{00000000-0004-0000-0300-00004E020000}"/>
    <hyperlink ref="G87" r:id="rId592" xr:uid="{00000000-0004-0000-0300-00004F020000}"/>
    <hyperlink ref="AH87" r:id="rId593" xr:uid="{00000000-0004-0000-0300-000050020000}"/>
    <hyperlink ref="AW87" r:id="rId594" xr:uid="{00000000-0004-0000-0300-000051020000}"/>
    <hyperlink ref="BI87" r:id="rId595" xr:uid="{00000000-0004-0000-0300-000052020000}"/>
    <hyperlink ref="CL87" r:id="rId596" xr:uid="{00000000-0004-0000-0300-000053020000}"/>
    <hyperlink ref="GB87" r:id="rId597" xr:uid="{00000000-0004-0000-0300-000054020000}"/>
    <hyperlink ref="GJ87" r:id="rId598" xr:uid="{00000000-0004-0000-0300-000055020000}"/>
    <hyperlink ref="G88" r:id="rId599" xr:uid="{00000000-0004-0000-0300-000056020000}"/>
    <hyperlink ref="AH88" r:id="rId600" xr:uid="{00000000-0004-0000-0300-000057020000}"/>
    <hyperlink ref="AW88" r:id="rId601" xr:uid="{00000000-0004-0000-0300-000058020000}"/>
    <hyperlink ref="BI88" r:id="rId602" xr:uid="{00000000-0004-0000-0300-000059020000}"/>
    <hyperlink ref="CL88" r:id="rId603" xr:uid="{00000000-0004-0000-0300-00005A020000}"/>
    <hyperlink ref="GB88" r:id="rId604" xr:uid="{00000000-0004-0000-0300-00005B020000}"/>
    <hyperlink ref="GJ88" r:id="rId605" xr:uid="{00000000-0004-0000-0300-00005C020000}"/>
    <hyperlink ref="G89" r:id="rId606" xr:uid="{00000000-0004-0000-0300-00005D020000}"/>
    <hyperlink ref="AH89" r:id="rId607" xr:uid="{00000000-0004-0000-0300-00005E020000}"/>
    <hyperlink ref="AW89" r:id="rId608" xr:uid="{00000000-0004-0000-0300-00005F020000}"/>
    <hyperlink ref="BI89" r:id="rId609" xr:uid="{00000000-0004-0000-0300-000060020000}"/>
    <hyperlink ref="CL89" r:id="rId610" xr:uid="{00000000-0004-0000-0300-000061020000}"/>
    <hyperlink ref="GB89" r:id="rId611" xr:uid="{00000000-0004-0000-0300-000062020000}"/>
    <hyperlink ref="GJ89" r:id="rId612" xr:uid="{00000000-0004-0000-0300-000063020000}"/>
    <hyperlink ref="G90" r:id="rId613" xr:uid="{00000000-0004-0000-0300-000064020000}"/>
    <hyperlink ref="AH90" r:id="rId614" xr:uid="{00000000-0004-0000-0300-000065020000}"/>
    <hyperlink ref="AW90" r:id="rId615" xr:uid="{00000000-0004-0000-0300-000066020000}"/>
    <hyperlink ref="BI90" r:id="rId616" xr:uid="{00000000-0004-0000-0300-000067020000}"/>
    <hyperlink ref="BV90" r:id="rId617" xr:uid="{00000000-0004-0000-0300-000068020000}"/>
    <hyperlink ref="CL90" r:id="rId618" xr:uid="{00000000-0004-0000-0300-000069020000}"/>
    <hyperlink ref="GB90" r:id="rId619" xr:uid="{00000000-0004-0000-0300-00006A020000}"/>
    <hyperlink ref="GJ90" r:id="rId620" xr:uid="{00000000-0004-0000-0300-00006B020000}"/>
    <hyperlink ref="G91" r:id="rId621" xr:uid="{00000000-0004-0000-0300-00006C020000}"/>
    <hyperlink ref="AH91" r:id="rId622" xr:uid="{00000000-0004-0000-0300-00006D020000}"/>
    <hyperlink ref="AW91" r:id="rId623" xr:uid="{00000000-0004-0000-0300-00006E020000}"/>
    <hyperlink ref="BI91" r:id="rId624" xr:uid="{00000000-0004-0000-0300-00006F020000}"/>
    <hyperlink ref="CL91" r:id="rId625" xr:uid="{00000000-0004-0000-0300-000070020000}"/>
    <hyperlink ref="GB91" r:id="rId626" xr:uid="{00000000-0004-0000-0300-000071020000}"/>
    <hyperlink ref="GJ91" r:id="rId627" xr:uid="{00000000-0004-0000-0300-000072020000}"/>
    <hyperlink ref="G92" r:id="rId628" xr:uid="{00000000-0004-0000-0300-000073020000}"/>
    <hyperlink ref="AH92" r:id="rId629" xr:uid="{00000000-0004-0000-0300-000074020000}"/>
    <hyperlink ref="AW92" r:id="rId630" xr:uid="{00000000-0004-0000-0300-000075020000}"/>
    <hyperlink ref="BI92" r:id="rId631" xr:uid="{00000000-0004-0000-0300-000076020000}"/>
    <hyperlink ref="CL92" r:id="rId632" xr:uid="{00000000-0004-0000-0300-000077020000}"/>
    <hyperlink ref="GB92" r:id="rId633" xr:uid="{00000000-0004-0000-0300-000078020000}"/>
    <hyperlink ref="GJ92" r:id="rId634" xr:uid="{00000000-0004-0000-0300-000079020000}"/>
    <hyperlink ref="G93" r:id="rId635" xr:uid="{00000000-0004-0000-0300-00007A020000}"/>
    <hyperlink ref="AH93" r:id="rId636" xr:uid="{00000000-0004-0000-0300-00007B020000}"/>
    <hyperlink ref="AW93" r:id="rId637" xr:uid="{00000000-0004-0000-0300-00007C020000}"/>
    <hyperlink ref="BI93" r:id="rId638" xr:uid="{00000000-0004-0000-0300-00007D020000}"/>
    <hyperlink ref="CL93" r:id="rId639" xr:uid="{00000000-0004-0000-0300-00007E020000}"/>
    <hyperlink ref="GB93" r:id="rId640" xr:uid="{00000000-0004-0000-0300-00007F020000}"/>
    <hyperlink ref="GJ93" r:id="rId641" xr:uid="{00000000-0004-0000-0300-000080020000}"/>
    <hyperlink ref="G94" r:id="rId642" xr:uid="{00000000-0004-0000-0300-000081020000}"/>
    <hyperlink ref="AH94" r:id="rId643" xr:uid="{00000000-0004-0000-0300-000082020000}"/>
    <hyperlink ref="AW94" r:id="rId644" xr:uid="{00000000-0004-0000-0300-000083020000}"/>
    <hyperlink ref="BI94" r:id="rId645" xr:uid="{00000000-0004-0000-0300-000084020000}"/>
    <hyperlink ref="CL94" r:id="rId646" xr:uid="{00000000-0004-0000-0300-000085020000}"/>
    <hyperlink ref="GB94" r:id="rId647" xr:uid="{00000000-0004-0000-0300-000086020000}"/>
    <hyperlink ref="GJ94" r:id="rId648" xr:uid="{00000000-0004-0000-0300-000087020000}"/>
    <hyperlink ref="G95" r:id="rId649" xr:uid="{00000000-0004-0000-0300-000088020000}"/>
    <hyperlink ref="AH95" r:id="rId650" xr:uid="{00000000-0004-0000-0300-000089020000}"/>
    <hyperlink ref="AW95" r:id="rId651" xr:uid="{00000000-0004-0000-0300-00008A020000}"/>
    <hyperlink ref="BI95" r:id="rId652" xr:uid="{00000000-0004-0000-0300-00008B020000}"/>
    <hyperlink ref="CL95" r:id="rId653" xr:uid="{00000000-0004-0000-0300-00008C020000}"/>
    <hyperlink ref="GB95" r:id="rId654" xr:uid="{00000000-0004-0000-0300-00008D020000}"/>
    <hyperlink ref="GJ95" r:id="rId655" xr:uid="{00000000-0004-0000-0300-00008E020000}"/>
    <hyperlink ref="G96" r:id="rId656" xr:uid="{00000000-0004-0000-0300-00008F020000}"/>
    <hyperlink ref="AH96" r:id="rId657" xr:uid="{00000000-0004-0000-0300-000090020000}"/>
    <hyperlink ref="AW96" r:id="rId658" xr:uid="{00000000-0004-0000-0300-000091020000}"/>
    <hyperlink ref="BI96" r:id="rId659" xr:uid="{00000000-0004-0000-0300-000092020000}"/>
    <hyperlink ref="CL96" r:id="rId660" xr:uid="{00000000-0004-0000-0300-000093020000}"/>
    <hyperlink ref="GB96" r:id="rId661" xr:uid="{00000000-0004-0000-0300-000094020000}"/>
    <hyperlink ref="GJ96" r:id="rId662" xr:uid="{00000000-0004-0000-0300-000095020000}"/>
    <hyperlink ref="G97" r:id="rId663" xr:uid="{00000000-0004-0000-0300-000096020000}"/>
    <hyperlink ref="AH97" r:id="rId664" xr:uid="{00000000-0004-0000-0300-000097020000}"/>
    <hyperlink ref="AW97" r:id="rId665" xr:uid="{00000000-0004-0000-0300-000098020000}"/>
    <hyperlink ref="BI97" r:id="rId666" xr:uid="{00000000-0004-0000-0300-000099020000}"/>
    <hyperlink ref="CL97" r:id="rId667" xr:uid="{00000000-0004-0000-0300-00009A020000}"/>
    <hyperlink ref="GB97" r:id="rId668" xr:uid="{00000000-0004-0000-0300-00009B020000}"/>
    <hyperlink ref="GJ97" r:id="rId669" xr:uid="{00000000-0004-0000-0300-00009C020000}"/>
    <hyperlink ref="G98" r:id="rId670" xr:uid="{00000000-0004-0000-0300-00009D020000}"/>
    <hyperlink ref="AH98" r:id="rId671" xr:uid="{00000000-0004-0000-0300-00009E020000}"/>
    <hyperlink ref="AW98" r:id="rId672" xr:uid="{00000000-0004-0000-0300-00009F020000}"/>
    <hyperlink ref="BI98" r:id="rId673" xr:uid="{00000000-0004-0000-0300-0000A0020000}"/>
    <hyperlink ref="CL98" r:id="rId674" xr:uid="{00000000-0004-0000-0300-0000A1020000}"/>
    <hyperlink ref="GB98" r:id="rId675" xr:uid="{00000000-0004-0000-0300-0000A2020000}"/>
    <hyperlink ref="GJ98" r:id="rId676" xr:uid="{00000000-0004-0000-0300-0000A3020000}"/>
    <hyperlink ref="G99" r:id="rId677" xr:uid="{00000000-0004-0000-0300-0000A4020000}"/>
    <hyperlink ref="AH99" r:id="rId678" xr:uid="{00000000-0004-0000-0300-0000A5020000}"/>
    <hyperlink ref="AW99" r:id="rId679" xr:uid="{00000000-0004-0000-0300-0000A6020000}"/>
    <hyperlink ref="BI99" r:id="rId680" xr:uid="{00000000-0004-0000-0300-0000A7020000}"/>
    <hyperlink ref="CL99" r:id="rId681" xr:uid="{00000000-0004-0000-0300-0000A8020000}"/>
    <hyperlink ref="GB99" r:id="rId682" xr:uid="{00000000-0004-0000-0300-0000A9020000}"/>
    <hyperlink ref="GJ99" r:id="rId683" xr:uid="{00000000-0004-0000-0300-0000AA020000}"/>
    <hyperlink ref="G100" r:id="rId684" xr:uid="{00000000-0004-0000-0300-0000AB020000}"/>
    <hyperlink ref="AH100" r:id="rId685" xr:uid="{00000000-0004-0000-0300-0000AC020000}"/>
    <hyperlink ref="AW100" r:id="rId686" xr:uid="{00000000-0004-0000-0300-0000AD020000}"/>
    <hyperlink ref="BI100" r:id="rId687" xr:uid="{00000000-0004-0000-0300-0000AE020000}"/>
    <hyperlink ref="CL100" r:id="rId688" xr:uid="{00000000-0004-0000-0300-0000AF020000}"/>
    <hyperlink ref="GB100" r:id="rId689" xr:uid="{00000000-0004-0000-0300-0000B0020000}"/>
    <hyperlink ref="GJ100" r:id="rId690" xr:uid="{00000000-0004-0000-0300-0000B1020000}"/>
    <hyperlink ref="G101" r:id="rId691" xr:uid="{00000000-0004-0000-0300-0000B2020000}"/>
    <hyperlink ref="AH101" r:id="rId692" xr:uid="{00000000-0004-0000-0300-0000B3020000}"/>
    <hyperlink ref="AW101" r:id="rId693" xr:uid="{00000000-0004-0000-0300-0000B4020000}"/>
    <hyperlink ref="BI101" r:id="rId694" xr:uid="{00000000-0004-0000-0300-0000B5020000}"/>
    <hyperlink ref="CL101" r:id="rId695" xr:uid="{00000000-0004-0000-0300-0000B6020000}"/>
    <hyperlink ref="GB101" r:id="rId696" xr:uid="{00000000-0004-0000-0300-0000B7020000}"/>
    <hyperlink ref="GJ101" r:id="rId697" xr:uid="{00000000-0004-0000-0300-0000B8020000}"/>
    <hyperlink ref="G102" r:id="rId698" xr:uid="{00000000-0004-0000-0300-0000B9020000}"/>
    <hyperlink ref="AH102" r:id="rId699" xr:uid="{00000000-0004-0000-0300-0000BA020000}"/>
    <hyperlink ref="AW102" r:id="rId700" xr:uid="{00000000-0004-0000-0300-0000BB020000}"/>
    <hyperlink ref="BI102" r:id="rId701" xr:uid="{00000000-0004-0000-0300-0000BC020000}"/>
    <hyperlink ref="CL102" r:id="rId702" xr:uid="{00000000-0004-0000-0300-0000BD020000}"/>
    <hyperlink ref="GB102" r:id="rId703" xr:uid="{00000000-0004-0000-0300-0000BE020000}"/>
    <hyperlink ref="GJ102" r:id="rId704" xr:uid="{00000000-0004-0000-0300-0000BF020000}"/>
    <hyperlink ref="G103" r:id="rId705" xr:uid="{00000000-0004-0000-0300-0000C0020000}"/>
    <hyperlink ref="AH103" r:id="rId706" xr:uid="{00000000-0004-0000-0300-0000C1020000}"/>
    <hyperlink ref="AW103" r:id="rId707" xr:uid="{00000000-0004-0000-0300-0000C2020000}"/>
    <hyperlink ref="BI103" r:id="rId708" xr:uid="{00000000-0004-0000-0300-0000C3020000}"/>
    <hyperlink ref="CL103" r:id="rId709" xr:uid="{00000000-0004-0000-0300-0000C4020000}"/>
    <hyperlink ref="GB103" r:id="rId710" xr:uid="{00000000-0004-0000-0300-0000C5020000}"/>
    <hyperlink ref="GJ103" r:id="rId711" xr:uid="{00000000-0004-0000-0300-0000C6020000}"/>
    <hyperlink ref="G104" r:id="rId712" xr:uid="{00000000-0004-0000-0300-0000C7020000}"/>
    <hyperlink ref="AH104" r:id="rId713" xr:uid="{00000000-0004-0000-0300-0000C8020000}"/>
    <hyperlink ref="AW104" r:id="rId714" xr:uid="{00000000-0004-0000-0300-0000C9020000}"/>
    <hyperlink ref="BI104" r:id="rId715" xr:uid="{00000000-0004-0000-0300-0000CA020000}"/>
    <hyperlink ref="CL104" r:id="rId716" xr:uid="{00000000-0004-0000-0300-0000CB020000}"/>
    <hyperlink ref="GB104" r:id="rId717" xr:uid="{00000000-0004-0000-0300-0000CC020000}"/>
    <hyperlink ref="GJ104" r:id="rId718" xr:uid="{00000000-0004-0000-0300-0000CD020000}"/>
    <hyperlink ref="G105" r:id="rId719" xr:uid="{00000000-0004-0000-0300-0000CE020000}"/>
    <hyperlink ref="AH105" r:id="rId720" xr:uid="{00000000-0004-0000-0300-0000CF020000}"/>
    <hyperlink ref="AW105" r:id="rId721" xr:uid="{00000000-0004-0000-0300-0000D0020000}"/>
    <hyperlink ref="BI105" r:id="rId722" xr:uid="{00000000-0004-0000-0300-0000D1020000}"/>
    <hyperlink ref="CL105" r:id="rId723" xr:uid="{00000000-0004-0000-0300-0000D2020000}"/>
    <hyperlink ref="GB105" r:id="rId724" xr:uid="{00000000-0004-0000-0300-0000D3020000}"/>
    <hyperlink ref="GJ105" r:id="rId725" xr:uid="{00000000-0004-0000-0300-0000D4020000}"/>
    <hyperlink ref="G106" r:id="rId726" xr:uid="{00000000-0004-0000-0300-0000D5020000}"/>
    <hyperlink ref="AH106" r:id="rId727" xr:uid="{00000000-0004-0000-0300-0000D6020000}"/>
    <hyperlink ref="AW106" r:id="rId728" xr:uid="{00000000-0004-0000-0300-0000D7020000}"/>
    <hyperlink ref="BI106" r:id="rId729" xr:uid="{00000000-0004-0000-0300-0000D8020000}"/>
    <hyperlink ref="CL106" r:id="rId730" xr:uid="{00000000-0004-0000-0300-0000D9020000}"/>
    <hyperlink ref="GB106" r:id="rId731" xr:uid="{00000000-0004-0000-0300-0000DA020000}"/>
    <hyperlink ref="GJ106" r:id="rId732" xr:uid="{00000000-0004-0000-0300-0000DB020000}"/>
    <hyperlink ref="G107" r:id="rId733" xr:uid="{00000000-0004-0000-0300-0000DC020000}"/>
    <hyperlink ref="AH107" r:id="rId734" xr:uid="{00000000-0004-0000-0300-0000DD020000}"/>
    <hyperlink ref="AW107" r:id="rId735" xr:uid="{00000000-0004-0000-0300-0000DE020000}"/>
    <hyperlink ref="BI107" r:id="rId736" xr:uid="{00000000-0004-0000-0300-0000DF020000}"/>
    <hyperlink ref="CL107" r:id="rId737" xr:uid="{00000000-0004-0000-0300-0000E0020000}"/>
    <hyperlink ref="GB107" r:id="rId738" xr:uid="{00000000-0004-0000-0300-0000E1020000}"/>
    <hyperlink ref="GJ107" r:id="rId739" xr:uid="{00000000-0004-0000-0300-0000E2020000}"/>
    <hyperlink ref="G108" r:id="rId740" xr:uid="{00000000-0004-0000-0300-0000E3020000}"/>
    <hyperlink ref="AH108" r:id="rId741" xr:uid="{00000000-0004-0000-0300-0000E4020000}"/>
    <hyperlink ref="AW108" r:id="rId742" xr:uid="{00000000-0004-0000-0300-0000E5020000}"/>
    <hyperlink ref="BI108" r:id="rId743" xr:uid="{00000000-0004-0000-0300-0000E6020000}"/>
    <hyperlink ref="CL108" r:id="rId744" xr:uid="{00000000-0004-0000-0300-0000E7020000}"/>
    <hyperlink ref="GB108" r:id="rId745" xr:uid="{00000000-0004-0000-0300-0000E8020000}"/>
    <hyperlink ref="GJ108" r:id="rId746" xr:uid="{00000000-0004-0000-0300-0000E9020000}"/>
    <hyperlink ref="G109" r:id="rId747" xr:uid="{00000000-0004-0000-0300-0000EA020000}"/>
    <hyperlink ref="AH109" r:id="rId748" xr:uid="{00000000-0004-0000-0300-0000EB020000}"/>
    <hyperlink ref="AW109" r:id="rId749" xr:uid="{00000000-0004-0000-0300-0000EC020000}"/>
    <hyperlink ref="BI109" r:id="rId750" xr:uid="{00000000-0004-0000-0300-0000ED020000}"/>
    <hyperlink ref="CL109" r:id="rId751" xr:uid="{00000000-0004-0000-0300-0000EE020000}"/>
    <hyperlink ref="GB109" r:id="rId752" xr:uid="{00000000-0004-0000-0300-0000EF020000}"/>
    <hyperlink ref="GJ109" r:id="rId753" xr:uid="{00000000-0004-0000-0300-0000F0020000}"/>
    <hyperlink ref="G110" r:id="rId754" xr:uid="{00000000-0004-0000-0300-0000F1020000}"/>
    <hyperlink ref="AH110" r:id="rId755" xr:uid="{00000000-0004-0000-0300-0000F2020000}"/>
    <hyperlink ref="AW110" r:id="rId756" xr:uid="{00000000-0004-0000-0300-0000F3020000}"/>
    <hyperlink ref="BI110" r:id="rId757" xr:uid="{00000000-0004-0000-0300-0000F4020000}"/>
    <hyperlink ref="CL110" r:id="rId758" xr:uid="{00000000-0004-0000-0300-0000F5020000}"/>
    <hyperlink ref="GB110" r:id="rId759" xr:uid="{00000000-0004-0000-0300-0000F6020000}"/>
    <hyperlink ref="GJ110" r:id="rId760" xr:uid="{00000000-0004-0000-0300-0000F7020000}"/>
    <hyperlink ref="G111" r:id="rId761" xr:uid="{00000000-0004-0000-0300-0000F8020000}"/>
    <hyperlink ref="AH111" r:id="rId762" xr:uid="{00000000-0004-0000-0300-0000F9020000}"/>
    <hyperlink ref="AW111" r:id="rId763" xr:uid="{00000000-0004-0000-0300-0000FA020000}"/>
    <hyperlink ref="BI111" r:id="rId764" xr:uid="{00000000-0004-0000-0300-0000FB020000}"/>
    <hyperlink ref="BV111" r:id="rId765" xr:uid="{00000000-0004-0000-0300-0000FC020000}"/>
    <hyperlink ref="CL111" r:id="rId766" xr:uid="{00000000-0004-0000-0300-0000FD020000}"/>
    <hyperlink ref="GB111" r:id="rId767" xr:uid="{00000000-0004-0000-0300-0000FE020000}"/>
    <hyperlink ref="GJ111" r:id="rId768" xr:uid="{00000000-0004-0000-0300-0000FF020000}"/>
    <hyperlink ref="G112" r:id="rId769" xr:uid="{00000000-0004-0000-0300-000000030000}"/>
    <hyperlink ref="AH112" r:id="rId770" xr:uid="{00000000-0004-0000-0300-000001030000}"/>
    <hyperlink ref="AW112" r:id="rId771" xr:uid="{00000000-0004-0000-0300-000002030000}"/>
    <hyperlink ref="BI112" r:id="rId772" xr:uid="{00000000-0004-0000-0300-000003030000}"/>
    <hyperlink ref="CL112" r:id="rId773" xr:uid="{00000000-0004-0000-0300-000004030000}"/>
    <hyperlink ref="GB112" r:id="rId774" xr:uid="{00000000-0004-0000-0300-000005030000}"/>
    <hyperlink ref="GJ112" r:id="rId775" xr:uid="{00000000-0004-0000-0300-000006030000}"/>
    <hyperlink ref="G113" r:id="rId776" xr:uid="{00000000-0004-0000-0300-000007030000}"/>
    <hyperlink ref="AH113" r:id="rId777" xr:uid="{00000000-0004-0000-0300-000008030000}"/>
    <hyperlink ref="AW113" r:id="rId778" xr:uid="{00000000-0004-0000-0300-000009030000}"/>
    <hyperlink ref="BI113" r:id="rId779" xr:uid="{00000000-0004-0000-0300-00000A030000}"/>
    <hyperlink ref="CL113" r:id="rId780" xr:uid="{00000000-0004-0000-0300-00000B030000}"/>
    <hyperlink ref="GB113" r:id="rId781" xr:uid="{00000000-0004-0000-0300-00000C030000}"/>
    <hyperlink ref="GJ113" r:id="rId782" xr:uid="{00000000-0004-0000-0300-00000D030000}"/>
    <hyperlink ref="G114" r:id="rId783" xr:uid="{00000000-0004-0000-0300-00000E030000}"/>
    <hyperlink ref="AH114" r:id="rId784" xr:uid="{00000000-0004-0000-0300-00000F030000}"/>
    <hyperlink ref="AW114" r:id="rId785" xr:uid="{00000000-0004-0000-0300-000010030000}"/>
    <hyperlink ref="BI114" r:id="rId786" xr:uid="{00000000-0004-0000-0300-000011030000}"/>
    <hyperlink ref="CL114" r:id="rId787" xr:uid="{00000000-0004-0000-0300-000012030000}"/>
    <hyperlink ref="GB114" r:id="rId788" xr:uid="{00000000-0004-0000-0300-000013030000}"/>
    <hyperlink ref="GJ114" r:id="rId789" xr:uid="{00000000-0004-0000-0300-000014030000}"/>
    <hyperlink ref="G115" r:id="rId790" xr:uid="{00000000-0004-0000-0300-000015030000}"/>
    <hyperlink ref="AH115" r:id="rId791" xr:uid="{00000000-0004-0000-0300-000016030000}"/>
    <hyperlink ref="AW115" r:id="rId792" xr:uid="{00000000-0004-0000-0300-000017030000}"/>
    <hyperlink ref="BI115" r:id="rId793" xr:uid="{00000000-0004-0000-0300-000018030000}"/>
    <hyperlink ref="CL115" r:id="rId794" xr:uid="{00000000-0004-0000-0300-000019030000}"/>
    <hyperlink ref="GB115" r:id="rId795" xr:uid="{00000000-0004-0000-0300-00001A030000}"/>
    <hyperlink ref="GJ115" r:id="rId796" xr:uid="{00000000-0004-0000-0300-00001B030000}"/>
    <hyperlink ref="G116" r:id="rId797" xr:uid="{00000000-0004-0000-0300-00001C030000}"/>
    <hyperlink ref="AH116" r:id="rId798" xr:uid="{00000000-0004-0000-0300-00001D030000}"/>
    <hyperlink ref="AW116" r:id="rId799" xr:uid="{00000000-0004-0000-0300-00001E030000}"/>
    <hyperlink ref="BI116" r:id="rId800" xr:uid="{00000000-0004-0000-0300-00001F030000}"/>
    <hyperlink ref="CL116" r:id="rId801" xr:uid="{00000000-0004-0000-0300-000020030000}"/>
    <hyperlink ref="GB116" r:id="rId802" xr:uid="{00000000-0004-0000-0300-000021030000}"/>
    <hyperlink ref="GJ116" r:id="rId803" xr:uid="{00000000-0004-0000-0300-000022030000}"/>
    <hyperlink ref="G117" r:id="rId804" xr:uid="{00000000-0004-0000-0300-000023030000}"/>
    <hyperlink ref="AH117" r:id="rId805" xr:uid="{00000000-0004-0000-0300-000024030000}"/>
    <hyperlink ref="AW117" r:id="rId806" xr:uid="{00000000-0004-0000-0300-000025030000}"/>
    <hyperlink ref="BI117" r:id="rId807" xr:uid="{00000000-0004-0000-0300-000026030000}"/>
    <hyperlink ref="CL117" r:id="rId808" xr:uid="{00000000-0004-0000-0300-000027030000}"/>
    <hyperlink ref="GB117" r:id="rId809" xr:uid="{00000000-0004-0000-0300-000028030000}"/>
    <hyperlink ref="GJ117" r:id="rId810" xr:uid="{00000000-0004-0000-0300-000029030000}"/>
    <hyperlink ref="G118" r:id="rId811" xr:uid="{00000000-0004-0000-0300-00002A030000}"/>
    <hyperlink ref="AH118" r:id="rId812" xr:uid="{00000000-0004-0000-0300-00002B030000}"/>
    <hyperlink ref="AW118" r:id="rId813" xr:uid="{00000000-0004-0000-0300-00002C030000}"/>
    <hyperlink ref="BI118" r:id="rId814" xr:uid="{00000000-0004-0000-0300-00002D030000}"/>
    <hyperlink ref="CL118" r:id="rId815" xr:uid="{00000000-0004-0000-0300-00002E030000}"/>
    <hyperlink ref="GB118" r:id="rId816" xr:uid="{00000000-0004-0000-0300-00002F030000}"/>
    <hyperlink ref="GJ118" r:id="rId817" xr:uid="{00000000-0004-0000-0300-000030030000}"/>
    <hyperlink ref="G119" r:id="rId818" xr:uid="{00000000-0004-0000-0300-000031030000}"/>
    <hyperlink ref="AH119" r:id="rId819" xr:uid="{00000000-0004-0000-0300-000032030000}"/>
    <hyperlink ref="AW119" r:id="rId820" xr:uid="{00000000-0004-0000-0300-000033030000}"/>
    <hyperlink ref="BI119" r:id="rId821" xr:uid="{00000000-0004-0000-0300-000034030000}"/>
    <hyperlink ref="CL119" r:id="rId822" xr:uid="{00000000-0004-0000-0300-000035030000}"/>
    <hyperlink ref="GB119" r:id="rId823" xr:uid="{00000000-0004-0000-0300-000036030000}"/>
    <hyperlink ref="GJ119" r:id="rId824" xr:uid="{00000000-0004-0000-0300-000037030000}"/>
    <hyperlink ref="G120" r:id="rId825" xr:uid="{00000000-0004-0000-0300-000038030000}"/>
    <hyperlink ref="AH120" r:id="rId826" xr:uid="{00000000-0004-0000-0300-000039030000}"/>
    <hyperlink ref="AW120" r:id="rId827" xr:uid="{00000000-0004-0000-0300-00003A030000}"/>
    <hyperlink ref="BI120" r:id="rId828" xr:uid="{00000000-0004-0000-0300-00003B030000}"/>
    <hyperlink ref="CL120" r:id="rId829" xr:uid="{00000000-0004-0000-0300-00003C030000}"/>
    <hyperlink ref="GB120" r:id="rId830" xr:uid="{00000000-0004-0000-0300-00003D030000}"/>
    <hyperlink ref="GJ120" r:id="rId831" xr:uid="{00000000-0004-0000-0300-00003E030000}"/>
    <hyperlink ref="G121" r:id="rId832" xr:uid="{00000000-0004-0000-0300-00003F030000}"/>
    <hyperlink ref="AH121" r:id="rId833" xr:uid="{00000000-0004-0000-0300-000040030000}"/>
    <hyperlink ref="AW121" r:id="rId834" xr:uid="{00000000-0004-0000-0300-000041030000}"/>
    <hyperlink ref="BI121" r:id="rId835" xr:uid="{00000000-0004-0000-0300-000042030000}"/>
    <hyperlink ref="CL121" r:id="rId836" xr:uid="{00000000-0004-0000-0300-000043030000}"/>
    <hyperlink ref="GB121" r:id="rId837" xr:uid="{00000000-0004-0000-0300-000044030000}"/>
    <hyperlink ref="GJ121" r:id="rId838" xr:uid="{00000000-0004-0000-0300-000045030000}"/>
    <hyperlink ref="G122" r:id="rId839" xr:uid="{00000000-0004-0000-0300-000046030000}"/>
    <hyperlink ref="AH122" r:id="rId840" xr:uid="{00000000-0004-0000-0300-000047030000}"/>
    <hyperlink ref="AW122" r:id="rId841" xr:uid="{00000000-0004-0000-0300-000048030000}"/>
    <hyperlink ref="BI122" r:id="rId842" xr:uid="{00000000-0004-0000-0300-000049030000}"/>
    <hyperlink ref="CL122" r:id="rId843" xr:uid="{00000000-0004-0000-0300-00004A030000}"/>
    <hyperlink ref="GB122" r:id="rId844" xr:uid="{00000000-0004-0000-0300-00004B030000}"/>
    <hyperlink ref="GJ122" r:id="rId845" xr:uid="{00000000-0004-0000-0300-00004C030000}"/>
    <hyperlink ref="G123" r:id="rId846" xr:uid="{00000000-0004-0000-0300-00004D030000}"/>
    <hyperlink ref="AH123" r:id="rId847" xr:uid="{00000000-0004-0000-0300-00004E030000}"/>
    <hyperlink ref="AW123" r:id="rId848" xr:uid="{00000000-0004-0000-0300-00004F030000}"/>
    <hyperlink ref="BI123" r:id="rId849" xr:uid="{00000000-0004-0000-0300-000050030000}"/>
    <hyperlink ref="CL123" r:id="rId850" xr:uid="{00000000-0004-0000-0300-000051030000}"/>
    <hyperlink ref="GB123" r:id="rId851" xr:uid="{00000000-0004-0000-0300-000052030000}"/>
    <hyperlink ref="GJ123" r:id="rId852" xr:uid="{00000000-0004-0000-0300-000053030000}"/>
    <hyperlink ref="G124" r:id="rId853" xr:uid="{00000000-0004-0000-0300-000054030000}"/>
    <hyperlink ref="AH124" r:id="rId854" xr:uid="{00000000-0004-0000-0300-000055030000}"/>
    <hyperlink ref="AW124" r:id="rId855" xr:uid="{00000000-0004-0000-0300-000056030000}"/>
    <hyperlink ref="BI124" r:id="rId856" xr:uid="{00000000-0004-0000-0300-000057030000}"/>
    <hyperlink ref="CL124" r:id="rId857" xr:uid="{00000000-0004-0000-0300-000058030000}"/>
    <hyperlink ref="GB124" r:id="rId858" xr:uid="{00000000-0004-0000-0300-000059030000}"/>
    <hyperlink ref="GJ124" r:id="rId859" xr:uid="{00000000-0004-0000-0300-00005A030000}"/>
    <hyperlink ref="G125" r:id="rId860" xr:uid="{00000000-0004-0000-0300-00005B030000}"/>
    <hyperlink ref="AH125" r:id="rId861" xr:uid="{00000000-0004-0000-0300-00005C030000}"/>
    <hyperlink ref="AW125" r:id="rId862" xr:uid="{00000000-0004-0000-0300-00005D030000}"/>
    <hyperlink ref="BI125" r:id="rId863" xr:uid="{00000000-0004-0000-0300-00005E030000}"/>
    <hyperlink ref="CL125" r:id="rId864" xr:uid="{00000000-0004-0000-0300-00005F030000}"/>
    <hyperlink ref="GB125" r:id="rId865" xr:uid="{00000000-0004-0000-0300-000060030000}"/>
    <hyperlink ref="GJ125" r:id="rId866" xr:uid="{00000000-0004-0000-0300-000061030000}"/>
    <hyperlink ref="G126" r:id="rId867" xr:uid="{00000000-0004-0000-0300-000062030000}"/>
    <hyperlink ref="AH126" r:id="rId868" xr:uid="{00000000-0004-0000-0300-000063030000}"/>
    <hyperlink ref="AW126" r:id="rId869" xr:uid="{00000000-0004-0000-0300-000064030000}"/>
    <hyperlink ref="BI126" r:id="rId870" xr:uid="{00000000-0004-0000-0300-000065030000}"/>
    <hyperlink ref="CL126" r:id="rId871" xr:uid="{00000000-0004-0000-0300-000066030000}"/>
    <hyperlink ref="GB126" r:id="rId872" xr:uid="{00000000-0004-0000-0300-000067030000}"/>
    <hyperlink ref="GJ126" r:id="rId873" xr:uid="{00000000-0004-0000-0300-000068030000}"/>
    <hyperlink ref="G127" r:id="rId874" xr:uid="{00000000-0004-0000-0300-000069030000}"/>
    <hyperlink ref="AH127" r:id="rId875" xr:uid="{00000000-0004-0000-0300-00006A030000}"/>
    <hyperlink ref="AW127" r:id="rId876" xr:uid="{00000000-0004-0000-0300-00006B030000}"/>
    <hyperlink ref="BI127" r:id="rId877" xr:uid="{00000000-0004-0000-0300-00006C030000}"/>
    <hyperlink ref="CL127" r:id="rId878" xr:uid="{00000000-0004-0000-0300-00006D030000}"/>
    <hyperlink ref="GB127" r:id="rId879" xr:uid="{00000000-0004-0000-0300-00006E030000}"/>
    <hyperlink ref="GJ127" r:id="rId880" xr:uid="{00000000-0004-0000-0300-00006F030000}"/>
    <hyperlink ref="G128" r:id="rId881" xr:uid="{00000000-0004-0000-0300-000070030000}"/>
    <hyperlink ref="AH128" r:id="rId882" xr:uid="{00000000-0004-0000-0300-000071030000}"/>
    <hyperlink ref="AW128" r:id="rId883" xr:uid="{00000000-0004-0000-0300-000072030000}"/>
    <hyperlink ref="BI128" r:id="rId884" xr:uid="{00000000-0004-0000-0300-000073030000}"/>
    <hyperlink ref="CL128" r:id="rId885" xr:uid="{00000000-0004-0000-0300-000074030000}"/>
    <hyperlink ref="GB128" r:id="rId886" xr:uid="{00000000-0004-0000-0300-000075030000}"/>
    <hyperlink ref="GJ128" r:id="rId887" xr:uid="{00000000-0004-0000-0300-000076030000}"/>
    <hyperlink ref="G129" r:id="rId888" xr:uid="{00000000-0004-0000-0300-000077030000}"/>
    <hyperlink ref="AH129" r:id="rId889" xr:uid="{00000000-0004-0000-0300-000078030000}"/>
    <hyperlink ref="AW129" r:id="rId890" xr:uid="{00000000-0004-0000-0300-000079030000}"/>
    <hyperlink ref="BI129" r:id="rId891" xr:uid="{00000000-0004-0000-0300-00007A030000}"/>
    <hyperlink ref="CL129" r:id="rId892" xr:uid="{00000000-0004-0000-0300-00007B030000}"/>
    <hyperlink ref="GB129" r:id="rId893" xr:uid="{00000000-0004-0000-0300-00007C030000}"/>
    <hyperlink ref="GJ129" r:id="rId894" xr:uid="{00000000-0004-0000-0300-00007D030000}"/>
    <hyperlink ref="G130" r:id="rId895" xr:uid="{00000000-0004-0000-0300-00007E030000}"/>
    <hyperlink ref="AH130" r:id="rId896" xr:uid="{00000000-0004-0000-0300-00007F030000}"/>
    <hyperlink ref="AW130" r:id="rId897" xr:uid="{00000000-0004-0000-0300-000080030000}"/>
    <hyperlink ref="BI130" r:id="rId898" xr:uid="{00000000-0004-0000-0300-000081030000}"/>
    <hyperlink ref="CL130" r:id="rId899" xr:uid="{00000000-0004-0000-0300-000082030000}"/>
    <hyperlink ref="GB130" r:id="rId900" xr:uid="{00000000-0004-0000-0300-000083030000}"/>
    <hyperlink ref="GJ130" r:id="rId901" xr:uid="{00000000-0004-0000-0300-000084030000}"/>
    <hyperlink ref="G131" r:id="rId902" xr:uid="{00000000-0004-0000-0300-000085030000}"/>
    <hyperlink ref="AH131" r:id="rId903" xr:uid="{00000000-0004-0000-0300-000086030000}"/>
    <hyperlink ref="AW131" r:id="rId904" xr:uid="{00000000-0004-0000-0300-000087030000}"/>
    <hyperlink ref="BI131" r:id="rId905" xr:uid="{00000000-0004-0000-0300-000088030000}"/>
    <hyperlink ref="CL131" r:id="rId906" xr:uid="{00000000-0004-0000-0300-000089030000}"/>
    <hyperlink ref="GB131" r:id="rId907" xr:uid="{00000000-0004-0000-0300-00008A030000}"/>
    <hyperlink ref="GJ131" r:id="rId908" xr:uid="{00000000-0004-0000-0300-00008B030000}"/>
    <hyperlink ref="G132" r:id="rId909" xr:uid="{00000000-0004-0000-0300-00008C030000}"/>
    <hyperlink ref="AH132" r:id="rId910" xr:uid="{00000000-0004-0000-0300-00008D030000}"/>
    <hyperlink ref="AW132" r:id="rId911" xr:uid="{00000000-0004-0000-0300-00008E030000}"/>
    <hyperlink ref="BI132" r:id="rId912" xr:uid="{00000000-0004-0000-0300-00008F030000}"/>
    <hyperlink ref="CL132" r:id="rId913" xr:uid="{00000000-0004-0000-0300-000090030000}"/>
    <hyperlink ref="GB132" r:id="rId914" xr:uid="{00000000-0004-0000-0300-000091030000}"/>
    <hyperlink ref="GJ132" r:id="rId915" xr:uid="{00000000-0004-0000-0300-000092030000}"/>
    <hyperlink ref="G133" r:id="rId916" xr:uid="{00000000-0004-0000-0300-000093030000}"/>
    <hyperlink ref="AH133" r:id="rId917" xr:uid="{00000000-0004-0000-0300-000094030000}"/>
    <hyperlink ref="AW133" r:id="rId918" xr:uid="{00000000-0004-0000-0300-000095030000}"/>
    <hyperlink ref="BI133" r:id="rId919" xr:uid="{00000000-0004-0000-0300-000096030000}"/>
    <hyperlink ref="CL133" r:id="rId920" xr:uid="{00000000-0004-0000-0300-000097030000}"/>
    <hyperlink ref="GB133" r:id="rId921" xr:uid="{00000000-0004-0000-0300-000098030000}"/>
    <hyperlink ref="GJ133" r:id="rId922" xr:uid="{00000000-0004-0000-0300-000099030000}"/>
    <hyperlink ref="G134" r:id="rId923" xr:uid="{00000000-0004-0000-0300-00009A030000}"/>
    <hyperlink ref="AH134" r:id="rId924" xr:uid="{00000000-0004-0000-0300-00009B030000}"/>
    <hyperlink ref="AW134" r:id="rId925" xr:uid="{00000000-0004-0000-0300-00009C030000}"/>
    <hyperlink ref="BI134" r:id="rId926" xr:uid="{00000000-0004-0000-0300-00009D030000}"/>
    <hyperlink ref="CL134" r:id="rId927" xr:uid="{00000000-0004-0000-0300-00009E030000}"/>
    <hyperlink ref="GB134" r:id="rId928" xr:uid="{00000000-0004-0000-0300-00009F030000}"/>
    <hyperlink ref="GJ134" r:id="rId929" xr:uid="{00000000-0004-0000-0300-0000A0030000}"/>
    <hyperlink ref="G135" r:id="rId930" xr:uid="{00000000-0004-0000-0300-0000A1030000}"/>
    <hyperlink ref="AH135" r:id="rId931" xr:uid="{00000000-0004-0000-0300-0000A2030000}"/>
    <hyperlink ref="AW135" r:id="rId932" xr:uid="{00000000-0004-0000-0300-0000A3030000}"/>
    <hyperlink ref="BI135" r:id="rId933" xr:uid="{00000000-0004-0000-0300-0000A4030000}"/>
    <hyperlink ref="CL135" r:id="rId934" xr:uid="{00000000-0004-0000-0300-0000A5030000}"/>
    <hyperlink ref="GB135" r:id="rId935" xr:uid="{00000000-0004-0000-0300-0000A6030000}"/>
    <hyperlink ref="GJ135" r:id="rId936" xr:uid="{00000000-0004-0000-0300-0000A7030000}"/>
    <hyperlink ref="G136" r:id="rId937" xr:uid="{00000000-0004-0000-0300-0000A8030000}"/>
    <hyperlink ref="AH136" r:id="rId938" xr:uid="{00000000-0004-0000-0300-0000A9030000}"/>
    <hyperlink ref="AW136" r:id="rId939" xr:uid="{00000000-0004-0000-0300-0000AA030000}"/>
    <hyperlink ref="BI136" r:id="rId940" xr:uid="{00000000-0004-0000-0300-0000AB030000}"/>
    <hyperlink ref="CL136" r:id="rId941" xr:uid="{00000000-0004-0000-0300-0000AC030000}"/>
    <hyperlink ref="GB136" r:id="rId942" xr:uid="{00000000-0004-0000-0300-0000AD030000}"/>
    <hyperlink ref="GJ136" r:id="rId943" xr:uid="{00000000-0004-0000-0300-0000AE030000}"/>
    <hyperlink ref="G137" r:id="rId944" xr:uid="{00000000-0004-0000-0300-0000AF030000}"/>
    <hyperlink ref="AH137" r:id="rId945" xr:uid="{00000000-0004-0000-0300-0000B0030000}"/>
    <hyperlink ref="AW137" r:id="rId946" xr:uid="{00000000-0004-0000-0300-0000B1030000}"/>
    <hyperlink ref="BI137" r:id="rId947" xr:uid="{00000000-0004-0000-0300-0000B2030000}"/>
    <hyperlink ref="CL137" r:id="rId948" xr:uid="{00000000-0004-0000-0300-0000B3030000}"/>
    <hyperlink ref="GB137" r:id="rId949" xr:uid="{00000000-0004-0000-0300-0000B4030000}"/>
    <hyperlink ref="GJ137" r:id="rId950" xr:uid="{00000000-0004-0000-0300-0000B5030000}"/>
    <hyperlink ref="G138" r:id="rId951" xr:uid="{00000000-0004-0000-0300-0000B6030000}"/>
    <hyperlink ref="AH138" r:id="rId952" xr:uid="{00000000-0004-0000-0300-0000B7030000}"/>
    <hyperlink ref="AW138" r:id="rId953" xr:uid="{00000000-0004-0000-0300-0000B8030000}"/>
    <hyperlink ref="BI138" r:id="rId954" xr:uid="{00000000-0004-0000-0300-0000B9030000}"/>
    <hyperlink ref="CL138" r:id="rId955" xr:uid="{00000000-0004-0000-0300-0000BA030000}"/>
    <hyperlink ref="GB138" r:id="rId956" xr:uid="{00000000-0004-0000-0300-0000BB030000}"/>
    <hyperlink ref="GJ138" r:id="rId957" xr:uid="{00000000-0004-0000-0300-0000BC030000}"/>
    <hyperlink ref="G139" r:id="rId958" xr:uid="{00000000-0004-0000-0300-0000BD030000}"/>
    <hyperlink ref="AH139" r:id="rId959" xr:uid="{00000000-0004-0000-0300-0000BE030000}"/>
    <hyperlink ref="AW139" r:id="rId960" xr:uid="{00000000-0004-0000-0300-0000BF030000}"/>
    <hyperlink ref="BI139" r:id="rId961" xr:uid="{00000000-0004-0000-0300-0000C0030000}"/>
    <hyperlink ref="CL139" r:id="rId962" xr:uid="{00000000-0004-0000-0300-0000C1030000}"/>
    <hyperlink ref="GB139" r:id="rId963" xr:uid="{00000000-0004-0000-0300-0000C2030000}"/>
    <hyperlink ref="GJ139" r:id="rId964" xr:uid="{00000000-0004-0000-0300-0000C3030000}"/>
    <hyperlink ref="G140" r:id="rId965" xr:uid="{00000000-0004-0000-0300-0000C4030000}"/>
    <hyperlink ref="AH140" r:id="rId966" xr:uid="{00000000-0004-0000-0300-0000C5030000}"/>
    <hyperlink ref="AW140" r:id="rId967" xr:uid="{00000000-0004-0000-0300-0000C6030000}"/>
    <hyperlink ref="BI140" r:id="rId968" xr:uid="{00000000-0004-0000-0300-0000C7030000}"/>
    <hyperlink ref="CL140" r:id="rId969" xr:uid="{00000000-0004-0000-0300-0000C8030000}"/>
    <hyperlink ref="GB140" r:id="rId970" xr:uid="{00000000-0004-0000-0300-0000C9030000}"/>
    <hyperlink ref="GJ140" r:id="rId971" xr:uid="{00000000-0004-0000-0300-0000CA030000}"/>
    <hyperlink ref="G141" r:id="rId972" xr:uid="{00000000-0004-0000-0300-0000CB030000}"/>
    <hyperlink ref="AH141" r:id="rId973" xr:uid="{00000000-0004-0000-0300-0000CC030000}"/>
    <hyperlink ref="AW141" r:id="rId974" xr:uid="{00000000-0004-0000-0300-0000CD030000}"/>
    <hyperlink ref="BI141" r:id="rId975" xr:uid="{00000000-0004-0000-0300-0000CE030000}"/>
    <hyperlink ref="CL141" r:id="rId976" xr:uid="{00000000-0004-0000-0300-0000CF030000}"/>
    <hyperlink ref="GB141" r:id="rId977" xr:uid="{00000000-0004-0000-0300-0000D0030000}"/>
    <hyperlink ref="GJ141" r:id="rId978" xr:uid="{00000000-0004-0000-0300-0000D1030000}"/>
    <hyperlink ref="G142" r:id="rId979" xr:uid="{00000000-0004-0000-0300-0000D2030000}"/>
    <hyperlink ref="AH142" r:id="rId980" xr:uid="{00000000-0004-0000-0300-0000D3030000}"/>
    <hyperlink ref="AW142" r:id="rId981" xr:uid="{00000000-0004-0000-0300-0000D4030000}"/>
    <hyperlink ref="BI142" r:id="rId982" xr:uid="{00000000-0004-0000-0300-0000D5030000}"/>
    <hyperlink ref="CL142" r:id="rId983" xr:uid="{00000000-0004-0000-0300-0000D6030000}"/>
    <hyperlink ref="GB142" r:id="rId984" xr:uid="{00000000-0004-0000-0300-0000D7030000}"/>
    <hyperlink ref="GJ142" r:id="rId985" xr:uid="{00000000-0004-0000-0300-0000D8030000}"/>
    <hyperlink ref="G143" r:id="rId986" xr:uid="{00000000-0004-0000-0300-0000D9030000}"/>
    <hyperlink ref="AH143" r:id="rId987" xr:uid="{00000000-0004-0000-0300-0000DA030000}"/>
    <hyperlink ref="AW143" r:id="rId988" xr:uid="{00000000-0004-0000-0300-0000DB030000}"/>
    <hyperlink ref="BI143" r:id="rId989" xr:uid="{00000000-0004-0000-0300-0000DC030000}"/>
    <hyperlink ref="CL143" r:id="rId990" xr:uid="{00000000-0004-0000-0300-0000DD030000}"/>
    <hyperlink ref="GB143" r:id="rId991" xr:uid="{00000000-0004-0000-0300-0000DE030000}"/>
    <hyperlink ref="GJ143" r:id="rId992" xr:uid="{00000000-0004-0000-0300-0000DF030000}"/>
    <hyperlink ref="G144" r:id="rId993" xr:uid="{00000000-0004-0000-0300-0000E0030000}"/>
    <hyperlink ref="AH144" r:id="rId994" xr:uid="{00000000-0004-0000-0300-0000E1030000}"/>
    <hyperlink ref="AW144" r:id="rId995" xr:uid="{00000000-0004-0000-0300-0000E2030000}"/>
    <hyperlink ref="BI144" r:id="rId996" xr:uid="{00000000-0004-0000-0300-0000E3030000}"/>
    <hyperlink ref="CL144" r:id="rId997" xr:uid="{00000000-0004-0000-0300-0000E4030000}"/>
    <hyperlink ref="GB144" r:id="rId998" xr:uid="{00000000-0004-0000-0300-0000E5030000}"/>
    <hyperlink ref="GJ144" r:id="rId999" xr:uid="{00000000-0004-0000-0300-0000E6030000}"/>
    <hyperlink ref="G145" r:id="rId1000" xr:uid="{00000000-0004-0000-0300-0000E7030000}"/>
    <hyperlink ref="AH145" r:id="rId1001" xr:uid="{00000000-0004-0000-0300-0000E8030000}"/>
    <hyperlink ref="AW145" r:id="rId1002" xr:uid="{00000000-0004-0000-0300-0000E9030000}"/>
    <hyperlink ref="BI145" r:id="rId1003" xr:uid="{00000000-0004-0000-0300-0000EA030000}"/>
    <hyperlink ref="CL145" r:id="rId1004" xr:uid="{00000000-0004-0000-0300-0000EB030000}"/>
    <hyperlink ref="GB145" r:id="rId1005" xr:uid="{00000000-0004-0000-0300-0000EC030000}"/>
    <hyperlink ref="GJ145" r:id="rId1006" xr:uid="{00000000-0004-0000-0300-0000ED030000}"/>
    <hyperlink ref="G146" r:id="rId1007" xr:uid="{00000000-0004-0000-0300-0000EE030000}"/>
    <hyperlink ref="AH146" r:id="rId1008" xr:uid="{00000000-0004-0000-0300-0000EF030000}"/>
    <hyperlink ref="AW146" r:id="rId1009" xr:uid="{00000000-0004-0000-0300-0000F0030000}"/>
    <hyperlink ref="BI146" r:id="rId1010" xr:uid="{00000000-0004-0000-0300-0000F1030000}"/>
    <hyperlink ref="CL146" r:id="rId1011" xr:uid="{00000000-0004-0000-0300-0000F2030000}"/>
    <hyperlink ref="GB146" r:id="rId1012" xr:uid="{00000000-0004-0000-0300-0000F3030000}"/>
    <hyperlink ref="GJ146" r:id="rId1013" xr:uid="{00000000-0004-0000-0300-0000F4030000}"/>
    <hyperlink ref="G147" r:id="rId1014" xr:uid="{00000000-0004-0000-0300-0000F5030000}"/>
    <hyperlink ref="AH147" r:id="rId1015" xr:uid="{00000000-0004-0000-0300-0000F6030000}"/>
    <hyperlink ref="AW147" r:id="rId1016" xr:uid="{00000000-0004-0000-0300-0000F7030000}"/>
    <hyperlink ref="BI147" r:id="rId1017" xr:uid="{00000000-0004-0000-0300-0000F8030000}"/>
    <hyperlink ref="CL147" r:id="rId1018" xr:uid="{00000000-0004-0000-0300-0000F9030000}"/>
    <hyperlink ref="GB147" r:id="rId1019" xr:uid="{00000000-0004-0000-0300-0000FA030000}"/>
    <hyperlink ref="GJ147" r:id="rId1020" xr:uid="{00000000-0004-0000-0300-0000FB030000}"/>
    <hyperlink ref="G148" r:id="rId1021" xr:uid="{00000000-0004-0000-0300-0000FC030000}"/>
    <hyperlink ref="AH148" r:id="rId1022" xr:uid="{00000000-0004-0000-0300-0000FD030000}"/>
    <hyperlink ref="AW148" r:id="rId1023" xr:uid="{00000000-0004-0000-0300-0000FE030000}"/>
    <hyperlink ref="BI148" r:id="rId1024" xr:uid="{00000000-0004-0000-0300-0000FF030000}"/>
    <hyperlink ref="CL148" r:id="rId1025" xr:uid="{00000000-0004-0000-0300-000000040000}"/>
    <hyperlink ref="GB148" r:id="rId1026" xr:uid="{00000000-0004-0000-0300-000001040000}"/>
    <hyperlink ref="GJ148" r:id="rId1027" xr:uid="{00000000-0004-0000-0300-000002040000}"/>
    <hyperlink ref="G149" r:id="rId1028" xr:uid="{00000000-0004-0000-0300-000003040000}"/>
    <hyperlink ref="AH149" r:id="rId1029" xr:uid="{00000000-0004-0000-0300-000004040000}"/>
    <hyperlink ref="AW149" r:id="rId1030" xr:uid="{00000000-0004-0000-0300-000005040000}"/>
    <hyperlink ref="BI149" r:id="rId1031" xr:uid="{00000000-0004-0000-0300-000006040000}"/>
    <hyperlink ref="CL149" r:id="rId1032" xr:uid="{00000000-0004-0000-0300-000007040000}"/>
    <hyperlink ref="GB149" r:id="rId1033" xr:uid="{00000000-0004-0000-0300-000008040000}"/>
    <hyperlink ref="GJ149" r:id="rId1034" xr:uid="{00000000-0004-0000-0300-000009040000}"/>
    <hyperlink ref="G150" r:id="rId1035" xr:uid="{00000000-0004-0000-0300-00000A040000}"/>
    <hyperlink ref="AH150" r:id="rId1036" xr:uid="{00000000-0004-0000-0300-00000B040000}"/>
    <hyperlink ref="AW150" r:id="rId1037" xr:uid="{00000000-0004-0000-0300-00000C040000}"/>
    <hyperlink ref="BI150" r:id="rId1038" xr:uid="{00000000-0004-0000-0300-00000D040000}"/>
    <hyperlink ref="CL150" r:id="rId1039" xr:uid="{00000000-0004-0000-0300-00000E040000}"/>
    <hyperlink ref="GB150" r:id="rId1040" xr:uid="{00000000-0004-0000-0300-00000F040000}"/>
    <hyperlink ref="GJ150" r:id="rId1041" xr:uid="{00000000-0004-0000-0300-000010040000}"/>
    <hyperlink ref="G151" r:id="rId1042" xr:uid="{00000000-0004-0000-0300-000011040000}"/>
    <hyperlink ref="AH151" r:id="rId1043" xr:uid="{00000000-0004-0000-0300-000012040000}"/>
    <hyperlink ref="AW151" r:id="rId1044" xr:uid="{00000000-0004-0000-0300-000013040000}"/>
    <hyperlink ref="BI151" r:id="rId1045" xr:uid="{00000000-0004-0000-0300-000014040000}"/>
    <hyperlink ref="CL151" r:id="rId1046" xr:uid="{00000000-0004-0000-0300-000015040000}"/>
    <hyperlink ref="GB151" r:id="rId1047" xr:uid="{00000000-0004-0000-0300-000016040000}"/>
    <hyperlink ref="GJ151" r:id="rId1048" xr:uid="{00000000-0004-0000-0300-000017040000}"/>
    <hyperlink ref="G152" r:id="rId1049" xr:uid="{00000000-0004-0000-0300-000018040000}"/>
    <hyperlink ref="AH152" r:id="rId1050" xr:uid="{00000000-0004-0000-0300-000019040000}"/>
    <hyperlink ref="AW152" r:id="rId1051" xr:uid="{00000000-0004-0000-0300-00001A040000}"/>
    <hyperlink ref="BI152" r:id="rId1052" xr:uid="{00000000-0004-0000-0300-00001B040000}"/>
    <hyperlink ref="CL152" r:id="rId1053" xr:uid="{00000000-0004-0000-0300-00001C040000}"/>
    <hyperlink ref="GB152" r:id="rId1054" xr:uid="{00000000-0004-0000-0300-00001D040000}"/>
    <hyperlink ref="GJ152" r:id="rId1055" xr:uid="{00000000-0004-0000-0300-00001E040000}"/>
    <hyperlink ref="G153" r:id="rId1056" xr:uid="{00000000-0004-0000-0300-00001F040000}"/>
    <hyperlink ref="AH153" r:id="rId1057" xr:uid="{00000000-0004-0000-0300-000020040000}"/>
    <hyperlink ref="AW153" r:id="rId1058" xr:uid="{00000000-0004-0000-0300-000021040000}"/>
    <hyperlink ref="BI153" r:id="rId1059" xr:uid="{00000000-0004-0000-0300-000022040000}"/>
    <hyperlink ref="CL153" r:id="rId1060" xr:uid="{00000000-0004-0000-0300-000023040000}"/>
    <hyperlink ref="GB153" r:id="rId1061" xr:uid="{00000000-0004-0000-0300-000024040000}"/>
    <hyperlink ref="GJ153" r:id="rId1062" xr:uid="{00000000-0004-0000-0300-000025040000}"/>
    <hyperlink ref="G154" r:id="rId1063" xr:uid="{00000000-0004-0000-0300-000026040000}"/>
    <hyperlink ref="AH154" r:id="rId1064" xr:uid="{00000000-0004-0000-0300-000027040000}"/>
    <hyperlink ref="AW154" r:id="rId1065" xr:uid="{00000000-0004-0000-0300-000028040000}"/>
    <hyperlink ref="BI154" r:id="rId1066" xr:uid="{00000000-0004-0000-0300-000029040000}"/>
    <hyperlink ref="CL154" r:id="rId1067" xr:uid="{00000000-0004-0000-0300-00002A040000}"/>
    <hyperlink ref="GB154" r:id="rId1068" xr:uid="{00000000-0004-0000-0300-00002B040000}"/>
    <hyperlink ref="GJ154" r:id="rId1069" xr:uid="{00000000-0004-0000-0300-00002C040000}"/>
    <hyperlink ref="G155" r:id="rId1070" xr:uid="{00000000-0004-0000-0300-00002D040000}"/>
    <hyperlink ref="AH155" r:id="rId1071" xr:uid="{00000000-0004-0000-0300-00002E040000}"/>
    <hyperlink ref="AW155" r:id="rId1072" xr:uid="{00000000-0004-0000-0300-00002F040000}"/>
    <hyperlink ref="BI155" r:id="rId1073" xr:uid="{00000000-0004-0000-0300-000030040000}"/>
    <hyperlink ref="CL155" r:id="rId1074" xr:uid="{00000000-0004-0000-0300-000031040000}"/>
    <hyperlink ref="GB155" r:id="rId1075" xr:uid="{00000000-0004-0000-0300-000032040000}"/>
    <hyperlink ref="GJ155" r:id="rId1076" xr:uid="{00000000-0004-0000-0300-000033040000}"/>
    <hyperlink ref="G156" r:id="rId1077" xr:uid="{00000000-0004-0000-0300-000034040000}"/>
    <hyperlink ref="AH156" r:id="rId1078" xr:uid="{00000000-0004-0000-0300-000035040000}"/>
    <hyperlink ref="AW156" r:id="rId1079" xr:uid="{00000000-0004-0000-0300-000036040000}"/>
    <hyperlink ref="BI156" r:id="rId1080" xr:uid="{00000000-0004-0000-0300-000037040000}"/>
    <hyperlink ref="CL156" r:id="rId1081" xr:uid="{00000000-0004-0000-0300-000038040000}"/>
    <hyperlink ref="GB156" r:id="rId1082" xr:uid="{00000000-0004-0000-0300-000039040000}"/>
    <hyperlink ref="GJ156" r:id="rId1083" xr:uid="{00000000-0004-0000-0300-00003A040000}"/>
    <hyperlink ref="G157" r:id="rId1084" xr:uid="{00000000-0004-0000-0300-00003B040000}"/>
    <hyperlink ref="AH157" r:id="rId1085" xr:uid="{00000000-0004-0000-0300-00003C040000}"/>
    <hyperlink ref="AW157" r:id="rId1086" xr:uid="{00000000-0004-0000-0300-00003D040000}"/>
    <hyperlink ref="BI157" r:id="rId1087" xr:uid="{00000000-0004-0000-0300-00003E040000}"/>
    <hyperlink ref="CL157" r:id="rId1088" xr:uid="{00000000-0004-0000-0300-00003F040000}"/>
    <hyperlink ref="GB157" r:id="rId1089" xr:uid="{00000000-0004-0000-0300-000040040000}"/>
    <hyperlink ref="GJ157" r:id="rId1090" xr:uid="{00000000-0004-0000-0300-000041040000}"/>
    <hyperlink ref="G158" r:id="rId1091" xr:uid="{00000000-0004-0000-0300-000042040000}"/>
    <hyperlink ref="AH158" r:id="rId1092" xr:uid="{00000000-0004-0000-0300-000043040000}"/>
    <hyperlink ref="AW158" r:id="rId1093" xr:uid="{00000000-0004-0000-0300-000044040000}"/>
    <hyperlink ref="BI158" r:id="rId1094" xr:uid="{00000000-0004-0000-0300-000045040000}"/>
    <hyperlink ref="CL158" r:id="rId1095" xr:uid="{00000000-0004-0000-0300-000046040000}"/>
    <hyperlink ref="GB158" r:id="rId1096" xr:uid="{00000000-0004-0000-0300-000047040000}"/>
    <hyperlink ref="GJ158" r:id="rId1097" xr:uid="{00000000-0004-0000-0300-000048040000}"/>
    <hyperlink ref="G159" r:id="rId1098" xr:uid="{00000000-0004-0000-0300-000049040000}"/>
    <hyperlink ref="AH159" r:id="rId1099" xr:uid="{00000000-0004-0000-0300-00004A040000}"/>
    <hyperlink ref="AW159" r:id="rId1100" xr:uid="{00000000-0004-0000-0300-00004B040000}"/>
    <hyperlink ref="BI159" r:id="rId1101" xr:uid="{00000000-0004-0000-0300-00004C040000}"/>
    <hyperlink ref="CL159" r:id="rId1102" xr:uid="{00000000-0004-0000-0300-00004D040000}"/>
    <hyperlink ref="GB159" r:id="rId1103" xr:uid="{00000000-0004-0000-0300-00004E040000}"/>
    <hyperlink ref="GJ159" r:id="rId1104" xr:uid="{00000000-0004-0000-0300-00004F040000}"/>
    <hyperlink ref="G160" r:id="rId1105" xr:uid="{00000000-0004-0000-0300-000050040000}"/>
    <hyperlink ref="AH160" r:id="rId1106" xr:uid="{00000000-0004-0000-0300-000051040000}"/>
    <hyperlink ref="AW160" r:id="rId1107" xr:uid="{00000000-0004-0000-0300-000052040000}"/>
    <hyperlink ref="BI160" r:id="rId1108" xr:uid="{00000000-0004-0000-0300-000053040000}"/>
    <hyperlink ref="CL160" r:id="rId1109" xr:uid="{00000000-0004-0000-0300-000054040000}"/>
    <hyperlink ref="GB160" r:id="rId1110" xr:uid="{00000000-0004-0000-0300-000055040000}"/>
    <hyperlink ref="GJ160" r:id="rId1111" xr:uid="{00000000-0004-0000-0300-000056040000}"/>
    <hyperlink ref="G161" r:id="rId1112" xr:uid="{00000000-0004-0000-0300-000057040000}"/>
    <hyperlink ref="AH161" r:id="rId1113" xr:uid="{00000000-0004-0000-0300-000058040000}"/>
    <hyperlink ref="AW161" r:id="rId1114" xr:uid="{00000000-0004-0000-0300-000059040000}"/>
    <hyperlink ref="BI161" r:id="rId1115" xr:uid="{00000000-0004-0000-0300-00005A040000}"/>
    <hyperlink ref="CL161" r:id="rId1116" xr:uid="{00000000-0004-0000-0300-00005B040000}"/>
    <hyperlink ref="GB161" r:id="rId1117" xr:uid="{00000000-0004-0000-0300-00005C040000}"/>
    <hyperlink ref="GJ161" r:id="rId1118" xr:uid="{00000000-0004-0000-0300-00005D040000}"/>
    <hyperlink ref="G162" r:id="rId1119" xr:uid="{00000000-0004-0000-0300-00005E040000}"/>
    <hyperlink ref="AH162" r:id="rId1120" xr:uid="{00000000-0004-0000-0300-00005F040000}"/>
    <hyperlink ref="AW162" r:id="rId1121" xr:uid="{00000000-0004-0000-0300-000060040000}"/>
    <hyperlink ref="BI162" r:id="rId1122" xr:uid="{00000000-0004-0000-0300-000061040000}"/>
    <hyperlink ref="CL162" r:id="rId1123" xr:uid="{00000000-0004-0000-0300-000062040000}"/>
    <hyperlink ref="GB162" r:id="rId1124" xr:uid="{00000000-0004-0000-0300-000063040000}"/>
    <hyperlink ref="GJ162" r:id="rId1125" xr:uid="{00000000-0004-0000-0300-000064040000}"/>
    <hyperlink ref="G163" r:id="rId1126" xr:uid="{00000000-0004-0000-0300-000065040000}"/>
    <hyperlink ref="AH163" r:id="rId1127" xr:uid="{00000000-0004-0000-0300-000066040000}"/>
    <hyperlink ref="AW163" r:id="rId1128" xr:uid="{00000000-0004-0000-0300-000067040000}"/>
    <hyperlink ref="BI163" r:id="rId1129" xr:uid="{00000000-0004-0000-0300-000068040000}"/>
    <hyperlink ref="CL163" r:id="rId1130" xr:uid="{00000000-0004-0000-0300-000069040000}"/>
    <hyperlink ref="GB163" r:id="rId1131" xr:uid="{00000000-0004-0000-0300-00006A040000}"/>
    <hyperlink ref="GJ163" r:id="rId1132" xr:uid="{00000000-0004-0000-0300-00006B040000}"/>
    <hyperlink ref="G164" r:id="rId1133" xr:uid="{00000000-0004-0000-0300-00006C040000}"/>
    <hyperlink ref="AH164" r:id="rId1134" xr:uid="{00000000-0004-0000-0300-00006D040000}"/>
    <hyperlink ref="AW164" r:id="rId1135" xr:uid="{00000000-0004-0000-0300-00006E040000}"/>
    <hyperlink ref="BI164" r:id="rId1136" xr:uid="{00000000-0004-0000-0300-00006F040000}"/>
    <hyperlink ref="CL164" r:id="rId1137" xr:uid="{00000000-0004-0000-0300-000070040000}"/>
    <hyperlink ref="GB164" r:id="rId1138" xr:uid="{00000000-0004-0000-0300-000071040000}"/>
    <hyperlink ref="GJ164" r:id="rId1139" xr:uid="{00000000-0004-0000-0300-000072040000}"/>
    <hyperlink ref="G165" r:id="rId1140" xr:uid="{00000000-0004-0000-0300-000073040000}"/>
    <hyperlink ref="AH165" r:id="rId1141" xr:uid="{00000000-0004-0000-0300-000074040000}"/>
    <hyperlink ref="AW165" r:id="rId1142" xr:uid="{00000000-0004-0000-0300-000075040000}"/>
    <hyperlink ref="BI165" r:id="rId1143" xr:uid="{00000000-0004-0000-0300-000076040000}"/>
    <hyperlink ref="CL165" r:id="rId1144" xr:uid="{00000000-0004-0000-0300-000077040000}"/>
    <hyperlink ref="GB165" r:id="rId1145" xr:uid="{00000000-0004-0000-0300-000078040000}"/>
    <hyperlink ref="GJ165" r:id="rId1146" xr:uid="{00000000-0004-0000-0300-000079040000}"/>
    <hyperlink ref="G166" r:id="rId1147" xr:uid="{00000000-0004-0000-0300-00007A040000}"/>
    <hyperlink ref="AH166" r:id="rId1148" xr:uid="{00000000-0004-0000-0300-00007B040000}"/>
    <hyperlink ref="AW166" r:id="rId1149" xr:uid="{00000000-0004-0000-0300-00007C040000}"/>
    <hyperlink ref="BI166" r:id="rId1150" xr:uid="{00000000-0004-0000-0300-00007D040000}"/>
    <hyperlink ref="CL166" r:id="rId1151" xr:uid="{00000000-0004-0000-0300-00007E040000}"/>
    <hyperlink ref="GB166" r:id="rId1152" xr:uid="{00000000-0004-0000-0300-00007F040000}"/>
    <hyperlink ref="GJ166" r:id="rId1153" xr:uid="{00000000-0004-0000-0300-000080040000}"/>
    <hyperlink ref="G167" r:id="rId1154" xr:uid="{00000000-0004-0000-0300-000081040000}"/>
    <hyperlink ref="AH167" r:id="rId1155" xr:uid="{00000000-0004-0000-0300-000082040000}"/>
    <hyperlink ref="AW167" r:id="rId1156" xr:uid="{00000000-0004-0000-0300-000083040000}"/>
    <hyperlink ref="BI167" r:id="rId1157" xr:uid="{00000000-0004-0000-0300-000084040000}"/>
    <hyperlink ref="CL167" r:id="rId1158" xr:uid="{00000000-0004-0000-0300-000085040000}"/>
    <hyperlink ref="GB167" r:id="rId1159" xr:uid="{00000000-0004-0000-0300-000086040000}"/>
    <hyperlink ref="GJ167" r:id="rId1160" xr:uid="{00000000-0004-0000-0300-000087040000}"/>
    <hyperlink ref="G168" r:id="rId1161" xr:uid="{00000000-0004-0000-0300-000088040000}"/>
    <hyperlink ref="AH168" r:id="rId1162" xr:uid="{00000000-0004-0000-0300-000089040000}"/>
    <hyperlink ref="AW168" r:id="rId1163" xr:uid="{00000000-0004-0000-0300-00008A040000}"/>
    <hyperlink ref="BI168" r:id="rId1164" xr:uid="{00000000-0004-0000-0300-00008B040000}"/>
    <hyperlink ref="CL168" r:id="rId1165" xr:uid="{00000000-0004-0000-0300-00008C040000}"/>
    <hyperlink ref="GB168" r:id="rId1166" xr:uid="{00000000-0004-0000-0300-00008D040000}"/>
    <hyperlink ref="GJ168" r:id="rId1167" xr:uid="{00000000-0004-0000-0300-00008E040000}"/>
    <hyperlink ref="G169" r:id="rId1168" xr:uid="{00000000-0004-0000-0300-00008F040000}"/>
    <hyperlink ref="AH169" r:id="rId1169" xr:uid="{00000000-0004-0000-0300-000090040000}"/>
    <hyperlink ref="AW169" r:id="rId1170" xr:uid="{00000000-0004-0000-0300-000091040000}"/>
    <hyperlink ref="BI169" r:id="rId1171" xr:uid="{00000000-0004-0000-0300-000092040000}"/>
    <hyperlink ref="CL169" r:id="rId1172" xr:uid="{00000000-0004-0000-0300-000093040000}"/>
    <hyperlink ref="GB169" r:id="rId1173" xr:uid="{00000000-0004-0000-0300-000094040000}"/>
    <hyperlink ref="GJ169" r:id="rId1174" xr:uid="{00000000-0004-0000-0300-000095040000}"/>
    <hyperlink ref="G170" r:id="rId1175" xr:uid="{00000000-0004-0000-0300-000096040000}"/>
    <hyperlink ref="AH170" r:id="rId1176" xr:uid="{00000000-0004-0000-0300-000097040000}"/>
    <hyperlink ref="AW170" r:id="rId1177" xr:uid="{00000000-0004-0000-0300-000098040000}"/>
    <hyperlink ref="BI170" r:id="rId1178" xr:uid="{00000000-0004-0000-0300-000099040000}"/>
    <hyperlink ref="CL170" r:id="rId1179" xr:uid="{00000000-0004-0000-0300-00009A040000}"/>
    <hyperlink ref="GB170" r:id="rId1180" xr:uid="{00000000-0004-0000-0300-00009B040000}"/>
    <hyperlink ref="GJ170" r:id="rId1181" xr:uid="{00000000-0004-0000-0300-00009C040000}"/>
    <hyperlink ref="G171" r:id="rId1182" xr:uid="{00000000-0004-0000-0300-00009D040000}"/>
    <hyperlink ref="AH171" r:id="rId1183" xr:uid="{00000000-0004-0000-0300-00009E040000}"/>
    <hyperlink ref="AW171" r:id="rId1184" xr:uid="{00000000-0004-0000-0300-00009F040000}"/>
    <hyperlink ref="BI171" r:id="rId1185" xr:uid="{00000000-0004-0000-0300-0000A0040000}"/>
    <hyperlink ref="CL171" r:id="rId1186" xr:uid="{00000000-0004-0000-0300-0000A1040000}"/>
    <hyperlink ref="GB171" r:id="rId1187" xr:uid="{00000000-0004-0000-0300-0000A2040000}"/>
    <hyperlink ref="GJ171" r:id="rId1188" xr:uid="{00000000-0004-0000-0300-0000A3040000}"/>
    <hyperlink ref="G172" r:id="rId1189" xr:uid="{00000000-0004-0000-0300-0000A4040000}"/>
    <hyperlink ref="AH172" r:id="rId1190" xr:uid="{00000000-0004-0000-0300-0000A5040000}"/>
    <hyperlink ref="AW172" r:id="rId1191" xr:uid="{00000000-0004-0000-0300-0000A6040000}"/>
    <hyperlink ref="BI172" r:id="rId1192" xr:uid="{00000000-0004-0000-0300-0000A7040000}"/>
    <hyperlink ref="CL172" r:id="rId1193" xr:uid="{00000000-0004-0000-0300-0000A8040000}"/>
    <hyperlink ref="GB172" r:id="rId1194" xr:uid="{00000000-0004-0000-0300-0000A9040000}"/>
    <hyperlink ref="GJ172" r:id="rId1195" xr:uid="{00000000-0004-0000-0300-0000AA040000}"/>
    <hyperlink ref="G173" r:id="rId1196" xr:uid="{00000000-0004-0000-0300-0000AB040000}"/>
    <hyperlink ref="AH173" r:id="rId1197" xr:uid="{00000000-0004-0000-0300-0000AC040000}"/>
    <hyperlink ref="AW173" r:id="rId1198" xr:uid="{00000000-0004-0000-0300-0000AD040000}"/>
    <hyperlink ref="BI173" r:id="rId1199" xr:uid="{00000000-0004-0000-0300-0000AE040000}"/>
    <hyperlink ref="CL173" r:id="rId1200" xr:uid="{00000000-0004-0000-0300-0000AF040000}"/>
    <hyperlink ref="GB173" r:id="rId1201" xr:uid="{00000000-0004-0000-0300-0000B0040000}"/>
    <hyperlink ref="GJ173" r:id="rId1202" xr:uid="{00000000-0004-0000-0300-0000B1040000}"/>
    <hyperlink ref="G174" r:id="rId1203" xr:uid="{00000000-0004-0000-0300-0000B2040000}"/>
    <hyperlink ref="AH174" r:id="rId1204" xr:uid="{00000000-0004-0000-0300-0000B3040000}"/>
    <hyperlink ref="AW174" r:id="rId1205" xr:uid="{00000000-0004-0000-0300-0000B4040000}"/>
    <hyperlink ref="BI174" r:id="rId1206" xr:uid="{00000000-0004-0000-0300-0000B5040000}"/>
    <hyperlink ref="CL174" r:id="rId1207" xr:uid="{00000000-0004-0000-0300-0000B6040000}"/>
    <hyperlink ref="GB174" r:id="rId1208" xr:uid="{00000000-0004-0000-0300-0000B7040000}"/>
    <hyperlink ref="GJ174" r:id="rId1209" xr:uid="{00000000-0004-0000-0300-0000B8040000}"/>
    <hyperlink ref="G175" r:id="rId1210" xr:uid="{00000000-0004-0000-0300-0000B9040000}"/>
    <hyperlink ref="AH175" r:id="rId1211" xr:uid="{00000000-0004-0000-0300-0000BA040000}"/>
    <hyperlink ref="AW175" r:id="rId1212" xr:uid="{00000000-0004-0000-0300-0000BB040000}"/>
    <hyperlink ref="BI175" r:id="rId1213" xr:uid="{00000000-0004-0000-0300-0000BC040000}"/>
    <hyperlink ref="CL175" r:id="rId1214" xr:uid="{00000000-0004-0000-0300-0000BD040000}"/>
    <hyperlink ref="GB175" r:id="rId1215" xr:uid="{00000000-0004-0000-0300-0000BE040000}"/>
    <hyperlink ref="GJ175" r:id="rId1216" xr:uid="{00000000-0004-0000-0300-0000BF040000}"/>
    <hyperlink ref="G176" r:id="rId1217" xr:uid="{00000000-0004-0000-0300-0000C0040000}"/>
    <hyperlink ref="AH176" r:id="rId1218" xr:uid="{00000000-0004-0000-0300-0000C1040000}"/>
    <hyperlink ref="AW176" r:id="rId1219" xr:uid="{00000000-0004-0000-0300-0000C2040000}"/>
    <hyperlink ref="BI176" r:id="rId1220" xr:uid="{00000000-0004-0000-0300-0000C3040000}"/>
    <hyperlink ref="CL176" r:id="rId1221" xr:uid="{00000000-0004-0000-0300-0000C4040000}"/>
    <hyperlink ref="GB176" r:id="rId1222" xr:uid="{00000000-0004-0000-0300-0000C5040000}"/>
    <hyperlink ref="GJ176" r:id="rId1223" xr:uid="{00000000-0004-0000-0300-0000C6040000}"/>
    <hyperlink ref="G177" r:id="rId1224" xr:uid="{00000000-0004-0000-0300-0000C7040000}"/>
    <hyperlink ref="AH177" r:id="rId1225" xr:uid="{00000000-0004-0000-0300-0000C8040000}"/>
    <hyperlink ref="AW177" r:id="rId1226" xr:uid="{00000000-0004-0000-0300-0000C9040000}"/>
    <hyperlink ref="BI177" r:id="rId1227" xr:uid="{00000000-0004-0000-0300-0000CA040000}"/>
    <hyperlink ref="CL177" r:id="rId1228" xr:uid="{00000000-0004-0000-0300-0000CB040000}"/>
    <hyperlink ref="GB177" r:id="rId1229" xr:uid="{00000000-0004-0000-0300-0000CC040000}"/>
    <hyperlink ref="GJ177" r:id="rId1230" xr:uid="{00000000-0004-0000-0300-0000CD040000}"/>
    <hyperlink ref="G178" r:id="rId1231" xr:uid="{00000000-0004-0000-0300-0000CE040000}"/>
    <hyperlink ref="AH178" r:id="rId1232" xr:uid="{00000000-0004-0000-0300-0000CF040000}"/>
    <hyperlink ref="AW178" r:id="rId1233" xr:uid="{00000000-0004-0000-0300-0000D0040000}"/>
    <hyperlink ref="BI178" r:id="rId1234" xr:uid="{00000000-0004-0000-0300-0000D1040000}"/>
    <hyperlink ref="CL178" r:id="rId1235" xr:uid="{00000000-0004-0000-0300-0000D2040000}"/>
    <hyperlink ref="GB178" r:id="rId1236" xr:uid="{00000000-0004-0000-0300-0000D3040000}"/>
    <hyperlink ref="GJ178" r:id="rId1237" xr:uid="{00000000-0004-0000-0300-0000D4040000}"/>
    <hyperlink ref="G179" r:id="rId1238" xr:uid="{00000000-0004-0000-0300-0000D5040000}"/>
    <hyperlink ref="AH179" r:id="rId1239" xr:uid="{00000000-0004-0000-0300-0000D6040000}"/>
    <hyperlink ref="AW179" r:id="rId1240" xr:uid="{00000000-0004-0000-0300-0000D7040000}"/>
    <hyperlink ref="BI179" r:id="rId1241" xr:uid="{00000000-0004-0000-0300-0000D8040000}"/>
    <hyperlink ref="CL179" r:id="rId1242" xr:uid="{00000000-0004-0000-0300-0000D9040000}"/>
    <hyperlink ref="GB179" r:id="rId1243" xr:uid="{00000000-0004-0000-0300-0000DA040000}"/>
    <hyperlink ref="GJ179" r:id="rId1244" xr:uid="{00000000-0004-0000-0300-0000DB040000}"/>
    <hyperlink ref="G180" r:id="rId1245" xr:uid="{00000000-0004-0000-0300-0000DC040000}"/>
    <hyperlink ref="AH180" r:id="rId1246" xr:uid="{00000000-0004-0000-0300-0000DD040000}"/>
    <hyperlink ref="AW180" r:id="rId1247" xr:uid="{00000000-0004-0000-0300-0000DE040000}"/>
    <hyperlink ref="BI180" r:id="rId1248" xr:uid="{00000000-0004-0000-0300-0000DF040000}"/>
    <hyperlink ref="CL180" r:id="rId1249" xr:uid="{00000000-0004-0000-0300-0000E0040000}"/>
    <hyperlink ref="GB180" r:id="rId1250" xr:uid="{00000000-0004-0000-0300-0000E1040000}"/>
    <hyperlink ref="GJ180" r:id="rId1251" xr:uid="{00000000-0004-0000-0300-0000E2040000}"/>
    <hyperlink ref="G181" r:id="rId1252" xr:uid="{00000000-0004-0000-0300-0000E3040000}"/>
    <hyperlink ref="AH181" r:id="rId1253" xr:uid="{00000000-0004-0000-0300-0000E4040000}"/>
    <hyperlink ref="AW181" r:id="rId1254" xr:uid="{00000000-0004-0000-0300-0000E5040000}"/>
    <hyperlink ref="BI181" r:id="rId1255" xr:uid="{00000000-0004-0000-0300-0000E6040000}"/>
    <hyperlink ref="CL181" r:id="rId1256" xr:uid="{00000000-0004-0000-0300-0000E7040000}"/>
    <hyperlink ref="GB181" r:id="rId1257" xr:uid="{00000000-0004-0000-0300-0000E8040000}"/>
    <hyperlink ref="GJ181" r:id="rId1258" xr:uid="{00000000-0004-0000-0300-0000E9040000}"/>
    <hyperlink ref="G182" r:id="rId1259" xr:uid="{00000000-0004-0000-0300-0000EA040000}"/>
    <hyperlink ref="AH182" r:id="rId1260" xr:uid="{00000000-0004-0000-0300-0000EB040000}"/>
    <hyperlink ref="AW182" r:id="rId1261" xr:uid="{00000000-0004-0000-0300-0000EC040000}"/>
    <hyperlink ref="BI182" r:id="rId1262" xr:uid="{00000000-0004-0000-0300-0000ED040000}"/>
    <hyperlink ref="CL182" r:id="rId1263" xr:uid="{00000000-0004-0000-0300-0000EE040000}"/>
    <hyperlink ref="GB182" r:id="rId1264" xr:uid="{00000000-0004-0000-0300-0000EF040000}"/>
    <hyperlink ref="GJ182" r:id="rId1265" xr:uid="{00000000-0004-0000-0300-0000F0040000}"/>
    <hyperlink ref="G183" r:id="rId1266" xr:uid="{00000000-0004-0000-0300-0000F1040000}"/>
    <hyperlink ref="AH183" r:id="rId1267" xr:uid="{00000000-0004-0000-0300-0000F2040000}"/>
    <hyperlink ref="AW183" r:id="rId1268" xr:uid="{00000000-0004-0000-0300-0000F3040000}"/>
    <hyperlink ref="BI183" r:id="rId1269" xr:uid="{00000000-0004-0000-0300-0000F4040000}"/>
    <hyperlink ref="CL183" r:id="rId1270" xr:uid="{00000000-0004-0000-0300-0000F5040000}"/>
    <hyperlink ref="GB183" r:id="rId1271" xr:uid="{00000000-0004-0000-0300-0000F6040000}"/>
    <hyperlink ref="GJ183" r:id="rId1272" xr:uid="{00000000-0004-0000-0300-0000F7040000}"/>
    <hyperlink ref="G184" r:id="rId1273" xr:uid="{00000000-0004-0000-0300-0000F8040000}"/>
    <hyperlink ref="AH184" r:id="rId1274" xr:uid="{00000000-0004-0000-0300-0000F9040000}"/>
    <hyperlink ref="AW184" r:id="rId1275" xr:uid="{00000000-0004-0000-0300-0000FA040000}"/>
    <hyperlink ref="BI184" r:id="rId1276" xr:uid="{00000000-0004-0000-0300-0000FB040000}"/>
    <hyperlink ref="CL184" r:id="rId1277" xr:uid="{00000000-0004-0000-0300-0000FC040000}"/>
    <hyperlink ref="GB184" r:id="rId1278" xr:uid="{00000000-0004-0000-0300-0000FD040000}"/>
    <hyperlink ref="GJ184" r:id="rId1279" xr:uid="{00000000-0004-0000-0300-0000FE040000}"/>
    <hyperlink ref="G185" r:id="rId1280" xr:uid="{00000000-0004-0000-0300-0000FF040000}"/>
    <hyperlink ref="AH185" r:id="rId1281" xr:uid="{00000000-0004-0000-0300-000000050000}"/>
    <hyperlink ref="AW185" r:id="rId1282" xr:uid="{00000000-0004-0000-0300-000001050000}"/>
    <hyperlink ref="BI185" r:id="rId1283" xr:uid="{00000000-0004-0000-0300-000002050000}"/>
    <hyperlink ref="CL185" r:id="rId1284" xr:uid="{00000000-0004-0000-0300-000003050000}"/>
    <hyperlink ref="GB185" r:id="rId1285" xr:uid="{00000000-0004-0000-0300-000004050000}"/>
    <hyperlink ref="GJ185" r:id="rId1286" xr:uid="{00000000-0004-0000-0300-000005050000}"/>
    <hyperlink ref="G186" r:id="rId1287" xr:uid="{00000000-0004-0000-0300-000006050000}"/>
    <hyperlink ref="AH186" r:id="rId1288" xr:uid="{00000000-0004-0000-0300-000007050000}"/>
    <hyperlink ref="AW186" r:id="rId1289" xr:uid="{00000000-0004-0000-0300-000008050000}"/>
    <hyperlink ref="BI186" r:id="rId1290" xr:uid="{00000000-0004-0000-0300-000009050000}"/>
    <hyperlink ref="CL186" r:id="rId1291" xr:uid="{00000000-0004-0000-0300-00000A050000}"/>
    <hyperlink ref="GB186" r:id="rId1292" xr:uid="{00000000-0004-0000-0300-00000B050000}"/>
    <hyperlink ref="GJ186" r:id="rId1293" xr:uid="{00000000-0004-0000-0300-00000C050000}"/>
    <hyperlink ref="G187" r:id="rId1294" xr:uid="{00000000-0004-0000-0300-00000D050000}"/>
    <hyperlink ref="AH187" r:id="rId1295" xr:uid="{00000000-0004-0000-0300-00000E050000}"/>
    <hyperlink ref="AW187" r:id="rId1296" xr:uid="{00000000-0004-0000-0300-00000F050000}"/>
    <hyperlink ref="BI187" r:id="rId1297" xr:uid="{00000000-0004-0000-0300-000010050000}"/>
    <hyperlink ref="CL187" r:id="rId1298" xr:uid="{00000000-0004-0000-0300-000011050000}"/>
    <hyperlink ref="GB187" r:id="rId1299" xr:uid="{00000000-0004-0000-0300-000012050000}"/>
    <hyperlink ref="GJ187" r:id="rId1300" xr:uid="{00000000-0004-0000-0300-000013050000}"/>
    <hyperlink ref="G188" r:id="rId1301" xr:uid="{00000000-0004-0000-0300-000014050000}"/>
    <hyperlink ref="AH188" r:id="rId1302" xr:uid="{00000000-0004-0000-0300-000015050000}"/>
    <hyperlink ref="AW188" r:id="rId1303" xr:uid="{00000000-0004-0000-0300-000016050000}"/>
    <hyperlink ref="BI188" r:id="rId1304" xr:uid="{00000000-0004-0000-0300-000017050000}"/>
    <hyperlink ref="CL188" r:id="rId1305" xr:uid="{00000000-0004-0000-0300-000018050000}"/>
    <hyperlink ref="GB188" r:id="rId1306" xr:uid="{00000000-0004-0000-0300-000019050000}"/>
    <hyperlink ref="GJ188" r:id="rId1307" xr:uid="{00000000-0004-0000-0300-00001A050000}"/>
    <hyperlink ref="G189" r:id="rId1308" xr:uid="{00000000-0004-0000-0300-00001B050000}"/>
    <hyperlink ref="AH189" r:id="rId1309" xr:uid="{00000000-0004-0000-0300-00001C050000}"/>
    <hyperlink ref="AW189" r:id="rId1310" xr:uid="{00000000-0004-0000-0300-00001D050000}"/>
    <hyperlink ref="BI189" r:id="rId1311" xr:uid="{00000000-0004-0000-0300-00001E050000}"/>
    <hyperlink ref="CL189" r:id="rId1312" xr:uid="{00000000-0004-0000-0300-00001F050000}"/>
    <hyperlink ref="GB189" r:id="rId1313" xr:uid="{00000000-0004-0000-0300-000020050000}"/>
    <hyperlink ref="GJ189" r:id="rId1314" xr:uid="{00000000-0004-0000-0300-000021050000}"/>
    <hyperlink ref="G190" r:id="rId1315" xr:uid="{00000000-0004-0000-0300-000022050000}"/>
    <hyperlink ref="AH190" r:id="rId1316" xr:uid="{00000000-0004-0000-0300-000023050000}"/>
    <hyperlink ref="AW190" r:id="rId1317" xr:uid="{00000000-0004-0000-0300-000024050000}"/>
    <hyperlink ref="BI190" r:id="rId1318" xr:uid="{00000000-0004-0000-0300-000025050000}"/>
    <hyperlink ref="CL190" r:id="rId1319" xr:uid="{00000000-0004-0000-0300-000026050000}"/>
    <hyperlink ref="G191" r:id="rId1320" xr:uid="{00000000-0004-0000-0300-000027050000}"/>
    <hyperlink ref="AH191" r:id="rId1321" xr:uid="{00000000-0004-0000-0300-000028050000}"/>
    <hyperlink ref="AW191" r:id="rId1322" xr:uid="{00000000-0004-0000-0300-000029050000}"/>
    <hyperlink ref="BI191" r:id="rId1323" xr:uid="{00000000-0004-0000-0300-00002A050000}"/>
    <hyperlink ref="CL191" r:id="rId1324" xr:uid="{00000000-0004-0000-0300-00002B050000}"/>
    <hyperlink ref="GB191" r:id="rId1325" xr:uid="{00000000-0004-0000-0300-00002C050000}"/>
    <hyperlink ref="GJ191" r:id="rId1326" xr:uid="{00000000-0004-0000-0300-00002D050000}"/>
    <hyperlink ref="G192" r:id="rId1327" xr:uid="{00000000-0004-0000-0300-00002E050000}"/>
    <hyperlink ref="AH192" r:id="rId1328" xr:uid="{00000000-0004-0000-0300-00002F050000}"/>
    <hyperlink ref="AW192" r:id="rId1329" xr:uid="{00000000-0004-0000-0300-000030050000}"/>
    <hyperlink ref="BI192" r:id="rId1330" xr:uid="{00000000-0004-0000-0300-000031050000}"/>
    <hyperlink ref="CL192" r:id="rId1331" xr:uid="{00000000-0004-0000-0300-000032050000}"/>
    <hyperlink ref="GB192" r:id="rId1332" xr:uid="{00000000-0004-0000-0300-000033050000}"/>
    <hyperlink ref="GJ192" r:id="rId1333" xr:uid="{00000000-0004-0000-0300-000034050000}"/>
    <hyperlink ref="G193" r:id="rId1334" xr:uid="{00000000-0004-0000-0300-000035050000}"/>
    <hyperlink ref="AH193" r:id="rId1335" xr:uid="{00000000-0004-0000-0300-000036050000}"/>
    <hyperlink ref="AW193" r:id="rId1336" xr:uid="{00000000-0004-0000-0300-000037050000}"/>
    <hyperlink ref="BI193" r:id="rId1337" xr:uid="{00000000-0004-0000-0300-000038050000}"/>
    <hyperlink ref="CL193" r:id="rId1338" xr:uid="{00000000-0004-0000-0300-000039050000}"/>
    <hyperlink ref="GB193" r:id="rId1339" xr:uid="{00000000-0004-0000-0300-00003A050000}"/>
    <hyperlink ref="GJ193" r:id="rId1340" xr:uid="{00000000-0004-0000-0300-00003B050000}"/>
    <hyperlink ref="G194" r:id="rId1341" xr:uid="{00000000-0004-0000-0300-00003C050000}"/>
    <hyperlink ref="AH194" r:id="rId1342" xr:uid="{00000000-0004-0000-0300-00003D050000}"/>
    <hyperlink ref="AW194" r:id="rId1343" xr:uid="{00000000-0004-0000-0300-00003E050000}"/>
    <hyperlink ref="BI194" r:id="rId1344" xr:uid="{00000000-0004-0000-0300-00003F050000}"/>
    <hyperlink ref="CL194" r:id="rId1345" xr:uid="{00000000-0004-0000-0300-000040050000}"/>
    <hyperlink ref="GB194" r:id="rId1346" xr:uid="{00000000-0004-0000-0300-000041050000}"/>
    <hyperlink ref="GJ194" r:id="rId1347" xr:uid="{00000000-0004-0000-0300-000042050000}"/>
    <hyperlink ref="G195" r:id="rId1348" xr:uid="{00000000-0004-0000-0300-000043050000}"/>
    <hyperlink ref="AH195" r:id="rId1349" xr:uid="{00000000-0004-0000-0300-000044050000}"/>
    <hyperlink ref="AW195" r:id="rId1350" xr:uid="{00000000-0004-0000-0300-000045050000}"/>
    <hyperlink ref="BI195" r:id="rId1351" xr:uid="{00000000-0004-0000-0300-000046050000}"/>
    <hyperlink ref="CL195" r:id="rId1352" xr:uid="{00000000-0004-0000-0300-000047050000}"/>
    <hyperlink ref="GB195" r:id="rId1353" xr:uid="{00000000-0004-0000-0300-000048050000}"/>
    <hyperlink ref="GJ195" r:id="rId1354" xr:uid="{00000000-0004-0000-0300-000049050000}"/>
    <hyperlink ref="G196" r:id="rId1355" xr:uid="{00000000-0004-0000-0300-00004A050000}"/>
    <hyperlink ref="AH196" r:id="rId1356" xr:uid="{00000000-0004-0000-0300-00004B050000}"/>
    <hyperlink ref="AW196" r:id="rId1357" xr:uid="{00000000-0004-0000-0300-00004C050000}"/>
    <hyperlink ref="BI196" r:id="rId1358" xr:uid="{00000000-0004-0000-0300-00004D050000}"/>
    <hyperlink ref="CL196" r:id="rId1359" xr:uid="{00000000-0004-0000-0300-00004E050000}"/>
    <hyperlink ref="GB196" r:id="rId1360" xr:uid="{00000000-0004-0000-0300-00004F050000}"/>
    <hyperlink ref="GJ196" r:id="rId1361" xr:uid="{00000000-0004-0000-0300-000050050000}"/>
    <hyperlink ref="G197" r:id="rId1362" xr:uid="{00000000-0004-0000-0300-000051050000}"/>
    <hyperlink ref="AH197" r:id="rId1363" xr:uid="{00000000-0004-0000-0300-000052050000}"/>
    <hyperlink ref="AW197" r:id="rId1364" xr:uid="{00000000-0004-0000-0300-000053050000}"/>
    <hyperlink ref="BI197" r:id="rId1365" xr:uid="{00000000-0004-0000-0300-000054050000}"/>
    <hyperlink ref="CL197" r:id="rId1366" xr:uid="{00000000-0004-0000-0300-000055050000}"/>
    <hyperlink ref="GB197" r:id="rId1367" xr:uid="{00000000-0004-0000-0300-000056050000}"/>
    <hyperlink ref="GJ197" r:id="rId1368" xr:uid="{00000000-0004-0000-0300-000057050000}"/>
    <hyperlink ref="G198" r:id="rId1369" xr:uid="{00000000-0004-0000-0300-000058050000}"/>
    <hyperlink ref="AH198" r:id="rId1370" xr:uid="{00000000-0004-0000-0300-000059050000}"/>
    <hyperlink ref="AW198" r:id="rId1371" xr:uid="{00000000-0004-0000-0300-00005A050000}"/>
    <hyperlink ref="BI198" r:id="rId1372" xr:uid="{00000000-0004-0000-0300-00005B050000}"/>
    <hyperlink ref="CL198" r:id="rId1373" xr:uid="{00000000-0004-0000-0300-00005C050000}"/>
    <hyperlink ref="GB198" r:id="rId1374" xr:uid="{00000000-0004-0000-0300-00005D050000}"/>
    <hyperlink ref="GJ198" r:id="rId1375" xr:uid="{00000000-0004-0000-0300-00005E050000}"/>
    <hyperlink ref="G199" r:id="rId1376" xr:uid="{00000000-0004-0000-0300-00005F050000}"/>
    <hyperlink ref="AH199" r:id="rId1377" xr:uid="{00000000-0004-0000-0300-000060050000}"/>
    <hyperlink ref="AW199" r:id="rId1378" xr:uid="{00000000-0004-0000-0300-000061050000}"/>
    <hyperlink ref="BI199" r:id="rId1379" xr:uid="{00000000-0004-0000-0300-000062050000}"/>
    <hyperlink ref="CL199" r:id="rId1380" xr:uid="{00000000-0004-0000-0300-000063050000}"/>
    <hyperlink ref="GB199" r:id="rId1381" xr:uid="{00000000-0004-0000-0300-000064050000}"/>
    <hyperlink ref="GJ199" r:id="rId1382" xr:uid="{00000000-0004-0000-0300-000065050000}"/>
    <hyperlink ref="G200" r:id="rId1383" xr:uid="{00000000-0004-0000-0300-000066050000}"/>
    <hyperlink ref="AH200" r:id="rId1384" xr:uid="{00000000-0004-0000-0300-000067050000}"/>
    <hyperlink ref="AW200" r:id="rId1385" xr:uid="{00000000-0004-0000-0300-000068050000}"/>
    <hyperlink ref="BI200" r:id="rId1386" xr:uid="{00000000-0004-0000-0300-000069050000}"/>
    <hyperlink ref="CL200" r:id="rId1387" xr:uid="{00000000-0004-0000-0300-00006A050000}"/>
    <hyperlink ref="GB200" r:id="rId1388" xr:uid="{00000000-0004-0000-0300-00006B050000}"/>
    <hyperlink ref="GJ200" r:id="rId1389" xr:uid="{00000000-0004-0000-0300-00006C050000}"/>
    <hyperlink ref="G201" r:id="rId1390" xr:uid="{00000000-0004-0000-0300-00006D050000}"/>
    <hyperlink ref="AH201" r:id="rId1391" xr:uid="{00000000-0004-0000-0300-00006E050000}"/>
    <hyperlink ref="AW201" r:id="rId1392" xr:uid="{00000000-0004-0000-0300-00006F050000}"/>
    <hyperlink ref="BI201" r:id="rId1393" xr:uid="{00000000-0004-0000-0300-000070050000}"/>
    <hyperlink ref="CL201" r:id="rId1394" xr:uid="{00000000-0004-0000-0300-000071050000}"/>
    <hyperlink ref="GB201" r:id="rId1395" xr:uid="{00000000-0004-0000-0300-000072050000}"/>
    <hyperlink ref="GJ201" r:id="rId1396" xr:uid="{00000000-0004-0000-0300-000073050000}"/>
    <hyperlink ref="G202" r:id="rId1397" xr:uid="{00000000-0004-0000-0300-000074050000}"/>
    <hyperlink ref="AH202" r:id="rId1398" xr:uid="{00000000-0004-0000-0300-000075050000}"/>
    <hyperlink ref="AW202" r:id="rId1399" xr:uid="{00000000-0004-0000-0300-000076050000}"/>
    <hyperlink ref="BI202" r:id="rId1400" xr:uid="{00000000-0004-0000-0300-000077050000}"/>
    <hyperlink ref="CL202" r:id="rId1401" xr:uid="{00000000-0004-0000-0300-000078050000}"/>
    <hyperlink ref="GB202" r:id="rId1402" xr:uid="{00000000-0004-0000-0300-000079050000}"/>
    <hyperlink ref="GJ202" r:id="rId1403" xr:uid="{00000000-0004-0000-0300-00007A050000}"/>
    <hyperlink ref="G203" r:id="rId1404" xr:uid="{00000000-0004-0000-0300-00007B050000}"/>
    <hyperlink ref="AH203" r:id="rId1405" xr:uid="{00000000-0004-0000-0300-00007C050000}"/>
    <hyperlink ref="AW203" r:id="rId1406" xr:uid="{00000000-0004-0000-0300-00007D050000}"/>
    <hyperlink ref="BI203" r:id="rId1407" xr:uid="{00000000-0004-0000-0300-00007E050000}"/>
    <hyperlink ref="CL203" r:id="rId1408" xr:uid="{00000000-0004-0000-0300-00007F050000}"/>
    <hyperlink ref="GB203" r:id="rId1409" xr:uid="{00000000-0004-0000-0300-000080050000}"/>
    <hyperlink ref="GJ203" r:id="rId1410" xr:uid="{00000000-0004-0000-0300-000081050000}"/>
    <hyperlink ref="G204" r:id="rId1411" xr:uid="{00000000-0004-0000-0300-000082050000}"/>
    <hyperlink ref="AH204" r:id="rId1412" xr:uid="{00000000-0004-0000-0300-000083050000}"/>
    <hyperlink ref="AW204" r:id="rId1413" xr:uid="{00000000-0004-0000-0300-000084050000}"/>
    <hyperlink ref="BI204" r:id="rId1414" xr:uid="{00000000-0004-0000-0300-000085050000}"/>
    <hyperlink ref="CL204" r:id="rId1415" xr:uid="{00000000-0004-0000-0300-000086050000}"/>
    <hyperlink ref="GB204" r:id="rId1416" xr:uid="{00000000-0004-0000-0300-000087050000}"/>
    <hyperlink ref="GJ204" r:id="rId1417" xr:uid="{00000000-0004-0000-0300-000088050000}"/>
    <hyperlink ref="G205" r:id="rId1418" xr:uid="{00000000-0004-0000-0300-000089050000}"/>
    <hyperlink ref="AH205" r:id="rId1419" xr:uid="{00000000-0004-0000-0300-00008A050000}"/>
    <hyperlink ref="AW205" r:id="rId1420" xr:uid="{00000000-0004-0000-0300-00008B050000}"/>
    <hyperlink ref="BI205" r:id="rId1421" xr:uid="{00000000-0004-0000-0300-00008C050000}"/>
    <hyperlink ref="CL205" r:id="rId1422" xr:uid="{00000000-0004-0000-0300-00008D050000}"/>
    <hyperlink ref="GB205" r:id="rId1423" xr:uid="{00000000-0004-0000-0300-00008E050000}"/>
    <hyperlink ref="GJ205" r:id="rId1424" xr:uid="{00000000-0004-0000-0300-00008F050000}"/>
    <hyperlink ref="G206" r:id="rId1425" xr:uid="{00000000-0004-0000-0300-000090050000}"/>
    <hyperlink ref="AH206" r:id="rId1426" xr:uid="{00000000-0004-0000-0300-000091050000}"/>
    <hyperlink ref="AW206" r:id="rId1427" xr:uid="{00000000-0004-0000-0300-000092050000}"/>
    <hyperlink ref="BI206" r:id="rId1428" xr:uid="{00000000-0004-0000-0300-000093050000}"/>
    <hyperlink ref="CL206" r:id="rId1429" xr:uid="{00000000-0004-0000-0300-000094050000}"/>
    <hyperlink ref="GB206" r:id="rId1430" xr:uid="{00000000-0004-0000-0300-000095050000}"/>
    <hyperlink ref="GJ206" r:id="rId1431" xr:uid="{00000000-0004-0000-0300-000096050000}"/>
    <hyperlink ref="G207" r:id="rId1432" xr:uid="{00000000-0004-0000-0300-000097050000}"/>
    <hyperlink ref="AH207" r:id="rId1433" xr:uid="{00000000-0004-0000-0300-000098050000}"/>
    <hyperlink ref="AW207" r:id="rId1434" xr:uid="{00000000-0004-0000-0300-000099050000}"/>
    <hyperlink ref="BI207" r:id="rId1435" xr:uid="{00000000-0004-0000-0300-00009A050000}"/>
    <hyperlink ref="CL207" r:id="rId1436" xr:uid="{00000000-0004-0000-0300-00009B050000}"/>
    <hyperlink ref="GB207" r:id="rId1437" xr:uid="{00000000-0004-0000-0300-00009C050000}"/>
    <hyperlink ref="GJ207" r:id="rId1438" xr:uid="{00000000-0004-0000-0300-00009D050000}"/>
    <hyperlink ref="G208" r:id="rId1439" xr:uid="{00000000-0004-0000-0300-00009E050000}"/>
    <hyperlink ref="AH208" r:id="rId1440" xr:uid="{00000000-0004-0000-0300-00009F050000}"/>
    <hyperlink ref="AW208" r:id="rId1441" xr:uid="{00000000-0004-0000-0300-0000A0050000}"/>
    <hyperlink ref="BI208" r:id="rId1442" xr:uid="{00000000-0004-0000-0300-0000A1050000}"/>
    <hyperlink ref="CL208" r:id="rId1443" xr:uid="{00000000-0004-0000-0300-0000A2050000}"/>
    <hyperlink ref="GB208" r:id="rId1444" xr:uid="{00000000-0004-0000-0300-0000A3050000}"/>
    <hyperlink ref="GJ208" r:id="rId1445" xr:uid="{00000000-0004-0000-0300-0000A4050000}"/>
    <hyperlink ref="G209" r:id="rId1446" xr:uid="{00000000-0004-0000-0300-0000A5050000}"/>
    <hyperlink ref="AH209" r:id="rId1447" xr:uid="{00000000-0004-0000-0300-0000A6050000}"/>
    <hyperlink ref="AW209" r:id="rId1448" xr:uid="{00000000-0004-0000-0300-0000A7050000}"/>
    <hyperlink ref="BI209" r:id="rId1449" xr:uid="{00000000-0004-0000-0300-0000A8050000}"/>
    <hyperlink ref="CL209" r:id="rId1450" xr:uid="{00000000-0004-0000-0300-0000A9050000}"/>
    <hyperlink ref="GB209" r:id="rId1451" xr:uid="{00000000-0004-0000-0300-0000AA050000}"/>
    <hyperlink ref="GJ209" r:id="rId1452" xr:uid="{00000000-0004-0000-0300-0000AB050000}"/>
    <hyperlink ref="G210" r:id="rId1453" xr:uid="{00000000-0004-0000-0300-0000AC050000}"/>
    <hyperlink ref="AH210" r:id="rId1454" xr:uid="{00000000-0004-0000-0300-0000AD050000}"/>
    <hyperlink ref="AW210" r:id="rId1455" xr:uid="{00000000-0004-0000-0300-0000AE050000}"/>
    <hyperlink ref="BI210" r:id="rId1456" xr:uid="{00000000-0004-0000-0300-0000AF050000}"/>
    <hyperlink ref="CL210" r:id="rId1457" xr:uid="{00000000-0004-0000-0300-0000B0050000}"/>
    <hyperlink ref="GB210" r:id="rId1458" xr:uid="{00000000-0004-0000-0300-0000B1050000}"/>
    <hyperlink ref="GJ210" r:id="rId1459" xr:uid="{00000000-0004-0000-0300-0000B2050000}"/>
    <hyperlink ref="G211" r:id="rId1460" xr:uid="{00000000-0004-0000-0300-0000B3050000}"/>
    <hyperlink ref="AH211" r:id="rId1461" xr:uid="{00000000-0004-0000-0300-0000B4050000}"/>
    <hyperlink ref="AW211" r:id="rId1462" xr:uid="{00000000-0004-0000-0300-0000B5050000}"/>
    <hyperlink ref="BI211" r:id="rId1463" xr:uid="{00000000-0004-0000-0300-0000B6050000}"/>
    <hyperlink ref="CL211" r:id="rId1464" xr:uid="{00000000-0004-0000-0300-0000B7050000}"/>
    <hyperlink ref="GB211" r:id="rId1465" xr:uid="{00000000-0004-0000-0300-0000B8050000}"/>
    <hyperlink ref="GJ211" r:id="rId1466" xr:uid="{00000000-0004-0000-0300-0000B9050000}"/>
    <hyperlink ref="G212" r:id="rId1467" xr:uid="{00000000-0004-0000-0300-0000BA050000}"/>
    <hyperlink ref="AH212" r:id="rId1468" xr:uid="{00000000-0004-0000-0300-0000BB050000}"/>
    <hyperlink ref="AW212" r:id="rId1469" xr:uid="{00000000-0004-0000-0300-0000BC050000}"/>
    <hyperlink ref="BI212" r:id="rId1470" xr:uid="{00000000-0004-0000-0300-0000BD050000}"/>
    <hyperlink ref="CL212" r:id="rId1471" xr:uid="{00000000-0004-0000-0300-0000BE050000}"/>
    <hyperlink ref="GB212" r:id="rId1472" xr:uid="{00000000-0004-0000-0300-0000BF050000}"/>
    <hyperlink ref="GJ212" r:id="rId1473" xr:uid="{00000000-0004-0000-0300-0000C0050000}"/>
    <hyperlink ref="G213" r:id="rId1474" xr:uid="{00000000-0004-0000-0300-0000C1050000}"/>
    <hyperlink ref="AH213" r:id="rId1475" xr:uid="{00000000-0004-0000-0300-0000C2050000}"/>
    <hyperlink ref="AW213" r:id="rId1476" xr:uid="{00000000-0004-0000-0300-0000C3050000}"/>
    <hyperlink ref="BI213" r:id="rId1477" xr:uid="{00000000-0004-0000-0300-0000C4050000}"/>
    <hyperlink ref="CL213" r:id="rId1478" xr:uid="{00000000-0004-0000-0300-0000C5050000}"/>
    <hyperlink ref="GB213" r:id="rId1479" xr:uid="{00000000-0004-0000-0300-0000C6050000}"/>
    <hyperlink ref="GJ213" r:id="rId1480" xr:uid="{00000000-0004-0000-0300-0000C7050000}"/>
    <hyperlink ref="G214" r:id="rId1481" xr:uid="{00000000-0004-0000-0300-0000C8050000}"/>
    <hyperlink ref="AH214" r:id="rId1482" xr:uid="{00000000-0004-0000-0300-0000C9050000}"/>
    <hyperlink ref="AW214" r:id="rId1483" xr:uid="{00000000-0004-0000-0300-0000CA050000}"/>
    <hyperlink ref="BI214" r:id="rId1484" xr:uid="{00000000-0004-0000-0300-0000CB050000}"/>
    <hyperlink ref="CL214" r:id="rId1485" xr:uid="{00000000-0004-0000-0300-0000CC050000}"/>
    <hyperlink ref="GB214" r:id="rId1486" xr:uid="{00000000-0004-0000-0300-0000CD050000}"/>
    <hyperlink ref="GJ214" r:id="rId1487" xr:uid="{00000000-0004-0000-0300-0000CE050000}"/>
    <hyperlink ref="G215" r:id="rId1488" xr:uid="{00000000-0004-0000-0300-0000CF050000}"/>
    <hyperlink ref="AH215" r:id="rId1489" xr:uid="{00000000-0004-0000-0300-0000D0050000}"/>
    <hyperlink ref="AW215" r:id="rId1490" xr:uid="{00000000-0004-0000-0300-0000D1050000}"/>
    <hyperlink ref="BI215" r:id="rId1491" xr:uid="{00000000-0004-0000-0300-0000D2050000}"/>
    <hyperlink ref="CL215" r:id="rId1492" xr:uid="{00000000-0004-0000-0300-0000D3050000}"/>
    <hyperlink ref="GB215" r:id="rId1493" xr:uid="{00000000-0004-0000-0300-0000D4050000}"/>
    <hyperlink ref="GJ215" r:id="rId1494" xr:uid="{00000000-0004-0000-0300-0000D5050000}"/>
    <hyperlink ref="G216" r:id="rId1495" xr:uid="{00000000-0004-0000-0300-0000D6050000}"/>
    <hyperlink ref="AH216" r:id="rId1496" xr:uid="{00000000-0004-0000-0300-0000D7050000}"/>
    <hyperlink ref="AW216" r:id="rId1497" xr:uid="{00000000-0004-0000-0300-0000D8050000}"/>
    <hyperlink ref="BI216" r:id="rId1498" xr:uid="{00000000-0004-0000-0300-0000D9050000}"/>
    <hyperlink ref="BV216" r:id="rId1499" xr:uid="{00000000-0004-0000-0300-0000DA050000}"/>
    <hyperlink ref="CL216" r:id="rId1500" xr:uid="{00000000-0004-0000-0300-0000DB050000}"/>
    <hyperlink ref="GB216" r:id="rId1501" xr:uid="{00000000-0004-0000-0300-0000DC050000}"/>
    <hyperlink ref="GJ216" r:id="rId1502" xr:uid="{00000000-0004-0000-0300-0000DD050000}"/>
    <hyperlink ref="G217" r:id="rId1503" xr:uid="{00000000-0004-0000-0300-0000DE050000}"/>
    <hyperlink ref="AH217" r:id="rId1504" xr:uid="{00000000-0004-0000-0300-0000DF050000}"/>
    <hyperlink ref="AW217" r:id="rId1505" xr:uid="{00000000-0004-0000-0300-0000E0050000}"/>
    <hyperlink ref="BI217" r:id="rId1506" xr:uid="{00000000-0004-0000-0300-0000E1050000}"/>
    <hyperlink ref="CL217" r:id="rId1507" xr:uid="{00000000-0004-0000-0300-0000E2050000}"/>
    <hyperlink ref="GB217" r:id="rId1508" xr:uid="{00000000-0004-0000-0300-0000E3050000}"/>
    <hyperlink ref="GJ217" r:id="rId1509" xr:uid="{00000000-0004-0000-0300-0000E4050000}"/>
    <hyperlink ref="G218" r:id="rId1510" xr:uid="{00000000-0004-0000-0300-0000E5050000}"/>
    <hyperlink ref="AH218" r:id="rId1511" xr:uid="{00000000-0004-0000-0300-0000E6050000}"/>
    <hyperlink ref="AW218" r:id="rId1512" xr:uid="{00000000-0004-0000-0300-0000E7050000}"/>
    <hyperlink ref="BI218" r:id="rId1513" xr:uid="{00000000-0004-0000-0300-0000E8050000}"/>
    <hyperlink ref="CL218" r:id="rId1514" xr:uid="{00000000-0004-0000-0300-0000E9050000}"/>
    <hyperlink ref="GB218" r:id="rId1515" xr:uid="{00000000-0004-0000-0300-0000EA050000}"/>
    <hyperlink ref="GJ218" r:id="rId1516" xr:uid="{00000000-0004-0000-0300-0000EB050000}"/>
    <hyperlink ref="G219" r:id="rId1517" xr:uid="{00000000-0004-0000-0300-0000EC050000}"/>
    <hyperlink ref="AH219" r:id="rId1518" xr:uid="{00000000-0004-0000-0300-0000ED050000}"/>
    <hyperlink ref="AW219" r:id="rId1519" xr:uid="{00000000-0004-0000-0300-0000EE050000}"/>
    <hyperlink ref="BI219" r:id="rId1520" xr:uid="{00000000-0004-0000-0300-0000EF050000}"/>
    <hyperlink ref="CL219" r:id="rId1521" xr:uid="{00000000-0004-0000-0300-0000F0050000}"/>
    <hyperlink ref="GB219" r:id="rId1522" xr:uid="{00000000-0004-0000-0300-0000F1050000}"/>
    <hyperlink ref="GJ219" r:id="rId1523" xr:uid="{00000000-0004-0000-0300-0000F2050000}"/>
    <hyperlink ref="G220" r:id="rId1524" xr:uid="{00000000-0004-0000-0300-0000F3050000}"/>
    <hyperlink ref="AH220" r:id="rId1525" xr:uid="{00000000-0004-0000-0300-0000F4050000}"/>
    <hyperlink ref="AW220" r:id="rId1526" xr:uid="{00000000-0004-0000-0300-0000F5050000}"/>
    <hyperlink ref="BI220" r:id="rId1527" xr:uid="{00000000-0004-0000-0300-0000F6050000}"/>
    <hyperlink ref="CL220" r:id="rId1528" xr:uid="{00000000-0004-0000-0300-0000F7050000}"/>
    <hyperlink ref="GB220" r:id="rId1529" xr:uid="{00000000-0004-0000-0300-0000F8050000}"/>
    <hyperlink ref="GJ220" r:id="rId1530" xr:uid="{00000000-0004-0000-0300-0000F9050000}"/>
    <hyperlink ref="G221" r:id="rId1531" xr:uid="{00000000-0004-0000-0300-0000FA050000}"/>
    <hyperlink ref="AH221" r:id="rId1532" xr:uid="{00000000-0004-0000-0300-0000FB050000}"/>
    <hyperlink ref="AW221" r:id="rId1533" xr:uid="{00000000-0004-0000-0300-0000FC050000}"/>
    <hyperlink ref="BI221" r:id="rId1534" xr:uid="{00000000-0004-0000-0300-0000FD050000}"/>
    <hyperlink ref="CL221" r:id="rId1535" xr:uid="{00000000-0004-0000-0300-0000FE050000}"/>
    <hyperlink ref="GB221" r:id="rId1536" xr:uid="{00000000-0004-0000-0300-0000FF050000}"/>
    <hyperlink ref="GJ221" r:id="rId1537" xr:uid="{00000000-0004-0000-0300-000000060000}"/>
    <hyperlink ref="G222" r:id="rId1538" xr:uid="{00000000-0004-0000-0300-000001060000}"/>
    <hyperlink ref="AH222" r:id="rId1539" xr:uid="{00000000-0004-0000-0300-000002060000}"/>
    <hyperlink ref="AW222" r:id="rId1540" xr:uid="{00000000-0004-0000-0300-000003060000}"/>
    <hyperlink ref="BI222" r:id="rId1541" xr:uid="{00000000-0004-0000-0300-000004060000}"/>
    <hyperlink ref="CL222" r:id="rId1542" xr:uid="{00000000-0004-0000-0300-000005060000}"/>
    <hyperlink ref="GB222" r:id="rId1543" xr:uid="{00000000-0004-0000-0300-000006060000}"/>
    <hyperlink ref="GJ222" r:id="rId1544" xr:uid="{00000000-0004-0000-0300-000007060000}"/>
    <hyperlink ref="G223" r:id="rId1545" xr:uid="{00000000-0004-0000-0300-000008060000}"/>
    <hyperlink ref="AH223" r:id="rId1546" xr:uid="{00000000-0004-0000-0300-000009060000}"/>
    <hyperlink ref="AW223" r:id="rId1547" xr:uid="{00000000-0004-0000-0300-00000A060000}"/>
    <hyperlink ref="BI223" r:id="rId1548" xr:uid="{00000000-0004-0000-0300-00000B060000}"/>
    <hyperlink ref="CL223" r:id="rId1549" xr:uid="{00000000-0004-0000-0300-00000C060000}"/>
    <hyperlink ref="GB223" r:id="rId1550" xr:uid="{00000000-0004-0000-0300-00000D060000}"/>
    <hyperlink ref="GJ223" r:id="rId1551" xr:uid="{00000000-0004-0000-0300-00000E060000}"/>
    <hyperlink ref="G224" r:id="rId1552" xr:uid="{00000000-0004-0000-0300-00000F060000}"/>
    <hyperlink ref="AH224" r:id="rId1553" xr:uid="{00000000-0004-0000-0300-000010060000}"/>
    <hyperlink ref="AW224" r:id="rId1554" xr:uid="{00000000-0004-0000-0300-000011060000}"/>
    <hyperlink ref="BI224" r:id="rId1555" xr:uid="{00000000-0004-0000-0300-000012060000}"/>
    <hyperlink ref="CL224" r:id="rId1556" xr:uid="{00000000-0004-0000-0300-000013060000}"/>
    <hyperlink ref="GB224" r:id="rId1557" xr:uid="{00000000-0004-0000-0300-000014060000}"/>
    <hyperlink ref="GJ224" r:id="rId1558" xr:uid="{00000000-0004-0000-0300-000015060000}"/>
    <hyperlink ref="G225" r:id="rId1559" xr:uid="{00000000-0004-0000-0300-000016060000}"/>
    <hyperlink ref="AH225" r:id="rId1560" xr:uid="{00000000-0004-0000-0300-000017060000}"/>
    <hyperlink ref="AW225" r:id="rId1561" xr:uid="{00000000-0004-0000-0300-000018060000}"/>
    <hyperlink ref="BI225" r:id="rId1562" xr:uid="{00000000-0004-0000-0300-000019060000}"/>
    <hyperlink ref="CL225" r:id="rId1563" xr:uid="{00000000-0004-0000-0300-00001A060000}"/>
    <hyperlink ref="GB225" r:id="rId1564" xr:uid="{00000000-0004-0000-0300-00001B060000}"/>
    <hyperlink ref="GJ225" r:id="rId1565" xr:uid="{00000000-0004-0000-0300-00001C060000}"/>
    <hyperlink ref="G226" r:id="rId1566" xr:uid="{00000000-0004-0000-0300-00001D060000}"/>
    <hyperlink ref="AH226" r:id="rId1567" xr:uid="{00000000-0004-0000-0300-00001E060000}"/>
    <hyperlink ref="AW226" r:id="rId1568" xr:uid="{00000000-0004-0000-0300-00001F060000}"/>
    <hyperlink ref="BI226" r:id="rId1569" xr:uid="{00000000-0004-0000-0300-000020060000}"/>
    <hyperlink ref="CL226" r:id="rId1570" xr:uid="{00000000-0004-0000-0300-000021060000}"/>
    <hyperlink ref="GB226" r:id="rId1571" xr:uid="{00000000-0004-0000-0300-000022060000}"/>
    <hyperlink ref="GJ226" r:id="rId1572" xr:uid="{00000000-0004-0000-0300-000023060000}"/>
    <hyperlink ref="G227" r:id="rId1573" xr:uid="{00000000-0004-0000-0300-000024060000}"/>
    <hyperlink ref="AH227" r:id="rId1574" xr:uid="{00000000-0004-0000-0300-000025060000}"/>
    <hyperlink ref="AW227" r:id="rId1575" xr:uid="{00000000-0004-0000-0300-000026060000}"/>
    <hyperlink ref="BI227" r:id="rId1576" xr:uid="{00000000-0004-0000-0300-000027060000}"/>
    <hyperlink ref="CL227" r:id="rId1577" xr:uid="{00000000-0004-0000-0300-000028060000}"/>
    <hyperlink ref="GB227" r:id="rId1578" xr:uid="{00000000-0004-0000-0300-000029060000}"/>
    <hyperlink ref="GJ227" r:id="rId1579" xr:uid="{00000000-0004-0000-0300-00002A060000}"/>
    <hyperlink ref="G228" r:id="rId1580" xr:uid="{00000000-0004-0000-0300-00002B060000}"/>
    <hyperlink ref="AH228" r:id="rId1581" xr:uid="{00000000-0004-0000-0300-00002C060000}"/>
    <hyperlink ref="AW228" r:id="rId1582" xr:uid="{00000000-0004-0000-0300-00002D060000}"/>
    <hyperlink ref="BI228" r:id="rId1583" xr:uid="{00000000-0004-0000-0300-00002E060000}"/>
    <hyperlink ref="CL228" r:id="rId1584" xr:uid="{00000000-0004-0000-0300-00002F060000}"/>
    <hyperlink ref="GB228" r:id="rId1585" xr:uid="{00000000-0004-0000-0300-000030060000}"/>
    <hyperlink ref="GJ228" r:id="rId1586" xr:uid="{00000000-0004-0000-0300-000031060000}"/>
    <hyperlink ref="G229" r:id="rId1587" xr:uid="{00000000-0004-0000-0300-000032060000}"/>
    <hyperlink ref="AH229" r:id="rId1588" xr:uid="{00000000-0004-0000-0300-000033060000}"/>
    <hyperlink ref="AW229" r:id="rId1589" xr:uid="{00000000-0004-0000-0300-000034060000}"/>
    <hyperlink ref="BI229" r:id="rId1590" xr:uid="{00000000-0004-0000-0300-000035060000}"/>
    <hyperlink ref="CL229" r:id="rId1591" xr:uid="{00000000-0004-0000-0300-000036060000}"/>
    <hyperlink ref="GB229" r:id="rId1592" xr:uid="{00000000-0004-0000-0300-000037060000}"/>
    <hyperlink ref="GJ229" r:id="rId1593" xr:uid="{00000000-0004-0000-0300-000038060000}"/>
    <hyperlink ref="G230" r:id="rId1594" xr:uid="{00000000-0004-0000-0300-000039060000}"/>
    <hyperlink ref="AH230" r:id="rId1595" xr:uid="{00000000-0004-0000-0300-00003A060000}"/>
    <hyperlink ref="AW230" r:id="rId1596" xr:uid="{00000000-0004-0000-0300-00003B060000}"/>
    <hyperlink ref="BI230" r:id="rId1597" xr:uid="{00000000-0004-0000-0300-00003C060000}"/>
    <hyperlink ref="CL230" r:id="rId1598" xr:uid="{00000000-0004-0000-0300-00003D060000}"/>
    <hyperlink ref="GB230" r:id="rId1599" xr:uid="{00000000-0004-0000-0300-00003E060000}"/>
    <hyperlink ref="GJ230" r:id="rId1600" xr:uid="{00000000-0004-0000-0300-00003F060000}"/>
    <hyperlink ref="G231" r:id="rId1601" xr:uid="{00000000-0004-0000-0300-000040060000}"/>
    <hyperlink ref="AH231" r:id="rId1602" xr:uid="{00000000-0004-0000-0300-000041060000}"/>
    <hyperlink ref="AW231" r:id="rId1603" xr:uid="{00000000-0004-0000-0300-000042060000}"/>
    <hyperlink ref="BI231" r:id="rId1604" xr:uid="{00000000-0004-0000-0300-000043060000}"/>
    <hyperlink ref="CL231" r:id="rId1605" xr:uid="{00000000-0004-0000-0300-000044060000}"/>
    <hyperlink ref="GB231" r:id="rId1606" xr:uid="{00000000-0004-0000-0300-000045060000}"/>
    <hyperlink ref="GJ231" r:id="rId1607" xr:uid="{00000000-0004-0000-0300-000046060000}"/>
    <hyperlink ref="G232" r:id="rId1608" xr:uid="{00000000-0004-0000-0300-000047060000}"/>
    <hyperlink ref="AH232" r:id="rId1609" xr:uid="{00000000-0004-0000-0300-000048060000}"/>
    <hyperlink ref="AW232" r:id="rId1610" xr:uid="{00000000-0004-0000-0300-000049060000}"/>
    <hyperlink ref="BI232" r:id="rId1611" xr:uid="{00000000-0004-0000-0300-00004A060000}"/>
    <hyperlink ref="CL232" r:id="rId1612" xr:uid="{00000000-0004-0000-0300-00004B060000}"/>
    <hyperlink ref="GB232" r:id="rId1613" xr:uid="{00000000-0004-0000-0300-00004C060000}"/>
    <hyperlink ref="GJ232" r:id="rId1614" xr:uid="{00000000-0004-0000-0300-00004D060000}"/>
    <hyperlink ref="G233" r:id="rId1615" xr:uid="{00000000-0004-0000-0300-00004E060000}"/>
    <hyperlink ref="AH233" r:id="rId1616" xr:uid="{00000000-0004-0000-0300-00004F060000}"/>
    <hyperlink ref="AW233" r:id="rId1617" xr:uid="{00000000-0004-0000-0300-000050060000}"/>
    <hyperlink ref="BI233" r:id="rId1618" xr:uid="{00000000-0004-0000-0300-000051060000}"/>
    <hyperlink ref="CL233" r:id="rId1619" xr:uid="{00000000-0004-0000-0300-000052060000}"/>
    <hyperlink ref="GB233" r:id="rId1620" xr:uid="{00000000-0004-0000-0300-000053060000}"/>
    <hyperlink ref="GJ233" r:id="rId1621" xr:uid="{00000000-0004-0000-0300-000054060000}"/>
    <hyperlink ref="G234" r:id="rId1622" xr:uid="{00000000-0004-0000-0300-000055060000}"/>
    <hyperlink ref="AH234" r:id="rId1623" xr:uid="{00000000-0004-0000-0300-000056060000}"/>
    <hyperlink ref="AW234" r:id="rId1624" xr:uid="{00000000-0004-0000-0300-000057060000}"/>
    <hyperlink ref="BI234" r:id="rId1625" xr:uid="{00000000-0004-0000-0300-000058060000}"/>
    <hyperlink ref="CL234" r:id="rId1626" xr:uid="{00000000-0004-0000-0300-000059060000}"/>
    <hyperlink ref="GB234" r:id="rId1627" xr:uid="{00000000-0004-0000-0300-00005A060000}"/>
    <hyperlink ref="GJ234" r:id="rId1628" xr:uid="{00000000-0004-0000-0300-00005B060000}"/>
    <hyperlink ref="G235" r:id="rId1629" xr:uid="{00000000-0004-0000-0300-00005C060000}"/>
    <hyperlink ref="AH235" r:id="rId1630" xr:uid="{00000000-0004-0000-0300-00005D060000}"/>
    <hyperlink ref="AW235" r:id="rId1631" xr:uid="{00000000-0004-0000-0300-00005E060000}"/>
    <hyperlink ref="BI235" r:id="rId1632" xr:uid="{00000000-0004-0000-0300-00005F060000}"/>
    <hyperlink ref="CL235" r:id="rId1633" xr:uid="{00000000-0004-0000-0300-000060060000}"/>
    <hyperlink ref="GB235" r:id="rId1634" xr:uid="{00000000-0004-0000-0300-000061060000}"/>
    <hyperlink ref="GJ235" r:id="rId1635" xr:uid="{00000000-0004-0000-0300-000062060000}"/>
    <hyperlink ref="G236" r:id="rId1636" xr:uid="{00000000-0004-0000-0300-000063060000}"/>
    <hyperlink ref="AH236" r:id="rId1637" xr:uid="{00000000-0004-0000-0300-000064060000}"/>
    <hyperlink ref="AW236" r:id="rId1638" xr:uid="{00000000-0004-0000-0300-000065060000}"/>
    <hyperlink ref="BI236" r:id="rId1639" xr:uid="{00000000-0004-0000-0300-000066060000}"/>
    <hyperlink ref="CL236" r:id="rId1640" xr:uid="{00000000-0004-0000-0300-000067060000}"/>
    <hyperlink ref="GB236" r:id="rId1641" xr:uid="{00000000-0004-0000-0300-000068060000}"/>
    <hyperlink ref="G237" r:id="rId1642" xr:uid="{00000000-0004-0000-0300-000069060000}"/>
    <hyperlink ref="AH237" r:id="rId1643" xr:uid="{00000000-0004-0000-0300-00006A060000}"/>
    <hyperlink ref="AW237" r:id="rId1644" xr:uid="{00000000-0004-0000-0300-00006B060000}"/>
    <hyperlink ref="BI237" r:id="rId1645" xr:uid="{00000000-0004-0000-0300-00006C060000}"/>
    <hyperlink ref="CL237" r:id="rId1646" xr:uid="{00000000-0004-0000-0300-00006D060000}"/>
    <hyperlink ref="GB237" r:id="rId1647" xr:uid="{00000000-0004-0000-0300-00006E060000}"/>
    <hyperlink ref="GJ237" r:id="rId1648" xr:uid="{00000000-0004-0000-0300-00006F060000}"/>
    <hyperlink ref="G238" r:id="rId1649" xr:uid="{00000000-0004-0000-0300-000070060000}"/>
    <hyperlink ref="AH238" r:id="rId1650" xr:uid="{00000000-0004-0000-0300-000071060000}"/>
    <hyperlink ref="AW238" r:id="rId1651" xr:uid="{00000000-0004-0000-0300-000072060000}"/>
    <hyperlink ref="BI238" r:id="rId1652" xr:uid="{00000000-0004-0000-0300-000073060000}"/>
    <hyperlink ref="CL238" r:id="rId1653" xr:uid="{00000000-0004-0000-0300-000074060000}"/>
    <hyperlink ref="GB238" r:id="rId1654" xr:uid="{00000000-0004-0000-0300-000075060000}"/>
    <hyperlink ref="GJ238" r:id="rId1655" xr:uid="{00000000-0004-0000-0300-000076060000}"/>
    <hyperlink ref="G239" r:id="rId1656" xr:uid="{00000000-0004-0000-0300-000077060000}"/>
    <hyperlink ref="AH239" r:id="rId1657" xr:uid="{00000000-0004-0000-0300-000078060000}"/>
    <hyperlink ref="AW239" r:id="rId1658" xr:uid="{00000000-0004-0000-0300-000079060000}"/>
    <hyperlink ref="BI239" r:id="rId1659" xr:uid="{00000000-0004-0000-0300-00007A060000}"/>
    <hyperlink ref="CL239" r:id="rId1660" xr:uid="{00000000-0004-0000-0300-00007B060000}"/>
    <hyperlink ref="GB239" r:id="rId1661" xr:uid="{00000000-0004-0000-0300-00007C060000}"/>
    <hyperlink ref="GJ239" r:id="rId1662" xr:uid="{00000000-0004-0000-0300-00007D060000}"/>
    <hyperlink ref="G240" r:id="rId1663" xr:uid="{00000000-0004-0000-0300-00007E060000}"/>
    <hyperlink ref="AH240" r:id="rId1664" xr:uid="{00000000-0004-0000-0300-00007F060000}"/>
    <hyperlink ref="AW240" r:id="rId1665" xr:uid="{00000000-0004-0000-0300-000080060000}"/>
    <hyperlink ref="BI240" r:id="rId1666" xr:uid="{00000000-0004-0000-0300-000081060000}"/>
    <hyperlink ref="CL240" r:id="rId1667" xr:uid="{00000000-0004-0000-0300-000082060000}"/>
    <hyperlink ref="GB240" r:id="rId1668" xr:uid="{00000000-0004-0000-0300-000083060000}"/>
    <hyperlink ref="GJ240" r:id="rId1669" xr:uid="{00000000-0004-0000-0300-000084060000}"/>
    <hyperlink ref="G241" r:id="rId1670" xr:uid="{00000000-0004-0000-0300-000085060000}"/>
    <hyperlink ref="AH241" r:id="rId1671" xr:uid="{00000000-0004-0000-0300-000086060000}"/>
    <hyperlink ref="AW241" r:id="rId1672" xr:uid="{00000000-0004-0000-0300-000087060000}"/>
    <hyperlink ref="BI241" r:id="rId1673" xr:uid="{00000000-0004-0000-0300-000088060000}"/>
    <hyperlink ref="CL241" r:id="rId1674" xr:uid="{00000000-0004-0000-0300-000089060000}"/>
    <hyperlink ref="GB241" r:id="rId1675" xr:uid="{00000000-0004-0000-0300-00008A060000}"/>
    <hyperlink ref="GJ241" r:id="rId1676" xr:uid="{00000000-0004-0000-0300-00008B060000}"/>
    <hyperlink ref="G242" r:id="rId1677" xr:uid="{00000000-0004-0000-0300-00008C060000}"/>
    <hyperlink ref="AH242" r:id="rId1678" xr:uid="{00000000-0004-0000-0300-00008D060000}"/>
    <hyperlink ref="AW242" r:id="rId1679" xr:uid="{00000000-0004-0000-0300-00008E060000}"/>
    <hyperlink ref="BI242" r:id="rId1680" xr:uid="{00000000-0004-0000-0300-00008F060000}"/>
    <hyperlink ref="CL242" r:id="rId1681" xr:uid="{00000000-0004-0000-0300-000090060000}"/>
    <hyperlink ref="GB242" r:id="rId1682" xr:uid="{00000000-0004-0000-0300-000091060000}"/>
    <hyperlink ref="GJ242" r:id="rId1683" xr:uid="{00000000-0004-0000-0300-000092060000}"/>
    <hyperlink ref="G243" r:id="rId1684" xr:uid="{00000000-0004-0000-0300-000093060000}"/>
    <hyperlink ref="AH243" r:id="rId1685" xr:uid="{00000000-0004-0000-0300-000094060000}"/>
    <hyperlink ref="AW243" r:id="rId1686" xr:uid="{00000000-0004-0000-0300-000095060000}"/>
    <hyperlink ref="BI243" r:id="rId1687" xr:uid="{00000000-0004-0000-0300-000096060000}"/>
    <hyperlink ref="CL243" r:id="rId1688" xr:uid="{00000000-0004-0000-0300-000097060000}"/>
    <hyperlink ref="GB243" r:id="rId1689" xr:uid="{00000000-0004-0000-0300-000098060000}"/>
    <hyperlink ref="GJ243" r:id="rId1690" xr:uid="{00000000-0004-0000-0300-000099060000}"/>
    <hyperlink ref="G244" r:id="rId1691" xr:uid="{00000000-0004-0000-0300-00009A060000}"/>
    <hyperlink ref="AH244" r:id="rId1692" xr:uid="{00000000-0004-0000-0300-00009B060000}"/>
    <hyperlink ref="AW244" r:id="rId1693" xr:uid="{00000000-0004-0000-0300-00009C060000}"/>
    <hyperlink ref="BI244" r:id="rId1694" xr:uid="{00000000-0004-0000-0300-00009D060000}"/>
    <hyperlink ref="CL244" r:id="rId1695" xr:uid="{00000000-0004-0000-0300-00009E060000}"/>
    <hyperlink ref="GB244" r:id="rId1696" xr:uid="{00000000-0004-0000-0300-00009F060000}"/>
    <hyperlink ref="GJ244" r:id="rId1697" xr:uid="{00000000-0004-0000-0300-0000A0060000}"/>
    <hyperlink ref="G245" r:id="rId1698" xr:uid="{00000000-0004-0000-0300-0000A1060000}"/>
    <hyperlink ref="AH245" r:id="rId1699" xr:uid="{00000000-0004-0000-0300-0000A2060000}"/>
    <hyperlink ref="AW245" r:id="rId1700" xr:uid="{00000000-0004-0000-0300-0000A3060000}"/>
    <hyperlink ref="BI245" r:id="rId1701" xr:uid="{00000000-0004-0000-0300-0000A4060000}"/>
    <hyperlink ref="CL245" r:id="rId1702" xr:uid="{00000000-0004-0000-0300-0000A5060000}"/>
    <hyperlink ref="GB245" r:id="rId1703" xr:uid="{00000000-0004-0000-0300-0000A6060000}"/>
    <hyperlink ref="GJ245" r:id="rId1704" xr:uid="{00000000-0004-0000-0300-0000A7060000}"/>
    <hyperlink ref="G246" r:id="rId1705" xr:uid="{00000000-0004-0000-0300-0000A8060000}"/>
    <hyperlink ref="AH246" r:id="rId1706" xr:uid="{00000000-0004-0000-0300-0000A9060000}"/>
    <hyperlink ref="AW246" r:id="rId1707" xr:uid="{00000000-0004-0000-0300-0000AA060000}"/>
    <hyperlink ref="BI246" r:id="rId1708" xr:uid="{00000000-0004-0000-0300-0000AB060000}"/>
    <hyperlink ref="CL246" r:id="rId1709" xr:uid="{00000000-0004-0000-0300-0000AC060000}"/>
    <hyperlink ref="GB246" r:id="rId1710" xr:uid="{00000000-0004-0000-0300-0000AD060000}"/>
    <hyperlink ref="GJ246" r:id="rId1711" xr:uid="{00000000-0004-0000-0300-0000AE060000}"/>
    <hyperlink ref="G247" r:id="rId1712" xr:uid="{00000000-0004-0000-0300-0000AF060000}"/>
    <hyperlink ref="AH247" r:id="rId1713" xr:uid="{00000000-0004-0000-0300-0000B0060000}"/>
    <hyperlink ref="AW247" r:id="rId1714" xr:uid="{00000000-0004-0000-0300-0000B1060000}"/>
    <hyperlink ref="BI247" r:id="rId1715" xr:uid="{00000000-0004-0000-0300-0000B2060000}"/>
    <hyperlink ref="CL247" r:id="rId1716" xr:uid="{00000000-0004-0000-0300-0000B3060000}"/>
    <hyperlink ref="G248" r:id="rId1717" xr:uid="{00000000-0004-0000-0300-0000B4060000}"/>
    <hyperlink ref="AH248" r:id="rId1718" xr:uid="{00000000-0004-0000-0300-0000B5060000}"/>
    <hyperlink ref="AW248" r:id="rId1719" xr:uid="{00000000-0004-0000-0300-0000B6060000}"/>
    <hyperlink ref="BI248" r:id="rId1720" xr:uid="{00000000-0004-0000-0300-0000B7060000}"/>
    <hyperlink ref="CL248" r:id="rId1721" xr:uid="{00000000-0004-0000-0300-0000B8060000}"/>
    <hyperlink ref="GB248" r:id="rId1722" xr:uid="{00000000-0004-0000-0300-0000B9060000}"/>
    <hyperlink ref="GJ248" r:id="rId1723" xr:uid="{00000000-0004-0000-0300-0000BA060000}"/>
    <hyperlink ref="G249" r:id="rId1724" xr:uid="{00000000-0004-0000-0300-0000BB060000}"/>
    <hyperlink ref="AH249" r:id="rId1725" xr:uid="{00000000-0004-0000-0300-0000BC060000}"/>
    <hyperlink ref="AW249" r:id="rId1726" xr:uid="{00000000-0004-0000-0300-0000BD060000}"/>
    <hyperlink ref="BI249" r:id="rId1727" xr:uid="{00000000-0004-0000-0300-0000BE060000}"/>
    <hyperlink ref="CL249" r:id="rId1728" xr:uid="{00000000-0004-0000-0300-0000BF060000}"/>
    <hyperlink ref="GB249" r:id="rId1729" xr:uid="{00000000-0004-0000-0300-0000C0060000}"/>
    <hyperlink ref="G250" r:id="rId1730" xr:uid="{00000000-0004-0000-0300-0000C1060000}"/>
    <hyperlink ref="AH250" r:id="rId1731" xr:uid="{00000000-0004-0000-0300-0000C2060000}"/>
    <hyperlink ref="AW250" r:id="rId1732" xr:uid="{00000000-0004-0000-0300-0000C3060000}"/>
    <hyperlink ref="BI250" r:id="rId1733" xr:uid="{00000000-0004-0000-0300-0000C4060000}"/>
    <hyperlink ref="CL250" r:id="rId1734" xr:uid="{00000000-0004-0000-0300-0000C5060000}"/>
    <hyperlink ref="GB250" r:id="rId1735" xr:uid="{00000000-0004-0000-0300-0000C6060000}"/>
    <hyperlink ref="GJ250" r:id="rId1736" xr:uid="{00000000-0004-0000-0300-0000C7060000}"/>
    <hyperlink ref="G251" r:id="rId1737" xr:uid="{00000000-0004-0000-0300-0000C8060000}"/>
    <hyperlink ref="AH251" r:id="rId1738" xr:uid="{00000000-0004-0000-0300-0000C9060000}"/>
    <hyperlink ref="AW251" r:id="rId1739" xr:uid="{00000000-0004-0000-0300-0000CA060000}"/>
    <hyperlink ref="BI251" r:id="rId1740" xr:uid="{00000000-0004-0000-0300-0000CB060000}"/>
    <hyperlink ref="CL251" r:id="rId1741" xr:uid="{00000000-0004-0000-0300-0000CC060000}"/>
    <hyperlink ref="GB251" r:id="rId1742" xr:uid="{00000000-0004-0000-0300-0000CD060000}"/>
    <hyperlink ref="GJ251" r:id="rId1743" xr:uid="{00000000-0004-0000-0300-0000CE060000}"/>
    <hyperlink ref="G252" r:id="rId1744" xr:uid="{00000000-0004-0000-0300-0000CF060000}"/>
    <hyperlink ref="AH252" r:id="rId1745" xr:uid="{00000000-0004-0000-0300-0000D0060000}"/>
    <hyperlink ref="AW252" r:id="rId1746" xr:uid="{00000000-0004-0000-0300-0000D1060000}"/>
    <hyperlink ref="BI252" r:id="rId1747" xr:uid="{00000000-0004-0000-0300-0000D2060000}"/>
    <hyperlink ref="CL252" r:id="rId1748" xr:uid="{00000000-0004-0000-0300-0000D3060000}"/>
    <hyperlink ref="GB252" r:id="rId1749" xr:uid="{00000000-0004-0000-0300-0000D4060000}"/>
    <hyperlink ref="GJ252" r:id="rId1750" xr:uid="{00000000-0004-0000-0300-0000D5060000}"/>
    <hyperlink ref="G253" r:id="rId1751" xr:uid="{00000000-0004-0000-0300-0000D6060000}"/>
    <hyperlink ref="AH253" r:id="rId1752" xr:uid="{00000000-0004-0000-0300-0000D7060000}"/>
    <hyperlink ref="AW253" r:id="rId1753" xr:uid="{00000000-0004-0000-0300-0000D8060000}"/>
    <hyperlink ref="BI253" r:id="rId1754" xr:uid="{00000000-0004-0000-0300-0000D9060000}"/>
    <hyperlink ref="CL253" r:id="rId1755" xr:uid="{00000000-0004-0000-0300-0000DA060000}"/>
    <hyperlink ref="GB253" r:id="rId1756" xr:uid="{00000000-0004-0000-0300-0000DB060000}"/>
    <hyperlink ref="GJ253" r:id="rId1757" xr:uid="{00000000-0004-0000-0300-0000DC060000}"/>
    <hyperlink ref="G254" r:id="rId1758" xr:uid="{00000000-0004-0000-0300-0000DD060000}"/>
    <hyperlink ref="AH254" r:id="rId1759" xr:uid="{00000000-0004-0000-0300-0000DE060000}"/>
    <hyperlink ref="AW254" r:id="rId1760" xr:uid="{00000000-0004-0000-0300-0000DF060000}"/>
    <hyperlink ref="BI254" r:id="rId1761" xr:uid="{00000000-0004-0000-0300-0000E0060000}"/>
    <hyperlink ref="CL254" r:id="rId1762" xr:uid="{00000000-0004-0000-0300-0000E1060000}"/>
    <hyperlink ref="GB254" r:id="rId1763" xr:uid="{00000000-0004-0000-0300-0000E2060000}"/>
    <hyperlink ref="GJ254" r:id="rId1764" xr:uid="{00000000-0004-0000-0300-0000E3060000}"/>
    <hyperlink ref="G255" r:id="rId1765" xr:uid="{00000000-0004-0000-0300-0000E4060000}"/>
    <hyperlink ref="AH255" r:id="rId1766" xr:uid="{00000000-0004-0000-0300-0000E5060000}"/>
    <hyperlink ref="AW255" r:id="rId1767" xr:uid="{00000000-0004-0000-0300-0000E6060000}"/>
    <hyperlink ref="BI255" r:id="rId1768" xr:uid="{00000000-0004-0000-0300-0000E7060000}"/>
    <hyperlink ref="CL255" r:id="rId1769" xr:uid="{00000000-0004-0000-0300-0000E8060000}"/>
    <hyperlink ref="GB255" r:id="rId1770" xr:uid="{00000000-0004-0000-0300-0000E9060000}"/>
    <hyperlink ref="GJ255" r:id="rId1771" xr:uid="{00000000-0004-0000-0300-0000EA060000}"/>
    <hyperlink ref="G256" r:id="rId1772" xr:uid="{00000000-0004-0000-0300-0000EB060000}"/>
    <hyperlink ref="AH256" r:id="rId1773" xr:uid="{00000000-0004-0000-0300-0000EC060000}"/>
    <hyperlink ref="AW256" r:id="rId1774" xr:uid="{00000000-0004-0000-0300-0000ED060000}"/>
    <hyperlink ref="BI256" r:id="rId1775" xr:uid="{00000000-0004-0000-0300-0000EE060000}"/>
    <hyperlink ref="CL256" r:id="rId1776" xr:uid="{00000000-0004-0000-0300-0000EF060000}"/>
    <hyperlink ref="GB256" r:id="rId1777" xr:uid="{00000000-0004-0000-0300-0000F0060000}"/>
    <hyperlink ref="GJ256" r:id="rId1778" xr:uid="{00000000-0004-0000-0300-0000F1060000}"/>
    <hyperlink ref="G257" r:id="rId1779" xr:uid="{00000000-0004-0000-0300-0000F2060000}"/>
    <hyperlink ref="AH257" r:id="rId1780" xr:uid="{00000000-0004-0000-0300-0000F3060000}"/>
    <hyperlink ref="AW257" r:id="rId1781" xr:uid="{00000000-0004-0000-0300-0000F4060000}"/>
    <hyperlink ref="BI257" r:id="rId1782" xr:uid="{00000000-0004-0000-0300-0000F5060000}"/>
    <hyperlink ref="CL257" r:id="rId1783" xr:uid="{00000000-0004-0000-0300-0000F6060000}"/>
    <hyperlink ref="GB257" r:id="rId1784" xr:uid="{00000000-0004-0000-0300-0000F7060000}"/>
    <hyperlink ref="GJ257" r:id="rId1785" xr:uid="{00000000-0004-0000-0300-0000F8060000}"/>
    <hyperlink ref="G258" r:id="rId1786" xr:uid="{00000000-0004-0000-0300-0000F9060000}"/>
    <hyperlink ref="AH258" r:id="rId1787" xr:uid="{00000000-0004-0000-0300-0000FA060000}"/>
    <hyperlink ref="AW258" r:id="rId1788" xr:uid="{00000000-0004-0000-0300-0000FB060000}"/>
    <hyperlink ref="BI258" r:id="rId1789" xr:uid="{00000000-0004-0000-0300-0000FC060000}"/>
    <hyperlink ref="CL258" r:id="rId1790" xr:uid="{00000000-0004-0000-0300-0000FD060000}"/>
    <hyperlink ref="GB258" r:id="rId1791" xr:uid="{00000000-0004-0000-0300-0000FE060000}"/>
    <hyperlink ref="GJ258" r:id="rId1792" xr:uid="{00000000-0004-0000-0300-0000FF060000}"/>
    <hyperlink ref="G259" r:id="rId1793" xr:uid="{00000000-0004-0000-0300-000000070000}"/>
    <hyperlink ref="AH259" r:id="rId1794" xr:uid="{00000000-0004-0000-0300-000001070000}"/>
    <hyperlink ref="AW259" r:id="rId1795" xr:uid="{00000000-0004-0000-0300-000002070000}"/>
    <hyperlink ref="BI259" r:id="rId1796" xr:uid="{00000000-0004-0000-0300-000003070000}"/>
    <hyperlink ref="CL259" r:id="rId1797" xr:uid="{00000000-0004-0000-0300-000004070000}"/>
    <hyperlink ref="GB259" r:id="rId1798" xr:uid="{00000000-0004-0000-0300-000005070000}"/>
    <hyperlink ref="GJ259" r:id="rId1799" xr:uid="{00000000-0004-0000-0300-000006070000}"/>
    <hyperlink ref="G260" r:id="rId1800" xr:uid="{00000000-0004-0000-0300-000007070000}"/>
    <hyperlink ref="AH260" r:id="rId1801" xr:uid="{00000000-0004-0000-0300-000008070000}"/>
    <hyperlink ref="AW260" r:id="rId1802" xr:uid="{00000000-0004-0000-0300-000009070000}"/>
    <hyperlink ref="BI260" r:id="rId1803" xr:uid="{00000000-0004-0000-0300-00000A070000}"/>
    <hyperlink ref="CL260" r:id="rId1804" xr:uid="{00000000-0004-0000-0300-00000B070000}"/>
    <hyperlink ref="GB260" r:id="rId1805" xr:uid="{00000000-0004-0000-0300-00000C070000}"/>
    <hyperlink ref="GJ260" r:id="rId1806" xr:uid="{00000000-0004-0000-0300-00000D070000}"/>
    <hyperlink ref="G261" r:id="rId1807" xr:uid="{00000000-0004-0000-0300-00000E070000}"/>
    <hyperlink ref="AH261" r:id="rId1808" xr:uid="{00000000-0004-0000-0300-00000F070000}"/>
    <hyperlink ref="AW261" r:id="rId1809" xr:uid="{00000000-0004-0000-0300-000010070000}"/>
    <hyperlink ref="BI261" r:id="rId1810" xr:uid="{00000000-0004-0000-0300-000011070000}"/>
    <hyperlink ref="CL261" r:id="rId1811" xr:uid="{00000000-0004-0000-0300-000012070000}"/>
    <hyperlink ref="GB261" r:id="rId1812" xr:uid="{00000000-0004-0000-0300-000013070000}"/>
    <hyperlink ref="GJ261" r:id="rId1813" xr:uid="{00000000-0004-0000-0300-000014070000}"/>
    <hyperlink ref="G262" r:id="rId1814" xr:uid="{00000000-0004-0000-0300-000015070000}"/>
    <hyperlink ref="AH262" r:id="rId1815" xr:uid="{00000000-0004-0000-0300-000016070000}"/>
    <hyperlink ref="AW262" r:id="rId1816" xr:uid="{00000000-0004-0000-0300-000017070000}"/>
    <hyperlink ref="BI262" r:id="rId1817" xr:uid="{00000000-0004-0000-0300-000018070000}"/>
    <hyperlink ref="CL262" r:id="rId1818" xr:uid="{00000000-0004-0000-0300-000019070000}"/>
    <hyperlink ref="GB262" r:id="rId1819" xr:uid="{00000000-0004-0000-0300-00001A070000}"/>
    <hyperlink ref="GJ262" r:id="rId1820" xr:uid="{00000000-0004-0000-0300-00001B070000}"/>
    <hyperlink ref="G263" r:id="rId1821" xr:uid="{00000000-0004-0000-0300-00001C070000}"/>
    <hyperlink ref="AH263" r:id="rId1822" xr:uid="{00000000-0004-0000-0300-00001D070000}"/>
    <hyperlink ref="AW263" r:id="rId1823" xr:uid="{00000000-0004-0000-0300-00001E070000}"/>
    <hyperlink ref="BI263" r:id="rId1824" xr:uid="{00000000-0004-0000-0300-00001F070000}"/>
    <hyperlink ref="CL263" r:id="rId1825" xr:uid="{00000000-0004-0000-0300-000020070000}"/>
    <hyperlink ref="GB263" r:id="rId1826" xr:uid="{00000000-0004-0000-0300-000021070000}"/>
    <hyperlink ref="GJ263" r:id="rId1827" xr:uid="{00000000-0004-0000-0300-000022070000}"/>
    <hyperlink ref="G264" r:id="rId1828" xr:uid="{00000000-0004-0000-0300-000023070000}"/>
    <hyperlink ref="AH264" r:id="rId1829" xr:uid="{00000000-0004-0000-0300-000024070000}"/>
    <hyperlink ref="AW264" r:id="rId1830" xr:uid="{00000000-0004-0000-0300-000025070000}"/>
    <hyperlink ref="BI264" r:id="rId1831" xr:uid="{00000000-0004-0000-0300-000026070000}"/>
    <hyperlink ref="CL264" r:id="rId1832" xr:uid="{00000000-0004-0000-0300-000027070000}"/>
    <hyperlink ref="GB264" r:id="rId1833" xr:uid="{00000000-0004-0000-0300-000028070000}"/>
    <hyperlink ref="GJ264" r:id="rId1834" xr:uid="{00000000-0004-0000-0300-000029070000}"/>
    <hyperlink ref="B3" r:id="rId1835" xr:uid="{03DF36C2-AEAC-4E51-9472-9271B3509C90}"/>
  </hyperlinks>
  <pageMargins left="0.7" right="0.7" top="0.75" bottom="0.75" header="0.3" footer="0.3"/>
  <legacyDrawing r:id="rId18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7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7384</v>
      </c>
      <c r="B1" s="1" t="s">
        <v>7385</v>
      </c>
    </row>
    <row r="2" spans="1:2" x14ac:dyDescent="0.2">
      <c r="A2" s="1" t="s">
        <v>7386</v>
      </c>
      <c r="B2" s="1" t="s">
        <v>7387</v>
      </c>
    </row>
    <row r="3" spans="1:2" x14ac:dyDescent="0.2">
      <c r="A3" s="1" t="s">
        <v>7388</v>
      </c>
      <c r="B3" s="1" t="s">
        <v>7389</v>
      </c>
    </row>
    <row r="4" spans="1:2" x14ac:dyDescent="0.2">
      <c r="A4" s="1" t="s">
        <v>7390</v>
      </c>
      <c r="B4" s="1" t="s">
        <v>7391</v>
      </c>
    </row>
    <row r="5" spans="1:2" x14ac:dyDescent="0.2">
      <c r="A5" s="1" t="s">
        <v>7392</v>
      </c>
      <c r="B5" s="1" t="s">
        <v>7393</v>
      </c>
    </row>
    <row r="6" spans="1:2" x14ac:dyDescent="0.2">
      <c r="A6" s="1" t="s">
        <v>7394</v>
      </c>
      <c r="B6" s="1" t="s">
        <v>7389</v>
      </c>
    </row>
    <row r="7" spans="1:2" x14ac:dyDescent="0.2">
      <c r="A7" s="1" t="s">
        <v>7395</v>
      </c>
      <c r="B7" s="1" t="s">
        <v>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1.1</vt:lpstr>
      <vt:lpstr>NVScriptsProperties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Zavaleta</dc:creator>
  <cp:lastModifiedBy>Omar Zavaleta</cp:lastModifiedBy>
  <dcterms:created xsi:type="dcterms:W3CDTF">2023-08-14T02:32:35Z</dcterms:created>
  <dcterms:modified xsi:type="dcterms:W3CDTF">2023-08-14T23:05:04Z</dcterms:modified>
</cp:coreProperties>
</file>